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99" firstSheet="0" activeTab="1" autoFilterDateGrouping="1"/>
  </bookViews>
  <sheets>
    <sheet xmlns:r="http://schemas.openxmlformats.org/officeDocument/2006/relationships" name="상품별-그래프" sheetId="1" state="visible" r:id="rId1"/>
    <sheet xmlns:r="http://schemas.openxmlformats.org/officeDocument/2006/relationships" name="RD" sheetId="2" state="visible" r:id="rId2"/>
    <sheet xmlns:r="http://schemas.openxmlformats.org/officeDocument/2006/relationships" name="상세 상품별 실적" sheetId="3" state="visible" r:id="rId3"/>
    <sheet xmlns:r="http://schemas.openxmlformats.org/officeDocument/2006/relationships" name="상품별-피벗" sheetId="4" state="visible" r:id="rId4"/>
    <sheet xmlns:r="http://schemas.openxmlformats.org/officeDocument/2006/relationships" name="채널별-피벗" sheetId="5" state="visible" r:id="rId5"/>
    <sheet xmlns:r="http://schemas.openxmlformats.org/officeDocument/2006/relationships" name="매칭테이블" sheetId="6" state="visible" r:id="rId6"/>
    <sheet xmlns:r="http://schemas.openxmlformats.org/officeDocument/2006/relationships" name="월실적(선형)" sheetId="7" state="visible" r:id="rId7"/>
    <sheet xmlns:r="http://schemas.openxmlformats.org/officeDocument/2006/relationships" name="제품별 매출" sheetId="8" state="visible" r:id="rId8"/>
    <sheet xmlns:r="http://schemas.openxmlformats.org/officeDocument/2006/relationships" name="광고비" sheetId="9" state="visible" r:id="rId9"/>
    <sheet xmlns:r="http://schemas.openxmlformats.org/officeDocument/2006/relationships" name="Sheet1" sheetId="10" state="visible" r:id="rId10"/>
  </sheets>
  <definedNames>
    <definedName name="_xlnm._FilterDatabase" localSheetId="1" hidden="1">'RD'!$B$1:$O$2718</definedName>
    <definedName name="_xlnm._FilterDatabase" localSheetId="5" hidden="1">'매칭테이블'!$B$1:$K$321</definedName>
  </definedNames>
  <calcPr calcId="191029" fullCalcOnLoad="1"/>
  <pivotCaches>
    <pivotCache xmlns:r="http://schemas.openxmlformats.org/officeDocument/2006/relationships" cacheId="17" r:id="rId11"/>
    <pivotCache xmlns:r="http://schemas.openxmlformats.org/officeDocument/2006/relationships" cacheId="18" r:id="rId12"/>
    <pivotCache xmlns:r="http://schemas.openxmlformats.org/officeDocument/2006/relationships" cacheId="19" r:id="rId13"/>
  </pivotCaches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\-mm\-dd"/>
    <numFmt numFmtId="166" formatCode="0_);[Red]\(0\)"/>
    <numFmt numFmtId="167" formatCode="yyyy-mm-dd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color rgb="FF1155CC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Arial"/>
      <family val="2"/>
      <color theme="1"/>
      <sz val="10"/>
    </font>
    <font>
      <name val="맑은 고딕"/>
      <charset val="129"/>
      <family val="3"/>
      <color rgb="FF000000"/>
      <sz val="11"/>
    </font>
    <font>
      <name val="맑은 고딕"/>
      <charset val="129"/>
      <family val="2"/>
      <sz val="8"/>
      <scheme val="minor"/>
    </font>
    <font>
      <name val="Nanum Gothic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14" fontId="8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3" fontId="10" fillId="4" borderId="1" applyAlignment="1" pivotButton="0" quotePrefix="0" xfId="0">
      <alignment horizontal="right" wrapText="1"/>
    </xf>
    <xf numFmtId="164" fontId="1" fillId="0" borderId="0" applyAlignment="1" pivotButton="0" quotePrefix="0" xfId="1">
      <alignment vertical="center"/>
    </xf>
    <xf numFmtId="165" fontId="0" fillId="0" borderId="0" pivotButton="0" quotePrefix="0" xfId="0"/>
    <xf numFmtId="166" fontId="10" fillId="0" borderId="0" applyAlignment="1" pivotButton="0" quotePrefix="0" xfId="0">
      <alignment horizontal="right" wrapText="1"/>
    </xf>
    <xf numFmtId="164" fontId="0" fillId="2" borderId="0" applyAlignment="1" pivotButton="0" quotePrefix="0" xfId="0">
      <alignment vertical="center"/>
    </xf>
    <xf numFmtId="164" fontId="1" fillId="0" borderId="0" applyAlignment="1" pivotButton="0" quotePrefix="0" xfId="1">
      <alignment vertical="center"/>
    </xf>
    <xf numFmtId="165" fontId="0" fillId="0" borderId="0" pivotButton="0" quotePrefix="0" xfId="0"/>
    <xf numFmtId="166" fontId="10" fillId="0" borderId="0" applyAlignment="1" pivotButton="0" quotePrefix="0" xfId="0">
      <alignment horizontal="right" wrapText="1"/>
    </xf>
    <xf numFmtId="167" fontId="0" fillId="0" borderId="0" pivotButton="0" quotePrefix="0" xfId="0"/>
    <xf numFmtId="164" fontId="0" fillId="2" borderId="0" applyAlignment="1" pivotButton="0" quotePrefix="0" xfId="0">
      <alignment vertical="center"/>
    </xf>
  </cellXfs>
  <cellStyles count="2">
    <cellStyle name="표준" xfId="0" builtinId="0"/>
    <cellStyle name="쉼표 [0]" xfId="1" builtinId="6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맑은 고딕"/>
        <charset val="129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78" formatCode="_(* #,##0_);_(* \(#,##0\);_(* &quot;-&quot;_);_(@_)"/>
      <fill>
        <patternFill>
          <fgColor indexed="64"/>
          <bgColor indexed="65"/>
        </patternFill>
      </fill>
      <alignment horizontal="general" vertical="center"/>
      <border outline="0">
        <left/>
        <right/>
        <top/>
        <bottom/>
      </border>
      <protection locked="1" hidden="0"/>
    </dxf>
    <dxf>
      <font>
        <name val="맑은 고딕"/>
        <charset val="129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78" formatCode="_(* #,##0_);_(* \(#,##0\);_(* &quot;-&quot;_);_(@_)"/>
      <fill>
        <patternFill>
          <fgColor indexed="64"/>
          <bgColor indexed="65"/>
        </patternFill>
      </fill>
      <alignment horizontal="general" vertical="center"/>
      <border outline="0">
        <left/>
        <right/>
        <top/>
        <bottom/>
      </border>
      <protection locked="1" hidden="0"/>
    </dxf>
    <dxf>
      <numFmt numFmtId="178" formatCode="_(* #,##0_);_(* \(#,##0\);_(* &quot;-&quot;_);_(@_)"/>
    </dxf>
    <dxf>
      <numFmt numFmtId="178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pivotCacheDefinition" Target="/xl/pivotCache/pivotCacheDefinition1.xml" Id="rId11"/><Relationship Type="http://schemas.openxmlformats.org/officeDocument/2006/relationships/pivotCacheDefinition" Target="/xl/pivotCache/pivotCacheDefinition2.xml" Id="rId12"/><Relationship Type="http://schemas.openxmlformats.org/officeDocument/2006/relationships/pivotCacheDefinition" Target="/xl/pivotCache/pivotCacheDefinition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pivotSource>
    <name>[02.유즈_이지어드민_데이터 정리_헤더변경 ★ - 복사본.xlsx]상품별-피벗!피벗 테이블2</name>
    <fmtId val="3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4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 i="1"/>
              <a:t>상품별 판매 수량</a:t>
            </a:r>
            <a:r>
              <a:rPr lang="en-US" altLang="ko-KR" b="1" i="1"/>
              <a:t xml:space="preserve">(CS, </a:t>
            </a:r>
            <a:r>
              <a:rPr lang="ko-KR" altLang="en-US" b="1" i="1"/>
              <a:t>밀리밀 건 제외</a:t>
            </a:r>
            <a:r>
              <a:rPr lang="en-US" altLang="ko-KR" b="1" i="1"/>
              <a:t>)</a:t>
            </a:r>
            <a:endParaRPr lang="ko-KR" altLang="en-US" b="1" i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0"/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'상품별-피벗'!$D$3:$D$4</f>
              <strCache>
                <ptCount val="1"/>
                <pt idx="0">
                  <v>고체향수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'상품별-피벗'!$B$5:$C$350</f>
            </multiLvlStrRef>
          </cat>
          <val>
            <numRef>
              <f>'상품별-피벗'!$D$5:$D$350</f>
              <numCache>
                <formatCode>General</formatCode>
                <ptCount val="345"/>
                <pt idx="0">
                  <v>1148</v>
                </pt>
                <pt idx="1">
                  <v>1034</v>
                </pt>
                <pt idx="2">
                  <v>398</v>
                </pt>
                <pt idx="3">
                  <v>1041</v>
                </pt>
                <pt idx="4">
                  <v>386</v>
                </pt>
                <pt idx="5">
                  <v>355</v>
                </pt>
                <pt idx="6">
                  <v>326</v>
                </pt>
                <pt idx="7">
                  <v>449</v>
                </pt>
                <pt idx="8">
                  <v>445</v>
                </pt>
                <pt idx="9">
                  <v>552</v>
                </pt>
                <pt idx="10">
                  <v>432</v>
                </pt>
                <pt idx="11">
                  <v>475</v>
                </pt>
                <pt idx="12">
                  <v>422</v>
                </pt>
                <pt idx="13">
                  <v>399</v>
                </pt>
                <pt idx="14">
                  <v>470</v>
                </pt>
                <pt idx="15">
                  <v>2</v>
                </pt>
                <pt idx="16">
                  <v>1</v>
                </pt>
                <pt idx="17">
                  <v>6</v>
                </pt>
                <pt idx="18">
                  <v>11</v>
                </pt>
                <pt idx="19">
                  <v>6</v>
                </pt>
                <pt idx="20">
                  <v>2</v>
                </pt>
                <pt idx="21">
                  <v>5</v>
                </pt>
                <pt idx="22">
                  <v>4</v>
                </pt>
                <pt idx="23">
                  <v>2</v>
                </pt>
                <pt idx="24">
                  <v>3</v>
                </pt>
                <pt idx="25">
                  <v>3</v>
                </pt>
                <pt idx="26">
                  <v>26</v>
                </pt>
                <pt idx="27">
                  <v>12</v>
                </pt>
                <pt idx="28">
                  <v>10</v>
                </pt>
                <pt idx="29">
                  <v>13</v>
                </pt>
                <pt idx="30">
                  <v>23</v>
                </pt>
                <pt idx="31">
                  <v>21</v>
                </pt>
                <pt idx="32">
                  <v>31</v>
                </pt>
                <pt idx="33">
                  <v>20</v>
                </pt>
                <pt idx="34">
                  <v>17</v>
                </pt>
                <pt idx="35">
                  <v>37</v>
                </pt>
                <pt idx="36">
                  <v>26</v>
                </pt>
                <pt idx="37">
                  <v>25</v>
                </pt>
                <pt idx="38">
                  <v>24</v>
                </pt>
                <pt idx="39">
                  <v>30</v>
                </pt>
                <pt idx="40">
                  <v>62</v>
                </pt>
                <pt idx="41">
                  <v>65</v>
                </pt>
                <pt idx="42">
                  <v>92</v>
                </pt>
                <pt idx="43">
                  <v>95</v>
                </pt>
                <pt idx="44">
                  <v>76</v>
                </pt>
                <pt idx="45">
                  <v>89</v>
                </pt>
                <pt idx="46">
                  <v>88</v>
                </pt>
                <pt idx="47">
                  <v>93</v>
                </pt>
                <pt idx="48">
                  <v>75</v>
                </pt>
                <pt idx="49">
                  <v>69</v>
                </pt>
                <pt idx="50">
                  <v>82</v>
                </pt>
                <pt idx="51">
                  <v>59</v>
                </pt>
                <pt idx="52">
                  <v>63</v>
                </pt>
                <pt idx="53">
                  <v>57</v>
                </pt>
                <pt idx="54">
                  <v>35</v>
                </pt>
                <pt idx="55">
                  <v>21</v>
                </pt>
                <pt idx="56">
                  <v>7</v>
                </pt>
                <pt idx="57">
                  <v>15</v>
                </pt>
                <pt idx="58">
                  <v>31</v>
                </pt>
                <pt idx="59">
                  <v>44</v>
                </pt>
                <pt idx="60">
                  <v>31</v>
                </pt>
                <pt idx="61">
                  <v>42</v>
                </pt>
                <pt idx="62">
                  <v>30</v>
                </pt>
                <pt idx="63">
                  <v>36</v>
                </pt>
                <pt idx="64">
                  <v>68</v>
                </pt>
                <pt idx="65">
                  <v>50</v>
                </pt>
                <pt idx="66">
                  <v>82</v>
                </pt>
                <pt idx="67">
                  <v>116</v>
                </pt>
                <pt idx="68">
                  <v>51</v>
                </pt>
                <pt idx="69">
                  <v>89</v>
                </pt>
                <pt idx="70">
                  <v>42</v>
                </pt>
                <pt idx="71">
                  <v>46</v>
                </pt>
                <pt idx="72">
                  <v>67</v>
                </pt>
                <pt idx="73">
                  <v>98</v>
                </pt>
                <pt idx="74">
                  <v>105</v>
                </pt>
                <pt idx="75">
                  <v>116</v>
                </pt>
                <pt idx="76">
                  <v>127</v>
                </pt>
                <pt idx="77">
                  <v>107</v>
                </pt>
                <pt idx="78">
                  <v>152</v>
                </pt>
                <pt idx="79">
                  <v>110</v>
                </pt>
                <pt idx="80">
                  <v>126</v>
                </pt>
                <pt idx="81">
                  <v>103</v>
                </pt>
                <pt idx="82">
                  <v>66</v>
                </pt>
                <pt idx="83">
                  <v>63</v>
                </pt>
                <pt idx="84">
                  <v>65</v>
                </pt>
                <pt idx="85">
                  <v>66</v>
                </pt>
                <pt idx="86">
                  <v>82</v>
                </pt>
                <pt idx="87">
                  <v>86</v>
                </pt>
                <pt idx="88">
                  <v>80</v>
                </pt>
                <pt idx="89">
                  <v>67</v>
                </pt>
                <pt idx="90">
                  <v>79</v>
                </pt>
                <pt idx="91">
                  <v>76</v>
                </pt>
                <pt idx="92">
                  <v>91</v>
                </pt>
                <pt idx="93">
                  <v>86</v>
                </pt>
                <pt idx="94">
                  <v>73</v>
                </pt>
                <pt idx="95">
                  <v>76</v>
                </pt>
                <pt idx="96">
                  <v>62</v>
                </pt>
                <pt idx="97">
                  <v>51</v>
                </pt>
                <pt idx="98">
                  <v>44</v>
                </pt>
                <pt idx="99">
                  <v>48</v>
                </pt>
                <pt idx="100">
                  <v>62</v>
                </pt>
                <pt idx="101">
                  <v>75</v>
                </pt>
                <pt idx="102">
                  <v>86</v>
                </pt>
                <pt idx="103">
                  <v>83</v>
                </pt>
                <pt idx="104">
                  <v>66</v>
                </pt>
                <pt idx="105">
                  <v>68</v>
                </pt>
                <pt idx="106">
                  <v>92</v>
                </pt>
                <pt idx="107">
                  <v>76</v>
                </pt>
                <pt idx="108">
                  <v>74</v>
                </pt>
                <pt idx="109">
                  <v>89</v>
                </pt>
                <pt idx="110">
                  <v>94</v>
                </pt>
                <pt idx="111">
                  <v>80</v>
                </pt>
                <pt idx="112">
                  <v>80</v>
                </pt>
                <pt idx="113">
                  <v>96</v>
                </pt>
                <pt idx="114">
                  <v>97</v>
                </pt>
                <pt idx="115">
                  <v>109</v>
                </pt>
                <pt idx="116">
                  <v>106</v>
                </pt>
                <pt idx="117">
                  <v>87</v>
                </pt>
                <pt idx="118">
                  <v>97</v>
                </pt>
                <pt idx="119">
                  <v>80</v>
                </pt>
                <pt idx="120">
                  <v>83</v>
                </pt>
                <pt idx="121">
                  <v>83</v>
                </pt>
                <pt idx="122">
                  <v>78</v>
                </pt>
                <pt idx="123">
                  <v>89</v>
                </pt>
                <pt idx="124">
                  <v>80</v>
                </pt>
                <pt idx="125">
                  <v>87</v>
                </pt>
                <pt idx="126">
                  <v>77</v>
                </pt>
                <pt idx="127">
                  <v>82</v>
                </pt>
                <pt idx="128">
                  <v>92</v>
                </pt>
                <pt idx="129">
                  <v>98</v>
                </pt>
                <pt idx="130">
                  <v>77</v>
                </pt>
                <pt idx="131">
                  <v>88</v>
                </pt>
                <pt idx="132">
                  <v>86</v>
                </pt>
                <pt idx="133">
                  <v>84</v>
                </pt>
                <pt idx="134">
                  <v>101</v>
                </pt>
                <pt idx="135">
                  <v>89</v>
                </pt>
                <pt idx="136">
                  <v>97</v>
                </pt>
                <pt idx="137">
                  <v>103</v>
                </pt>
                <pt idx="138">
                  <v>106</v>
                </pt>
                <pt idx="139">
                  <v>107</v>
                </pt>
                <pt idx="140">
                  <v>140</v>
                </pt>
                <pt idx="141">
                  <v>177</v>
                </pt>
                <pt idx="142">
                  <v>165</v>
                </pt>
                <pt idx="143">
                  <v>223</v>
                </pt>
                <pt idx="144">
                  <v>327</v>
                </pt>
                <pt idx="145">
                  <v>343</v>
                </pt>
                <pt idx="146">
                  <v>320</v>
                </pt>
                <pt idx="147">
                  <v>342</v>
                </pt>
                <pt idx="148">
                  <v>311</v>
                </pt>
                <pt idx="149">
                  <v>272</v>
                </pt>
                <pt idx="150">
                  <v>259</v>
                </pt>
                <pt idx="151">
                  <v>266</v>
                </pt>
                <pt idx="152">
                  <v>194</v>
                </pt>
                <pt idx="153">
                  <v>273</v>
                </pt>
                <pt idx="154">
                  <v>279</v>
                </pt>
                <pt idx="155">
                  <v>331</v>
                </pt>
                <pt idx="156">
                  <v>271</v>
                </pt>
                <pt idx="157">
                  <v>289</v>
                </pt>
                <pt idx="158">
                  <v>318</v>
                </pt>
                <pt idx="159">
                  <v>279</v>
                </pt>
                <pt idx="160">
                  <v>264</v>
                </pt>
                <pt idx="161">
                  <v>325</v>
                </pt>
                <pt idx="162">
                  <v>304</v>
                </pt>
                <pt idx="163">
                  <v>295</v>
                </pt>
                <pt idx="164">
                  <v>299</v>
                </pt>
                <pt idx="165">
                  <v>281</v>
                </pt>
                <pt idx="166">
                  <v>308</v>
                </pt>
                <pt idx="167">
                  <v>302</v>
                </pt>
                <pt idx="168">
                  <v>311</v>
                </pt>
                <pt idx="169">
                  <v>315</v>
                </pt>
                <pt idx="170">
                  <v>311</v>
                </pt>
                <pt idx="171">
                  <v>293</v>
                </pt>
                <pt idx="172">
                  <v>339</v>
                </pt>
                <pt idx="173">
                  <v>294</v>
                </pt>
                <pt idx="174">
                  <v>273</v>
                </pt>
                <pt idx="175">
                  <v>322</v>
                </pt>
                <pt idx="176">
                  <v>377</v>
                </pt>
                <pt idx="177">
                  <v>354</v>
                </pt>
                <pt idx="178">
                  <v>382</v>
                </pt>
                <pt idx="179">
                  <v>354</v>
                </pt>
                <pt idx="180">
                  <v>337</v>
                </pt>
                <pt idx="181">
                  <v>329</v>
                </pt>
                <pt idx="182">
                  <v>382</v>
                </pt>
                <pt idx="183">
                  <v>354</v>
                </pt>
                <pt idx="184">
                  <v>307</v>
                </pt>
                <pt idx="185">
                  <v>347</v>
                </pt>
                <pt idx="186">
                  <v>413</v>
                </pt>
                <pt idx="187">
                  <v>364</v>
                </pt>
                <pt idx="188">
                  <v>333</v>
                </pt>
                <pt idx="189">
                  <v>413</v>
                </pt>
                <pt idx="190">
                  <v>288</v>
                </pt>
                <pt idx="191">
                  <v>231</v>
                </pt>
                <pt idx="192">
                  <v>306</v>
                </pt>
                <pt idx="193">
                  <v>260</v>
                </pt>
                <pt idx="194">
                  <v>266</v>
                </pt>
                <pt idx="195">
                  <v>274</v>
                </pt>
                <pt idx="196">
                  <v>326</v>
                </pt>
                <pt idx="197">
                  <v>326</v>
                </pt>
                <pt idx="198">
                  <v>203</v>
                </pt>
                <pt idx="199">
                  <v>205</v>
                </pt>
                <pt idx="200">
                  <v>194</v>
                </pt>
                <pt idx="201">
                  <v>194</v>
                </pt>
                <pt idx="202">
                  <v>210</v>
                </pt>
                <pt idx="203">
                  <v>239</v>
                </pt>
                <pt idx="204">
                  <v>274</v>
                </pt>
                <pt idx="205">
                  <v>212</v>
                </pt>
                <pt idx="206">
                  <v>292</v>
                </pt>
                <pt idx="207">
                  <v>329</v>
                </pt>
                <pt idx="208">
                  <v>1153</v>
                </pt>
                <pt idx="209">
                  <v>247</v>
                </pt>
                <pt idx="210">
                  <v>286</v>
                </pt>
                <pt idx="211">
                  <v>307</v>
                </pt>
                <pt idx="212">
                  <v>505</v>
                </pt>
                <pt idx="213">
                  <v>241</v>
                </pt>
                <pt idx="214">
                  <v>236</v>
                </pt>
                <pt idx="215">
                  <v>245</v>
                </pt>
                <pt idx="216">
                  <v>257</v>
                </pt>
                <pt idx="217">
                  <v>350</v>
                </pt>
                <pt idx="218">
                  <v>343</v>
                </pt>
                <pt idx="219">
                  <v>424</v>
                </pt>
                <pt idx="220">
                  <v>453</v>
                </pt>
                <pt idx="221">
                  <v>411</v>
                </pt>
                <pt idx="222">
                  <v>444</v>
                </pt>
                <pt idx="223">
                  <v>392</v>
                </pt>
                <pt idx="224">
                  <v>497</v>
                </pt>
                <pt idx="225">
                  <v>431</v>
                </pt>
                <pt idx="226">
                  <v>291</v>
                </pt>
                <pt idx="227">
                  <v>289</v>
                </pt>
                <pt idx="228">
                  <v>425</v>
                </pt>
                <pt idx="229">
                  <v>436</v>
                </pt>
                <pt idx="230">
                  <v>686</v>
                </pt>
                <pt idx="231">
                  <v>782</v>
                </pt>
                <pt idx="232">
                  <v>685</v>
                </pt>
                <pt idx="233">
                  <v>450</v>
                </pt>
                <pt idx="234">
                  <v>453</v>
                </pt>
                <pt idx="235">
                  <v>473</v>
                </pt>
                <pt idx="236">
                  <v>451</v>
                </pt>
                <pt idx="237">
                  <v>874</v>
                </pt>
                <pt idx="238">
                  <v>740</v>
                </pt>
                <pt idx="239">
                  <v>702</v>
                </pt>
                <pt idx="240">
                  <v>689</v>
                </pt>
                <pt idx="241">
                  <v>693</v>
                </pt>
                <pt idx="242">
                  <v>630</v>
                </pt>
                <pt idx="243">
                  <v>609</v>
                </pt>
                <pt idx="244">
                  <v>528</v>
                </pt>
                <pt idx="245">
                  <v>722</v>
                </pt>
                <pt idx="246">
                  <v>811</v>
                </pt>
                <pt idx="247">
                  <v>553</v>
                </pt>
                <pt idx="248">
                  <v>686</v>
                </pt>
                <pt idx="249">
                  <v>735</v>
                </pt>
                <pt idx="250">
                  <v>552</v>
                </pt>
                <pt idx="251">
                  <v>550</v>
                </pt>
                <pt idx="252">
                  <v>604</v>
                </pt>
                <pt idx="253">
                  <v>706</v>
                </pt>
                <pt idx="254">
                  <v>543</v>
                </pt>
                <pt idx="255">
                  <v>457</v>
                </pt>
                <pt idx="256">
                  <v>465</v>
                </pt>
                <pt idx="257">
                  <v>480</v>
                </pt>
                <pt idx="258">
                  <v>400</v>
                </pt>
                <pt idx="259">
                  <v>615</v>
                </pt>
                <pt idx="260">
                  <v>659</v>
                </pt>
                <pt idx="261">
                  <v>487</v>
                </pt>
                <pt idx="262">
                  <v>400</v>
                </pt>
                <pt idx="263">
                  <v>456</v>
                </pt>
                <pt idx="264">
                  <v>424</v>
                </pt>
                <pt idx="265">
                  <v>385</v>
                </pt>
                <pt idx="266">
                  <v>409</v>
                </pt>
                <pt idx="267">
                  <v>472</v>
                </pt>
                <pt idx="268">
                  <v>466</v>
                </pt>
                <pt idx="269">
                  <v>445</v>
                </pt>
                <pt idx="270">
                  <v>657</v>
                </pt>
                <pt idx="271">
                  <v>441</v>
                </pt>
                <pt idx="272">
                  <v>356</v>
                </pt>
                <pt idx="273">
                  <v>393</v>
                </pt>
                <pt idx="274">
                  <v>450</v>
                </pt>
                <pt idx="275">
                  <v>303</v>
                </pt>
                <pt idx="276">
                  <v>350</v>
                </pt>
                <pt idx="277">
                  <v>432</v>
                </pt>
                <pt idx="278">
                  <v>475</v>
                </pt>
                <pt idx="279">
                  <v>422</v>
                </pt>
                <pt idx="280">
                  <v>399</v>
                </pt>
                <pt idx="281">
                  <v>470</v>
                </pt>
                <pt idx="282">
                  <v>463</v>
                </pt>
                <pt idx="283">
                  <v>328</v>
                </pt>
                <pt idx="284">
                  <v>280</v>
                </pt>
                <pt idx="285">
                  <v>326</v>
                </pt>
                <pt idx="286">
                  <v>288</v>
                </pt>
                <pt idx="287">
                  <v>331</v>
                </pt>
                <pt idx="288">
                  <v>366</v>
                </pt>
                <pt idx="289">
                  <v>738</v>
                </pt>
                <pt idx="290">
                  <v>360</v>
                </pt>
                <pt idx="291">
                  <v>355</v>
                </pt>
                <pt idx="292">
                  <v>362</v>
                </pt>
                <pt idx="293">
                  <v>372</v>
                </pt>
                <pt idx="294">
                  <v>342</v>
                </pt>
                <pt idx="295">
                  <v>302</v>
                </pt>
                <pt idx="296">
                  <v>275</v>
                </pt>
                <pt idx="297">
                  <v>264</v>
                </pt>
                <pt idx="298">
                  <v>280</v>
                </pt>
                <pt idx="299">
                  <v>369</v>
                </pt>
                <pt idx="300">
                  <v>377</v>
                </pt>
                <pt idx="301">
                  <v>331</v>
                </pt>
                <pt idx="302">
                  <v>313</v>
                </pt>
                <pt idx="303">
                  <v>261</v>
                </pt>
                <pt idx="304">
                  <v>354</v>
                </pt>
                <pt idx="305">
                  <v>292</v>
                </pt>
                <pt idx="306">
                  <v>393</v>
                </pt>
                <pt idx="307">
                  <v>396</v>
                </pt>
                <pt idx="308">
                  <v>345</v>
                </pt>
                <pt idx="309">
                  <v>344</v>
                </pt>
                <pt idx="310">
                  <v>397</v>
                </pt>
                <pt idx="311">
                  <v>359</v>
                </pt>
                <pt idx="312">
                  <v>372</v>
                </pt>
                <pt idx="313">
                  <v>409</v>
                </pt>
                <pt idx="314">
                  <v>408</v>
                </pt>
                <pt idx="315">
                  <v>406</v>
                </pt>
                <pt idx="316">
                  <v>371</v>
                </pt>
                <pt idx="317">
                  <v>360</v>
                </pt>
                <pt idx="318">
                  <v>327</v>
                </pt>
                <pt idx="319">
                  <v>406</v>
                </pt>
                <pt idx="320">
                  <v>385</v>
                </pt>
                <pt idx="321">
                  <v>379</v>
                </pt>
                <pt idx="322">
                  <v>384</v>
                </pt>
                <pt idx="323">
                  <v>369</v>
                </pt>
                <pt idx="324">
                  <v>366</v>
                </pt>
                <pt idx="325">
                  <v>307</v>
                </pt>
                <pt idx="326">
                  <v>306</v>
                </pt>
                <pt idx="327">
                  <v>350</v>
                </pt>
                <pt idx="328">
                  <v>398</v>
                </pt>
                <pt idx="329">
                  <v>347</v>
                </pt>
                <pt idx="330">
                  <v>372</v>
                </pt>
                <pt idx="331">
                  <v>360</v>
                </pt>
                <pt idx="332">
                  <v>327</v>
                </pt>
                <pt idx="333">
                  <v>345</v>
                </pt>
                <pt idx="334">
                  <v>515</v>
                </pt>
                <pt idx="335">
                  <v>495</v>
                </pt>
                <pt idx="336">
                  <v>376</v>
                </pt>
                <pt idx="337">
                  <v>350</v>
                </pt>
                <pt idx="338">
                  <v>392</v>
                </pt>
                <pt idx="339">
                  <v>390</v>
                </pt>
                <pt idx="340">
                  <v>326</v>
                </pt>
                <pt idx="341">
                  <v>387</v>
                </pt>
                <pt idx="342">
                  <v>420</v>
                </pt>
                <pt idx="343">
                  <v>379</v>
                </pt>
                <pt idx="344">
                  <v>400</v>
                </pt>
              </numCache>
            </numRef>
          </val>
        </ser>
        <ser>
          <idx val="1"/>
          <order val="1"/>
          <tx>
            <strRef>
              <f>'상품별-피벗'!$E$3:$E$4</f>
              <strCache>
                <ptCount val="1"/>
                <pt idx="0">
                  <v>쇼핑백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'상품별-피벗'!$B$5:$C$350</f>
            </multiLvlStrRef>
          </cat>
          <val>
            <numRef>
              <f>'상품별-피벗'!$E$5:$E$350</f>
              <numCache>
                <formatCode>General</formatCode>
                <ptCount val="345"/>
                <pt idx="0">
                  <v>9</v>
                </pt>
                <pt idx="1">
                  <v>9</v>
                </pt>
                <pt idx="2">
                  <v>8</v>
                </pt>
                <pt idx="3">
                  <v>9</v>
                </pt>
                <pt idx="4">
                  <v>11</v>
                </pt>
                <pt idx="5">
                  <v>4</v>
                </pt>
                <pt idx="6">
                  <v>11</v>
                </pt>
                <pt idx="7">
                  <v>5</v>
                </pt>
                <pt idx="8">
                  <v>9</v>
                </pt>
                <pt idx="9">
                  <v>7</v>
                </pt>
                <pt idx="10">
                  <v>3</v>
                </pt>
                <pt idx="11">
                  <v>2</v>
                </pt>
                <pt idx="12">
                  <v>10</v>
                </pt>
                <pt idx="13">
                  <v>7</v>
                </pt>
                <pt idx="14">
                  <v>10</v>
                </pt>
                <pt idx="24">
                  <v>1</v>
                </pt>
                <pt idx="43">
                  <v>2</v>
                </pt>
                <pt idx="45">
                  <v>2</v>
                </pt>
                <pt idx="47">
                  <v>1</v>
                </pt>
                <pt idx="48">
                  <v>2</v>
                </pt>
                <pt idx="49">
                  <v>1</v>
                </pt>
                <pt idx="50">
                  <v>2</v>
                </pt>
                <pt idx="51">
                  <v>1</v>
                </pt>
                <pt idx="52">
                  <v>1</v>
                </pt>
                <pt idx="54">
                  <v>1</v>
                </pt>
                <pt idx="55">
                  <v>1</v>
                </pt>
                <pt idx="57">
                  <v>1</v>
                </pt>
                <pt idx="60">
                  <v>1</v>
                </pt>
                <pt idx="62">
                  <v>1</v>
                </pt>
                <pt idx="63">
                  <v>1</v>
                </pt>
                <pt idx="66">
                  <v>3</v>
                </pt>
                <pt idx="67">
                  <v>1</v>
                </pt>
                <pt idx="69">
                  <v>2</v>
                </pt>
                <pt idx="71">
                  <v>1</v>
                </pt>
                <pt idx="73">
                  <v>1</v>
                </pt>
                <pt idx="74">
                  <v>1</v>
                </pt>
                <pt idx="75">
                  <v>3</v>
                </pt>
                <pt idx="76">
                  <v>2</v>
                </pt>
                <pt idx="77">
                  <v>2</v>
                </pt>
                <pt idx="78">
                  <v>1</v>
                </pt>
                <pt idx="79">
                  <v>1</v>
                </pt>
                <pt idx="80">
                  <v>2</v>
                </pt>
                <pt idx="81">
                  <v>1</v>
                </pt>
                <pt idx="85">
                  <v>1</v>
                </pt>
                <pt idx="87">
                  <v>1</v>
                </pt>
                <pt idx="88">
                  <v>3</v>
                </pt>
                <pt idx="89">
                  <v>2</v>
                </pt>
                <pt idx="90">
                  <v>1</v>
                </pt>
                <pt idx="93">
                  <v>1</v>
                </pt>
                <pt idx="94">
                  <v>2</v>
                </pt>
                <pt idx="95">
                  <v>2</v>
                </pt>
                <pt idx="97">
                  <v>3</v>
                </pt>
                <pt idx="98">
                  <v>2</v>
                </pt>
                <pt idx="99">
                  <v>2</v>
                </pt>
                <pt idx="100">
                  <v>5</v>
                </pt>
                <pt idx="101">
                  <v>1</v>
                </pt>
                <pt idx="102">
                  <v>1</v>
                </pt>
                <pt idx="103">
                  <v>1</v>
                </pt>
                <pt idx="104">
                  <v>3</v>
                </pt>
                <pt idx="105">
                  <v>2</v>
                </pt>
                <pt idx="106">
                  <v>1</v>
                </pt>
                <pt idx="107">
                  <v>2</v>
                </pt>
                <pt idx="108">
                  <v>3</v>
                </pt>
                <pt idx="109">
                  <v>1</v>
                </pt>
                <pt idx="110">
                  <v>1</v>
                </pt>
                <pt idx="112">
                  <v>1</v>
                </pt>
                <pt idx="113">
                  <v>2</v>
                </pt>
                <pt idx="114">
                  <v>1</v>
                </pt>
                <pt idx="115">
                  <v>2</v>
                </pt>
                <pt idx="116">
                  <v>3</v>
                </pt>
                <pt idx="117">
                  <v>2</v>
                </pt>
                <pt idx="119">
                  <v>2</v>
                </pt>
                <pt idx="120">
                  <v>1</v>
                </pt>
                <pt idx="121">
                  <v>4</v>
                </pt>
                <pt idx="122">
                  <v>7</v>
                </pt>
                <pt idx="123">
                  <v>2</v>
                </pt>
                <pt idx="124">
                  <v>1</v>
                </pt>
                <pt idx="125">
                  <v>3</v>
                </pt>
                <pt idx="126">
                  <v>2</v>
                </pt>
                <pt idx="127">
                  <v>3</v>
                </pt>
                <pt idx="128">
                  <v>3</v>
                </pt>
                <pt idx="129">
                  <v>1</v>
                </pt>
                <pt idx="130">
                  <v>1</v>
                </pt>
                <pt idx="131">
                  <v>1</v>
                </pt>
                <pt idx="133">
                  <v>4</v>
                </pt>
                <pt idx="134">
                  <v>2</v>
                </pt>
                <pt idx="135">
                  <v>2</v>
                </pt>
                <pt idx="136">
                  <v>1</v>
                </pt>
                <pt idx="137">
                  <v>2</v>
                </pt>
                <pt idx="138">
                  <v>4</v>
                </pt>
                <pt idx="139">
                  <v>1</v>
                </pt>
                <pt idx="140">
                  <v>2</v>
                </pt>
                <pt idx="141">
                  <v>5</v>
                </pt>
                <pt idx="142">
                  <v>1</v>
                </pt>
                <pt idx="143">
                  <v>2</v>
                </pt>
                <pt idx="144">
                  <v>3</v>
                </pt>
                <pt idx="145">
                  <v>4</v>
                </pt>
                <pt idx="146">
                  <v>7</v>
                </pt>
                <pt idx="147">
                  <v>9</v>
                </pt>
                <pt idx="148">
                  <v>4</v>
                </pt>
                <pt idx="149">
                  <v>6</v>
                </pt>
                <pt idx="150">
                  <v>6</v>
                </pt>
                <pt idx="151">
                  <v>4</v>
                </pt>
                <pt idx="152">
                  <v>4</v>
                </pt>
                <pt idx="153">
                  <v>5</v>
                </pt>
                <pt idx="154">
                  <v>4</v>
                </pt>
                <pt idx="155">
                  <v>10</v>
                </pt>
                <pt idx="156">
                  <v>5</v>
                </pt>
                <pt idx="157">
                  <v>8</v>
                </pt>
                <pt idx="158">
                  <v>4</v>
                </pt>
                <pt idx="159">
                  <v>6</v>
                </pt>
                <pt idx="160">
                  <v>6</v>
                </pt>
                <pt idx="161">
                  <v>4</v>
                </pt>
                <pt idx="162">
                  <v>7</v>
                </pt>
                <pt idx="163">
                  <v>5</v>
                </pt>
                <pt idx="164">
                  <v>7</v>
                </pt>
                <pt idx="165">
                  <v>5</v>
                </pt>
                <pt idx="166">
                  <v>3</v>
                </pt>
                <pt idx="167">
                  <v>9</v>
                </pt>
                <pt idx="168">
                  <v>10</v>
                </pt>
                <pt idx="169">
                  <v>9</v>
                </pt>
                <pt idx="170">
                  <v>7</v>
                </pt>
                <pt idx="171">
                  <v>3</v>
                </pt>
                <pt idx="172">
                  <v>6</v>
                </pt>
                <pt idx="173">
                  <v>7</v>
                </pt>
                <pt idx="174">
                  <v>1</v>
                </pt>
                <pt idx="175">
                  <v>8</v>
                </pt>
                <pt idx="176">
                  <v>7</v>
                </pt>
                <pt idx="177">
                  <v>10</v>
                </pt>
                <pt idx="178">
                  <v>6</v>
                </pt>
                <pt idx="179">
                  <v>9</v>
                </pt>
                <pt idx="180">
                  <v>2</v>
                </pt>
                <pt idx="181">
                  <v>7</v>
                </pt>
                <pt idx="182">
                  <v>8</v>
                </pt>
                <pt idx="183">
                  <v>9</v>
                </pt>
                <pt idx="184">
                  <v>3</v>
                </pt>
                <pt idx="185">
                  <v>12</v>
                </pt>
                <pt idx="186">
                  <v>7</v>
                </pt>
                <pt idx="187">
                  <v>8</v>
                </pt>
                <pt idx="188">
                  <v>1</v>
                </pt>
                <pt idx="189">
                  <v>10</v>
                </pt>
                <pt idx="190">
                  <v>6</v>
                </pt>
                <pt idx="191">
                  <v>7</v>
                </pt>
                <pt idx="192">
                  <v>6</v>
                </pt>
                <pt idx="193">
                  <v>6</v>
                </pt>
                <pt idx="194">
                  <v>6</v>
                </pt>
                <pt idx="195">
                  <v>9</v>
                </pt>
                <pt idx="196">
                  <v>5</v>
                </pt>
                <pt idx="197">
                  <v>7</v>
                </pt>
                <pt idx="198">
                  <v>4</v>
                </pt>
                <pt idx="199">
                  <v>3</v>
                </pt>
                <pt idx="200">
                  <v>1</v>
                </pt>
                <pt idx="201">
                  <v>6</v>
                </pt>
                <pt idx="202">
                  <v>7</v>
                </pt>
                <pt idx="203">
                  <v>9</v>
                </pt>
                <pt idx="204">
                  <v>7</v>
                </pt>
                <pt idx="205">
                  <v>7</v>
                </pt>
                <pt idx="206">
                  <v>7</v>
                </pt>
                <pt idx="207">
                  <v>12</v>
                </pt>
                <pt idx="208">
                  <v>32</v>
                </pt>
                <pt idx="209">
                  <v>5</v>
                </pt>
                <pt idx="210">
                  <v>6</v>
                </pt>
                <pt idx="211">
                  <v>8</v>
                </pt>
                <pt idx="212">
                  <v>10</v>
                </pt>
                <pt idx="213">
                  <v>3</v>
                </pt>
                <pt idx="214">
                  <v>4</v>
                </pt>
                <pt idx="215">
                  <v>5</v>
                </pt>
                <pt idx="216">
                  <v>6</v>
                </pt>
                <pt idx="217">
                  <v>8</v>
                </pt>
                <pt idx="218">
                  <v>3</v>
                </pt>
                <pt idx="219">
                  <v>9</v>
                </pt>
                <pt idx="220">
                  <v>14</v>
                </pt>
                <pt idx="221">
                  <v>7</v>
                </pt>
                <pt idx="222">
                  <v>11</v>
                </pt>
                <pt idx="223">
                  <v>6</v>
                </pt>
                <pt idx="224">
                  <v>2</v>
                </pt>
                <pt idx="225">
                  <v>1</v>
                </pt>
                <pt idx="226">
                  <v>1</v>
                </pt>
                <pt idx="227">
                  <v>1</v>
                </pt>
                <pt idx="232">
                  <v>3</v>
                </pt>
                <pt idx="235">
                  <v>1</v>
                </pt>
                <pt idx="236">
                  <v>1</v>
                </pt>
                <pt idx="237">
                  <v>1</v>
                </pt>
                <pt idx="239">
                  <v>1</v>
                </pt>
                <pt idx="241">
                  <v>1</v>
                </pt>
                <pt idx="242">
                  <v>1</v>
                </pt>
                <pt idx="244">
                  <v>1</v>
                </pt>
                <pt idx="246">
                  <v>2</v>
                </pt>
                <pt idx="249">
                  <v>1</v>
                </pt>
                <pt idx="250">
                  <v>1</v>
                </pt>
                <pt idx="251">
                  <v>3</v>
                </pt>
                <pt idx="252">
                  <v>13</v>
                </pt>
                <pt idx="253">
                  <v>12</v>
                </pt>
                <pt idx="254">
                  <v>19</v>
                </pt>
                <pt idx="255">
                  <v>13</v>
                </pt>
                <pt idx="256">
                  <v>13</v>
                </pt>
                <pt idx="257">
                  <v>16</v>
                </pt>
                <pt idx="258">
                  <v>6</v>
                </pt>
                <pt idx="259">
                  <v>18</v>
                </pt>
                <pt idx="260">
                  <v>18</v>
                </pt>
                <pt idx="261">
                  <v>8</v>
                </pt>
                <pt idx="262">
                  <v>13</v>
                </pt>
                <pt idx="263">
                  <v>10</v>
                </pt>
                <pt idx="264">
                  <v>8</v>
                </pt>
                <pt idx="265">
                  <v>8</v>
                </pt>
                <pt idx="266">
                  <v>16</v>
                </pt>
                <pt idx="267">
                  <v>17</v>
                </pt>
                <pt idx="268">
                  <v>7</v>
                </pt>
                <pt idx="269">
                  <v>7</v>
                </pt>
                <pt idx="270">
                  <v>19</v>
                </pt>
                <pt idx="271">
                  <v>13</v>
                </pt>
                <pt idx="272">
                  <v>9</v>
                </pt>
                <pt idx="273">
                  <v>5</v>
                </pt>
                <pt idx="274">
                  <v>13</v>
                </pt>
                <pt idx="275">
                  <v>8</v>
                </pt>
                <pt idx="276">
                  <v>8</v>
                </pt>
                <pt idx="277">
                  <v>3</v>
                </pt>
                <pt idx="278">
                  <v>2</v>
                </pt>
                <pt idx="279">
                  <v>10</v>
                </pt>
                <pt idx="280">
                  <v>7</v>
                </pt>
                <pt idx="281">
                  <v>10</v>
                </pt>
                <pt idx="282">
                  <v>8</v>
                </pt>
                <pt idx="283">
                  <v>8</v>
                </pt>
                <pt idx="284">
                  <v>6</v>
                </pt>
                <pt idx="285">
                  <v>8</v>
                </pt>
                <pt idx="286">
                  <v>7</v>
                </pt>
                <pt idx="287">
                  <v>11</v>
                </pt>
                <pt idx="288">
                  <v>8</v>
                </pt>
                <pt idx="289">
                  <v>8</v>
                </pt>
                <pt idx="290">
                  <v>8</v>
                </pt>
                <pt idx="291">
                  <v>5</v>
                </pt>
                <pt idx="292">
                  <v>7</v>
                </pt>
                <pt idx="293">
                  <v>4</v>
                </pt>
                <pt idx="294">
                  <v>11</v>
                </pt>
                <pt idx="295">
                  <v>4</v>
                </pt>
                <pt idx="296">
                  <v>9</v>
                </pt>
                <pt idx="297">
                  <v>7</v>
                </pt>
                <pt idx="298">
                  <v>2</v>
                </pt>
                <pt idx="299">
                  <v>8</v>
                </pt>
                <pt idx="300">
                  <v>7</v>
                </pt>
                <pt idx="301">
                  <v>11</v>
                </pt>
                <pt idx="302">
                  <v>4</v>
                </pt>
                <pt idx="303">
                  <v>5</v>
                </pt>
                <pt idx="304">
                  <v>8</v>
                </pt>
                <pt idx="305">
                  <v>5</v>
                </pt>
                <pt idx="306">
                  <v>5</v>
                </pt>
                <pt idx="307">
                  <v>10</v>
                </pt>
                <pt idx="308">
                  <v>6</v>
                </pt>
                <pt idx="309">
                  <v>9</v>
                </pt>
                <pt idx="310">
                  <v>11</v>
                </pt>
                <pt idx="311">
                  <v>9</v>
                </pt>
                <pt idx="312">
                  <v>9</v>
                </pt>
                <pt idx="313">
                  <v>4</v>
                </pt>
                <pt idx="314">
                  <v>8</v>
                </pt>
                <pt idx="315">
                  <v>8</v>
                </pt>
                <pt idx="316">
                  <v>6</v>
                </pt>
                <pt idx="317">
                  <v>6</v>
                </pt>
                <pt idx="318">
                  <v>6</v>
                </pt>
                <pt idx="319">
                  <v>9</v>
                </pt>
                <pt idx="320">
                  <v>6</v>
                </pt>
                <pt idx="321">
                  <v>7</v>
                </pt>
                <pt idx="322">
                  <v>7</v>
                </pt>
                <pt idx="323">
                  <v>8</v>
                </pt>
                <pt idx="324">
                  <v>11</v>
                </pt>
                <pt idx="325">
                  <v>5</v>
                </pt>
                <pt idx="326">
                  <v>3</v>
                </pt>
                <pt idx="327">
                  <v>5</v>
                </pt>
                <pt idx="328">
                  <v>10</v>
                </pt>
                <pt idx="329">
                  <v>6</v>
                </pt>
                <pt idx="330">
                  <v>6</v>
                </pt>
                <pt idx="331">
                  <v>5</v>
                </pt>
                <pt idx="332">
                  <v>5</v>
                </pt>
                <pt idx="333">
                  <v>4</v>
                </pt>
                <pt idx="334">
                  <v>8</v>
                </pt>
                <pt idx="335">
                  <v>15</v>
                </pt>
                <pt idx="336">
                  <v>16</v>
                </pt>
                <pt idx="337">
                  <v>12</v>
                </pt>
                <pt idx="338">
                  <v>4</v>
                </pt>
                <pt idx="339">
                  <v>16</v>
                </pt>
                <pt idx="340">
                  <v>10</v>
                </pt>
                <pt idx="341">
                  <v>9</v>
                </pt>
                <pt idx="342">
                  <v>13</v>
                </pt>
                <pt idx="343">
                  <v>11</v>
                </pt>
                <pt idx="344">
                  <v>3</v>
                </pt>
              </numCache>
            </numRef>
          </val>
        </ser>
        <ser>
          <idx val="2"/>
          <order val="2"/>
          <tx>
            <strRef>
              <f>'상품별-피벗'!$F$3:$F$4</f>
              <strCache>
                <ptCount val="1"/>
                <pt idx="0">
                  <v>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'상품별-피벗'!$B$5:$C$350</f>
            </multiLvlStrRef>
          </cat>
          <val>
            <numRef>
              <f>'상품별-피벗'!$F$5:$F$350</f>
              <numCache>
                <formatCode>General</formatCode>
                <ptCount val="345"/>
                <pt idx="13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325711736"/>
        <axId val="1325712056"/>
      </barChart>
      <catAx>
        <axId val="1325711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325712056"/>
        <crosses val="autoZero"/>
        <auto val="1"/>
        <lblAlgn val="ctr"/>
        <lblOffset val="100"/>
        <noMultiLvlLbl val="0"/>
      </catAx>
      <valAx>
        <axId val="132571205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325711736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[02.유즈_이지어드민_데이터 정리_헤더변경 ★ - 복사본.xlsx]상품별-피벗!피벗 테이블3</name>
    <fmtId val="1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4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440" b="1" i="1" kern="1200" spc="0" baseline="0">
                <a:solidFill>
                  <a:srgbClr val="595959"/>
                </a:solidFill>
              </a:rPr>
              <a:t>상품별 판매</a:t>
            </a:r>
            <a:r>
              <a:rPr lang="ko-KR" altLang="en-US" sz="1440" b="1" i="1" kern="1200" spc="0" baseline="0">
                <a:solidFill>
                  <a:srgbClr val="595959"/>
                </a:solidFill>
              </a:rPr>
              <a:t>액</a:t>
            </a:r>
            <a:r>
              <a:rPr lang="en-US" altLang="ko-KR" sz="1440" b="1" i="1" kern="1200" spc="0" baseline="0">
                <a:solidFill>
                  <a:srgbClr val="595959"/>
                </a:solidFill>
              </a:rPr>
              <a:t xml:space="preserve">(CS, </a:t>
            </a:r>
            <a:r>
              <a:rPr lang="ko-KR" altLang="en-US" sz="1440" b="1" i="1" kern="1200" spc="0" baseline="0">
                <a:solidFill>
                  <a:srgbClr val="595959"/>
                </a:solidFill>
              </a:rPr>
              <a:t>밀리밀</a:t>
            </a:r>
            <a:r>
              <a:rPr lang="ko-KR" altLang="ko-KR" sz="1440" b="1" i="1" kern="1200" spc="0" baseline="0">
                <a:solidFill>
                  <a:srgbClr val="595959"/>
                </a:solidFill>
              </a:rPr>
              <a:t>건 제외</a:t>
            </a:r>
            <a:r>
              <a:rPr lang="en-US" altLang="ko-KR" sz="1440" b="1" i="1" kern="1200" spc="0" baseline="0">
                <a:solidFill>
                  <a:srgbClr val="595959"/>
                </a:solidFill>
              </a:rPr>
              <a:t>)</a:t>
            </a:r>
            <a:endParaRPr lang="ko-KR" altLang="ko-KR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3"/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'상품별-피벗'!$L$3:$L$4</f>
              <strCache>
                <ptCount val="1"/>
                <pt idx="0">
                  <v>고체향수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'상품별-피벗'!$J$5:$K$350</f>
            </multiLvlStrRef>
          </cat>
          <val>
            <numRef>
              <f>'상품별-피벗'!$L$5:$L$350</f>
              <numCache>
                <formatCode>General</formatCode>
                <ptCount val="345"/>
                <pt idx="0">
                  <v>0</v>
                </pt>
                <pt idx="1">
                  <v>0</v>
                </pt>
                <pt idx="2">
                  <v>17847200</v>
                </pt>
                <pt idx="3">
                  <v>46503600</v>
                </pt>
                <pt idx="4">
                  <v>17340000</v>
                </pt>
                <pt idx="5">
                  <v>16170000</v>
                </pt>
                <pt idx="6">
                  <v>14535200</v>
                </pt>
                <pt idx="7">
                  <v>20498800</v>
                </pt>
                <pt idx="8">
                  <v>19742800</v>
                </pt>
                <pt idx="9">
                  <v>24372800</v>
                </pt>
                <pt idx="10">
                  <v>19028000</v>
                </pt>
                <pt idx="11">
                  <v>21705200</v>
                </pt>
                <pt idx="12">
                  <v>18737600</v>
                </pt>
                <pt idx="13">
                  <v>0</v>
                </pt>
                <pt idx="14">
                  <v>0</v>
                </pt>
                <pt idx="15">
                  <v>76000</v>
                </pt>
                <pt idx="16">
                  <v>38000</v>
                </pt>
                <pt idx="17">
                  <v>259000</v>
                </pt>
                <pt idx="18">
                  <v>480000</v>
                </pt>
                <pt idx="19">
                  <v>228000</v>
                </pt>
                <pt idx="20">
                  <v>107000</v>
                </pt>
                <pt idx="21">
                  <v>190000</v>
                </pt>
                <pt idx="22">
                  <v>183000</v>
                </pt>
                <pt idx="23">
                  <v>76000</v>
                </pt>
                <pt idx="24">
                  <v>145000</v>
                </pt>
                <pt idx="25">
                  <v>114000</v>
                </pt>
                <pt idx="26">
                  <v>1019000</v>
                </pt>
                <pt idx="27">
                  <v>456000</v>
                </pt>
                <pt idx="28">
                  <v>411000</v>
                </pt>
                <pt idx="29">
                  <v>494000</v>
                </pt>
                <pt idx="30">
                  <v>874000</v>
                </pt>
                <pt idx="31">
                  <v>798000</v>
                </pt>
                <pt idx="32">
                  <v>960000</v>
                </pt>
                <pt idx="33">
                  <v>597200</v>
                </pt>
                <pt idx="34">
                  <v>489600</v>
                </pt>
                <pt idx="35">
                  <v>1086800</v>
                </pt>
                <pt idx="36">
                  <v>770000</v>
                </pt>
                <pt idx="37">
                  <v>741200</v>
                </pt>
                <pt idx="38">
                  <v>712400</v>
                </pt>
                <pt idx="39">
                  <v>927600</v>
                </pt>
                <pt idx="40">
                  <v>1785600</v>
                </pt>
                <pt idx="41">
                  <v>1893200</v>
                </pt>
                <pt idx="42">
                  <v>2840400</v>
                </pt>
                <pt idx="43">
                  <v>3355800</v>
                </pt>
                <pt idx="44">
                  <v>2573600</v>
                </pt>
                <pt idx="45">
                  <v>3057000</v>
                </pt>
                <pt idx="46">
                  <v>3116000</v>
                </pt>
                <pt idx="47">
                  <v>3193000</v>
                </pt>
                <pt idx="48">
                  <v>2612000</v>
                </pt>
                <pt idx="49">
                  <v>2346000</v>
                </pt>
                <pt idx="50">
                  <v>2850000</v>
                </pt>
                <pt idx="51">
                  <v>2006000</v>
                </pt>
                <pt idx="52">
                  <v>2173000</v>
                </pt>
                <pt idx="53">
                  <v>1938000</v>
                </pt>
                <pt idx="54">
                  <v>1190000</v>
                </pt>
                <pt idx="55">
                  <v>714000</v>
                </pt>
                <pt idx="56">
                  <v>238000</v>
                </pt>
                <pt idx="57">
                  <v>510000</v>
                </pt>
                <pt idx="58">
                  <v>1054000</v>
                </pt>
                <pt idx="59">
                  <v>1589000</v>
                </pt>
                <pt idx="60">
                  <v>1085000</v>
                </pt>
                <pt idx="61">
                  <v>1459000</v>
                </pt>
                <pt idx="62">
                  <v>1020000</v>
                </pt>
                <pt idx="63">
                  <v>1224000</v>
                </pt>
                <pt idx="64">
                  <v>2312000</v>
                </pt>
                <pt idx="65">
                  <v>1762000</v>
                </pt>
                <pt idx="66">
                  <v>2881000</v>
                </pt>
                <pt idx="67">
                  <v>3975000</v>
                </pt>
                <pt idx="68">
                  <v>1734000</v>
                </pt>
                <pt idx="69">
                  <v>3026000</v>
                </pt>
                <pt idx="70">
                  <v>1428000</v>
                </pt>
                <pt idx="71">
                  <v>1564000</v>
                </pt>
                <pt idx="72">
                  <v>2408200</v>
                </pt>
                <pt idx="73">
                  <v>3642000</v>
                </pt>
                <pt idx="74">
                  <v>3942000</v>
                </pt>
                <pt idx="75">
                  <v>4371800</v>
                </pt>
                <pt idx="76">
                  <v>4677600</v>
                </pt>
                <pt idx="77">
                  <v>4103000</v>
                </pt>
                <pt idx="78">
                  <v>5781800</v>
                </pt>
                <pt idx="79">
                  <v>4254600</v>
                </pt>
                <pt idx="80">
                  <v>4730400</v>
                </pt>
                <pt idx="81">
                  <v>3867800</v>
                </pt>
                <pt idx="82">
                  <v>2554000</v>
                </pt>
                <pt idx="83">
                  <v>2340400</v>
                </pt>
                <pt idx="84">
                  <v>2532400</v>
                </pt>
                <pt idx="85">
                  <v>2467200</v>
                </pt>
                <pt idx="86">
                  <v>3184800</v>
                </pt>
                <pt idx="87">
                  <v>3320800</v>
                </pt>
                <pt idx="88">
                  <v>2918400</v>
                </pt>
                <pt idx="89">
                  <v>2600400</v>
                </pt>
                <pt idx="90">
                  <v>2934000</v>
                </pt>
                <pt idx="91">
                  <v>2832000</v>
                </pt>
                <pt idx="92">
                  <v>3441200</v>
                </pt>
                <pt idx="93">
                  <v>3320800</v>
                </pt>
                <pt idx="94">
                  <v>2705200</v>
                </pt>
                <pt idx="95">
                  <v>2980800</v>
                </pt>
                <pt idx="96">
                  <v>2405600</v>
                </pt>
                <pt idx="97">
                  <v>2056400</v>
                </pt>
                <pt idx="98">
                  <v>1719200</v>
                </pt>
                <pt idx="99">
                  <v>1830400</v>
                </pt>
                <pt idx="100">
                  <v>2331200</v>
                </pt>
                <pt idx="101">
                  <v>2872400</v>
                </pt>
                <pt idx="102">
                  <v>3345600</v>
                </pt>
                <pt idx="103">
                  <v>3144400</v>
                </pt>
                <pt idx="104">
                  <v>2541600</v>
                </pt>
                <pt idx="105">
                  <v>2708800</v>
                </pt>
                <pt idx="106">
                  <v>3673600</v>
                </pt>
                <pt idx="107">
                  <v>3005600</v>
                </pt>
                <pt idx="108">
                  <v>2714400</v>
                </pt>
                <pt idx="109">
                  <v>3422800</v>
                </pt>
                <pt idx="110">
                  <v>3642400</v>
                </pt>
                <pt idx="111">
                  <v>3166400</v>
                </pt>
                <pt idx="112">
                  <v>3017600</v>
                </pt>
                <pt idx="113">
                  <v>3760000</v>
                </pt>
                <pt idx="114">
                  <v>3620400</v>
                </pt>
                <pt idx="115">
                  <v>4177200</v>
                </pt>
                <pt idx="116">
                  <v>4000800</v>
                </pt>
                <pt idx="117">
                  <v>3454000</v>
                </pt>
                <pt idx="118">
                  <v>3744400</v>
                </pt>
                <pt idx="119">
                  <v>3042400</v>
                </pt>
                <pt idx="120">
                  <v>3130800</v>
                </pt>
                <pt idx="121">
                  <v>3094800</v>
                </pt>
                <pt idx="122">
                  <v>3098400</v>
                </pt>
                <pt idx="123">
                  <v>3497200</v>
                </pt>
                <pt idx="124">
                  <v>2992800</v>
                </pt>
                <pt idx="125">
                  <v>3454000</v>
                </pt>
                <pt idx="126">
                  <v>2940400</v>
                </pt>
                <pt idx="127">
                  <v>3284000</v>
                </pt>
                <pt idx="128">
                  <v>3610400</v>
                </pt>
                <pt idx="129">
                  <v>3902400</v>
                </pt>
                <pt idx="130">
                  <v>2965200</v>
                </pt>
                <pt idx="131">
                  <v>3463200</v>
                </pt>
                <pt idx="132">
                  <v>3568800</v>
                </pt>
                <pt idx="133">
                  <v>3426400</v>
                </pt>
                <pt idx="134">
                  <v>3880400</v>
                </pt>
                <pt idx="135">
                  <v>3546800</v>
                </pt>
                <pt idx="136">
                  <v>3794000</v>
                </pt>
                <pt idx="137">
                  <v>4122000</v>
                </pt>
                <pt idx="138">
                  <v>4174400</v>
                </pt>
                <pt idx="139">
                  <v>4158800</v>
                </pt>
                <pt idx="140">
                  <v>5454400</v>
                </pt>
                <pt idx="141">
                  <v>7109200</v>
                </pt>
                <pt idx="142">
                  <v>6577200</v>
                </pt>
                <pt idx="143">
                  <v>9117200</v>
                </pt>
                <pt idx="144">
                  <v>13151600</v>
                </pt>
                <pt idx="145">
                  <v>13670800</v>
                </pt>
                <pt idx="146">
                  <v>12776000</v>
                </pt>
                <pt idx="147">
                  <v>13314400</v>
                </pt>
                <pt idx="148">
                  <v>12409200</v>
                </pt>
                <pt idx="149">
                  <v>11008800</v>
                </pt>
                <pt idx="150">
                  <v>10740400</v>
                </pt>
                <pt idx="151">
                  <v>10940000</v>
                </pt>
                <pt idx="152">
                  <v>7860800</v>
                </pt>
                <pt idx="153">
                  <v>11018000</v>
                </pt>
                <pt idx="154">
                  <v>11122800</v>
                </pt>
                <pt idx="155">
                  <v>13014800</v>
                </pt>
                <pt idx="156">
                  <v>10850800</v>
                </pt>
                <pt idx="157">
                  <v>11487600</v>
                </pt>
                <pt idx="158">
                  <v>12523200</v>
                </pt>
                <pt idx="159">
                  <v>11467600</v>
                </pt>
                <pt idx="160">
                  <v>10786400</v>
                </pt>
                <pt idx="161">
                  <v>13133200</v>
                </pt>
                <pt idx="162">
                  <v>12369600</v>
                </pt>
                <pt idx="163">
                  <v>11666800</v>
                </pt>
                <pt idx="164">
                  <v>11926800</v>
                </pt>
                <pt idx="165">
                  <v>11463600</v>
                </pt>
                <pt idx="166">
                  <v>12679200</v>
                </pt>
                <pt idx="167">
                  <v>12152800</v>
                </pt>
                <pt idx="168">
                  <v>12632400</v>
                </pt>
                <pt idx="169">
                  <v>12619600</v>
                </pt>
                <pt idx="170">
                  <v>12558000</v>
                </pt>
                <pt idx="171">
                  <v>11772400</v>
                </pt>
                <pt idx="172">
                  <v>13670000</v>
                </pt>
                <pt idx="173">
                  <v>11916800</v>
                </pt>
                <pt idx="174">
                  <v>10943600</v>
                </pt>
                <pt idx="175">
                  <v>12857600</v>
                </pt>
                <pt idx="176">
                  <v>14926000</v>
                </pt>
                <pt idx="177">
                  <v>14119200</v>
                </pt>
                <pt idx="178">
                  <v>15691200</v>
                </pt>
                <pt idx="179">
                  <v>14292800</v>
                </pt>
                <pt idx="180">
                  <v>13392400</v>
                </pt>
                <pt idx="181">
                  <v>13591600</v>
                </pt>
                <pt idx="182">
                  <v>15517600</v>
                </pt>
                <pt idx="183">
                  <v>14477600</v>
                </pt>
                <pt idx="184">
                  <v>12174000</v>
                </pt>
                <pt idx="185">
                  <v>14214800</v>
                </pt>
                <pt idx="186">
                  <v>16968400</v>
                </pt>
                <pt idx="187">
                  <v>14781600</v>
                </pt>
                <pt idx="188">
                  <v>13962000</v>
                </pt>
                <pt idx="189">
                  <v>16770000</v>
                </pt>
                <pt idx="190">
                  <v>11588800</v>
                </pt>
                <pt idx="191">
                  <v>9788400</v>
                </pt>
                <pt idx="192">
                  <v>12994400</v>
                </pt>
                <pt idx="193">
                  <v>11182400</v>
                </pt>
                <pt idx="194">
                  <v>11262400</v>
                </pt>
                <pt idx="195">
                  <v>11980800</v>
                </pt>
                <pt idx="196">
                  <v>13922400</v>
                </pt>
                <pt idx="197">
                  <v>14134400</v>
                </pt>
                <pt idx="198">
                  <v>8737200</v>
                </pt>
                <pt idx="199">
                  <v>8433200</v>
                </pt>
                <pt idx="200">
                  <v>8381600</v>
                </pt>
                <pt idx="201">
                  <v>7935200</v>
                </pt>
                <pt idx="202">
                  <v>8898400</v>
                </pt>
                <pt idx="203">
                  <v>10333200</v>
                </pt>
                <pt idx="204">
                  <v>12019200</v>
                </pt>
                <pt idx="205">
                  <v>9068000</v>
                </pt>
                <pt idx="206">
                  <v>12468800</v>
                </pt>
                <pt idx="207">
                  <v>15013200</v>
                </pt>
                <pt idx="208">
                  <v>52413200</v>
                </pt>
                <pt idx="209">
                  <v>10880400</v>
                </pt>
                <pt idx="210">
                  <v>13197400</v>
                </pt>
                <pt idx="211">
                  <v>14063400</v>
                </pt>
                <pt idx="212">
                  <v>22741200</v>
                </pt>
                <pt idx="213">
                  <v>11016600</v>
                </pt>
                <pt idx="214">
                  <v>10546800</v>
                </pt>
                <pt idx="215">
                  <v>10762800</v>
                </pt>
                <pt idx="216">
                  <v>11698000</v>
                </pt>
                <pt idx="217">
                  <v>16383400</v>
                </pt>
                <pt idx="218">
                  <v>15713200</v>
                </pt>
                <pt idx="219">
                  <v>19361800</v>
                </pt>
                <pt idx="220">
                  <v>20713800</v>
                </pt>
                <pt idx="221">
                  <v>18867400</v>
                </pt>
                <pt idx="222">
                  <v>20443600</v>
                </pt>
                <pt idx="223">
                  <v>17773200</v>
                </pt>
                <pt idx="224">
                  <v>21077800</v>
                </pt>
                <pt idx="225">
                  <v>18225000</v>
                </pt>
                <pt idx="226">
                  <v>12034000</v>
                </pt>
                <pt idx="227">
                  <v>12603400</v>
                </pt>
                <pt idx="228">
                  <v>18672800</v>
                </pt>
                <pt idx="229">
                  <v>18820400</v>
                </pt>
                <pt idx="230">
                  <v>29531000</v>
                </pt>
                <pt idx="231">
                  <v>33493600</v>
                </pt>
                <pt idx="232">
                  <v>30174800</v>
                </pt>
                <pt idx="233">
                  <v>19059600</v>
                </pt>
                <pt idx="234">
                  <v>19231600</v>
                </pt>
                <pt idx="235">
                  <v>19884800</v>
                </pt>
                <pt idx="236">
                  <v>18434800</v>
                </pt>
                <pt idx="237">
                  <v>#N/A</v>
                </pt>
                <pt idx="238">
                  <v>#N/A</v>
                </pt>
                <pt idx="239">
                  <v>#N/A</v>
                </pt>
                <pt idx="240">
                  <v>#N/A</v>
                </pt>
                <pt idx="241">
                  <v>#N/A</v>
                </pt>
                <pt idx="242">
                  <v>#N/A</v>
                </pt>
                <pt idx="243">
                  <v>#N/A</v>
                </pt>
                <pt idx="244">
                  <v>#N/A</v>
                </pt>
                <pt idx="245">
                  <v>#N/A</v>
                </pt>
                <pt idx="246">
                  <v>#N/A</v>
                </pt>
                <pt idx="247">
                  <v>#N/A</v>
                </pt>
                <pt idx="248">
                  <v>#N/A</v>
                </pt>
                <pt idx="249">
                  <v>#N/A</v>
                </pt>
                <pt idx="250">
                  <v>#N/A</v>
                </pt>
                <pt idx="251">
                  <v>#N/A</v>
                </pt>
                <pt idx="252">
                  <v>#N/A</v>
                </pt>
                <pt idx="253">
                  <v>#N/A</v>
                </pt>
                <pt idx="254">
                  <v>#N/A</v>
                </pt>
                <pt idx="255">
                  <v>#N/A</v>
                </pt>
                <pt idx="256">
                  <v>#N/A</v>
                </pt>
                <pt idx="257">
                  <v>#N/A</v>
                </pt>
                <pt idx="258">
                  <v>#N/A</v>
                </pt>
                <pt idx="259">
                  <v>#N/A</v>
                </pt>
                <pt idx="260">
                  <v>#N/A</v>
                </pt>
                <pt idx="261">
                  <v>#N/A</v>
                </pt>
                <pt idx="262">
                  <v>#N/A</v>
                </pt>
                <pt idx="263">
                  <v>#N/A</v>
                </pt>
                <pt idx="264">
                  <v>#N/A</v>
                </pt>
                <pt idx="265">
                  <v>#N/A</v>
                </pt>
                <pt idx="266">
                  <v>#N/A</v>
                </pt>
                <pt idx="267">
                  <v>#N/A</v>
                </pt>
                <pt idx="268">
                  <v>#N/A</v>
                </pt>
                <pt idx="269">
                  <v>#N/A</v>
                </pt>
                <pt idx="270">
                  <v>#N/A</v>
                </pt>
                <pt idx="271">
                  <v>#N/A</v>
                </pt>
                <pt idx="272">
                  <v>#N/A</v>
                </pt>
                <pt idx="273">
                  <v>#N/A</v>
                </pt>
                <pt idx="274">
                  <v>#N/A</v>
                </pt>
                <pt idx="275">
                  <v>#N/A</v>
                </pt>
                <pt idx="276">
                  <v>#N/A</v>
                </pt>
                <pt idx="277">
                  <v>19028000</v>
                </pt>
                <pt idx="278">
                  <v>21705200</v>
                </pt>
                <pt idx="279">
                  <v>18737600</v>
                </pt>
                <pt idx="280">
                  <v>17906000</v>
                </pt>
                <pt idx="281">
                  <v>20840800</v>
                </pt>
                <pt idx="282">
                  <v>20206000</v>
                </pt>
                <pt idx="283">
                  <v>14475200</v>
                </pt>
                <pt idx="284">
                  <v>12223200</v>
                </pt>
                <pt idx="285">
                  <v>14556000</v>
                </pt>
                <pt idx="286">
                  <v>12594400</v>
                </pt>
                <pt idx="287">
                  <v>14254800</v>
                </pt>
                <pt idx="288">
                  <v>16806400</v>
                </pt>
                <pt idx="289">
                  <v>33068000</v>
                </pt>
                <pt idx="290">
                  <v>16392800</v>
                </pt>
                <pt idx="291">
                  <v>16166000</v>
                </pt>
                <pt idx="292">
                  <v>16431200</v>
                </pt>
                <pt idx="293">
                  <v>16591200</v>
                </pt>
                <pt idx="294">
                  <v>14876800</v>
                </pt>
                <pt idx="295">
                  <v>12946400</v>
                </pt>
                <pt idx="296">
                  <v>12226800</v>
                </pt>
                <pt idx="297">
                  <v>11803200</v>
                </pt>
                <pt idx="298">
                  <v>12049600</v>
                </pt>
                <pt idx="299">
                  <v>16638000</v>
                </pt>
                <pt idx="300">
                  <v>16810800</v>
                </pt>
                <pt idx="301">
                  <v>14205200</v>
                </pt>
                <pt idx="302">
                  <v>13717200</v>
                </pt>
                <pt idx="303">
                  <v>11378800</v>
                </pt>
                <pt idx="304">
                  <v>16227200</v>
                </pt>
                <pt idx="305">
                  <v>12804800</v>
                </pt>
                <pt idx="306">
                  <v>17999600</v>
                </pt>
                <pt idx="307">
                  <v>17779200</v>
                </pt>
                <pt idx="308">
                  <v>14929200</v>
                </pt>
                <pt idx="309">
                  <v>15292000</v>
                </pt>
                <pt idx="310">
                  <v>17366800</v>
                </pt>
                <pt idx="311">
                  <v>16174000</v>
                </pt>
                <pt idx="312">
                  <v>16616000</v>
                </pt>
                <pt idx="313">
                  <v>18146800</v>
                </pt>
                <pt idx="314">
                  <v>18484800</v>
                </pt>
                <pt idx="315">
                  <v>18044800</v>
                </pt>
                <pt idx="316">
                  <v>16606800</v>
                </pt>
                <pt idx="317">
                  <v>15860800</v>
                </pt>
                <pt idx="318">
                  <v>14292400</v>
                </pt>
                <pt idx="319">
                  <v>17821600</v>
                </pt>
                <pt idx="320">
                  <v>17405200</v>
                </pt>
                <pt idx="321">
                  <v>17226000</v>
                </pt>
                <pt idx="322">
                  <v>17098400</v>
                </pt>
                <pt idx="323">
                  <v>16464400</v>
                </pt>
                <pt idx="324">
                  <v>16908000</v>
                </pt>
                <pt idx="325">
                  <v>13934800</v>
                </pt>
                <pt idx="326">
                  <v>13826400</v>
                </pt>
                <pt idx="327">
                  <v>16562400</v>
                </pt>
                <pt idx="328">
                  <v>18268800</v>
                </pt>
                <pt idx="329">
                  <v>15691600</v>
                </pt>
                <pt idx="330">
                  <v>16938400</v>
                </pt>
                <pt idx="331">
                  <v>15935200</v>
                </pt>
                <pt idx="332">
                  <v>14614800</v>
                </pt>
                <pt idx="333">
                  <v>15102800</v>
                </pt>
                <pt idx="334">
                  <v>23114800</v>
                </pt>
                <pt idx="335">
                  <v>22434800</v>
                </pt>
                <pt idx="336">
                  <v>16801600</v>
                </pt>
                <pt idx="337">
                  <v>16091200</v>
                </pt>
                <pt idx="338">
                  <v>17965600</v>
                </pt>
                <pt idx="339">
                  <v>17401600</v>
                </pt>
                <pt idx="340">
                  <v>14592000</v>
                </pt>
                <pt idx="341">
                  <v>17473200</v>
                </pt>
                <pt idx="342">
                  <v>18744000</v>
                </pt>
                <pt idx="343">
                  <v>16705200</v>
                </pt>
                <pt idx="344">
                  <v>18188000</v>
                </pt>
              </numCache>
            </numRef>
          </val>
        </ser>
        <ser>
          <idx val="1"/>
          <order val="1"/>
          <tx>
            <strRef>
              <f>'상품별-피벗'!$M$3:$M$4</f>
              <strCache>
                <ptCount val="1"/>
                <pt idx="0">
                  <v>쇼핑백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'상품별-피벗'!$J$5:$K$350</f>
            </multiLvlStrRef>
          </cat>
          <val>
            <numRef>
              <f>'상품별-피벗'!$M$5:$M$350</f>
              <numCache>
                <formatCode>General</formatCode>
                <ptCount val="345"/>
                <pt idx="0">
                  <v>0</v>
                </pt>
                <pt idx="1">
                  <v>0</v>
                </pt>
                <pt idx="6">
                  <v>22000</v>
                </pt>
                <pt idx="7">
                  <v>10000</v>
                </pt>
                <pt idx="8">
                  <v>18000</v>
                </pt>
                <pt idx="9">
                  <v>14000</v>
                </pt>
                <pt idx="10">
                  <v>6000</v>
                </pt>
                <pt idx="11">
                  <v>4000</v>
                </pt>
                <pt idx="12">
                  <v>20000</v>
                </pt>
                <pt idx="13">
                  <v>0</v>
                </pt>
                <pt idx="14">
                  <v>0</v>
                </pt>
                <pt idx="24">
                  <v>2000</v>
                </pt>
                <pt idx="43">
                  <v>4000</v>
                </pt>
                <pt idx="45">
                  <v>4000</v>
                </pt>
                <pt idx="47">
                  <v>2000</v>
                </pt>
                <pt idx="48">
                  <v>4000</v>
                </pt>
                <pt idx="49">
                  <v>2000</v>
                </pt>
                <pt idx="50">
                  <v>4000</v>
                </pt>
                <pt idx="51">
                  <v>2000</v>
                </pt>
                <pt idx="52">
                  <v>2000</v>
                </pt>
                <pt idx="54">
                  <v>2000</v>
                </pt>
                <pt idx="55">
                  <v>2000</v>
                </pt>
                <pt idx="57">
                  <v>2000</v>
                </pt>
                <pt idx="60">
                  <v>2000</v>
                </pt>
                <pt idx="62">
                  <v>2000</v>
                </pt>
                <pt idx="63">
                  <v>2000</v>
                </pt>
                <pt idx="66">
                  <v>6000</v>
                </pt>
                <pt idx="67">
                  <v>2000</v>
                </pt>
                <pt idx="69">
                  <v>4000</v>
                </pt>
                <pt idx="71">
                  <v>2000</v>
                </pt>
                <pt idx="73">
                  <v>2000</v>
                </pt>
                <pt idx="74">
                  <v>2000</v>
                </pt>
                <pt idx="75">
                  <v>6000</v>
                </pt>
                <pt idx="76">
                  <v>4000</v>
                </pt>
                <pt idx="77">
                  <v>4000</v>
                </pt>
                <pt idx="78">
                  <v>2000</v>
                </pt>
                <pt idx="79">
                  <v>2000</v>
                </pt>
                <pt idx="80">
                  <v>4000</v>
                </pt>
                <pt idx="81">
                  <v>2000</v>
                </pt>
                <pt idx="85">
                  <v>2000</v>
                </pt>
                <pt idx="87">
                  <v>2000</v>
                </pt>
                <pt idx="88">
                  <v>6000</v>
                </pt>
                <pt idx="89">
                  <v>4000</v>
                </pt>
                <pt idx="90">
                  <v>2000</v>
                </pt>
                <pt idx="93">
                  <v>2000</v>
                </pt>
                <pt idx="94">
                  <v>4000</v>
                </pt>
                <pt idx="95">
                  <v>4000</v>
                </pt>
                <pt idx="97">
                  <v>6000</v>
                </pt>
                <pt idx="98">
                  <v>4000</v>
                </pt>
                <pt idx="99">
                  <v>4000</v>
                </pt>
                <pt idx="100">
                  <v>10000</v>
                </pt>
                <pt idx="101">
                  <v>2000</v>
                </pt>
                <pt idx="102">
                  <v>2000</v>
                </pt>
                <pt idx="103">
                  <v>2000</v>
                </pt>
                <pt idx="104">
                  <v>6000</v>
                </pt>
                <pt idx="105">
                  <v>4000</v>
                </pt>
                <pt idx="106">
                  <v>2000</v>
                </pt>
                <pt idx="107">
                  <v>4000</v>
                </pt>
                <pt idx="108">
                  <v>6000</v>
                </pt>
                <pt idx="109">
                  <v>2000</v>
                </pt>
                <pt idx="110">
                  <v>2000</v>
                </pt>
                <pt idx="112">
                  <v>2000</v>
                </pt>
                <pt idx="113">
                  <v>4000</v>
                </pt>
                <pt idx="114">
                  <v>2000</v>
                </pt>
                <pt idx="115">
                  <v>4000</v>
                </pt>
                <pt idx="116">
                  <v>6000</v>
                </pt>
                <pt idx="117">
                  <v>4000</v>
                </pt>
                <pt idx="119">
                  <v>4000</v>
                </pt>
                <pt idx="120">
                  <v>2000</v>
                </pt>
                <pt idx="121">
                  <v>8000</v>
                </pt>
                <pt idx="122">
                  <v>14000</v>
                </pt>
                <pt idx="123">
                  <v>4000</v>
                </pt>
                <pt idx="124">
                  <v>2000</v>
                </pt>
                <pt idx="125">
                  <v>6000</v>
                </pt>
                <pt idx="126">
                  <v>4000</v>
                </pt>
                <pt idx="127">
                  <v>6000</v>
                </pt>
                <pt idx="128">
                  <v>6000</v>
                </pt>
                <pt idx="129">
                  <v>2000</v>
                </pt>
                <pt idx="130">
                  <v>2000</v>
                </pt>
                <pt idx="131">
                  <v>2000</v>
                </pt>
                <pt idx="133">
                  <v>8000</v>
                </pt>
                <pt idx="134">
                  <v>4000</v>
                </pt>
                <pt idx="135">
                  <v>4000</v>
                </pt>
                <pt idx="136">
                  <v>2000</v>
                </pt>
                <pt idx="137">
                  <v>4000</v>
                </pt>
                <pt idx="138">
                  <v>8000</v>
                </pt>
                <pt idx="139">
                  <v>2000</v>
                </pt>
                <pt idx="140">
                  <v>4000</v>
                </pt>
                <pt idx="141">
                  <v>10000</v>
                </pt>
                <pt idx="142">
                  <v>2000</v>
                </pt>
                <pt idx="143">
                  <v>4000</v>
                </pt>
                <pt idx="144">
                  <v>6000</v>
                </pt>
                <pt idx="145">
                  <v>8000</v>
                </pt>
                <pt idx="146">
                  <v>14000</v>
                </pt>
                <pt idx="147">
                  <v>18000</v>
                </pt>
                <pt idx="148">
                  <v>8000</v>
                </pt>
                <pt idx="149">
                  <v>12000</v>
                </pt>
                <pt idx="150">
                  <v>12000</v>
                </pt>
                <pt idx="151">
                  <v>8000</v>
                </pt>
                <pt idx="152">
                  <v>8000</v>
                </pt>
                <pt idx="153">
                  <v>10000</v>
                </pt>
                <pt idx="154">
                  <v>8000</v>
                </pt>
                <pt idx="155">
                  <v>20000</v>
                </pt>
                <pt idx="156">
                  <v>10000</v>
                </pt>
                <pt idx="157">
                  <v>16000</v>
                </pt>
                <pt idx="158">
                  <v>8000</v>
                </pt>
                <pt idx="159">
                  <v>12000</v>
                </pt>
                <pt idx="160">
                  <v>12000</v>
                </pt>
                <pt idx="161">
                  <v>8000</v>
                </pt>
                <pt idx="162">
                  <v>14000</v>
                </pt>
                <pt idx="163">
                  <v>10000</v>
                </pt>
                <pt idx="164">
                  <v>14000</v>
                </pt>
                <pt idx="165">
                  <v>10000</v>
                </pt>
                <pt idx="166">
                  <v>6000</v>
                </pt>
                <pt idx="167">
                  <v>18000</v>
                </pt>
                <pt idx="168">
                  <v>20000</v>
                </pt>
                <pt idx="169">
                  <v>18000</v>
                </pt>
                <pt idx="170">
                  <v>14000</v>
                </pt>
                <pt idx="171">
                  <v>6000</v>
                </pt>
                <pt idx="172">
                  <v>12000</v>
                </pt>
                <pt idx="173">
                  <v>14000</v>
                </pt>
                <pt idx="174">
                  <v>2000</v>
                </pt>
                <pt idx="175">
                  <v>16000</v>
                </pt>
                <pt idx="176">
                  <v>14000</v>
                </pt>
                <pt idx="177">
                  <v>20000</v>
                </pt>
                <pt idx="178">
                  <v>12000</v>
                </pt>
                <pt idx="179">
                  <v>18000</v>
                </pt>
                <pt idx="180">
                  <v>4000</v>
                </pt>
                <pt idx="181">
                  <v>14000</v>
                </pt>
                <pt idx="182">
                  <v>16000</v>
                </pt>
                <pt idx="183">
                  <v>18000</v>
                </pt>
                <pt idx="184">
                  <v>6000</v>
                </pt>
                <pt idx="185">
                  <v>24000</v>
                </pt>
                <pt idx="186">
                  <v>14000</v>
                </pt>
                <pt idx="187">
                  <v>16000</v>
                </pt>
                <pt idx="188">
                  <v>2000</v>
                </pt>
                <pt idx="189">
                  <v>20000</v>
                </pt>
                <pt idx="190">
                  <v>12000</v>
                </pt>
                <pt idx="191">
                  <v>14000</v>
                </pt>
                <pt idx="192">
                  <v>12000</v>
                </pt>
                <pt idx="193">
                  <v>12000</v>
                </pt>
                <pt idx="194">
                  <v>12000</v>
                </pt>
                <pt idx="195">
                  <v>18000</v>
                </pt>
                <pt idx="196">
                  <v>10000</v>
                </pt>
                <pt idx="197">
                  <v>14000</v>
                </pt>
                <pt idx="198">
                  <v>8000</v>
                </pt>
                <pt idx="199">
                  <v>6000</v>
                </pt>
                <pt idx="200">
                  <v>2000</v>
                </pt>
                <pt idx="201">
                  <v>12000</v>
                </pt>
                <pt idx="202">
                  <v>14000</v>
                </pt>
                <pt idx="203">
                  <v>18000</v>
                </pt>
                <pt idx="204">
                  <v>14000</v>
                </pt>
                <pt idx="205">
                  <v>14000</v>
                </pt>
                <pt idx="206">
                  <v>14000</v>
                </pt>
                <pt idx="207">
                  <v>24000</v>
                </pt>
                <pt idx="208">
                  <v>64000</v>
                </pt>
                <pt idx="209">
                  <v>10000</v>
                </pt>
                <pt idx="210">
                  <v>12000</v>
                </pt>
                <pt idx="211">
                  <v>16000</v>
                </pt>
                <pt idx="212">
                  <v>20000</v>
                </pt>
                <pt idx="213">
                  <v>6000</v>
                </pt>
                <pt idx="214">
                  <v>8000</v>
                </pt>
                <pt idx="215">
                  <v>10000</v>
                </pt>
                <pt idx="216">
                  <v>12000</v>
                </pt>
                <pt idx="217">
                  <v>16000</v>
                </pt>
                <pt idx="218">
                  <v>6000</v>
                </pt>
                <pt idx="219">
                  <v>18000</v>
                </pt>
                <pt idx="220">
                  <v>28000</v>
                </pt>
                <pt idx="221">
                  <v>14000</v>
                </pt>
                <pt idx="222">
                  <v>22000</v>
                </pt>
                <pt idx="223">
                  <v>12000</v>
                </pt>
                <pt idx="224">
                  <v>4000</v>
                </pt>
                <pt idx="225">
                  <v>2000</v>
                </pt>
                <pt idx="226">
                  <v>2000</v>
                </pt>
                <pt idx="227">
                  <v>2000</v>
                </pt>
                <pt idx="232">
                  <v>6000</v>
                </pt>
                <pt idx="235">
                  <v>2000</v>
                </pt>
                <pt idx="236">
                  <v>2000</v>
                </pt>
                <pt idx="237">
                  <v>#N/A</v>
                </pt>
                <pt idx="239">
                  <v>#N/A</v>
                </pt>
                <pt idx="241">
                  <v>#N/A</v>
                </pt>
                <pt idx="242">
                  <v>#N/A</v>
                </pt>
                <pt idx="244">
                  <v>#N/A</v>
                </pt>
                <pt idx="246">
                  <v>#N/A</v>
                </pt>
                <pt idx="249">
                  <v>#N/A</v>
                </pt>
                <pt idx="250">
                  <v>#N/A</v>
                </pt>
                <pt idx="251">
                  <v>#N/A</v>
                </pt>
                <pt idx="252">
                  <v>#N/A</v>
                </pt>
                <pt idx="253">
                  <v>#N/A</v>
                </pt>
                <pt idx="254">
                  <v>#N/A</v>
                </pt>
                <pt idx="255">
                  <v>#N/A</v>
                </pt>
                <pt idx="256">
                  <v>#N/A</v>
                </pt>
                <pt idx="257">
                  <v>#N/A</v>
                </pt>
                <pt idx="258">
                  <v>#N/A</v>
                </pt>
                <pt idx="259">
                  <v>#N/A</v>
                </pt>
                <pt idx="260">
                  <v>#N/A</v>
                </pt>
                <pt idx="261">
                  <v>#N/A</v>
                </pt>
                <pt idx="262">
                  <v>#N/A</v>
                </pt>
                <pt idx="263">
                  <v>#N/A</v>
                </pt>
                <pt idx="264">
                  <v>#N/A</v>
                </pt>
                <pt idx="265">
                  <v>#N/A</v>
                </pt>
                <pt idx="266">
                  <v>#N/A</v>
                </pt>
                <pt idx="267">
                  <v>#N/A</v>
                </pt>
                <pt idx="268">
                  <v>#N/A</v>
                </pt>
                <pt idx="269">
                  <v>#N/A</v>
                </pt>
                <pt idx="270">
                  <v>#N/A</v>
                </pt>
                <pt idx="271">
                  <v>#N/A</v>
                </pt>
                <pt idx="272">
                  <v>#N/A</v>
                </pt>
                <pt idx="273">
                  <v>#N/A</v>
                </pt>
                <pt idx="274">
                  <v>#N/A</v>
                </pt>
                <pt idx="275">
                  <v>#N/A</v>
                </pt>
                <pt idx="276">
                  <v>#N/A</v>
                </pt>
                <pt idx="277">
                  <v>6000</v>
                </pt>
                <pt idx="278">
                  <v>4000</v>
                </pt>
                <pt idx="279">
                  <v>20000</v>
                </pt>
                <pt idx="280">
                  <v>14000</v>
                </pt>
                <pt idx="281">
                  <v>20000</v>
                </pt>
                <pt idx="282">
                  <v>16000</v>
                </pt>
                <pt idx="283">
                  <v>16000</v>
                </pt>
                <pt idx="284">
                  <v>12000</v>
                </pt>
                <pt idx="285">
                  <v>16000</v>
                </pt>
                <pt idx="286">
                  <v>14000</v>
                </pt>
                <pt idx="287">
                  <v>22000</v>
                </pt>
                <pt idx="288">
                  <v>16000</v>
                </pt>
                <pt idx="289">
                  <v>16000</v>
                </pt>
                <pt idx="290">
                  <v>16000</v>
                </pt>
                <pt idx="291">
                  <v>10000</v>
                </pt>
                <pt idx="292">
                  <v>14000</v>
                </pt>
                <pt idx="293">
                  <v>8000</v>
                </pt>
                <pt idx="294">
                  <v>22000</v>
                </pt>
                <pt idx="295">
                  <v>8000</v>
                </pt>
                <pt idx="296">
                  <v>18000</v>
                </pt>
                <pt idx="297">
                  <v>14000</v>
                </pt>
                <pt idx="298">
                  <v>4000</v>
                </pt>
                <pt idx="299">
                  <v>16000</v>
                </pt>
                <pt idx="300">
                  <v>14000</v>
                </pt>
                <pt idx="301">
                  <v>22000</v>
                </pt>
                <pt idx="302">
                  <v>8000</v>
                </pt>
                <pt idx="303">
                  <v>10000</v>
                </pt>
                <pt idx="304">
                  <v>16000</v>
                </pt>
                <pt idx="305">
                  <v>10000</v>
                </pt>
                <pt idx="306">
                  <v>10000</v>
                </pt>
                <pt idx="307">
                  <v>20000</v>
                </pt>
                <pt idx="308">
                  <v>12000</v>
                </pt>
                <pt idx="309">
                  <v>18000</v>
                </pt>
                <pt idx="310">
                  <v>22000</v>
                </pt>
                <pt idx="311">
                  <v>18000</v>
                </pt>
                <pt idx="312">
                  <v>18000</v>
                </pt>
                <pt idx="313">
                  <v>8000</v>
                </pt>
                <pt idx="314">
                  <v>16000</v>
                </pt>
                <pt idx="315">
                  <v>16000</v>
                </pt>
                <pt idx="316">
                  <v>12000</v>
                </pt>
                <pt idx="317">
                  <v>12000</v>
                </pt>
                <pt idx="318">
                  <v>12000</v>
                </pt>
                <pt idx="319">
                  <v>18000</v>
                </pt>
                <pt idx="320">
                  <v>12000</v>
                </pt>
                <pt idx="321">
                  <v>14000</v>
                </pt>
                <pt idx="322">
                  <v>14000</v>
                </pt>
                <pt idx="323">
                  <v>16000</v>
                </pt>
                <pt idx="324">
                  <v>22000</v>
                </pt>
                <pt idx="325">
                  <v>10000</v>
                </pt>
                <pt idx="326">
                  <v>6000</v>
                </pt>
                <pt idx="327">
                  <v>10000</v>
                </pt>
                <pt idx="328">
                  <v>20000</v>
                </pt>
                <pt idx="329">
                  <v>12000</v>
                </pt>
                <pt idx="330">
                  <v>12000</v>
                </pt>
                <pt idx="331">
                  <v>10000</v>
                </pt>
                <pt idx="332">
                  <v>10000</v>
                </pt>
                <pt idx="333">
                  <v>8000</v>
                </pt>
                <pt idx="334">
                  <v>16000</v>
                </pt>
                <pt idx="335">
                  <v>30000</v>
                </pt>
                <pt idx="336">
                  <v>32000</v>
                </pt>
                <pt idx="337">
                  <v>24000</v>
                </pt>
                <pt idx="338">
                  <v>8000</v>
                </pt>
                <pt idx="339">
                  <v>32000</v>
                </pt>
                <pt idx="340">
                  <v>20000</v>
                </pt>
                <pt idx="341">
                  <v>18000</v>
                </pt>
                <pt idx="342">
                  <v>26000</v>
                </pt>
                <pt idx="343">
                  <v>22000</v>
                </pt>
                <pt idx="344">
                  <v>6000</v>
                </pt>
              </numCache>
            </numRef>
          </val>
        </ser>
        <ser>
          <idx val="2"/>
          <order val="2"/>
          <tx>
            <strRef>
              <f>'상품별-피벗'!$N$3:$N$4</f>
              <strCache>
                <ptCount val="1"/>
                <pt idx="0">
                  <v>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multiLvlStrRef>
              <multiLvlStrCache>
                <lvl>
                  <pt idx="0">
                    <v>화</v>
                  </pt>
                  <pt idx="1">
                    <v>수</v>
                  </pt>
                  <pt idx="2">
                    <v>일</v>
                  </pt>
                  <pt idx="3">
                    <v>월</v>
                  </pt>
                  <pt idx="4">
                    <v>화</v>
                  </pt>
                  <pt idx="5">
                    <v>목</v>
                  </pt>
                  <pt idx="6">
                    <v>금</v>
                  </pt>
                  <pt idx="7">
                    <v>토</v>
                  </pt>
                  <pt idx="8">
                    <v>일</v>
                  </pt>
                  <pt idx="9">
                    <v>월</v>
                  </pt>
                  <pt idx="10">
                    <v>화</v>
                  </pt>
                  <pt idx="11">
                    <v>수</v>
                  </pt>
                  <pt idx="12">
                    <v>목</v>
                  </pt>
                  <pt idx="13">
                    <v>금</v>
                  </pt>
                  <pt idx="14">
                    <v>토</v>
                  </pt>
                  <pt idx="15">
                    <v>금</v>
                  </pt>
                  <pt idx="16">
                    <v>토</v>
                  </pt>
                  <pt idx="17">
                    <v>화</v>
                  </pt>
                  <pt idx="18">
                    <v>수</v>
                  </pt>
                  <pt idx="19">
                    <v>목</v>
                  </pt>
                  <pt idx="20">
                    <v>금</v>
                  </pt>
                  <pt idx="21">
                    <v>토</v>
                  </pt>
                  <pt idx="22">
                    <v>일</v>
                  </pt>
                  <pt idx="23">
                    <v>월</v>
                  </pt>
                  <pt idx="24">
                    <v>화</v>
                  </pt>
                  <pt idx="25">
                    <v>수</v>
                  </pt>
                  <pt idx="26">
                    <v>목</v>
                  </pt>
                  <pt idx="27">
                    <v>금</v>
                  </pt>
                  <pt idx="28">
                    <v>토</v>
                  </pt>
                  <pt idx="29">
                    <v>일</v>
                  </pt>
                  <pt idx="30">
                    <v>월</v>
                  </pt>
                  <pt idx="31">
                    <v>화</v>
                  </pt>
                  <pt idx="32">
                    <v>수</v>
                  </pt>
                  <pt idx="33">
                    <v>목</v>
                  </pt>
                  <pt idx="34">
                    <v>금</v>
                  </pt>
                  <pt idx="35">
                    <v>토</v>
                  </pt>
                  <pt idx="36">
                    <v>일</v>
                  </pt>
                  <pt idx="37">
                    <v>월</v>
                  </pt>
                  <pt idx="38">
                    <v>화</v>
                  </pt>
                  <pt idx="39">
                    <v>수</v>
                  </pt>
                  <pt idx="40">
                    <v>목</v>
                  </pt>
                  <pt idx="41">
                    <v>금</v>
                  </pt>
                  <pt idx="42">
                    <v>토</v>
                  </pt>
                  <pt idx="43">
                    <v>일</v>
                  </pt>
                  <pt idx="44">
                    <v>월</v>
                  </pt>
                  <pt idx="45">
                    <v>화</v>
                  </pt>
                  <pt idx="46">
                    <v>수</v>
                  </pt>
                  <pt idx="47">
                    <v>목</v>
                  </pt>
                  <pt idx="48">
                    <v>금</v>
                  </pt>
                  <pt idx="49">
                    <v>토</v>
                  </pt>
                  <pt idx="50">
                    <v>일</v>
                  </pt>
                  <pt idx="51">
                    <v>월</v>
                  </pt>
                  <pt idx="52">
                    <v>화</v>
                  </pt>
                  <pt idx="53">
                    <v>수</v>
                  </pt>
                  <pt idx="54">
                    <v>목</v>
                  </pt>
                  <pt idx="55">
                    <v>금</v>
                  </pt>
                  <pt idx="56">
                    <v>토</v>
                  </pt>
                  <pt idx="57">
                    <v>일</v>
                  </pt>
                  <pt idx="58">
                    <v>월</v>
                  </pt>
                  <pt idx="59">
                    <v>화</v>
                  </pt>
                  <pt idx="60">
                    <v>수</v>
                  </pt>
                  <pt idx="61">
                    <v>목</v>
                  </pt>
                  <pt idx="62">
                    <v>금</v>
                  </pt>
                  <pt idx="63">
                    <v>토</v>
                  </pt>
                  <pt idx="64">
                    <v>일</v>
                  </pt>
                  <pt idx="65">
                    <v>월</v>
                  </pt>
                  <pt idx="66">
                    <v>화</v>
                  </pt>
                  <pt idx="67">
                    <v>수</v>
                  </pt>
                  <pt idx="68">
                    <v>목</v>
                  </pt>
                  <pt idx="69">
                    <v>금</v>
                  </pt>
                  <pt idx="70">
                    <v>토</v>
                  </pt>
                  <pt idx="71">
                    <v>일</v>
                  </pt>
                  <pt idx="72">
                    <v>월</v>
                  </pt>
                  <pt idx="73">
                    <v>화</v>
                  </pt>
                  <pt idx="74">
                    <v>수</v>
                  </pt>
                  <pt idx="75">
                    <v>목</v>
                  </pt>
                  <pt idx="76">
                    <v>금</v>
                  </pt>
                  <pt idx="77">
                    <v>토</v>
                  </pt>
                  <pt idx="78">
                    <v>일</v>
                  </pt>
                  <pt idx="79">
                    <v>월</v>
                  </pt>
                  <pt idx="80">
                    <v>화</v>
                  </pt>
                  <pt idx="81">
                    <v>수</v>
                  </pt>
                  <pt idx="82">
                    <v>목</v>
                  </pt>
                  <pt idx="83">
                    <v>금</v>
                  </pt>
                  <pt idx="84">
                    <v>토</v>
                  </pt>
                  <pt idx="85">
                    <v>일</v>
                  </pt>
                  <pt idx="86">
                    <v>월</v>
                  </pt>
                  <pt idx="87">
                    <v>화</v>
                  </pt>
                  <pt idx="88">
                    <v>수</v>
                  </pt>
                  <pt idx="89">
                    <v>목</v>
                  </pt>
                  <pt idx="90">
                    <v>금</v>
                  </pt>
                  <pt idx="91">
                    <v>토</v>
                  </pt>
                  <pt idx="92">
                    <v>일</v>
                  </pt>
                  <pt idx="93">
                    <v>월</v>
                  </pt>
                  <pt idx="94">
                    <v>화</v>
                  </pt>
                  <pt idx="95">
                    <v>수</v>
                  </pt>
                  <pt idx="96">
                    <v>목</v>
                  </pt>
                  <pt idx="97">
                    <v>금</v>
                  </pt>
                  <pt idx="98">
                    <v>토</v>
                  </pt>
                  <pt idx="99">
                    <v>일</v>
                  </pt>
                  <pt idx="100">
                    <v>월</v>
                  </pt>
                  <pt idx="101">
                    <v>화</v>
                  </pt>
                  <pt idx="102">
                    <v>수</v>
                  </pt>
                  <pt idx="103">
                    <v>목</v>
                  </pt>
                  <pt idx="104">
                    <v>금</v>
                  </pt>
                  <pt idx="105">
                    <v>토</v>
                  </pt>
                  <pt idx="106">
                    <v>일</v>
                  </pt>
                  <pt idx="107">
                    <v>월</v>
                  </pt>
                  <pt idx="108">
                    <v>화</v>
                  </pt>
                  <pt idx="109">
                    <v>수</v>
                  </pt>
                  <pt idx="110">
                    <v>목</v>
                  </pt>
                  <pt idx="111">
                    <v>금</v>
                  </pt>
                  <pt idx="112">
                    <v>토</v>
                  </pt>
                  <pt idx="113">
                    <v>일</v>
                  </pt>
                  <pt idx="114">
                    <v>월</v>
                  </pt>
                  <pt idx="115">
                    <v>화</v>
                  </pt>
                  <pt idx="116">
                    <v>수</v>
                  </pt>
                  <pt idx="117">
                    <v>목</v>
                  </pt>
                  <pt idx="118">
                    <v>금</v>
                  </pt>
                  <pt idx="119">
                    <v>토</v>
                  </pt>
                  <pt idx="120">
                    <v>일</v>
                  </pt>
                  <pt idx="121">
                    <v>월</v>
                  </pt>
                  <pt idx="122">
                    <v>화</v>
                  </pt>
                  <pt idx="123">
                    <v>수</v>
                  </pt>
                  <pt idx="124">
                    <v>목</v>
                  </pt>
                  <pt idx="125">
                    <v>금</v>
                  </pt>
                  <pt idx="126">
                    <v>토</v>
                  </pt>
                  <pt idx="127">
                    <v>일</v>
                  </pt>
                  <pt idx="128">
                    <v>월</v>
                  </pt>
                  <pt idx="129">
                    <v>화</v>
                  </pt>
                  <pt idx="130">
                    <v>수</v>
                  </pt>
                  <pt idx="131">
                    <v>목</v>
                  </pt>
                  <pt idx="132">
                    <v>금</v>
                  </pt>
                  <pt idx="133">
                    <v>토</v>
                  </pt>
                  <pt idx="134">
                    <v>일</v>
                  </pt>
                  <pt idx="135">
                    <v>월</v>
                  </pt>
                  <pt idx="136">
                    <v>화</v>
                  </pt>
                  <pt idx="137">
                    <v>수</v>
                  </pt>
                  <pt idx="138">
                    <v>목</v>
                  </pt>
                  <pt idx="139">
                    <v>금</v>
                  </pt>
                  <pt idx="140">
                    <v>토</v>
                  </pt>
                  <pt idx="141">
                    <v>일</v>
                  </pt>
                  <pt idx="142">
                    <v>월</v>
                  </pt>
                  <pt idx="143">
                    <v>화</v>
                  </pt>
                  <pt idx="144">
                    <v>수</v>
                  </pt>
                  <pt idx="145">
                    <v>목</v>
                  </pt>
                  <pt idx="146">
                    <v>금</v>
                  </pt>
                  <pt idx="147">
                    <v>토</v>
                  </pt>
                  <pt idx="148">
                    <v>일</v>
                  </pt>
                  <pt idx="149">
                    <v>월</v>
                  </pt>
                  <pt idx="150">
                    <v>화</v>
                  </pt>
                  <pt idx="151">
                    <v>수</v>
                  </pt>
                  <pt idx="152">
                    <v>목</v>
                  </pt>
                  <pt idx="153">
                    <v>금</v>
                  </pt>
                  <pt idx="154">
                    <v>토</v>
                  </pt>
                  <pt idx="155">
                    <v>일</v>
                  </pt>
                  <pt idx="156">
                    <v>월</v>
                  </pt>
                  <pt idx="157">
                    <v>화</v>
                  </pt>
                  <pt idx="158">
                    <v>수</v>
                  </pt>
                  <pt idx="159">
                    <v>목</v>
                  </pt>
                  <pt idx="160">
                    <v>금</v>
                  </pt>
                  <pt idx="161">
                    <v>토</v>
                  </pt>
                  <pt idx="162">
                    <v>일</v>
                  </pt>
                  <pt idx="163">
                    <v>월</v>
                  </pt>
                  <pt idx="164">
                    <v>화</v>
                  </pt>
                  <pt idx="165">
                    <v>수</v>
                  </pt>
                  <pt idx="166">
                    <v>목</v>
                  </pt>
                  <pt idx="167">
                    <v>금</v>
                  </pt>
                  <pt idx="168">
                    <v>토</v>
                  </pt>
                  <pt idx="169">
                    <v>일</v>
                  </pt>
                  <pt idx="170">
                    <v>월</v>
                  </pt>
                  <pt idx="171">
                    <v>화</v>
                  </pt>
                  <pt idx="172">
                    <v>수</v>
                  </pt>
                  <pt idx="173">
                    <v>목</v>
                  </pt>
                  <pt idx="174">
                    <v>금</v>
                  </pt>
                  <pt idx="175">
                    <v>토</v>
                  </pt>
                  <pt idx="176">
                    <v>일</v>
                  </pt>
                  <pt idx="177">
                    <v>월</v>
                  </pt>
                  <pt idx="178">
                    <v>화</v>
                  </pt>
                  <pt idx="179">
                    <v>수</v>
                  </pt>
                  <pt idx="180">
                    <v>목</v>
                  </pt>
                  <pt idx="181">
                    <v>금</v>
                  </pt>
                  <pt idx="182">
                    <v>토</v>
                  </pt>
                  <pt idx="183">
                    <v>일</v>
                  </pt>
                  <pt idx="184">
                    <v>월</v>
                  </pt>
                  <pt idx="185">
                    <v>화</v>
                  </pt>
                  <pt idx="186">
                    <v>수</v>
                  </pt>
                  <pt idx="187">
                    <v>목</v>
                  </pt>
                  <pt idx="188">
                    <v>금</v>
                  </pt>
                  <pt idx="189">
                    <v>토</v>
                  </pt>
                  <pt idx="190">
                    <v>일</v>
                  </pt>
                  <pt idx="191">
                    <v>월</v>
                  </pt>
                  <pt idx="192">
                    <v>화</v>
                  </pt>
                  <pt idx="193">
                    <v>수</v>
                  </pt>
                  <pt idx="194">
                    <v>목</v>
                  </pt>
                  <pt idx="195">
                    <v>금</v>
                  </pt>
                  <pt idx="196">
                    <v>토</v>
                  </pt>
                  <pt idx="197">
                    <v>일</v>
                  </pt>
                  <pt idx="198">
                    <v>월</v>
                  </pt>
                  <pt idx="199">
                    <v>화</v>
                  </pt>
                  <pt idx="200">
                    <v>수</v>
                  </pt>
                  <pt idx="201">
                    <v>목</v>
                  </pt>
                  <pt idx="202">
                    <v>금</v>
                  </pt>
                  <pt idx="203">
                    <v>토</v>
                  </pt>
                  <pt idx="204">
                    <v>일</v>
                  </pt>
                  <pt idx="205">
                    <v>월</v>
                  </pt>
                  <pt idx="206">
                    <v>화</v>
                  </pt>
                  <pt idx="207">
                    <v>수</v>
                  </pt>
                  <pt idx="208">
                    <v>목</v>
                  </pt>
                  <pt idx="209">
                    <v>금</v>
                  </pt>
                  <pt idx="210">
                    <v>토</v>
                  </pt>
                  <pt idx="211">
                    <v>일</v>
                  </pt>
                  <pt idx="212">
                    <v>월</v>
                  </pt>
                  <pt idx="213">
                    <v>화</v>
                  </pt>
                  <pt idx="214">
                    <v>수</v>
                  </pt>
                  <pt idx="215">
                    <v>목</v>
                  </pt>
                  <pt idx="216">
                    <v>금</v>
                  </pt>
                  <pt idx="217">
                    <v>토</v>
                  </pt>
                  <pt idx="218">
                    <v>일</v>
                  </pt>
                  <pt idx="219">
                    <v>월</v>
                  </pt>
                  <pt idx="220">
                    <v>화</v>
                  </pt>
                  <pt idx="221">
                    <v>수</v>
                  </pt>
                  <pt idx="222">
                    <v>목</v>
                  </pt>
                  <pt idx="223">
                    <v>금</v>
                  </pt>
                  <pt idx="224">
                    <v>토</v>
                  </pt>
                  <pt idx="225">
                    <v>일</v>
                  </pt>
                  <pt idx="226">
                    <v>월</v>
                  </pt>
                  <pt idx="227">
                    <v>화</v>
                  </pt>
                  <pt idx="228">
                    <v>수</v>
                  </pt>
                  <pt idx="229">
                    <v>목</v>
                  </pt>
                  <pt idx="230">
                    <v>금</v>
                  </pt>
                  <pt idx="231">
                    <v>토</v>
                  </pt>
                  <pt idx="232">
                    <v>일</v>
                  </pt>
                  <pt idx="233">
                    <v>월</v>
                  </pt>
                  <pt idx="234">
                    <v>화</v>
                  </pt>
                  <pt idx="235">
                    <v>수</v>
                  </pt>
                  <pt idx="236">
                    <v>목</v>
                  </pt>
                  <pt idx="237">
                    <v>금</v>
                  </pt>
                  <pt idx="238">
                    <v>토</v>
                  </pt>
                  <pt idx="239">
                    <v>일</v>
                  </pt>
                  <pt idx="240">
                    <v>월</v>
                  </pt>
                  <pt idx="241">
                    <v>화</v>
                  </pt>
                  <pt idx="242">
                    <v>수</v>
                  </pt>
                  <pt idx="243">
                    <v>목</v>
                  </pt>
                  <pt idx="244">
                    <v>금</v>
                  </pt>
                  <pt idx="245">
                    <v>토</v>
                  </pt>
                  <pt idx="246">
                    <v>일</v>
                  </pt>
                  <pt idx="247">
                    <v>월</v>
                  </pt>
                  <pt idx="248">
                    <v>화</v>
                  </pt>
                  <pt idx="249">
                    <v>수</v>
                  </pt>
                  <pt idx="250">
                    <v>목</v>
                  </pt>
                  <pt idx="251">
                    <v>금</v>
                  </pt>
                  <pt idx="252">
                    <v>토</v>
                  </pt>
                  <pt idx="253">
                    <v>일</v>
                  </pt>
                  <pt idx="254">
                    <v>월</v>
                  </pt>
                  <pt idx="255">
                    <v>화</v>
                  </pt>
                  <pt idx="256">
                    <v>수</v>
                  </pt>
                  <pt idx="257">
                    <v>목</v>
                  </pt>
                  <pt idx="258">
                    <v>금</v>
                  </pt>
                  <pt idx="259">
                    <v>토</v>
                  </pt>
                  <pt idx="260">
                    <v>일</v>
                  </pt>
                  <pt idx="261">
                    <v>월</v>
                  </pt>
                  <pt idx="262">
                    <v>화</v>
                  </pt>
                  <pt idx="263">
                    <v>수</v>
                  </pt>
                  <pt idx="264">
                    <v>목</v>
                  </pt>
                  <pt idx="265">
                    <v>금</v>
                  </pt>
                  <pt idx="266">
                    <v>토</v>
                  </pt>
                  <pt idx="267">
                    <v>일</v>
                  </pt>
                  <pt idx="268">
                    <v>월</v>
                  </pt>
                  <pt idx="269">
                    <v>화</v>
                  </pt>
                  <pt idx="270">
                    <v>수</v>
                  </pt>
                  <pt idx="271">
                    <v>목</v>
                  </pt>
                  <pt idx="272">
                    <v>금</v>
                  </pt>
                  <pt idx="273">
                    <v>토</v>
                  </pt>
                  <pt idx="274">
                    <v>일</v>
                  </pt>
                  <pt idx="275">
                    <v>월</v>
                  </pt>
                  <pt idx="276">
                    <v>화</v>
                  </pt>
                  <pt idx="277">
                    <v>화</v>
                  </pt>
                  <pt idx="278">
                    <v>수</v>
                  </pt>
                  <pt idx="279">
                    <v>목</v>
                  </pt>
                  <pt idx="280">
                    <v>금</v>
                  </pt>
                  <pt idx="281">
                    <v>토</v>
                  </pt>
                  <pt idx="282">
                    <v>일</v>
                  </pt>
                  <pt idx="283">
                    <v>월</v>
                  </pt>
                  <pt idx="284">
                    <v>화</v>
                  </pt>
                  <pt idx="285">
                    <v>수</v>
                  </pt>
                  <pt idx="286">
                    <v>목</v>
                  </pt>
                  <pt idx="287">
                    <v>월</v>
                  </pt>
                  <pt idx="288">
                    <v>화</v>
                  </pt>
                  <pt idx="289">
                    <v>수</v>
                  </pt>
                  <pt idx="290">
                    <v>목</v>
                  </pt>
                  <pt idx="291">
                    <v>금</v>
                  </pt>
                  <pt idx="292">
                    <v>토</v>
                  </pt>
                  <pt idx="293">
                    <v>일</v>
                  </pt>
                  <pt idx="294">
                    <v>월</v>
                  </pt>
                  <pt idx="295">
                    <v>화</v>
                  </pt>
                  <pt idx="296">
                    <v>수</v>
                  </pt>
                  <pt idx="297">
                    <v>목</v>
                  </pt>
                  <pt idx="298">
                    <v>금</v>
                  </pt>
                  <pt idx="299">
                    <v>토</v>
                  </pt>
                  <pt idx="300">
                    <v>일</v>
                  </pt>
                  <pt idx="301">
                    <v>월</v>
                  </pt>
                  <pt idx="302">
                    <v>화</v>
                  </pt>
                  <pt idx="303">
                    <v>수</v>
                  </pt>
                  <pt idx="304">
                    <v>목</v>
                  </pt>
                  <pt idx="305">
                    <v>금</v>
                  </pt>
                  <pt idx="306">
                    <v>토</v>
                  </pt>
                  <pt idx="307">
                    <v>일</v>
                  </pt>
                  <pt idx="308">
                    <v>월</v>
                  </pt>
                  <pt idx="309">
                    <v>화</v>
                  </pt>
                  <pt idx="310">
                    <v>수</v>
                  </pt>
                  <pt idx="311">
                    <v>목</v>
                  </pt>
                  <pt idx="312">
                    <v>금</v>
                  </pt>
                  <pt idx="313">
                    <v>토</v>
                  </pt>
                  <pt idx="314">
                    <v>일</v>
                  </pt>
                  <pt idx="315">
                    <v>월</v>
                  </pt>
                  <pt idx="316">
                    <v>화</v>
                  </pt>
                  <pt idx="317">
                    <v>수</v>
                  </pt>
                  <pt idx="318">
                    <v>목</v>
                  </pt>
                  <pt idx="319">
                    <v>금</v>
                  </pt>
                  <pt idx="320">
                    <v>토</v>
                  </pt>
                  <pt idx="321">
                    <v>일</v>
                  </pt>
                  <pt idx="322">
                    <v>월</v>
                  </pt>
                  <pt idx="323">
                    <v>화</v>
                  </pt>
                  <pt idx="324">
                    <v>수</v>
                  </pt>
                  <pt idx="325">
                    <v>목</v>
                  </pt>
                  <pt idx="326">
                    <v>금</v>
                  </pt>
                  <pt idx="327">
                    <v>토</v>
                  </pt>
                  <pt idx="328">
                    <v>일</v>
                  </pt>
                  <pt idx="329">
                    <v>월</v>
                  </pt>
                  <pt idx="330">
                    <v>화</v>
                  </pt>
                  <pt idx="331">
                    <v>수</v>
                  </pt>
                  <pt idx="332">
                    <v>목</v>
                  </pt>
                  <pt idx="333">
                    <v>금</v>
                  </pt>
                  <pt idx="334">
                    <v>토</v>
                  </pt>
                  <pt idx="335">
                    <v>일</v>
                  </pt>
                  <pt idx="336">
                    <v>월</v>
                  </pt>
                  <pt idx="337">
                    <v>화</v>
                  </pt>
                  <pt idx="338">
                    <v>수</v>
                  </pt>
                  <pt idx="339">
                    <v>목</v>
                  </pt>
                  <pt idx="340">
                    <v>금</v>
                  </pt>
                  <pt idx="341">
                    <v>토</v>
                  </pt>
                  <pt idx="342">
                    <v>일</v>
                  </pt>
                  <pt idx="343">
                    <v>월</v>
                  </pt>
                  <pt idx="344">
                    <v>화</v>
                  </pt>
                </lvl>
                <lvl>
                  <pt idx="0">
                    <v>2021-02-16</v>
                  </pt>
                  <pt idx="1">
                    <v>2021-02-17</v>
                  </pt>
                  <pt idx="2">
                    <v>2021-02-21</v>
                  </pt>
                  <pt idx="3">
                    <v>2021-02-22</v>
                  </pt>
                  <pt idx="4">
                    <v>2021-02-23</v>
                  </pt>
                  <pt idx="5">
                    <v>2021-02-25</v>
                  </pt>
                  <pt idx="6">
                    <v>2021-02-26</v>
                  </pt>
                  <pt idx="7">
                    <v>2021-02-27</v>
                  </pt>
                  <pt idx="8">
                    <v>2021-02-28</v>
                  </pt>
                  <pt idx="9">
                    <v>2021-03-01</v>
                  </pt>
                  <pt idx="10">
                    <v>2021-03-02</v>
                  </pt>
                  <pt idx="11">
                    <v>2021-03-03</v>
                  </pt>
                  <pt idx="12">
                    <v>2021-03-04</v>
                  </pt>
                  <pt idx="13">
                    <v>2021-03-05</v>
                  </pt>
                  <pt idx="14">
                    <v>2021-03-06</v>
                  </pt>
                  <pt idx="15">
                    <v>2020-05-22</v>
                  </pt>
                  <pt idx="16">
                    <v>2020-05-23</v>
                  </pt>
                  <pt idx="17">
                    <v>2020-05-26</v>
                  </pt>
                  <pt idx="18">
                    <v>2020-05-27</v>
                  </pt>
                  <pt idx="19">
                    <v>2020-05-28</v>
                  </pt>
                  <pt idx="20">
                    <v>2020-05-29</v>
                  </pt>
                  <pt idx="21">
                    <v>2020-05-30</v>
                  </pt>
                  <pt idx="22">
                    <v>2020-05-31</v>
                  </pt>
                  <pt idx="23">
                    <v>2020-06-01</v>
                  </pt>
                  <pt idx="24">
                    <v>2020-06-02</v>
                  </pt>
                  <pt idx="25">
                    <v>2020-06-03</v>
                  </pt>
                  <pt idx="26">
                    <v>2020-06-04</v>
                  </pt>
                  <pt idx="27">
                    <v>2020-06-05</v>
                  </pt>
                  <pt idx="28">
                    <v>2020-06-06</v>
                  </pt>
                  <pt idx="29">
                    <v>2020-06-07</v>
                  </pt>
                  <pt idx="30">
                    <v>2020-06-08</v>
                  </pt>
                  <pt idx="31">
                    <v>2020-06-09</v>
                  </pt>
                  <pt idx="32">
                    <v>2020-06-10</v>
                  </pt>
                  <pt idx="33">
                    <v>2020-06-11</v>
                  </pt>
                  <pt idx="34">
                    <v>2020-06-12</v>
                  </pt>
                  <pt idx="35">
                    <v>2020-06-13</v>
                  </pt>
                  <pt idx="36">
                    <v>2020-06-14</v>
                  </pt>
                  <pt idx="37">
                    <v>2020-06-15</v>
                  </pt>
                  <pt idx="38">
                    <v>2020-06-16</v>
                  </pt>
                  <pt idx="39">
                    <v>2020-06-17</v>
                  </pt>
                  <pt idx="40">
                    <v>2020-06-18</v>
                  </pt>
                  <pt idx="41">
                    <v>2020-06-19</v>
                  </pt>
                  <pt idx="42">
                    <v>2020-06-20</v>
                  </pt>
                  <pt idx="43">
                    <v>2020-06-21</v>
                  </pt>
                  <pt idx="44">
                    <v>2020-06-22</v>
                  </pt>
                  <pt idx="45">
                    <v>2020-06-23</v>
                  </pt>
                  <pt idx="46">
                    <v>2020-06-24</v>
                  </pt>
                  <pt idx="47">
                    <v>2020-06-25</v>
                  </pt>
                  <pt idx="48">
                    <v>2020-06-26</v>
                  </pt>
                  <pt idx="49">
                    <v>2020-06-27</v>
                  </pt>
                  <pt idx="50">
                    <v>2020-06-28</v>
                  </pt>
                  <pt idx="51">
                    <v>2020-06-29</v>
                  </pt>
                  <pt idx="52">
                    <v>2020-06-30</v>
                  </pt>
                  <pt idx="53">
                    <v>2020-07-01</v>
                  </pt>
                  <pt idx="54">
                    <v>2020-07-02</v>
                  </pt>
                  <pt idx="55">
                    <v>2020-07-03</v>
                  </pt>
                  <pt idx="56">
                    <v>2020-07-04</v>
                  </pt>
                  <pt idx="57">
                    <v>2020-07-05</v>
                  </pt>
                  <pt idx="58">
                    <v>2020-07-06</v>
                  </pt>
                  <pt idx="59">
                    <v>2020-07-07</v>
                  </pt>
                  <pt idx="60">
                    <v>2020-07-08</v>
                  </pt>
                  <pt idx="61">
                    <v>2020-07-09</v>
                  </pt>
                  <pt idx="62">
                    <v>2020-07-10</v>
                  </pt>
                  <pt idx="63">
                    <v>2020-07-11</v>
                  </pt>
                  <pt idx="64">
                    <v>2020-07-12</v>
                  </pt>
                  <pt idx="65">
                    <v>2020-07-13</v>
                  </pt>
                  <pt idx="66">
                    <v>2020-07-14</v>
                  </pt>
                  <pt idx="67">
                    <v>2020-07-15</v>
                  </pt>
                  <pt idx="68">
                    <v>2020-07-16</v>
                  </pt>
                  <pt idx="69">
                    <v>2020-07-17</v>
                  </pt>
                  <pt idx="70">
                    <v>2020-07-18</v>
                  </pt>
                  <pt idx="71">
                    <v>2020-07-19</v>
                  </pt>
                  <pt idx="72">
                    <v>2020-07-20</v>
                  </pt>
                  <pt idx="73">
                    <v>2020-07-21</v>
                  </pt>
                  <pt idx="74">
                    <v>2020-07-22</v>
                  </pt>
                  <pt idx="75">
                    <v>2020-07-23</v>
                  </pt>
                  <pt idx="76">
                    <v>2020-07-24</v>
                  </pt>
                  <pt idx="77">
                    <v>2020-07-25</v>
                  </pt>
                  <pt idx="78">
                    <v>2020-07-26</v>
                  </pt>
                  <pt idx="79">
                    <v>2020-07-27</v>
                  </pt>
                  <pt idx="80">
                    <v>2020-07-28</v>
                  </pt>
                  <pt idx="81">
                    <v>2020-07-29</v>
                  </pt>
                  <pt idx="82">
                    <v>2020-07-30</v>
                  </pt>
                  <pt idx="83">
                    <v>2020-07-31</v>
                  </pt>
                  <pt idx="84">
                    <v>2020-08-01</v>
                  </pt>
                  <pt idx="85">
                    <v>2020-08-02</v>
                  </pt>
                  <pt idx="86">
                    <v>2020-08-03</v>
                  </pt>
                  <pt idx="87">
                    <v>2020-08-04</v>
                  </pt>
                  <pt idx="88">
                    <v>2020-08-05</v>
                  </pt>
                  <pt idx="89">
                    <v>2020-08-06</v>
                  </pt>
                  <pt idx="90">
                    <v>2020-08-07</v>
                  </pt>
                  <pt idx="91">
                    <v>2020-08-08</v>
                  </pt>
                  <pt idx="92">
                    <v>2020-08-09</v>
                  </pt>
                  <pt idx="93">
                    <v>2020-08-10</v>
                  </pt>
                  <pt idx="94">
                    <v>2020-08-11</v>
                  </pt>
                  <pt idx="95">
                    <v>2020-08-12</v>
                  </pt>
                  <pt idx="96">
                    <v>2020-08-13</v>
                  </pt>
                  <pt idx="97">
                    <v>2020-08-14</v>
                  </pt>
                  <pt idx="98">
                    <v>2020-08-15</v>
                  </pt>
                  <pt idx="99">
                    <v>2020-08-16</v>
                  </pt>
                  <pt idx="100">
                    <v>2020-08-17</v>
                  </pt>
                  <pt idx="101">
                    <v>2020-08-18</v>
                  </pt>
                  <pt idx="102">
                    <v>2020-08-19</v>
                  </pt>
                  <pt idx="103">
                    <v>2020-08-20</v>
                  </pt>
                  <pt idx="104">
                    <v>2020-08-21</v>
                  </pt>
                  <pt idx="105">
                    <v>2020-08-22</v>
                  </pt>
                  <pt idx="106">
                    <v>2020-08-23</v>
                  </pt>
                  <pt idx="107">
                    <v>2020-08-24</v>
                  </pt>
                  <pt idx="108">
                    <v>2020-08-25</v>
                  </pt>
                  <pt idx="109">
                    <v>2020-08-26</v>
                  </pt>
                  <pt idx="110">
                    <v>2020-08-27</v>
                  </pt>
                  <pt idx="111">
                    <v>2020-08-28</v>
                  </pt>
                  <pt idx="112">
                    <v>2020-08-29</v>
                  </pt>
                  <pt idx="113">
                    <v>2020-08-30</v>
                  </pt>
                  <pt idx="114">
                    <v>2020-08-31</v>
                  </pt>
                  <pt idx="115">
                    <v>2020-09-01</v>
                  </pt>
                  <pt idx="116">
                    <v>2020-09-02</v>
                  </pt>
                  <pt idx="117">
                    <v>2020-09-03</v>
                  </pt>
                  <pt idx="118">
                    <v>2020-09-04</v>
                  </pt>
                  <pt idx="119">
                    <v>2020-09-05</v>
                  </pt>
                  <pt idx="120">
                    <v>2020-09-06</v>
                  </pt>
                  <pt idx="121">
                    <v>2020-09-07</v>
                  </pt>
                  <pt idx="122">
                    <v>2020-09-08</v>
                  </pt>
                  <pt idx="123">
                    <v>2020-09-09</v>
                  </pt>
                  <pt idx="124">
                    <v>2020-09-10</v>
                  </pt>
                  <pt idx="125">
                    <v>2020-09-11</v>
                  </pt>
                  <pt idx="126">
                    <v>2020-09-12</v>
                  </pt>
                  <pt idx="127">
                    <v>2020-09-13</v>
                  </pt>
                  <pt idx="128">
                    <v>2020-09-14</v>
                  </pt>
                  <pt idx="129">
                    <v>2020-09-15</v>
                  </pt>
                  <pt idx="130">
                    <v>2020-09-16</v>
                  </pt>
                  <pt idx="131">
                    <v>2020-09-17</v>
                  </pt>
                  <pt idx="132">
                    <v>2020-09-18</v>
                  </pt>
                  <pt idx="133">
                    <v>2020-09-19</v>
                  </pt>
                  <pt idx="134">
                    <v>2020-09-20</v>
                  </pt>
                  <pt idx="135">
                    <v>2020-09-21</v>
                  </pt>
                  <pt idx="136">
                    <v>2020-09-22</v>
                  </pt>
                  <pt idx="137">
                    <v>2020-09-23</v>
                  </pt>
                  <pt idx="138">
                    <v>2020-09-24</v>
                  </pt>
                  <pt idx="139">
                    <v>2020-09-25</v>
                  </pt>
                  <pt idx="140">
                    <v>2020-09-26</v>
                  </pt>
                  <pt idx="141">
                    <v>2020-09-27</v>
                  </pt>
                  <pt idx="142">
                    <v>2020-09-28</v>
                  </pt>
                  <pt idx="143">
                    <v>2020-09-29</v>
                  </pt>
                  <pt idx="144">
                    <v>2020-09-30</v>
                  </pt>
                  <pt idx="145">
                    <v>2020-10-01</v>
                  </pt>
                  <pt idx="146">
                    <v>2020-10-02</v>
                  </pt>
                  <pt idx="147">
                    <v>2020-10-03</v>
                  </pt>
                  <pt idx="148">
                    <v>2020-10-04</v>
                  </pt>
                  <pt idx="149">
                    <v>2020-10-05</v>
                  </pt>
                  <pt idx="150">
                    <v>2020-10-06</v>
                  </pt>
                  <pt idx="151">
                    <v>2020-10-07</v>
                  </pt>
                  <pt idx="152">
                    <v>2020-10-08</v>
                  </pt>
                  <pt idx="153">
                    <v>2020-10-09</v>
                  </pt>
                  <pt idx="154">
                    <v>2020-10-10</v>
                  </pt>
                  <pt idx="155">
                    <v>2020-10-11</v>
                  </pt>
                  <pt idx="156">
                    <v>2020-10-12</v>
                  </pt>
                  <pt idx="157">
                    <v>2020-10-13</v>
                  </pt>
                  <pt idx="158">
                    <v>2020-10-14</v>
                  </pt>
                  <pt idx="159">
                    <v>2020-10-15</v>
                  </pt>
                  <pt idx="160">
                    <v>2020-10-16</v>
                  </pt>
                  <pt idx="161">
                    <v>2020-10-17</v>
                  </pt>
                  <pt idx="162">
                    <v>2020-10-18</v>
                  </pt>
                  <pt idx="163">
                    <v>2020-10-19</v>
                  </pt>
                  <pt idx="164">
                    <v>2020-10-20</v>
                  </pt>
                  <pt idx="165">
                    <v>2020-10-21</v>
                  </pt>
                  <pt idx="166">
                    <v>2020-10-22</v>
                  </pt>
                  <pt idx="167">
                    <v>2020-10-23</v>
                  </pt>
                  <pt idx="168">
                    <v>2020-10-24</v>
                  </pt>
                  <pt idx="169">
                    <v>2020-10-25</v>
                  </pt>
                  <pt idx="170">
                    <v>2020-10-26</v>
                  </pt>
                  <pt idx="171">
                    <v>2020-10-27</v>
                  </pt>
                  <pt idx="172">
                    <v>2020-10-28</v>
                  </pt>
                  <pt idx="173">
                    <v>2020-10-29</v>
                  </pt>
                  <pt idx="174">
                    <v>2020-10-30</v>
                  </pt>
                  <pt idx="175">
                    <v>2020-10-31</v>
                  </pt>
                  <pt idx="176">
                    <v>2020-11-01</v>
                  </pt>
                  <pt idx="177">
                    <v>2020-11-02</v>
                  </pt>
                  <pt idx="178">
                    <v>2020-11-03</v>
                  </pt>
                  <pt idx="179">
                    <v>2020-11-04</v>
                  </pt>
                  <pt idx="180">
                    <v>2020-11-05</v>
                  </pt>
                  <pt idx="181">
                    <v>2020-11-06</v>
                  </pt>
                  <pt idx="182">
                    <v>2020-11-07</v>
                  </pt>
                  <pt idx="183">
                    <v>2020-11-08</v>
                  </pt>
                  <pt idx="184">
                    <v>2020-11-09</v>
                  </pt>
                  <pt idx="185">
                    <v>2020-11-10</v>
                  </pt>
                  <pt idx="186">
                    <v>2020-11-11</v>
                  </pt>
                  <pt idx="187">
                    <v>2020-11-12</v>
                  </pt>
                  <pt idx="188">
                    <v>2020-11-13</v>
                  </pt>
                  <pt idx="189">
                    <v>2020-11-14</v>
                  </pt>
                  <pt idx="190">
                    <v>2020-11-15</v>
                  </pt>
                  <pt idx="191">
                    <v>2020-11-16</v>
                  </pt>
                  <pt idx="192">
                    <v>2020-11-17</v>
                  </pt>
                  <pt idx="193">
                    <v>2020-11-18</v>
                  </pt>
                  <pt idx="194">
                    <v>2020-11-19</v>
                  </pt>
                  <pt idx="195">
                    <v>2020-11-20</v>
                  </pt>
                  <pt idx="196">
                    <v>2020-11-21</v>
                  </pt>
                  <pt idx="197">
                    <v>2020-11-22</v>
                  </pt>
                  <pt idx="198">
                    <v>2020-11-23</v>
                  </pt>
                  <pt idx="199">
                    <v>2020-11-24</v>
                  </pt>
                  <pt idx="200">
                    <v>2020-11-25</v>
                  </pt>
                  <pt idx="201">
                    <v>2020-11-26</v>
                  </pt>
                  <pt idx="202">
                    <v>2020-11-27</v>
                  </pt>
                  <pt idx="203">
                    <v>2020-11-28</v>
                  </pt>
                  <pt idx="204">
                    <v>2020-11-29</v>
                  </pt>
                  <pt idx="205">
                    <v>2020-11-30</v>
                  </pt>
                  <pt idx="206">
                    <v>2020-12-01</v>
                  </pt>
                  <pt idx="207">
                    <v>2020-12-02</v>
                  </pt>
                  <pt idx="208">
                    <v>2020-12-03</v>
                  </pt>
                  <pt idx="209">
                    <v>2020-12-04</v>
                  </pt>
                  <pt idx="210">
                    <v>2020-12-05</v>
                  </pt>
                  <pt idx="211">
                    <v>2020-12-06</v>
                  </pt>
                  <pt idx="212">
                    <v>2020-12-07</v>
                  </pt>
                  <pt idx="213">
                    <v>2020-12-08</v>
                  </pt>
                  <pt idx="214">
                    <v>2020-12-09</v>
                  </pt>
                  <pt idx="215">
                    <v>2020-12-10</v>
                  </pt>
                  <pt idx="216">
                    <v>2020-12-11</v>
                  </pt>
                  <pt idx="217">
                    <v>2020-12-12</v>
                  </pt>
                  <pt idx="218">
                    <v>2020-12-13</v>
                  </pt>
                  <pt idx="219">
                    <v>2020-12-14</v>
                  </pt>
                  <pt idx="220">
                    <v>2020-12-15</v>
                  </pt>
                  <pt idx="221">
                    <v>2020-12-16</v>
                  </pt>
                  <pt idx="222">
                    <v>2020-12-17</v>
                  </pt>
                  <pt idx="223">
                    <v>2020-12-18</v>
                  </pt>
                  <pt idx="224">
                    <v>2020-12-19</v>
                  </pt>
                  <pt idx="225">
                    <v>2020-12-20</v>
                  </pt>
                  <pt idx="226">
                    <v>2020-12-21</v>
                  </pt>
                  <pt idx="227">
                    <v>2020-12-22</v>
                  </pt>
                  <pt idx="228">
                    <v>2020-12-23</v>
                  </pt>
                  <pt idx="229">
                    <v>2020-12-24</v>
                  </pt>
                  <pt idx="230">
                    <v>2020-12-25</v>
                  </pt>
                  <pt idx="231">
                    <v>2020-12-26</v>
                  </pt>
                  <pt idx="232">
                    <v>2020-12-27</v>
                  </pt>
                  <pt idx="233">
                    <v>2020-12-28</v>
                  </pt>
                  <pt idx="234">
                    <v>2020-12-29</v>
                  </pt>
                  <pt idx="235">
                    <v>2020-12-30</v>
                  </pt>
                  <pt idx="236">
                    <v>2020-12-31</v>
                  </pt>
                  <pt idx="237">
                    <v>2021-01-01</v>
                  </pt>
                  <pt idx="238">
                    <v>2021-01-02</v>
                  </pt>
                  <pt idx="239">
                    <v>2021-01-03</v>
                  </pt>
                  <pt idx="240">
                    <v>2021-01-04</v>
                  </pt>
                  <pt idx="241">
                    <v>2021-01-05</v>
                  </pt>
                  <pt idx="242">
                    <v>2021-01-06</v>
                  </pt>
                  <pt idx="243">
                    <v>2021-01-07</v>
                  </pt>
                  <pt idx="244">
                    <v>2021-01-08</v>
                  </pt>
                  <pt idx="245">
                    <v>2021-01-09</v>
                  </pt>
                  <pt idx="246">
                    <v>2021-01-10</v>
                  </pt>
                  <pt idx="247">
                    <v>2021-01-11</v>
                  </pt>
                  <pt idx="248">
                    <v>2021-01-12</v>
                  </pt>
                  <pt idx="249">
                    <v>2021-01-13</v>
                  </pt>
                  <pt idx="250">
                    <v>2021-01-14</v>
                  </pt>
                  <pt idx="251">
                    <v>2021-01-15</v>
                  </pt>
                  <pt idx="252">
                    <v>2021-01-16</v>
                  </pt>
                  <pt idx="253">
                    <v>2021-01-17</v>
                  </pt>
                  <pt idx="254">
                    <v>2021-01-18</v>
                  </pt>
                  <pt idx="255">
                    <v>2021-01-19</v>
                  </pt>
                  <pt idx="256">
                    <v>2021-01-20</v>
                  </pt>
                  <pt idx="257">
                    <v>2021-01-21</v>
                  </pt>
                  <pt idx="258">
                    <v>2021-01-22</v>
                  </pt>
                  <pt idx="259">
                    <v>2021-01-23</v>
                  </pt>
                  <pt idx="260">
                    <v>2021-01-24</v>
                  </pt>
                  <pt idx="261">
                    <v>2021-01-25</v>
                  </pt>
                  <pt idx="262">
                    <v>2021-01-26</v>
                  </pt>
                  <pt idx="263">
                    <v>2021-01-27</v>
                  </pt>
                  <pt idx="264">
                    <v>2021-01-28</v>
                  </pt>
                  <pt idx="265">
                    <v>2021-01-29</v>
                  </pt>
                  <pt idx="266">
                    <v>2021-01-30</v>
                  </pt>
                  <pt idx="267">
                    <v>2021-01-31</v>
                  </pt>
                  <pt idx="268">
                    <v>2021-02-01</v>
                  </pt>
                  <pt idx="269">
                    <v>2021-02-02</v>
                  </pt>
                  <pt idx="270">
                    <v>2021-02-03</v>
                  </pt>
                  <pt idx="271">
                    <v>2021-02-04</v>
                  </pt>
                  <pt idx="272">
                    <v>2021-02-05</v>
                  </pt>
                  <pt idx="273">
                    <v>2021-02-06</v>
                  </pt>
                  <pt idx="274">
                    <v>2021-02-07</v>
                  </pt>
                  <pt idx="275">
                    <v>2021-02-08</v>
                  </pt>
                  <pt idx="276">
                    <v>2021-02-09</v>
                  </pt>
                  <pt idx="277">
                    <v>2021-03-02</v>
                  </pt>
                  <pt idx="278">
                    <v>2021-03-03</v>
                  </pt>
                  <pt idx="279">
                    <v>2021-03-04</v>
                  </pt>
                  <pt idx="280">
                    <v>2021-03-05</v>
                  </pt>
                  <pt idx="281">
                    <v>2021-03-06</v>
                  </pt>
                  <pt idx="282">
                    <v>2021-03-07</v>
                  </pt>
                  <pt idx="283">
                    <v>2021-03-08</v>
                  </pt>
                  <pt idx="284">
                    <v>2021-03-09</v>
                  </pt>
                  <pt idx="285">
                    <v>2021-03-10</v>
                  </pt>
                  <pt idx="286">
                    <v>2021-03-11</v>
                  </pt>
                  <pt idx="287">
                    <v>2021-03-15</v>
                  </pt>
                  <pt idx="288">
                    <v>2021-03-16</v>
                  </pt>
                  <pt idx="289">
                    <v>2021-03-17</v>
                  </pt>
                  <pt idx="290">
                    <v>2021-03-18</v>
                  </pt>
                  <pt idx="291">
                    <v>2021-03-19</v>
                  </pt>
                  <pt idx="292">
                    <v>2021-03-20</v>
                  </pt>
                  <pt idx="293">
                    <v>2021-03-21</v>
                  </pt>
                  <pt idx="294">
                    <v>2021-03-22</v>
                  </pt>
                  <pt idx="295">
                    <v>2021-03-23</v>
                  </pt>
                  <pt idx="296">
                    <v>2021-03-24</v>
                  </pt>
                  <pt idx="297">
                    <v>2021-03-25</v>
                  </pt>
                  <pt idx="298">
                    <v>2021-03-26</v>
                  </pt>
                  <pt idx="299">
                    <v>2021-03-27</v>
                  </pt>
                  <pt idx="300">
                    <v>2021-03-28</v>
                  </pt>
                  <pt idx="301">
                    <v>2021-03-29</v>
                  </pt>
                  <pt idx="302">
                    <v>2021-03-30</v>
                  </pt>
                  <pt idx="303">
                    <v>2021-03-31</v>
                  </pt>
                  <pt idx="304">
                    <v>2021-04-01</v>
                  </pt>
                  <pt idx="305">
                    <v>2021-04-02</v>
                  </pt>
                  <pt idx="306">
                    <v>2021-04-03</v>
                  </pt>
                  <pt idx="307">
                    <v>2021-04-04</v>
                  </pt>
                  <pt idx="308">
                    <v>2021-04-05</v>
                  </pt>
                  <pt idx="309">
                    <v>2021-04-06</v>
                  </pt>
                  <pt idx="310">
                    <v>2021-04-07</v>
                  </pt>
                  <pt idx="311">
                    <v>2021-04-08</v>
                  </pt>
                  <pt idx="312">
                    <v>2021-04-09</v>
                  </pt>
                  <pt idx="313">
                    <v>2021-04-10</v>
                  </pt>
                  <pt idx="314">
                    <v>2021-04-11</v>
                  </pt>
                  <pt idx="315">
                    <v>2021-04-12</v>
                  </pt>
                  <pt idx="316">
                    <v>2021-04-13</v>
                  </pt>
                  <pt idx="317">
                    <v>2021-04-14</v>
                  </pt>
                  <pt idx="318">
                    <v>2021-04-15</v>
                  </pt>
                  <pt idx="319">
                    <v>2021-04-16</v>
                  </pt>
                  <pt idx="320">
                    <v>2021-04-17</v>
                  </pt>
                  <pt idx="321">
                    <v>2021-04-18</v>
                  </pt>
                  <pt idx="322">
                    <v>2021-04-19</v>
                  </pt>
                  <pt idx="323">
                    <v>2021-04-20</v>
                  </pt>
                  <pt idx="324">
                    <v>2021-04-21</v>
                  </pt>
                  <pt idx="325">
                    <v>2021-04-22</v>
                  </pt>
                  <pt idx="326">
                    <v>2021-04-23</v>
                  </pt>
                  <pt idx="327">
                    <v>2021-04-24</v>
                  </pt>
                  <pt idx="328">
                    <v>2021-04-25</v>
                  </pt>
                  <pt idx="329">
                    <v>2021-04-26</v>
                  </pt>
                  <pt idx="330">
                    <v>2021-04-27</v>
                  </pt>
                  <pt idx="331">
                    <v>2021-04-28</v>
                  </pt>
                  <pt idx="332">
                    <v>2021-04-29</v>
                  </pt>
                  <pt idx="333">
                    <v>2021-04-30</v>
                  </pt>
                  <pt idx="334">
                    <v>2021-05-01</v>
                  </pt>
                  <pt idx="335">
                    <v>2021-05-02</v>
                  </pt>
                  <pt idx="336">
                    <v>2021-05-03</v>
                  </pt>
                  <pt idx="337">
                    <v>2021-05-04</v>
                  </pt>
                  <pt idx="338">
                    <v>2021-05-05</v>
                  </pt>
                  <pt idx="339">
                    <v>2021-05-06</v>
                  </pt>
                  <pt idx="340">
                    <v>2021-05-07</v>
                  </pt>
                  <pt idx="341">
                    <v>2021-05-08</v>
                  </pt>
                  <pt idx="342">
                    <v>2021-05-09</v>
                  </pt>
                  <pt idx="343">
                    <v>2021-05-10</v>
                  </pt>
                  <pt idx="344">
                    <v>2021-05-11</v>
                  </pt>
                </lvl>
              </multiLvlStrCache>
              <f>'상품별-피벗'!$J$5:$K$350</f>
            </multiLvlStrRef>
          </cat>
          <val>
            <numRef>
              <f>'상품별-피벗'!$N$5:$N$350</f>
              <numCache>
                <formatCode>General</formatCode>
                <ptCount val="345"/>
                <pt idx="1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134113808"/>
        <axId val="1134112848"/>
      </barChart>
      <catAx>
        <axId val="11341138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134112848"/>
        <crosses val="autoZero"/>
        <auto val="1"/>
        <lblAlgn val="ctr"/>
        <lblOffset val="100"/>
        <noMultiLvlLbl val="0"/>
      </catAx>
      <valAx>
        <axId val="113411284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134113808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[02.유즈_이지어드민_데이터 정리_헤더변경 ★ - 복사본.xlsx]상세 상품별 실적!피벗 테이블2</name>
    <fmtId val="1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 i="1"/>
              <a:t>상품별 상세 실적</a:t>
            </a:r>
            <a:r>
              <a:rPr lang="en-US" altLang="ko-KR" b="1" i="1"/>
              <a:t xml:space="preserve">(CS, </a:t>
            </a:r>
            <a:r>
              <a:rPr lang="ko-KR" altLang="en-US" b="1" i="1"/>
              <a:t>밀리밀건 제외</a:t>
            </a:r>
            <a:r>
              <a:rPr lang="en-US" altLang="ko-KR" b="1" i="1"/>
              <a:t>)</a:t>
            </a:r>
            <a:endParaRPr lang="ko-KR" altLang="en-US" b="1" i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'상세 상품별 실적'!$D$36:$D$37</f>
              <strCache>
                <ptCount val="1"/>
                <pt idx="0">
                  <v>총합계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'상세 상품별 실적'!$B$38:$C$38</f>
              <strCache>
                <ptCount val="1"/>
                <pt idx="0">
                  <v>총합계</v>
                </pt>
              </strCache>
            </strRef>
          </cat>
          <val>
            <numRef>
              <f>'상세 상품별 실적'!$D$38</f>
              <numCache>
                <formatCode>General</formatCode>
                <ptCount val="1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231341752"/>
        <axId val="1231339832"/>
      </barChart>
      <catAx>
        <axId val="123134175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231339832"/>
        <crosses val="autoZero"/>
        <auto val="1"/>
        <lblAlgn val="ctr"/>
        <lblOffset val="100"/>
        <noMultiLvlLbl val="0"/>
      </catAx>
      <valAx>
        <axId val="123133983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231341752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1</col>
      <colOff>56029</colOff>
      <row>1</row>
      <rowOff>168089</rowOff>
    </from>
    <to>
      <col>18</col>
      <colOff>61510</colOff>
      <row>28</row>
      <rowOff>176892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123264</colOff>
      <row>1</row>
      <rowOff>179295</rowOff>
    </from>
    <to>
      <col>35</col>
      <colOff>100853</colOff>
      <row>28</row>
      <rowOff>167608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</col>
      <colOff>33616</colOff>
      <row>2</row>
      <rowOff>62751</rowOff>
    </from>
    <to>
      <col>8</col>
      <colOff>537882</colOff>
      <row>30</row>
      <rowOff>145676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02" refreshedDate="44328.50685497685" createdVersion="6" refreshedVersion="7" minRefreshableVersion="3" recordCount="8291" r:id="rId1">
  <cacheSource type="worksheet">
    <worksheetSource ref="B1:L1048576" sheet="RD"/>
  </cacheSource>
  <cacheFields count="11">
    <cacheField name="일자" uniqueList="1" numFmtId="0" sqlType="0" hierarchy="0" level="0" databaseField="1">
      <sharedItems count="640" containsBlank="1" containsDate="1" containsMixedTypes="1" minDate="2019-08-01T00:00:00" maxDate="2021-05-12T00:00:00">
        <d v="2021-02-09T00:00:00"/>
        <d v="2020-05-22T00:00:00"/>
        <d v="2020-05-23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m/>
        <s v="2021-02-16"/>
        <s v="2021-02-17"/>
        <s v="2021-02-22"/>
        <s v="2021-02-21"/>
        <s v="2021-02-23"/>
        <s v="2021-02-25"/>
        <s v="2021-02-26"/>
        <s v="2021-02-27"/>
        <s v="2021-02-28"/>
        <s v="2021-03-01"/>
        <s v="2021-03-02"/>
        <s v="2021-03-03"/>
        <s v="2021-03-04"/>
        <s v="2021-03-05"/>
        <s v="2021-03-06"/>
        <s v="2021-03-07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19-09-29T00:00:00" u="1"/>
        <d v="2019-10-25T00:00:00" u="1"/>
        <d v="2019-11-21T00:00:00" u="1"/>
        <d v="2019-12-17T00:00:00" u="1"/>
        <d v="2019-10-27T00:00:00" u="1"/>
        <d v="2019-11-23T00:00:00" u="1"/>
        <d v="2019-12-19T00:00:00" u="1"/>
        <d v="2019-10-29T00:00:00" u="1"/>
        <d v="2019-11-25T00:00:00" u="1"/>
        <d v="2019-12-21T00:00:00" u="1"/>
        <d v="2020-01-02T00:00:00" u="1"/>
        <d v="2019-10-31T00:00:00" u="1"/>
        <d v="2019-11-27T00:00:00" u="1"/>
        <d v="2019-12-23T00:00:00" u="1"/>
        <d v="2020-01-04T00:00:00" u="1"/>
        <d v="2019-11-29T00:00:00" u="1"/>
        <d v="2019-12-25T00:00:00" u="1"/>
        <d v="2020-01-06T00:00:00" u="1"/>
        <d v="2020-02-02T00:00:00" u="1"/>
        <d v="2019-12-27T00:00:00" u="1"/>
        <d v="2020-01-08T00:00:00" u="1"/>
        <d v="2020-02-04T00:00:00" u="1"/>
        <d v="2019-12-29T00:00:00" u="1"/>
        <d v="2020-01-10T00:00:00" u="1"/>
        <d v="2020-02-06T00:00:00" u="1"/>
        <d v="2020-03-02T00:00:00" u="1"/>
        <d v="2019-12-31T00:00:00" u="1"/>
        <d v="2020-01-12T00:00:00" u="1"/>
        <d v="2020-02-08T00:00:00" u="1"/>
        <d v="2020-03-04T00:00:00" u="1"/>
        <d v="2020-01-14T00:00:00" u="1"/>
        <d v="2020-02-10T00:00:00" u="1"/>
        <d v="2020-03-06T00:00:00" u="1"/>
        <d v="2020-04-02T00:00:00" u="1"/>
        <d v="2020-01-16T00:00:00" u="1"/>
        <d v="2020-02-12T00:00:00" u="1"/>
        <d v="2020-03-08T00:00:00" u="1"/>
        <d v="2020-04-04T00:00:00" u="1"/>
        <d v="2020-01-18T00:00:00" u="1"/>
        <d v="2020-02-14T00:00:00" u="1"/>
        <d v="2020-03-10T00:00:00" u="1"/>
        <d v="2020-04-06T00:00:00" u="1"/>
        <d v="2020-05-02T00:00:00" u="1"/>
        <d v="2020-01-20T00:00:00" u="1"/>
        <d v="2020-02-16T00:00:00" u="1"/>
        <d v="2020-03-12T00:00:00" u="1"/>
        <d v="2020-04-08T00:00:00" u="1"/>
        <d v="2020-05-04T00:00:00" u="1"/>
        <d v="2020-01-22T00:00:00" u="1"/>
        <d v="2020-02-18T00:00:00" u="1"/>
        <d v="2020-03-14T00:00:00" u="1"/>
        <d v="2020-04-10T00:00:00" u="1"/>
        <d v="2020-05-06T00:00:00" u="1"/>
        <d v="2020-01-24T00:00:00" u="1"/>
        <d v="2020-02-20T00:00:00" u="1"/>
        <d v="2020-03-16T00:00:00" u="1"/>
        <d v="2020-04-12T00:00:00" u="1"/>
        <d v="2020-05-08T00:00:00" u="1"/>
        <d v="2020-01-26T00:00:00" u="1"/>
        <d v="2020-02-22T00:00:00" u="1"/>
        <d v="2020-03-18T00:00:00" u="1"/>
        <d v="2020-04-14T00:00:00" u="1"/>
        <d v="2020-05-10T00:00:00" u="1"/>
        <d v="2020-01-28T00:00:00" u="1"/>
        <d v="2020-02-24T00:00:00" u="1"/>
        <d v="2020-03-20T00:00:00" u="1"/>
        <d v="2020-04-16T00:00:00" u="1"/>
        <d v="2020-05-12T00:00:00" u="1"/>
        <d v="2020-01-30T00:00:00" u="1"/>
        <d v="2020-02-26T00:00:00" u="1"/>
        <d v="2020-03-22T00:00:00" u="1"/>
        <d v="2020-04-18T00:00:00" u="1"/>
        <d v="2020-05-14T00:00:00" u="1"/>
        <d v="2019-08-02T00:00:00" u="1"/>
        <d v="2020-02-28T00:00:00" u="1"/>
        <d v="2020-03-24T00:00:00" u="1"/>
        <d v="2020-04-20T00:00:00" u="1"/>
        <d v="2020-05-16T00:00:00" u="1"/>
        <d v="2019-08-04T00:00:00" u="1"/>
        <d v="2020-03-26T00:00:00" u="1"/>
        <d v="2020-04-22T00:00:00" u="1"/>
        <d v="2020-05-18T00:00:00" u="1"/>
        <d v="2019-08-06T00:00:00" u="1"/>
        <d v="2019-09-02T00:00:00" u="1"/>
        <d v="2020-03-28T00:00:00" u="1"/>
        <d v="2020-04-24T00:00:00" u="1"/>
        <d v="2020-05-20T00:00:00" u="1"/>
        <d v="2019-08-08T00:00:00" u="1"/>
        <d v="2019-09-04T00:00:00" u="1"/>
        <d v="2020-03-30T00:00:00" u="1"/>
        <d v="2020-04-26T00:00:00" u="1"/>
        <d v="2019-08-10T00:00:00" u="1"/>
        <d v="2019-09-06T00:00:00" u="1"/>
        <d v="2019-10-02T00:00:00" u="1"/>
        <d v="2020-04-28T00:00:00" u="1"/>
        <d v="2019-08-12T00:00:00" u="1"/>
        <d v="2019-09-08T00:00:00" u="1"/>
        <d v="2019-10-04T00:00:00" u="1"/>
        <d v="2020-04-30T00:00:00" u="1"/>
        <d v="2019-08-14T00:00:00" u="1"/>
        <d v="2019-09-10T00:00:00" u="1"/>
        <d v="2019-10-06T00:00:00" u="1"/>
        <d v="2019-11-02T00:00:00" u="1"/>
        <d v="2019-08-16T00:00:00" u="1"/>
        <d v="2019-09-12T00:00:00" u="1"/>
        <d v="2019-10-08T00:00:00" u="1"/>
        <d v="2019-11-04T00:00:00" u="1"/>
        <d v="2019-08-18T00:00:00" u="1"/>
        <d v="2019-09-14T00:00:00" u="1"/>
        <d v="2019-10-10T00:00:00" u="1"/>
        <d v="2019-11-06T00:00:00" u="1"/>
        <d v="2019-12-02T00:00:00" u="1"/>
        <d v="2019-08-20T00:00:00" u="1"/>
        <d v="2019-09-16T00:00:00" u="1"/>
        <d v="2019-10-12T00:00:00" u="1"/>
        <d v="2019-11-08T00:00:00" u="1"/>
        <d v="2019-12-04T00:00:00" u="1"/>
        <d v="2019-08-22T00:00:00" u="1"/>
        <d v="2019-09-18T00:00:00" u="1"/>
        <d v="2019-10-14T00:00:00" u="1"/>
        <d v="2019-11-10T00:00:00" u="1"/>
        <d v="2019-12-06T00:00:00" u="1"/>
        <d v="2019-08-24T00:00:00" u="1"/>
        <d v="2019-09-20T00:00:00" u="1"/>
        <d v="2019-10-16T00:00:00" u="1"/>
        <d v="2019-11-12T00:00:00" u="1"/>
        <d v="2019-12-08T00:00:00" u="1"/>
        <d v="2019-08-26T00:00:00" u="1"/>
        <d v="2019-09-22T00:00:00" u="1"/>
        <d v="2019-10-18T00:00:00" u="1"/>
        <d v="2019-11-14T00:00:00" u="1"/>
        <d v="2019-12-10T00:00:00" u="1"/>
        <d v="2019-08-28T00:00:00" u="1"/>
        <d v="2019-10-20T00:00:00" u="1"/>
        <d v="2019-11-16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19-09-28T00:00:00" u="1"/>
        <d v="2019-10-24T00:00:00" u="1"/>
        <d v="2019-11-20T00:00:00" u="1"/>
        <d v="2019-12-16T00:00:00" u="1"/>
        <d v="2019-09-30T00:00:00" u="1"/>
        <d v="2019-10-26T00:00:00" u="1"/>
        <d v="2019-11-22T00:00:00" u="1"/>
        <d v="2019-12-18T00:00:00" u="1"/>
        <d v="2019-10-28T00:00:00" u="1"/>
        <d v="2019-11-24T00:00:00" u="1"/>
        <d v="2019-12-20T00:00:00" u="1"/>
        <d v="2020-01-01T00:00:00" u="1"/>
        <d v="2019-10-30T00:00:00" u="1"/>
        <d v="2019-11-26T00:00:00" u="1"/>
        <d v="2019-12-22T00:00:00" u="1"/>
        <d v="2020-01-03T00:00:00" u="1"/>
        <d v="2019-11-28T00:00:00" u="1"/>
        <d v="2019-12-24T00:00:00" u="1"/>
        <d v="2020-01-05T00:00:00" u="1"/>
        <d v="2020-02-01T00:00:00" u="1"/>
        <d v="2019-11-30T00:00:00" u="1"/>
        <d v="2019-12-26T00:00:00" u="1"/>
        <d v="2020-01-07T00:00:00" u="1"/>
        <d v="2020-02-03T00:00:00" u="1"/>
        <d v="2019-12-28T00:00:00" u="1"/>
        <d v="2020-01-09T00:00:00" u="1"/>
        <d v="2020-02-05T00:00:00" u="1"/>
        <d v="2020-03-01T00:00:00" u="1"/>
        <d v="2019-12-30T00:00:00" u="1"/>
        <d v="2020-01-11T00:00:00" u="1"/>
        <d v="2020-02-07T00:00:00" u="1"/>
        <d v="2020-03-03T00:00:00" u="1"/>
        <d v="2020-01-13T00:00:00" u="1"/>
        <d v="2020-02-09T00:00:00" u="1"/>
        <d v="2020-03-05T00:00:00" u="1"/>
        <d v="2020-04-01T00:00:00" u="1"/>
        <d v="2020-01-15T00:00:00" u="1"/>
        <d v="2020-02-11T00:00:00" u="1"/>
        <d v="2020-03-07T00:00:00" u="1"/>
        <d v="2020-04-03T00:00:00" u="1"/>
        <d v="2020-01-17T00:00:00" u="1"/>
        <d v="2020-02-13T00:00:00" u="1"/>
        <d v="2020-03-09T00:00:00" u="1"/>
        <d v="2020-04-05T00:00:00" u="1"/>
        <d v="2020-05-01T00:00:00" u="1"/>
        <d v="2020-01-19T00:00:00" u="1"/>
        <d v="2020-02-15T00:00:00" u="1"/>
        <d v="2020-03-11T00:00:00" u="1"/>
        <d v="2020-04-07T00:00:00" u="1"/>
        <d v="2020-05-03T00:00:00" u="1"/>
        <d v="2020-01-21T00:00:00" u="1"/>
        <d v="2020-02-17T00:00:00" u="1"/>
        <d v="2020-03-13T00:00:00" u="1"/>
        <d v="2020-04-09T00:00:00" u="1"/>
        <d v="2020-05-05T00:00:00" u="1"/>
        <d v="2020-01-23T00:00:00" u="1"/>
        <d v="2020-02-19T00:00:00" u="1"/>
        <d v="2020-03-15T00:00:00" u="1"/>
        <d v="2020-04-11T00:00:00" u="1"/>
        <d v="2020-05-07T00:00:00" u="1"/>
        <d v="2020-01-25T00:00:00" u="1"/>
        <d v="2020-02-21T00:00:00" u="1"/>
        <d v="2020-03-17T00:00:00" u="1"/>
        <d v="2020-04-13T00:00:00" u="1"/>
        <d v="2020-05-09T00:00:00" u="1"/>
        <d v="2020-01-27T00:00:00" u="1"/>
        <d v="2020-02-23T00:00:00" u="1"/>
        <d v="2020-03-19T00:00:00" u="1"/>
        <d v="2020-04-15T00:00:00" u="1"/>
        <d v="2020-05-11T00:00:00" u="1"/>
        <d v="2020-01-29T00:00:00" u="1"/>
        <d v="2020-02-25T00:00:00" u="1"/>
        <d v="2020-03-21T00:00:00" u="1"/>
        <d v="2020-04-17T00:00:00" u="1"/>
        <d v="2020-05-13T00:00:00" u="1"/>
        <d v="2019-08-01T00:00:00" u="1"/>
        <d v="2020-01-31T00:00:00" u="1"/>
        <d v="2020-02-27T00:00:00" u="1"/>
        <d v="2020-03-23T00:00:00" u="1"/>
        <d v="2020-04-19T00:00:00" u="1"/>
        <d v="2020-05-15T00:00:00" u="1"/>
        <d v="2019-08-03T00:00:00" u="1"/>
        <d v="2020-02-29T00:00:00" u="1"/>
        <d v="2020-03-25T00:00:00" u="1"/>
        <d v="2020-04-21T00:00:00" u="1"/>
        <d v="2020-05-17T00:00:00" u="1"/>
        <d v="2019-08-05T00:00:00" u="1"/>
        <d v="2019-09-01T00:00:00" u="1"/>
        <d v="2020-03-27T00:00:00" u="1"/>
        <d v="2020-04-23T00:00:00" u="1"/>
        <d v="2020-05-19T00:00:00" u="1"/>
        <d v="2019-08-07T00:00:00" u="1"/>
        <d v="2019-09-03T00:00:00" u="1"/>
        <d v="2020-03-29T00:00:00" u="1"/>
        <d v="2020-04-25T00:00:00" u="1"/>
        <d v="2020-05-21T00:00:00" u="1"/>
        <d v="2019-08-09T00:00:00" u="1"/>
        <d v="2019-09-05T00:00:00" u="1"/>
        <d v="2019-10-01T00:00:00" u="1"/>
        <d v="2020-03-31T00:00:00" u="1"/>
        <d v="2020-04-27T00:00:00" u="1"/>
        <d v="2019-08-11T00:00:00" u="1"/>
        <d v="2019-09-07T00:00:00" u="1"/>
        <d v="2019-10-03T00:00:00" u="1"/>
        <d v="2020-04-29T00:00:00" u="1"/>
        <d v="2019-08-13T00:00:00" u="1"/>
        <d v="2019-09-09T00:00:00" u="1"/>
        <d v="2019-10-05T00:00:00" u="1"/>
        <d v="2019-11-01T00:00:00" u="1"/>
        <d v="2019-08-15T00:00:00" u="1"/>
        <d v="2019-09-11T00:00:00" u="1"/>
        <d v="2019-10-07T00:00:00" u="1"/>
        <d v="2019-11-03T00:00:00" u="1"/>
        <d v="2019-08-17T00:00:00" u="1"/>
        <d v="2019-09-13T00:00:00" u="1"/>
        <d v="2019-10-09T00:00:00" u="1"/>
        <d v="2019-11-05T00:00:00" u="1"/>
        <d v="2019-12-01T00:00:00" u="1"/>
        <d v="2019-08-19T00:00:00" u="1"/>
        <d v="2019-09-15T00:00:00" u="1"/>
        <d v="2019-10-11T00:00:00" u="1"/>
        <d v="2019-11-07T00:00:00" u="1"/>
        <d v="2019-12-03T00:00:00" u="1"/>
        <d v="2019-08-21T00:00:00" u="1"/>
        <d v="2019-09-17T00:00:00" u="1"/>
        <d v="2019-10-13T00:00:00" u="1"/>
        <d v="2019-11-09T00:00:00" u="1"/>
        <d v="2019-12-05T00:00:00" u="1"/>
        <d v="2019-08-23T00:00:00" u="1"/>
        <d v="2019-09-19T00:00:00" u="1"/>
        <d v="2019-10-15T00:00:00" u="1"/>
        <d v="2019-11-11T00:00:00" u="1"/>
        <d v="2019-12-07T00:00:00" u="1"/>
        <d v="2019-08-25T00:00:00" u="1"/>
        <d v="2019-09-21T00:00:00" u="1"/>
        <d v="2019-10-17T00:00:00" u="1"/>
        <d v="2019-11-13T00:00:00" u="1"/>
        <d v="2019-12-09T00:00:00" u="1"/>
        <d v="2019-08-27T00:00:00" u="1"/>
        <d v="2019-09-23T00:00:00" u="1"/>
        <d v="2019-10-19T00:00:00" u="1"/>
        <d v="2019-11-15T00:00:00" u="1"/>
        <d v="2019-12-11T00:00:00" u="1"/>
        <d v="2019-08-29T00:00:00" u="1"/>
        <d v="2019-10-21T00:00:00" u="1"/>
        <d v="2019-11-17T00:00:00" u="1"/>
        <d v="2019-12-13T00:00:00" u="1"/>
        <d v="2019-08-31T00:00:00" u="1"/>
        <d v="2019-09-27T00:00:00" u="1"/>
        <d v="2019-10-23T00:00:00" u="1"/>
        <d v="2019-11-19T00:00:00" u="1"/>
        <d v="2019-12-15T00:00:00" u="1"/>
      </sharedItems>
    </cacheField>
    <cacheField name="요일" uniqueList="1" numFmtId="0" sqlType="0" hierarchy="0" level="0" databaseField="1">
      <sharedItems count="8" containsBlank="1">
        <s v="화"/>
        <s v="금"/>
        <s v="토"/>
        <s v="수"/>
        <s v="목"/>
        <s v="일"/>
        <s v="월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18" containsBlank="1">
        <s v="쇼핑백"/>
        <s v="고체향수"/>
        <m/>
        <s v="브랜드"/>
        <s v="0"/>
        <s v="리얼스틱" u="1"/>
        <s v="데일리 펫타올" u="1"/>
        <s v="데일리 펫타올(L)" u="1"/>
        <s v="토너" u="1"/>
        <s v="선인장정수기 부속" u="1"/>
        <s v="데일리 수딩 샴푸" u="1"/>
        <e v="#N/A" u="1"/>
        <s v="선인장정수기" u="1"/>
        <s v="눕눕백" u="1"/>
        <s v="펫타올세트" u="1"/>
        <s v="테스트용 상품" u="1"/>
        <s v="데일리 수딩 미스트" u="1"/>
        <s v="데일리 펫타올(M)" u="1"/>
      </sharedItems>
    </cacheField>
    <cacheField name="채널" uniqueList="1" numFmtId="0" sqlType="0" hierarchy="0" level="0" databaseField="1">
      <sharedItems count="26" containsBlank="1">
        <s v="카페24"/>
        <m/>
        <s v="유즈 CS"/>
        <s v="스마트스토어"/>
        <s v="W컨셉"/>
        <s v="올리브영"/>
        <s v="AD_페이스북" u="1"/>
        <s v="쿠팡" u="1"/>
        <s v="강아지대통령" u="1"/>
        <s v="CJ몰" u="1"/>
        <s v="위메프(2.0)" u="1"/>
        <s v="롯데홈쇼핑" u="1"/>
        <s v="마켓컬리" u="1"/>
        <s v="위메프" u="1"/>
        <s v="홈페이지" u="1"/>
        <s v="아누아 CS" u="1"/>
        <s v="N스토어" u="1"/>
        <s v="어몽어스 CS" u="1"/>
        <s v="프로젝트21 스토어팜" u="1"/>
        <s v="밀리밀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237" containsBlank="1">
        <s v="솔리드퍼퓸 스테이포에버 002쇼핑백=선물용 쇼핑백"/>
        <m/>
        <s v="유즈 솔리드퍼퓸 - 30ml (스테이포에버 주문 시 12/14 부터 순차배송)향=이그나이트, 세트 선택=1 개"/>
        <s v="유즈 솔리드퍼퓸 - 30ml (스테이포에버 주문 시 12/14 부터 순차배송)향=스테이포에버, 세트 선택=1 개"/>
        <s v="유즈 솔리드퍼퓸 - 30ml (스테이포에버 주문 시 12/14 부터 순차배송)향=스테이포에버, 세트 선택=2개 (28% off)"/>
        <s v="유즈 솔리드퍼퓸 - 30ml (스테이포에버 주문 시 12/14 부터 순차배송)향=이그나이트 + 스테이포에버, 세트 선택=1 SET"/>
        <s v="유즈 솔리드퍼퓸 - 30ml (스테이포에버 주문 시 12/14 순차배송)향=이그나이트, 세트 선택=1 개"/>
        <s v="유즈 솔리드퍼퓸 - 30ml (스테이포에버 주문 시 12/14 순차배송)향=스테이포에버, 세트 선택=1 개"/>
        <s v="유즈 솔리드퍼퓸 - 30ml (스테이포에버 주문 시 12/14 순차배송)향=스테이포에버, 세트 선택=2개 (28% off)"/>
        <s v="유즈 솔리드퍼퓸 - 30ml (스테이포에버 주문 시 12/14 순차배송)향=이그나이트 + 스테이포에버, 세트 선택=1 SET"/>
        <s v="유즈 솔리드퍼퓸 - 30ml (스테이포에버 주문 시 12/14 순차배송)향=이그나이트 + 스테이포에버, 세트 선택=2 SET (42% off)"/>
        <s v="유즈 스테이포에버 솔리드퍼퓸 002 (스테이포에버 주문시 12/14 순차배송)제품선택=스테이포에버 솔리드퍼퓸 002[Pre-order 이벤트 17% 할인]"/>
        <s v="유즈 스테이포에버 솔리드퍼퓸 002 (스테이포에버 주문시 12/14 순차배송)제품선택=스테이포에버 2개 세트[Pre-order 이벤트 28% 할인]"/>
        <s v="유즈 스테이포에버 솔리드퍼퓸 002 (스테이포에버 주문시 12/14 순차배송)제품선택=스테이포에버 + 이그나이트 세트"/>
        <s v="유즈 스테이포에버 솔리드퍼퓸 002 (스테이포에버 주문시 12/14 순차배송)쇼핑백=선물용 쇼핑백"/>
        <s v="유즈 이그나이트 솔리드퍼퓸 001제품선택=이그나이트 솔리드퍼퓸 - 30ml"/>
        <s v="유즈 솔리드퍼퓸 - 30ml (스테이포에버 주문 시 12/15 순차배송)향=이그나이트, 세트 선택=1 개"/>
        <s v="유즈 솔리드퍼퓸 - 30ml (스테이포에버 주문 시 12/15 순차배송)향=스테이포에버, 세트 선택=1 개"/>
        <s v="유즈 솔리드퍼퓸 - 30ml (스테이포에버 주문 시 12/15 순차배송)향=스테이포에버, 세트 선택=2개 (28% off)"/>
        <s v="유즈 솔리드퍼퓸 - 30ml (스테이포에버 주문 시 12/15 순차배송)향=이그나이트 + 스테이포에버, 세트 선택=1 SET"/>
        <s v="유즈 솔리드퍼퓸 - 30ml (스테이포에버 주문 시 12/4 부터 순차배송)향=스테이포에버, 세트 선택=1 개"/>
        <s v="유즈 솔리드퍼퓸 - 30ml (스테이포에버 주문 시 12/4 부터 순차배송)향=이그나이트 + 스테이포에버, 세트 선택=1 SET"/>
        <s v="유즈 스테이포에버 솔리드퍼퓸 002제품선택=스테이포에버 솔리드퍼퓸"/>
        <s v="유즈 스테이포에버 솔리드퍼퓸 002 (12/14 부터 순차배송)제품선택=스테이포에버 솔리드퍼퓸 002[Pre-order 이벤트 17% 할인]"/>
        <s v="유즈 스테이포에버 솔리드퍼퓸 002 (12/14 부터 순차배송)제품선택=스테이포에버 2개 세트[Pre-order 이벤트 28% 할인]"/>
        <s v="유즈 스테이포에버 솔리드퍼퓸 002 (12/14 부터 순차배송)제품선택=스테이포에버 + 이그나이트 세트"/>
        <s v="유즈 스테이포에버 솔리드퍼퓸 002 (12/14 부터 순차배송)쇼핑백=선물용 쇼핑백"/>
        <s v="유즈 스테이포에버 솔리드퍼퓸 002 (12/14 순차배송)제품선택=스테이포에버 솔리드퍼퓸 002[Pre-order 이벤트 17% 할인]"/>
        <s v="유즈 스테이포에버 솔리드퍼퓸 002 (12/14 순차배송)제품선택=스테이포에버 2개 세트[Pre-order 이벤트 28% 할인]"/>
        <s v="유즈 스테이포에버 솔리드퍼퓸 002 (12/14 순차배송)쇼핑백=선물용 쇼핑백"/>
        <s v="유즈 스테이포에버 솔리드퍼퓸 002 (12/4 부터 순차배송)쇼핑백=선물용 쇼핑백"/>
        <s v="유즈 스테이포에버 솔리드퍼퓸 002 (12/14 입고 이후 순차배송)제품선택=스테이포에버 솔리드퍼퓸 002[Pre-order 이벤트 17% 할인]"/>
        <s v="유즈 스테이포에버 솔리드퍼퓸 002 (12/4 부터 순차배송)제품선택=스테이포에버 솔리드퍼퓸 002[Pre-order 이벤트 17% 할인]"/>
        <s v="유즈 스테이포에버 솔리드퍼퓸 002 (12/4 부터 순차배송)제품선택=스테이포에버 2개 세트[Pre-order 이벤트 28% 할인]"/>
        <s v="유즈 스테이포에버 솔리드퍼퓸 002 (12/4 부터 순차배송)제품선택=스테이포에버 + 이그나이트 세트"/>
        <s v="유즈 스테이포에버 솔리드퍼퓸 002 (스테이포에버 주문시 12/15 순차배송)제품선택=스테이포에버 솔리드퍼퓸 002[Pre-order 이벤트 17% 할인]"/>
        <s v="유즈 스테이포에버 솔리드퍼퓸 002 (스테이포에버 주문시 12/15 순차배송)제품선택=스테이포에버 2개 세트[Pre-order 이벤트 28% 할인]"/>
        <s v="유즈 스테이포에버 솔리드퍼퓸 002 (스테이포에버 주문시 12/15 순차배송)제품선택=스테이포에버 + 이그나이트 세트"/>
        <s v="유즈 스테이포에버 솔리드퍼퓸 002 (스테이포에버 주문시 12/15 순차배송)쇼핑백=선물용 쇼핑백"/>
        <s v="유즈 이그나이트 솔리드퍼퓸 001제품선택=이그나이트 2개 세트"/>
        <s v="유즈 솔리드퍼퓸 - 30ml (스테이포에버 주문 시 12/15 순차배송)향=이그나이트 + 스테이포에버, 세트 선택=2 SET (42% off)"/>
        <s v="솔리드퍼퓸 스테이포에버 002 30ml"/>
        <s v="유즈 솔리드퍼퓸 - 30ml (스테이포에버 주문 시 12/15 순차배송)향=스테이포에버 002 SOLID PERFUME, 세트 선택=1"/>
        <s v="유즈 솔리드퍼퓸 - 30ml (스테이포에버 주문 시 12/15 순차배송)향=스테이포에버 002 SOLID PERFUME, 세트 선택=1 개(17% 할인)"/>
        <s v="유즈 솔리드퍼퓸 - 30ml (스테이포에버 주문 시 12/15 순차배송)향=스테이포에버 002 SOLID PERFUME, 세트 선택=best"/>
        <s v="유즈 솔리드퍼퓸 - 30ml (스테이포에버 주문 시 12/15 순차배송)향=스테이포에버 002 SOLID PERFUME, 세트 선택=best(28% 할인)2개"/>
        <s v="유즈 솔리드퍼퓸 - 30ml (스테이포에버 주문 시 12/15 순차배송)향=커플세트"/>
        <s v="유즈 솔리드퍼퓸 - 30ml (스테이포에버 주문 시 12/15 순차배송)향=커플세트(이그나이트 + 스테이포에버), 세트 선택=1 SET"/>
        <s v="유즈 스테이포에버 솔리드퍼퓸 002 (스테이포에버 주문시 12/15 순차배송)제품선택=스테이포에버 1개"/>
        <s v="유즈 스테이포에버 솔리드퍼퓸 002 (스테이포에버 주문시 12/15 순차배송)제품선택=스테이포에버 1개 [17% 할인]"/>
        <s v="유즈 스테이포에버 솔리드퍼퓸 002 (스테이포에버 주문시 12/15 순차배송)제품선택=스테이포에버 [17% 할인]"/>
        <s v="유즈 스테이포에버 솔리드퍼퓸 002 (스테이포에버 주문시 12/15 순차배송)제품선택=best"/>
        <s v="유즈 스테이포에버 솔리드퍼퓸 002 (스테이포에버 주문시 12/15 순차배송)제품선택=best스테이포에버 2개[28% 할인]"/>
        <s v="유즈 스테이포에버 솔리드퍼퓸 002 (스테이포에버 주문시 12/15 순차배송)제품선택=커플추천"/>
        <s v="유즈 솔리드퍼퓸 - 30ml (스테이포에버 주문 시 12/15 순차배송)향=이그나이트 001 SOLID PERFUME, 세트 선택=1"/>
        <s v="유즈 솔리드퍼퓸 - 30ml (스테이포에버 주문 시 12/15 순차배송)향=커플세트(이그나이트 + 스테이포에버), 세트 선택=2 SET (42% 할인)"/>
        <s v="유즈 스테이포에버 솔리드퍼퓸 002 (스테이포에버 주문시 12/15 순차배송)제품선택=커플추천스테이포에버 + 이그나이트 세트"/>
        <s v="스테이포에버 솔리드퍼퓸 002 (10차 재입고 완료제품선택=스테이포에버 1개"/>
        <s v="스테이포에버 솔리드퍼퓸 002 (10차 재입고 완료제품선택=best"/>
        <s v="스테이포에버 솔리드퍼퓸 002 (10차 재입고 완료제품선택=커플추천"/>
        <s v="스테이포에버 솔리드퍼퓸 002 (10차 재입고 완료쇼핑백=선물용 쇼핑백"/>
        <s v="스테이포에버 솔리드퍼퓸 002 (10차 재입고 완료)제품선택=스테이포에버 1개"/>
        <s v="스테이포에버 솔리드퍼퓸 002 (10차 재입고 완료)제품선택=best스테이포에버 2개[28% 할인]"/>
        <s v="스테이포에버 솔리드퍼퓸 002 (10차 재입고 완료)제품선택=커플추천스테이포에버 + 이그나이트 세트"/>
        <s v="스테이포에버 솔리드퍼퓸 002 (10차 재입고 완료)쇼핑백=선물용 쇼핑백"/>
        <s v="유즈 솔리드퍼퓸 - 30ml (10차 재입고 완료향=스테이포에버 002 SOLID PERFUME, 세트 선택=1개"/>
        <s v="유즈 솔리드퍼퓸 - 30ml (10차 재입고 완료 )향=스테이포에버 002 SOLID PERFUME, 세트 선택=1개"/>
        <s v="유즈 솔리드퍼퓸 - 30ml (10차 재입고 완료 )향=스테이포에버 002 SOLID PERFUME, 세트 선택=best 2개 (28% 할인)"/>
        <s v="유즈 스테이포에버 솔리드퍼퓸 002 (10차 재입고 완료제품선택=커플추천"/>
        <s v="유즈 스테이포에버 솔리드퍼퓸 002 (10차 재입고 완료)제품선택=스테이포에버 1개"/>
        <s v="유즈 솔리드퍼퓸 - 30ml (10차 재입고 완료향=이그나이트 001 SOLID PERFUME, 세트 선택=1개"/>
        <s v="유즈 솔리드퍼퓸 - 30ml (10차 재입고 완료향=스테이포에버 002 SOLID PERFUME, 세트 선택=best"/>
        <s v="유즈 솔리드퍼퓸 - 30ml (10차 재입고 완료향=커플세트"/>
        <s v="유즈 솔리드퍼퓸 - 30ml (10차 재입고 완료 )향=이그나이트 001 SOLID PERFUME, 세트 선택=1개"/>
        <s v="유즈 솔리드퍼퓸 - 30ml (10차 재입고 완료 )향=커플세트(이그나이트 + 스테이포에버), 세트 선택=1 SET"/>
        <s v="유즈 솔리드퍼퓸 - 30ml (10차 재입고 완료향=이그나이트 001 SOLID PERFUME, 세트 선택=best"/>
        <s v="유즈 스테이포에버 솔리드퍼퓸 002 (10차 재입고 완료제품선택=스테이포에버 1개"/>
        <s v="유즈 스테이포에버 솔리드퍼퓸 002 (10차 재입고 완료제품선택=best"/>
        <s v="유즈 스테이포에버 솔리드퍼퓸 002 (10차 재입고 완료쇼핑백=선물용 쇼핑백"/>
        <s v="유즈 스테이포에버 솔리드퍼퓸 002 (10차 재입고 완료)제품선택=best스테이포에버 2개[28% 할인]"/>
        <s v="유즈 스테이포에버 솔리드퍼퓸 002 (10차 재입고 완료)제품선택=커플추천스테이포에버 + 이그나이트 세트"/>
        <s v="유즈 스테이포에버 솔리드퍼퓸 002 (10차 재입고 완료)쇼핑백=선물용 쇼핑백"/>
        <s v="유즈 이그나이트 솔리드퍼퓸 001쇼핑백=선물용 쇼핑백"/>
        <s v="SHOPPING BAG"/>
        <s v="유즈 솔리드퍼퓸 - 30ml (10차 재입고 완료 )향=이그나이트 001 SOLID PERFUME, 세트 선택=best 2개 (28% 할인)"/>
        <s v="유즈 솔리드퍼퓸 - 30ml (10차 재입고 완료 )향=커플세트(이그나이트 + 스테이포에버), 세트 선택=2 SET (42% 할인)"/>
        <s v="유즈 솔리드퍼퓸 - 30ml (10차 재입고 완료)향=커플세트"/>
        <s v="유즈 솔리드퍼퓸 - 30ml (10차 재입고 완료)향=이그나이트 001 SOLID PERFUME, 세트 선택=1개"/>
        <s v="유즈 솔리드퍼퓸 - 30ml (10차 재입고 완료)향=이그나이트 001 SOLID PERFUME, 세트 선택=best"/>
        <s v="유즈 솔리드퍼퓸 - 30ml (10차 재입고 완료)향=스테이포에버 002 SOLID PERFUME, 세트 선택=1개"/>
        <s v="유즈 솔리드퍼퓸 - 30ml (10차 재입고 완료)향=스테이포에버 002 SOLID PERFUME, 세트 선택=best 2개 (28% 할인)"/>
        <s v="유즈 솔리드퍼퓸 - 30ml (10차 재입고 완료)향=커플세트(이그나이트 + 스테이포에버), 세트 선택=1 SET"/>
        <s v="유즈 스테이포에버 솔리드퍼퓸 002 (10차 재입고 완료)제품선택=best"/>
        <s v="유즈 스테이포에버 솔리드퍼퓸 002 (10차 재입고 완료)제품선택=커플추천"/>
        <s v="유즈 솔리드퍼퓸 - 30ml (10차 재입고 완료)향=스테이포에버 002 SOLID PERFUME, 세트 선택=best"/>
        <s v="유즈 솔리드퍼퓸 - 30ml (10차 재입고 완료)향=커플세트(이그나이트 + 스테이포에버), 세트 선택=2 SET (42% 할인)"/>
        <s v="유즈 솔리드퍼퓸 - 30ml (11차 예약구매 진행중)향=스테이포에버 002 SOLID PERFUME, 세트 선택=1개"/>
        <s v="유즈 솔리드퍼퓸 - 30ml (11차 예약구매 진행중)향=스테이포에버 002 SOLID PERFUME, 세트 선택=best 2개 (28% 할인)"/>
        <s v="유즈 스테이포에버 솔리드퍼퓸 002 (11차 예약구매 진행중)제품선택=스테이포에버 1개"/>
        <s v="유즈 스테이포에버 솔리드퍼퓸 002 (11차 예약구매 진행중)제품선택=best"/>
        <s v="유즈 스테이포에버 솔리드퍼퓸 002 (11차 예약구매 진행중)제품선택=best스테이포에버 2개[28% 할인]"/>
        <s v="유즈 스테이포에버 솔리드퍼퓸 002 (11차 예약구매 진행중)제품선택=커플추천"/>
        <s v="유즈 스테이포에버 솔리드퍼퓸 002 (11차 예약구매 진행중)제품선택=커플추천스테이포에버 + 이그나이트 세트"/>
        <s v="유즈 스테이포에버 솔리드퍼퓸 002 (11차 예약구매 진행중)쇼핑백=선물용 쇼핑백"/>
        <s v="유즈 솔리드퍼퓸 - 30ml (11차 예약구매 진행중)향=이그나이트 001 SOLID PERFUME, 세트 선택=1개"/>
        <s v="유즈 솔리드퍼퓸 - 30ml (11차 예약구매 진행중)향=스테이포에버 002 SOLID PERFUME, 세트 선택=best"/>
        <s v="유즈 솔리드퍼퓸 - 30ml (11차 예약구매 진행중)향=커플세트"/>
        <s v="유즈 솔리드퍼퓸 - 30ml (11차 예약구매 진행중)향=커플세트(이그나이트 + 스테이포에버), 세트 선택=1 SET"/>
        <s v="유즈 솔리드퍼퓸 - 30ml (11차 예약구매 진행중)향=커플세트(이그나이트 + 스테이포에버), 세트 선택=2 SET (42% 할인)"/>
        <s v="유즈 솔리드퍼퓸 - 30ml (11차 예약구매 진행중)향=이그나이트 001 SOLID PERFUME, 세트 선택=best"/>
        <s v="유즈 솔리드퍼퓸 - 30ml (11차 예약구매 진행중)향=이그나이트 001 SOLID PERFUME, 세트 선택=best 2개 (28% 할인)"/>
        <s v="유즈 솔리드퍼퓸 - 30ml향=스테이포에버 002 SOLID PERFUME, 세트 선택=1개"/>
        <s v="유즈 솔리드퍼퓸 - 30ml향=스테이포에버 002 SOLID PERFUME, 세트 선택=best"/>
        <s v="유즈 솔리드퍼퓸 - 30ml향=커플세트"/>
        <s v="유즈 솔리드퍼퓸 - 30ml향=커플세트(이그나이트 + 스테이포에버), 세트 선택=1 SET"/>
        <s v="유즈 스테이포에버 솔리드퍼퓸 002제품선택=스테이포에버 1개"/>
        <s v="유즈 스테이포에버 솔리드퍼퓸 002제품선택=best"/>
        <s v="유즈 스테이포에버 솔리드퍼퓸 002제품선택=best스테이포에버 2개[28% 할인]"/>
        <s v="유즈 스테이포에버 솔리드퍼퓸 002제품선택=커플추천"/>
        <s v="유즈 스테이포에버 솔리드퍼퓸 002제품선택=커플추천스테이포에버 + 이그나이트 세트"/>
        <s v="유즈 스테이포에버 솔리드퍼퓸 002쇼핑백=선물용 쇼핑백"/>
        <s v="유즈 솔리드퍼퓸 - 30ml향=이그나이트 001 SOLID PERFUME, 세트 선택=1개"/>
        <s v="유즈 솔리드퍼퓸 - 30ml향=스테이포에버 002 SOLID PERFUME, 세트 선택=best 2개 (28% 할인)"/>
        <s v="유즈 솔리드퍼퓸 - 30ml향=커플세트(이그나이트 + 스테이포에버), 세트 선택=2 SET (42% 할인)"/>
        <s v="유즈 솔리드퍼퓸 - 스테이포에버 002제품선택=스테이포에버 1개"/>
        <s v="유즈 솔리드퍼퓸 - 스테이포에버 002제품선택=best"/>
        <s v="유즈 솔리드퍼퓸 - 스테이포에버 002제품선택=best스테이포에버 2개[28% 할인]"/>
        <s v="유즈 솔리드퍼퓸 - 스테이포에버 002제품선택=커플추천"/>
        <s v="유즈 솔리드퍼퓸 - 스테이포에버 002제품선택=커플추천스테이포에버 + 이그나이트 세트"/>
        <s v="유즈 솔리드퍼퓸 - 스테이포에버 002쇼핑백=선물용 쇼핑백"/>
        <s v="유즈 솔리드퍼퓸 - 이그나이트 001제품선택=이그나이트 솔리드퍼퓸 - 30ml"/>
        <s v="유즈 솔리드퍼퓸 - 이그나이트 001제품선택=이그나이트 2개 세트"/>
        <s v="유즈 솔리드퍼퓸 - 이그나이트 001쇼핑백=선물용 쇼핑백"/>
        <s v="유즈 솔리드퍼퓸 - 30ml향=이그나이트 001 SOLID PERFUME, 세트 선택=best 2개 (28% 할인)"/>
        <s v="솔리드퍼퓸 세트향=이그나이트 001 SOLID PERFUME, 세트 선택=1개"/>
        <s v="솔리드퍼퓸 세트향=스테이포에버 002 SOLID PERFUME, 세트 선택=1개"/>
        <s v="솔리드퍼퓸 세트향=스테이포에버 002 SOLID PERFUME, 세트 선택=best 2개 (28% 할인)"/>
        <s v="솔리드퍼퓸 세트향=커플세트(이그나이트 + 스테이포에버), 세트 선택=1 SET"/>
        <s v="솔리드퍼퓸 스테이포에버 002제품선택=스테이포에버 1개"/>
        <s v="솔리드퍼퓸 스테이포에버 002제품선택=best스테이포에버 2개[28% 할인]"/>
        <s v="솔리드퍼퓸 스테이포에버 002제품선택=커플추천스테이포에버 + 이그나이트 세트"/>
        <s v="솔리드퍼퓸 이그나이트 001제품선택=이그나이트 솔리드퍼퓸 - 30ml"/>
        <s v="솔리드퍼퓸 이그나이트 001제품선택=이그나이트 2개 세트"/>
        <s v="솔리드퍼퓸 이그나이트 001쇼핑백=선물용 쇼핑백"/>
        <s v="솔리드퍼퓸 세트향=커플세트(이그나이트 + 스테이포에버), 세트 선택=2 SET (42% 할인)"/>
        <s v="솔리드퍼퓸 세트향=이그나이트 001 SOLID PERFUME, 세트 선택=best 2개 (28% 할인)"/>
        <s v="솔리드퍼퓸 이그나이트 001 30ml"/>
        <s v="솔리드퍼퓸 스테이포에버 002 30ml_CS"/>
        <s v="선물용 쇼핑백"/>
        <s v="솔리드퍼퓸 이그나이트 001 30ml_CS"/>
        <s v="유즈 고체향수 세트(유즈 스테이포에버, 유즈 이그나이트)고체향수: 스테이포에버 1개 + 이그나이트 1개"/>
        <s v="유즈 고체향수 세트(유즈 스테이포에버, 유즈 이그나이트)고체향수: 스테이포에버 2개"/>
        <s v="유즈 고체향수 스테이포에버 002고체향수: 스테이포에버 1개"/>
        <s v="유즈 고체향수 세트(유즈 스테이포에버, 유즈 이그나이트)고체향수: 스테이포에버 1개"/>
        <s v="유즈 고체향수 이그나이트 001고체향수: 이그나이트 1개"/>
        <s v="솔리드퍼퓸 이그나이트/스테이포에버 30ml (2종 택1)&lt;옵션1&gt;002 STAY FOREVER"/>
        <s v="유즈 고체향수 세트(유즈 스테이포에버, 유즈 이그나이트)고체향수: 이그나이트 1개"/>
        <s v="솔리드퍼퓸 이그나이트/스테이포에버 30ml (2종 택1)&lt;옵션1&gt;IGNITE + STAY FOREVER"/>
        <s v="솔리드퍼퓸 이그나이트/스테이포에버 30ml (2종 택1)&lt;옵션1&gt;001 IGNITE"/>
        <s v="유즈 고체향수 세트(유즈 스테이포에버, 유즈 이그나이트)고체향수: 이그나이트 2개"/>
        <s v="ㅇ"/>
        <s v="유즈 솔리드퍼퓸 세트향=이그나이트 001 SOLID PERFUME, 세트 선택=1개"/>
        <s v="유즈 솔리드퍼퓸 세트향=스테이포에버 002 SOLID PERFUME, 세트 선택=1개"/>
        <s v="유즈 솔리드퍼퓸 세트향=스테이포에버 002 SOLID PERFUME, 세트 선택=best 2개 (28% 할인)"/>
        <s v="유즈 솔리드퍼퓸 세트향=커플세트(이그나이트 + 스테이포에버), 세트 선택=1 SET"/>
        <s v="유즈 솔리드퍼퓸 세트향=이그나이트 001 SOLID PERFUME, 세트 선택=best 2개 (28% 할인)"/>
        <s v="유즈 솔리드퍼퓸 세트향=커플세트(이그나이트 + 스테이포에버), 세트 선택=2 SET (42% 할인)"/>
        <s v="유즈 솔리드퍼퓸 001 이그나이트 30ml 30600 온라인"/>
        <s v="유즈 솔리드퍼퓸 002 스테이포에버 30ml 30600 온라인"/>
        <s v="특수요청 건"/>
        <s v="유즈쇼핑백" u="1"/>
        <s v="리얼스틱_4종세트" u="1"/>
        <s v="스테이포에버" u="1"/>
        <s v="펫타올(M) 2ea" u="1"/>
        <s v="눕눕백_패드(중형)_방수" u="1"/>
        <s v="정수필터 &amp; 폼필터 세트 (30% 할인)" u="1"/>
        <s v="이그나이트 2set" u="1"/>
        <s v="펫타올(L)" u="1"/>
        <s v="폼 필터 (1p)" u="1"/>
        <s v="리얼스틱_오로라연어" u="1"/>
        <s v="가이드스틱" u="1"/>
        <s v="리얼스틱_6종세트" u="1"/>
        <s v="리얼스틱_조선토종닭_6팩" u="1"/>
        <s v="펫타올 L" u="1"/>
        <s v="[무료배송] 샴푸 1+1(30%off) " u="1"/>
        <s v="펫타올M+샴푸1개" u="1"/>
        <s v="선인장정수기 젠핑크" u="1"/>
        <s v="눕눕백_패드(대형)_극세사" u="1"/>
        <s v="정수 필터 (3p)" u="1"/>
        <s v="폼 필터 (3p)" u="1"/>
        <s v="펫타올(L) 2ea" u="1"/>
        <s v="리얼스틱_6종세트x2" u="1"/>
        <s v="리얼스틱_지리산우리땅오리" u="1"/>
        <s v="펫타올L+샴푸1개" u="1"/>
        <s v="눕눕백_패드(중형)_극세사" u="1"/>
        <s v="샴푸 1개(25%off) " u="1"/>
        <s v="선인장정수기 젠민트" u="1"/>
        <s v="리얼스틱_북태평양눈다랑어_6팩" u="1"/>
        <s v="눕눕백(중형)_그레이(LG)" u="1"/>
        <s v="250ml 2set" u="1"/>
        <s v="이그나이트 + 쇼핑백" u="1"/>
        <s v="쇼핑백" u="1"/>
        <s v="리얼스틱_오로라연어_6팩" u="1"/>
        <s v="이그나이트" u="1"/>
        <s v="눕눕백(중형)_네이비(DN)" u="1"/>
        <s v="[무료배송] 샴푸 2+1(33%off)" u="1"/>
        <s v="눕눕백(대형)_그레이(LG)" u="1"/>
        <s v="눕눕백_패드(대형)_스크래쳐" u="1"/>
        <s v="리얼스틱_지리산우리땅오리_6팩" u="1"/>
        <s v="실리콘 호스 (1p)" u="1"/>
        <s v="스테이포에버 2set" u="1"/>
        <s v="눕눕백_패드(중형)_스크래쳐" u="1"/>
        <s v="눕눕백(대형)_네이비(DN)" u="1"/>
        <s v="미스트" u="1"/>
        <s v="수중펌프 (white)" u="1"/>
        <s v="이그나이트 + 스테이포에버 2set" u="1"/>
        <s v="이그나이트 + 스테이포에버 + 쇼핑백2개" u="1"/>
        <s v="리얼스틱_서호주청정양" u="1"/>
        <s v="리얼스틱_서호주청정양_6팩" u="1"/>
        <s v="리얼스틱_조선토종닭" u="1"/>
        <s v="스테이포에버 + 쇼핑백" u="1"/>
        <s v="눕눕백_패드(대형)_인견" u="1"/>
        <s v="[무료배송] 샴푸 2+1(33%off) " u="1"/>
        <s v="250ml" u="1"/>
        <s v="드라이매트" u="1"/>
        <s v="이그나이트 + 스테이포에버" u="1"/>
        <s v="특수요청건(배송주의사항에 상품기입)" u="1"/>
        <s v="샴푸 1개(25%off)" u="1"/>
        <s v="[무료배송] 샴푸 1+1(30%off)" u="1"/>
        <s v="눕눕백_패드(중형)_인견" u="1"/>
        <s v="펫타올(M)" u="1"/>
        <s v="리얼스틱_뉴질랜드참돔" u="1"/>
        <s v="눕눕백_패드(대형)_방수" u="1"/>
        <s v="리얼스틱_뉴질랜드참돔_6팩" u="1"/>
        <s v="실리콘 호스 (3p)" u="1"/>
        <s v="리얼스틱_맛보기샘플(6종)" u="1"/>
        <s v="리얼스틱_북태평양 눈다랑어" u="1"/>
      </sharedItems>
    </cacheField>
    <cacheField name="판매수량" uniqueList="1" numFmtId="0" sqlType="0" hierarchy="0" level="0" databaseField="1">
      <sharedItems count="0" containsBlank="1" containsInteger="1" containsNumber="1" containsString="0" minValue="0" maxValue="712"/>
    </cacheField>
    <cacheField name="상품 상세" uniqueList="1" numFmtId="0" sqlType="0" hierarchy="0" level="0" databaseField="1">
      <sharedItems count="0" containsBlank="1"/>
    </cacheField>
    <cacheField name="구분" uniqueList="1" numFmtId="0" sqlType="0" hierarchy="0" level="0" databaseField="1">
      <sharedItems count="0" containsBlank="1" containsInteger="1" containsMixedTypes="1" containsNumber="1" minValue="200520" maxValue="2105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MixedTypes="1" containsNumber="1" minValue="0" maxValue="27056000"/>
    </cacheField>
  </cacheFields>
</pivotCacheDefinition>
</file>

<file path=xl/pivotCache/pivotCacheDefinition2.xml><?xml version="1.0" encoding="utf-8"?>
<pivotCacheDefinition xmlns="http://schemas.openxmlformats.org/spreadsheetml/2006/main" invalid="1" refreshedBy="i02" refreshedDate="44328.50685659723" createdVersion="6" refreshedVersion="7" minRefreshableVersion="3" recordCount="0">
  <cacheSource type="worksheet">
    <worksheetSource ref="B1:O3374" sheet="RD"/>
  </cacheSource>
  <cacheFields count="14">
    <cacheField name="일자" uniqueList="1" numFmtId="0" sqlType="0" hierarchy="0" level="0" databaseField="1">
      <sharedItems count="0" containsBlank="1" containsDate="1" containsMixedTypes="1" minDate="2020-05-22T00:00:00" maxDate="2021-02-10T00:00:00"/>
    </cacheField>
    <cacheField name="요일" uniqueList="1" numFmtId="0" sqlType="0" hierarchy="0" level="0" databaseField="1">
      <sharedItems count="0" containsBlank="1"/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0" containsBlank="1"/>
    </cacheField>
    <cacheField name="채널" uniqueList="1" numFmtId="0" sqlType="0" hierarchy="0" level="0" databaseField="1">
      <sharedItems count="0" containsBlank="1"/>
    </cacheField>
    <cacheField name="상품2" uniqueList="1" numFmtId="0" sqlType="0" hierarchy="0" level="0" databaseField="1">
      <sharedItems count="0" containsBlank="1"/>
    </cacheField>
    <cacheField name="판매수량" uniqueList="1" numFmtId="0" sqlType="0" hierarchy="0" level="0" databaseField="1">
      <sharedItems count="0" containsBlank="1" containsInteger="1" containsNumber="1" containsString="0" minValue="0" maxValue="712"/>
    </cacheField>
    <cacheField name="상품 상세" uniqueList="1" numFmtId="0" sqlType="0" hierarchy="0" level="0" databaseField="1">
      <sharedItems count="0" containsBlank="1"/>
    </cacheField>
    <cacheField name="구분" uniqueList="1" numFmtId="0" sqlType="0" hierarchy="0" level="0" databaseField="1">
      <sharedItems count="0" containsBlank="1" containsInteger="1" containsMixedTypes="1" containsNumber="1" minValue="200520" maxValue="2101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MixedTypes="1" containsNumber="1" minValue="0" maxValue="27056000"/>
    </cacheField>
    <cacheField name="판매액(수수료제외)" uniqueList="1" numFmtId="0" sqlType="0" hierarchy="0" level="0" databaseField="1">
      <sharedItems count="0" containsBlank="1" containsMixedTypes="1" containsNumber="1" minValue="0" maxValue="25473224"/>
    </cacheField>
    <cacheField name="원가" uniqueList="1" numFmtId="0" sqlType="0" hierarchy="0" level="0" databaseField="1">
      <sharedItems count="0" containsBlank="1" containsInteger="1" containsMixedTypes="1" containsNumber="1" minValue="0" maxValue="1981496"/>
    </cacheField>
    <cacheField name="구분값" uniqueList="1" numFmtId="0" sqlType="0" hierarchy="0" level="0" databaseField="1">
      <sharedItems count="0" containsBlank="1"/>
    </cacheField>
  </cacheFields>
</pivotCacheDefinition>
</file>

<file path=xl/pivotCache/pivotCacheDefinition3.xml><?xml version="1.0" encoding="utf-8"?>
<pivotCacheDefinition xmlns="http://schemas.openxmlformats.org/spreadsheetml/2006/main" saveData="0" refreshedBy="The Founders" refreshedDate="44350.75799525463" createdVersion="6" refreshedVersion="7" minRefreshableVersion="3" recordCount="9628">
  <cacheSource type="worksheet">
    <worksheetSource ref="B1:O1048576" sheet="RD"/>
  </cacheSource>
  <cacheFields count="14">
    <cacheField name="일자" uniqueList="1" numFmtId="0" sqlType="0" hierarchy="0" level="0" databaseField="1">
      <sharedItems count="369" containsBlank="1" containsDate="1" containsMixedTypes="1" minDate="2020-05-22T00:00:00" maxDate="2021-06-03T00:00:00">
        <d v="2021-02-09T00:00:00"/>
        <d v="2020-05-22T00:00:00"/>
        <d v="2020-05-23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m/>
        <s v="2021-02-16"/>
        <s v="2021-02-17"/>
        <s v="2021-02-22"/>
        <s v="2021-02-21"/>
        <s v="2021-02-23"/>
        <s v="2021-02-25"/>
        <s v="2021-02-26"/>
        <s v="2021-02-27"/>
        <s v="2021-02-28"/>
        <s v="2021-03-01"/>
        <s v="2021-03-02"/>
        <s v="2021-03-03"/>
        <s v="2021-03-04"/>
        <s v="2021-03-05"/>
        <s v="2021-03-06"/>
        <s v="2021-03-07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</sharedItems>
    </cacheField>
    <cacheField name="요일" uniqueList="1" numFmtId="0" sqlType="0" hierarchy="0" level="0" databaseField="1">
      <sharedItems count="0" containsBlank="1"/>
    </cacheField>
    <cacheField name="미디어" uniqueList="1" numFmtId="0" sqlType="0" hierarchy="0" level="0" databaseField="1">
      <sharedItems count="16" containsBlank="1">
        <e v="#N/A"/>
        <s v="페이스북/인스타그램"/>
        <s v="네이버 브랜드검색"/>
        <s v="뷰스컴퍼니 리뷰"/>
        <s v="네이버 쇼핑검색"/>
        <s v="네이버 파워링크"/>
        <s v="유튜브"/>
        <s v="기획사이다"/>
        <s v="네이버 배너"/>
        <s v="카카오 배너"/>
        <s v="카카오 메시지"/>
        <s v="유튜브 광고"/>
        <m/>
        <s v="네이버 배너(대행사)"/>
        <s v="네이버 쇼핑박스"/>
        <s v="네이버 배너(고체향수)" u="1"/>
      </sharedItems>
    </cacheField>
    <cacheField name="상품1" uniqueList="1" numFmtId="0" sqlType="0" hierarchy="0" level="0" databaseField="1">
      <sharedItems count="0" containsBlank="1"/>
    </cacheField>
    <cacheField name="채널" uniqueList="1" numFmtId="0" sqlType="0" hierarchy="0" level="0" databaseField="1">
      <sharedItems count="6" containsBlank="1">
        <s v="카페24"/>
        <m/>
        <s v="유즈 CS"/>
        <s v="스마트스토어"/>
        <s v="W컨셉"/>
        <s v="올리브영"/>
      </sharedItems>
    </cacheField>
    <cacheField name="상품2" uniqueList="1" numFmtId="0" sqlType="0" hierarchy="0" level="0" databaseField="1">
      <sharedItems count="0" containsBlank="1"/>
    </cacheField>
    <cacheField name="판매수량" uniqueList="1" numFmtId="0" sqlType="0" hierarchy="0" level="0" databaseField="1">
      <sharedItems count="0" containsBlank="1" containsInteger="1" containsNumber="1" containsString="0" minValue="0" maxValue="712"/>
    </cacheField>
    <cacheField name="상품 상세" uniqueList="1" numFmtId="0" sqlType="0" hierarchy="0" level="0" databaseField="1">
      <sharedItems count="0" containsBlank="1"/>
    </cacheField>
    <cacheField name="구분" uniqueList="1" numFmtId="0" sqlType="0" hierarchy="0" level="0" databaseField="1">
      <sharedItems count="0" containsBlank="1" containsInteger="1" containsMixedTypes="1" containsNumber="1" minValue="200520" maxValue="2105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MixedTypes="1" containsNumber="1" minValue="0" maxValue="27056000"/>
    </cacheField>
    <cacheField name="판매액(수수료제외)" uniqueList="1" numFmtId="0" sqlType="0" hierarchy="0" level="0" databaseField="1">
      <sharedItems count="0" containsBlank="1" containsMixedTypes="1" containsNumber="1" minValue="0" maxValue="25473224"/>
    </cacheField>
    <cacheField name="원가" uniqueList="1" numFmtId="0" sqlType="0" hierarchy="0" level="0" databaseField="1">
      <sharedItems count="0" containsBlank="1" containsInteger="1" containsMixedTypes="1" containsNumber="1" minValue="0" maxValue="1981496"/>
    </cacheField>
    <cacheField name="구분값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8291">
  <r>
    <x v="0"/>
    <x v="0"/>
    <e v="#N/A"/>
    <x v="0"/>
    <x v="0"/>
    <x v="0"/>
    <n v="0"/>
    <s v="쇼핑백"/>
    <n v="210101"/>
    <m/>
    <e v="#N/A"/>
  </r>
  <r>
    <x v="1"/>
    <x v="1"/>
    <s v="페이스북/인스타그램"/>
    <x v="1"/>
    <x v="1"/>
    <x v="1"/>
    <m/>
    <m/>
    <m/>
    <n v="134178"/>
    <m/>
  </r>
  <r>
    <x v="2"/>
    <x v="2"/>
    <s v="페이스북/인스타그램"/>
    <x v="1"/>
    <x v="1"/>
    <x v="1"/>
    <m/>
    <m/>
    <m/>
    <n v="118671"/>
    <m/>
  </r>
  <r>
    <x v="3"/>
    <x v="0"/>
    <s v="페이스북/인스타그램"/>
    <x v="1"/>
    <x v="1"/>
    <x v="1"/>
    <m/>
    <m/>
    <m/>
    <n v="230036"/>
    <m/>
  </r>
  <r>
    <x v="4"/>
    <x v="3"/>
    <s v="페이스북/인스타그램"/>
    <x v="1"/>
    <x v="1"/>
    <x v="1"/>
    <m/>
    <m/>
    <m/>
    <n v="647321"/>
    <m/>
  </r>
  <r>
    <x v="5"/>
    <x v="4"/>
    <s v="페이스북/인스타그램"/>
    <x v="1"/>
    <x v="1"/>
    <x v="1"/>
    <m/>
    <m/>
    <m/>
    <n v="501095"/>
    <m/>
  </r>
  <r>
    <x v="6"/>
    <x v="1"/>
    <s v="페이스북/인스타그램"/>
    <x v="1"/>
    <x v="1"/>
    <x v="1"/>
    <m/>
    <m/>
    <m/>
    <n v="69797"/>
    <m/>
  </r>
  <r>
    <x v="7"/>
    <x v="2"/>
    <s v="페이스북/인스타그램"/>
    <x v="1"/>
    <x v="1"/>
    <x v="1"/>
    <m/>
    <m/>
    <m/>
    <n v="128834"/>
    <m/>
  </r>
  <r>
    <x v="8"/>
    <x v="5"/>
    <s v="페이스북/인스타그램"/>
    <x v="1"/>
    <x v="1"/>
    <x v="1"/>
    <m/>
    <m/>
    <m/>
    <n v="200529"/>
    <m/>
  </r>
  <r>
    <x v="4"/>
    <x v="3"/>
    <s v="네이버 브랜드검색"/>
    <x v="1"/>
    <x v="1"/>
    <x v="1"/>
    <m/>
    <m/>
    <m/>
    <n v="20000"/>
    <m/>
  </r>
  <r>
    <x v="5"/>
    <x v="4"/>
    <s v="네이버 브랜드검색"/>
    <x v="1"/>
    <x v="1"/>
    <x v="1"/>
    <m/>
    <m/>
    <m/>
    <n v="20000"/>
    <m/>
  </r>
  <r>
    <x v="6"/>
    <x v="1"/>
    <s v="네이버 브랜드검색"/>
    <x v="1"/>
    <x v="1"/>
    <x v="1"/>
    <m/>
    <m/>
    <m/>
    <n v="20000"/>
    <m/>
  </r>
  <r>
    <x v="7"/>
    <x v="2"/>
    <s v="네이버 브랜드검색"/>
    <x v="1"/>
    <x v="1"/>
    <x v="1"/>
    <m/>
    <m/>
    <m/>
    <n v="20000"/>
    <m/>
  </r>
  <r>
    <x v="8"/>
    <x v="5"/>
    <s v="네이버 브랜드검색"/>
    <x v="1"/>
    <x v="1"/>
    <x v="1"/>
    <m/>
    <m/>
    <m/>
    <n v="20000"/>
    <m/>
  </r>
  <r>
    <x v="3"/>
    <x v="0"/>
    <s v="뷰스컴퍼니 리뷰"/>
    <x v="1"/>
    <x v="1"/>
    <x v="1"/>
    <m/>
    <m/>
    <m/>
    <n v="200000"/>
    <m/>
  </r>
  <r>
    <x v="9"/>
    <x v="6"/>
    <s v="페이스북/인스타그램"/>
    <x v="1"/>
    <x v="1"/>
    <x v="1"/>
    <m/>
    <m/>
    <m/>
    <n v="192706"/>
    <m/>
  </r>
  <r>
    <x v="10"/>
    <x v="0"/>
    <s v="페이스북/인스타그램"/>
    <x v="1"/>
    <x v="1"/>
    <x v="1"/>
    <m/>
    <m/>
    <m/>
    <n v="113677"/>
    <m/>
  </r>
  <r>
    <x v="11"/>
    <x v="3"/>
    <s v="페이스북/인스타그램"/>
    <x v="1"/>
    <x v="1"/>
    <x v="1"/>
    <m/>
    <m/>
    <m/>
    <n v="377714"/>
    <m/>
  </r>
  <r>
    <x v="12"/>
    <x v="4"/>
    <s v="페이스북/인스타그램"/>
    <x v="1"/>
    <x v="1"/>
    <x v="1"/>
    <m/>
    <m/>
    <m/>
    <n v="580159"/>
    <m/>
  </r>
  <r>
    <x v="13"/>
    <x v="1"/>
    <s v="페이스북/인스타그램"/>
    <x v="1"/>
    <x v="1"/>
    <x v="1"/>
    <m/>
    <m/>
    <m/>
    <n v="269053"/>
    <m/>
  </r>
  <r>
    <x v="14"/>
    <x v="2"/>
    <s v="페이스북/인스타그램"/>
    <x v="1"/>
    <x v="1"/>
    <x v="1"/>
    <m/>
    <m/>
    <m/>
    <n v="237187"/>
    <m/>
  </r>
  <r>
    <x v="15"/>
    <x v="5"/>
    <s v="페이스북/인스타그램"/>
    <x v="1"/>
    <x v="1"/>
    <x v="1"/>
    <m/>
    <m/>
    <m/>
    <n v="193524"/>
    <m/>
  </r>
  <r>
    <x v="16"/>
    <x v="6"/>
    <s v="페이스북/인스타그램"/>
    <x v="1"/>
    <x v="1"/>
    <x v="1"/>
    <m/>
    <m/>
    <m/>
    <n v="161106"/>
    <m/>
  </r>
  <r>
    <x v="17"/>
    <x v="0"/>
    <s v="페이스북/인스타그램"/>
    <x v="1"/>
    <x v="1"/>
    <x v="1"/>
    <m/>
    <m/>
    <m/>
    <n v="282434"/>
    <m/>
  </r>
  <r>
    <x v="18"/>
    <x v="3"/>
    <s v="페이스북/인스타그램"/>
    <x v="1"/>
    <x v="1"/>
    <x v="1"/>
    <m/>
    <m/>
    <m/>
    <n v="396809"/>
    <m/>
  </r>
  <r>
    <x v="19"/>
    <x v="4"/>
    <s v="페이스북/인스타그램"/>
    <x v="1"/>
    <x v="1"/>
    <x v="1"/>
    <m/>
    <m/>
    <m/>
    <n v="390556"/>
    <m/>
  </r>
  <r>
    <x v="20"/>
    <x v="1"/>
    <s v="페이스북/인스타그램"/>
    <x v="1"/>
    <x v="1"/>
    <x v="1"/>
    <m/>
    <m/>
    <m/>
    <n v="328542"/>
    <m/>
  </r>
  <r>
    <x v="21"/>
    <x v="2"/>
    <s v="페이스북/인스타그램"/>
    <x v="1"/>
    <x v="1"/>
    <x v="1"/>
    <m/>
    <m/>
    <m/>
    <n v="350961"/>
    <m/>
  </r>
  <r>
    <x v="22"/>
    <x v="5"/>
    <s v="페이스북/인스타그램"/>
    <x v="1"/>
    <x v="1"/>
    <x v="1"/>
    <m/>
    <m/>
    <m/>
    <n v="353357"/>
    <m/>
  </r>
  <r>
    <x v="23"/>
    <x v="6"/>
    <s v="페이스북/인스타그램"/>
    <x v="1"/>
    <x v="1"/>
    <x v="1"/>
    <m/>
    <m/>
    <m/>
    <n v="338206"/>
    <m/>
  </r>
  <r>
    <x v="24"/>
    <x v="0"/>
    <s v="페이스북/인스타그램"/>
    <x v="1"/>
    <x v="1"/>
    <x v="1"/>
    <m/>
    <m/>
    <m/>
    <n v="355041"/>
    <m/>
  </r>
  <r>
    <x v="25"/>
    <x v="3"/>
    <s v="페이스북/인스타그램"/>
    <x v="1"/>
    <x v="1"/>
    <x v="1"/>
    <m/>
    <m/>
    <m/>
    <n v="468860"/>
    <m/>
  </r>
  <r>
    <x v="26"/>
    <x v="4"/>
    <s v="페이스북/인스타그램"/>
    <x v="1"/>
    <x v="1"/>
    <x v="1"/>
    <m/>
    <m/>
    <m/>
    <n v="961927"/>
    <m/>
  </r>
  <r>
    <x v="27"/>
    <x v="1"/>
    <s v="페이스북/인스타그램"/>
    <x v="1"/>
    <x v="1"/>
    <x v="1"/>
    <m/>
    <m/>
    <m/>
    <n v="878473"/>
    <m/>
  </r>
  <r>
    <x v="28"/>
    <x v="2"/>
    <s v="페이스북/인스타그램"/>
    <x v="1"/>
    <x v="1"/>
    <x v="1"/>
    <m/>
    <m/>
    <m/>
    <n v="1087409"/>
    <m/>
  </r>
  <r>
    <x v="29"/>
    <x v="5"/>
    <s v="페이스북/인스타그램"/>
    <x v="1"/>
    <x v="1"/>
    <x v="1"/>
    <m/>
    <m/>
    <m/>
    <n v="1248838"/>
    <m/>
  </r>
  <r>
    <x v="30"/>
    <x v="6"/>
    <s v="페이스북/인스타그램"/>
    <x v="1"/>
    <x v="1"/>
    <x v="1"/>
    <m/>
    <m/>
    <m/>
    <n v="1602474"/>
    <m/>
  </r>
  <r>
    <x v="31"/>
    <x v="0"/>
    <s v="페이스북/인스타그램"/>
    <x v="1"/>
    <x v="1"/>
    <x v="1"/>
    <m/>
    <m/>
    <m/>
    <n v="1567376"/>
    <m/>
  </r>
  <r>
    <x v="32"/>
    <x v="3"/>
    <s v="페이스북/인스타그램"/>
    <x v="1"/>
    <x v="1"/>
    <x v="1"/>
    <m/>
    <m/>
    <m/>
    <n v="1607092"/>
    <m/>
  </r>
  <r>
    <x v="33"/>
    <x v="4"/>
    <s v="페이스북/인스타그램"/>
    <x v="1"/>
    <x v="1"/>
    <x v="1"/>
    <m/>
    <m/>
    <m/>
    <n v="1780764"/>
    <m/>
  </r>
  <r>
    <x v="34"/>
    <x v="1"/>
    <s v="페이스북/인스타그램"/>
    <x v="1"/>
    <x v="1"/>
    <x v="1"/>
    <m/>
    <m/>
    <m/>
    <n v="1809511"/>
    <m/>
  </r>
  <r>
    <x v="35"/>
    <x v="2"/>
    <s v="페이스북/인스타그램"/>
    <x v="1"/>
    <x v="1"/>
    <x v="1"/>
    <m/>
    <m/>
    <m/>
    <n v="1920335"/>
    <m/>
  </r>
  <r>
    <x v="36"/>
    <x v="5"/>
    <s v="페이스북/인스타그램"/>
    <x v="1"/>
    <x v="1"/>
    <x v="1"/>
    <m/>
    <m/>
    <m/>
    <n v="1598927"/>
    <m/>
  </r>
  <r>
    <x v="37"/>
    <x v="6"/>
    <s v="페이스북/인스타그램"/>
    <x v="1"/>
    <x v="1"/>
    <x v="1"/>
    <m/>
    <m/>
    <m/>
    <n v="1355641"/>
    <m/>
  </r>
  <r>
    <x v="38"/>
    <x v="0"/>
    <s v="페이스북/인스타그램"/>
    <x v="1"/>
    <x v="1"/>
    <x v="1"/>
    <m/>
    <m/>
    <m/>
    <n v="1301523"/>
    <m/>
  </r>
  <r>
    <x v="39"/>
    <x v="3"/>
    <s v="페이스북/인스타그램"/>
    <x v="1"/>
    <x v="1"/>
    <x v="1"/>
    <m/>
    <m/>
    <m/>
    <n v="866004"/>
    <m/>
  </r>
  <r>
    <x v="40"/>
    <x v="4"/>
    <s v="페이스북/인스타그램"/>
    <x v="1"/>
    <x v="1"/>
    <x v="1"/>
    <m/>
    <m/>
    <m/>
    <n v="988933"/>
    <m/>
  </r>
  <r>
    <x v="41"/>
    <x v="1"/>
    <s v="페이스북/인스타그램"/>
    <x v="1"/>
    <x v="1"/>
    <x v="1"/>
    <m/>
    <m/>
    <m/>
    <n v="532347"/>
    <m/>
  </r>
  <r>
    <x v="42"/>
    <x v="2"/>
    <s v="페이스북/인스타그램"/>
    <x v="1"/>
    <x v="1"/>
    <x v="1"/>
    <m/>
    <m/>
    <m/>
    <n v="126894"/>
    <m/>
  </r>
  <r>
    <x v="43"/>
    <x v="5"/>
    <s v="페이스북/인스타그램"/>
    <x v="1"/>
    <x v="1"/>
    <x v="1"/>
    <m/>
    <m/>
    <m/>
    <n v="261799"/>
    <m/>
  </r>
  <r>
    <x v="44"/>
    <x v="6"/>
    <s v="페이스북/인스타그램"/>
    <x v="1"/>
    <x v="1"/>
    <x v="1"/>
    <m/>
    <m/>
    <m/>
    <n v="447045"/>
    <m/>
  </r>
  <r>
    <x v="45"/>
    <x v="0"/>
    <s v="페이스북/인스타그램"/>
    <x v="1"/>
    <x v="1"/>
    <x v="1"/>
    <m/>
    <m/>
    <m/>
    <n v="621711"/>
    <m/>
  </r>
  <r>
    <x v="46"/>
    <x v="3"/>
    <s v="페이스북/인스타그램"/>
    <x v="1"/>
    <x v="1"/>
    <x v="1"/>
    <m/>
    <m/>
    <m/>
    <n v="617293"/>
    <m/>
  </r>
  <r>
    <x v="47"/>
    <x v="4"/>
    <s v="페이스북/인스타그램"/>
    <x v="1"/>
    <x v="1"/>
    <x v="1"/>
    <m/>
    <m/>
    <m/>
    <n v="721867"/>
    <m/>
  </r>
  <r>
    <x v="48"/>
    <x v="1"/>
    <s v="페이스북/인스타그램"/>
    <x v="1"/>
    <x v="1"/>
    <x v="1"/>
    <m/>
    <m/>
    <m/>
    <n v="450794"/>
    <m/>
  </r>
  <r>
    <x v="49"/>
    <x v="2"/>
    <s v="페이스북/인스타그램"/>
    <x v="1"/>
    <x v="1"/>
    <x v="1"/>
    <m/>
    <m/>
    <m/>
    <n v="726705"/>
    <m/>
  </r>
  <r>
    <x v="50"/>
    <x v="5"/>
    <s v="페이스북/인스타그램"/>
    <x v="1"/>
    <x v="1"/>
    <x v="1"/>
    <m/>
    <m/>
    <m/>
    <n v="1105544"/>
    <m/>
  </r>
  <r>
    <x v="51"/>
    <x v="6"/>
    <s v="페이스북/인스타그램"/>
    <x v="1"/>
    <x v="1"/>
    <x v="1"/>
    <m/>
    <m/>
    <m/>
    <n v="729014"/>
    <m/>
  </r>
  <r>
    <x v="52"/>
    <x v="0"/>
    <s v="페이스북/인스타그램"/>
    <x v="1"/>
    <x v="1"/>
    <x v="1"/>
    <m/>
    <m/>
    <m/>
    <n v="1494667"/>
    <m/>
  </r>
  <r>
    <x v="53"/>
    <x v="3"/>
    <s v="페이스북/인스타그램"/>
    <x v="1"/>
    <x v="1"/>
    <x v="1"/>
    <m/>
    <m/>
    <m/>
    <n v="1996151"/>
    <m/>
  </r>
  <r>
    <x v="54"/>
    <x v="4"/>
    <s v="페이스북/인스타그램"/>
    <x v="1"/>
    <x v="1"/>
    <x v="1"/>
    <m/>
    <m/>
    <m/>
    <n v="1297037"/>
    <m/>
  </r>
  <r>
    <x v="55"/>
    <x v="1"/>
    <s v="페이스북/인스타그램"/>
    <x v="1"/>
    <x v="1"/>
    <x v="1"/>
    <m/>
    <m/>
    <m/>
    <n v="2002362"/>
    <m/>
  </r>
  <r>
    <x v="56"/>
    <x v="2"/>
    <s v="페이스북/인스타그램"/>
    <x v="1"/>
    <x v="1"/>
    <x v="1"/>
    <m/>
    <m/>
    <m/>
    <n v="867269"/>
    <m/>
  </r>
  <r>
    <x v="57"/>
    <x v="5"/>
    <s v="페이스북/인스타그램"/>
    <x v="1"/>
    <x v="1"/>
    <x v="1"/>
    <m/>
    <m/>
    <m/>
    <n v="1072667"/>
    <m/>
  </r>
  <r>
    <x v="58"/>
    <x v="6"/>
    <s v="페이스북/인스타그램"/>
    <x v="1"/>
    <x v="1"/>
    <x v="1"/>
    <m/>
    <m/>
    <m/>
    <n v="1269040"/>
    <m/>
  </r>
  <r>
    <x v="49"/>
    <x v="2"/>
    <s v="네이버 쇼핑검색"/>
    <x v="1"/>
    <x v="1"/>
    <x v="1"/>
    <m/>
    <m/>
    <m/>
    <n v="499.9999999999999"/>
    <m/>
  </r>
  <r>
    <x v="50"/>
    <x v="5"/>
    <s v="네이버 쇼핑검색"/>
    <x v="1"/>
    <x v="1"/>
    <x v="1"/>
    <m/>
    <m/>
    <m/>
    <n v="1120"/>
    <m/>
  </r>
  <r>
    <x v="51"/>
    <x v="6"/>
    <s v="네이버 쇼핑검색"/>
    <x v="1"/>
    <x v="1"/>
    <x v="1"/>
    <m/>
    <m/>
    <m/>
    <n v="3070"/>
    <m/>
  </r>
  <r>
    <x v="52"/>
    <x v="0"/>
    <s v="네이버 쇼핑검색"/>
    <x v="1"/>
    <x v="1"/>
    <x v="1"/>
    <m/>
    <m/>
    <m/>
    <n v="1540"/>
    <m/>
  </r>
  <r>
    <x v="53"/>
    <x v="3"/>
    <s v="네이버 쇼핑검색"/>
    <x v="1"/>
    <x v="1"/>
    <x v="1"/>
    <m/>
    <m/>
    <m/>
    <n v="2380"/>
    <m/>
  </r>
  <r>
    <x v="54"/>
    <x v="4"/>
    <s v="네이버 쇼핑검색"/>
    <x v="1"/>
    <x v="1"/>
    <x v="1"/>
    <m/>
    <m/>
    <m/>
    <n v="2080"/>
    <m/>
  </r>
  <r>
    <x v="55"/>
    <x v="1"/>
    <s v="네이버 쇼핑검색"/>
    <x v="1"/>
    <x v="1"/>
    <x v="1"/>
    <m/>
    <m/>
    <m/>
    <n v="3170"/>
    <m/>
  </r>
  <r>
    <x v="56"/>
    <x v="2"/>
    <s v="네이버 쇼핑검색"/>
    <x v="1"/>
    <x v="1"/>
    <x v="1"/>
    <m/>
    <m/>
    <m/>
    <n v="4110"/>
    <m/>
  </r>
  <r>
    <x v="57"/>
    <x v="5"/>
    <s v="네이버 쇼핑검색"/>
    <x v="1"/>
    <x v="1"/>
    <x v="1"/>
    <m/>
    <m/>
    <m/>
    <n v="799.9999999999999"/>
    <m/>
  </r>
  <r>
    <x v="58"/>
    <x v="6"/>
    <s v="네이버 쇼핑검색"/>
    <x v="1"/>
    <x v="1"/>
    <x v="1"/>
    <m/>
    <m/>
    <m/>
    <n v="4130"/>
    <m/>
  </r>
  <r>
    <x v="41"/>
    <x v="1"/>
    <s v="네이버 파워링크"/>
    <x v="1"/>
    <x v="1"/>
    <x v="1"/>
    <m/>
    <m/>
    <m/>
    <n v="70"/>
    <m/>
  </r>
  <r>
    <x v="43"/>
    <x v="5"/>
    <s v="네이버 파워링크"/>
    <x v="1"/>
    <x v="1"/>
    <x v="1"/>
    <m/>
    <m/>
    <m/>
    <n v="70"/>
    <m/>
  </r>
  <r>
    <x v="46"/>
    <x v="3"/>
    <s v="네이버 파워링크"/>
    <x v="1"/>
    <x v="1"/>
    <x v="1"/>
    <m/>
    <m/>
    <m/>
    <n v="70"/>
    <m/>
  </r>
  <r>
    <x v="48"/>
    <x v="1"/>
    <s v="네이버 파워링크"/>
    <x v="1"/>
    <x v="1"/>
    <x v="1"/>
    <m/>
    <m/>
    <m/>
    <n v="140"/>
    <m/>
  </r>
  <r>
    <x v="58"/>
    <x v="6"/>
    <s v="네이버 파워링크"/>
    <x v="1"/>
    <x v="1"/>
    <x v="1"/>
    <m/>
    <m/>
    <m/>
    <n v="70"/>
    <m/>
  </r>
  <r>
    <x v="9"/>
    <x v="6"/>
    <s v="네이버 브랜드검색"/>
    <x v="1"/>
    <x v="1"/>
    <x v="1"/>
    <m/>
    <m/>
    <m/>
    <n v="20000"/>
    <m/>
  </r>
  <r>
    <x v="10"/>
    <x v="0"/>
    <s v="네이버 브랜드검색"/>
    <x v="1"/>
    <x v="1"/>
    <x v="1"/>
    <m/>
    <m/>
    <m/>
    <n v="20000"/>
    <m/>
  </r>
  <r>
    <x v="11"/>
    <x v="3"/>
    <s v="네이버 브랜드검색"/>
    <x v="1"/>
    <x v="1"/>
    <x v="1"/>
    <m/>
    <m/>
    <m/>
    <n v="20000"/>
    <m/>
  </r>
  <r>
    <x v="12"/>
    <x v="4"/>
    <s v="네이버 브랜드검색"/>
    <x v="1"/>
    <x v="1"/>
    <x v="1"/>
    <m/>
    <m/>
    <m/>
    <n v="20000"/>
    <m/>
  </r>
  <r>
    <x v="13"/>
    <x v="1"/>
    <s v="네이버 브랜드검색"/>
    <x v="1"/>
    <x v="1"/>
    <x v="1"/>
    <m/>
    <m/>
    <m/>
    <n v="20000"/>
    <m/>
  </r>
  <r>
    <x v="14"/>
    <x v="2"/>
    <s v="네이버 브랜드검색"/>
    <x v="1"/>
    <x v="1"/>
    <x v="1"/>
    <m/>
    <m/>
    <m/>
    <n v="20000"/>
    <m/>
  </r>
  <r>
    <x v="15"/>
    <x v="5"/>
    <s v="네이버 브랜드검색"/>
    <x v="1"/>
    <x v="1"/>
    <x v="1"/>
    <m/>
    <m/>
    <m/>
    <n v="20000"/>
    <m/>
  </r>
  <r>
    <x v="16"/>
    <x v="6"/>
    <s v="네이버 브랜드검색"/>
    <x v="1"/>
    <x v="1"/>
    <x v="1"/>
    <m/>
    <m/>
    <m/>
    <n v="20000"/>
    <m/>
  </r>
  <r>
    <x v="17"/>
    <x v="0"/>
    <s v="네이버 브랜드검색"/>
    <x v="1"/>
    <x v="1"/>
    <x v="1"/>
    <m/>
    <m/>
    <m/>
    <n v="20000"/>
    <m/>
  </r>
  <r>
    <x v="18"/>
    <x v="3"/>
    <s v="네이버 브랜드검색"/>
    <x v="1"/>
    <x v="1"/>
    <x v="1"/>
    <m/>
    <m/>
    <m/>
    <n v="20000"/>
    <m/>
  </r>
  <r>
    <x v="19"/>
    <x v="4"/>
    <s v="네이버 브랜드검색"/>
    <x v="1"/>
    <x v="1"/>
    <x v="1"/>
    <m/>
    <m/>
    <m/>
    <n v="20000"/>
    <m/>
  </r>
  <r>
    <x v="20"/>
    <x v="1"/>
    <s v="네이버 브랜드검색"/>
    <x v="1"/>
    <x v="1"/>
    <x v="1"/>
    <m/>
    <m/>
    <m/>
    <n v="20000"/>
    <m/>
  </r>
  <r>
    <x v="21"/>
    <x v="2"/>
    <s v="네이버 브랜드검색"/>
    <x v="1"/>
    <x v="1"/>
    <x v="1"/>
    <m/>
    <m/>
    <m/>
    <n v="20000"/>
    <m/>
  </r>
  <r>
    <x v="22"/>
    <x v="5"/>
    <s v="네이버 브랜드검색"/>
    <x v="1"/>
    <x v="1"/>
    <x v="1"/>
    <m/>
    <m/>
    <m/>
    <n v="20000"/>
    <m/>
  </r>
  <r>
    <x v="23"/>
    <x v="6"/>
    <s v="네이버 브랜드검색"/>
    <x v="1"/>
    <x v="1"/>
    <x v="1"/>
    <m/>
    <m/>
    <m/>
    <n v="20000"/>
    <m/>
  </r>
  <r>
    <x v="24"/>
    <x v="0"/>
    <s v="네이버 브랜드검색"/>
    <x v="1"/>
    <x v="1"/>
    <x v="1"/>
    <m/>
    <m/>
    <m/>
    <n v="20000"/>
    <m/>
  </r>
  <r>
    <x v="25"/>
    <x v="3"/>
    <s v="네이버 브랜드검색"/>
    <x v="1"/>
    <x v="1"/>
    <x v="1"/>
    <m/>
    <m/>
    <m/>
    <n v="20000"/>
    <m/>
  </r>
  <r>
    <x v="26"/>
    <x v="4"/>
    <s v="네이버 브랜드검색"/>
    <x v="1"/>
    <x v="1"/>
    <x v="1"/>
    <m/>
    <m/>
    <m/>
    <n v="20000"/>
    <m/>
  </r>
  <r>
    <x v="27"/>
    <x v="1"/>
    <s v="네이버 브랜드검색"/>
    <x v="1"/>
    <x v="1"/>
    <x v="1"/>
    <m/>
    <m/>
    <m/>
    <n v="20000"/>
    <m/>
  </r>
  <r>
    <x v="28"/>
    <x v="2"/>
    <s v="네이버 브랜드검색"/>
    <x v="1"/>
    <x v="1"/>
    <x v="1"/>
    <m/>
    <m/>
    <m/>
    <n v="20000"/>
    <m/>
  </r>
  <r>
    <x v="29"/>
    <x v="5"/>
    <s v="네이버 브랜드검색"/>
    <x v="1"/>
    <x v="1"/>
    <x v="1"/>
    <m/>
    <m/>
    <m/>
    <n v="20000"/>
    <m/>
  </r>
  <r>
    <x v="30"/>
    <x v="6"/>
    <s v="네이버 브랜드검색"/>
    <x v="1"/>
    <x v="1"/>
    <x v="1"/>
    <m/>
    <m/>
    <m/>
    <n v="20000"/>
    <m/>
  </r>
  <r>
    <x v="31"/>
    <x v="0"/>
    <s v="네이버 브랜드검색"/>
    <x v="1"/>
    <x v="1"/>
    <x v="1"/>
    <m/>
    <m/>
    <m/>
    <n v="20000"/>
    <m/>
  </r>
  <r>
    <x v="32"/>
    <x v="3"/>
    <s v="네이버 브랜드검색"/>
    <x v="1"/>
    <x v="1"/>
    <x v="1"/>
    <m/>
    <m/>
    <m/>
    <n v="20000"/>
    <m/>
  </r>
  <r>
    <x v="33"/>
    <x v="4"/>
    <s v="네이버 브랜드검색"/>
    <x v="1"/>
    <x v="1"/>
    <x v="1"/>
    <m/>
    <m/>
    <m/>
    <n v="20000"/>
    <m/>
  </r>
  <r>
    <x v="34"/>
    <x v="1"/>
    <s v="네이버 브랜드검색"/>
    <x v="1"/>
    <x v="1"/>
    <x v="1"/>
    <m/>
    <m/>
    <m/>
    <n v="20000"/>
    <m/>
  </r>
  <r>
    <x v="35"/>
    <x v="2"/>
    <s v="네이버 브랜드검색"/>
    <x v="1"/>
    <x v="1"/>
    <x v="1"/>
    <m/>
    <m/>
    <m/>
    <n v="20000"/>
    <m/>
  </r>
  <r>
    <x v="36"/>
    <x v="5"/>
    <s v="네이버 브랜드검색"/>
    <x v="1"/>
    <x v="1"/>
    <x v="1"/>
    <m/>
    <m/>
    <m/>
    <n v="20000"/>
    <m/>
  </r>
  <r>
    <x v="37"/>
    <x v="6"/>
    <s v="네이버 브랜드검색"/>
    <x v="1"/>
    <x v="1"/>
    <x v="1"/>
    <m/>
    <m/>
    <m/>
    <n v="20000"/>
    <m/>
  </r>
  <r>
    <x v="38"/>
    <x v="0"/>
    <s v="네이버 브랜드검색"/>
    <x v="1"/>
    <x v="1"/>
    <x v="1"/>
    <m/>
    <m/>
    <m/>
    <n v="20000"/>
    <m/>
  </r>
  <r>
    <x v="39"/>
    <x v="3"/>
    <s v="네이버 브랜드검색"/>
    <x v="1"/>
    <x v="1"/>
    <x v="1"/>
    <m/>
    <m/>
    <m/>
    <n v="20000"/>
    <m/>
  </r>
  <r>
    <x v="40"/>
    <x v="4"/>
    <s v="네이버 브랜드검색"/>
    <x v="1"/>
    <x v="1"/>
    <x v="1"/>
    <m/>
    <m/>
    <m/>
    <n v="20000"/>
    <m/>
  </r>
  <r>
    <x v="41"/>
    <x v="1"/>
    <s v="네이버 브랜드검색"/>
    <x v="1"/>
    <x v="1"/>
    <x v="1"/>
    <m/>
    <m/>
    <m/>
    <n v="20000"/>
    <m/>
  </r>
  <r>
    <x v="42"/>
    <x v="2"/>
    <s v="네이버 브랜드검색"/>
    <x v="1"/>
    <x v="1"/>
    <x v="1"/>
    <m/>
    <m/>
    <m/>
    <n v="20000"/>
    <m/>
  </r>
  <r>
    <x v="43"/>
    <x v="5"/>
    <s v="네이버 브랜드검색"/>
    <x v="1"/>
    <x v="1"/>
    <x v="1"/>
    <m/>
    <m/>
    <m/>
    <n v="20000"/>
    <m/>
  </r>
  <r>
    <x v="44"/>
    <x v="6"/>
    <s v="네이버 브랜드검색"/>
    <x v="1"/>
    <x v="1"/>
    <x v="1"/>
    <m/>
    <m/>
    <m/>
    <n v="20000"/>
    <m/>
  </r>
  <r>
    <x v="45"/>
    <x v="0"/>
    <s v="네이버 브랜드검색"/>
    <x v="1"/>
    <x v="1"/>
    <x v="1"/>
    <m/>
    <m/>
    <m/>
    <n v="20000"/>
    <m/>
  </r>
  <r>
    <x v="46"/>
    <x v="3"/>
    <s v="네이버 브랜드검색"/>
    <x v="1"/>
    <x v="1"/>
    <x v="1"/>
    <m/>
    <m/>
    <m/>
    <n v="20000"/>
    <m/>
  </r>
  <r>
    <x v="47"/>
    <x v="4"/>
    <s v="네이버 브랜드검색"/>
    <x v="1"/>
    <x v="1"/>
    <x v="1"/>
    <m/>
    <m/>
    <m/>
    <n v="20000"/>
    <m/>
  </r>
  <r>
    <x v="48"/>
    <x v="1"/>
    <s v="네이버 브랜드검색"/>
    <x v="1"/>
    <x v="1"/>
    <x v="1"/>
    <m/>
    <m/>
    <m/>
    <n v="20000"/>
    <m/>
  </r>
  <r>
    <x v="49"/>
    <x v="2"/>
    <s v="네이버 브랜드검색"/>
    <x v="1"/>
    <x v="1"/>
    <x v="1"/>
    <m/>
    <m/>
    <m/>
    <n v="20000"/>
    <m/>
  </r>
  <r>
    <x v="50"/>
    <x v="5"/>
    <s v="네이버 브랜드검색"/>
    <x v="1"/>
    <x v="1"/>
    <x v="1"/>
    <m/>
    <m/>
    <m/>
    <n v="20000"/>
    <m/>
  </r>
  <r>
    <x v="51"/>
    <x v="6"/>
    <s v="네이버 브랜드검색"/>
    <x v="1"/>
    <x v="1"/>
    <x v="1"/>
    <m/>
    <m/>
    <m/>
    <n v="20000"/>
    <m/>
  </r>
  <r>
    <x v="52"/>
    <x v="0"/>
    <s v="네이버 브랜드검색"/>
    <x v="1"/>
    <x v="1"/>
    <x v="1"/>
    <m/>
    <m/>
    <m/>
    <n v="20000"/>
    <m/>
  </r>
  <r>
    <x v="53"/>
    <x v="3"/>
    <s v="네이버 브랜드검색"/>
    <x v="1"/>
    <x v="1"/>
    <x v="1"/>
    <m/>
    <m/>
    <m/>
    <n v="20000"/>
    <m/>
  </r>
  <r>
    <x v="54"/>
    <x v="4"/>
    <s v="네이버 브랜드검색"/>
    <x v="1"/>
    <x v="1"/>
    <x v="1"/>
    <m/>
    <m/>
    <m/>
    <n v="20000"/>
    <m/>
  </r>
  <r>
    <x v="55"/>
    <x v="1"/>
    <s v="네이버 브랜드검색"/>
    <x v="1"/>
    <x v="1"/>
    <x v="1"/>
    <m/>
    <m/>
    <m/>
    <n v="20000"/>
    <m/>
  </r>
  <r>
    <x v="56"/>
    <x v="2"/>
    <s v="네이버 브랜드검색"/>
    <x v="1"/>
    <x v="1"/>
    <x v="1"/>
    <m/>
    <m/>
    <m/>
    <n v="20000"/>
    <m/>
  </r>
  <r>
    <x v="57"/>
    <x v="5"/>
    <s v="네이버 브랜드검색"/>
    <x v="1"/>
    <x v="1"/>
    <x v="1"/>
    <m/>
    <m/>
    <m/>
    <n v="20000"/>
    <m/>
  </r>
  <r>
    <x v="58"/>
    <x v="6"/>
    <s v="네이버 브랜드검색"/>
    <x v="1"/>
    <x v="1"/>
    <x v="1"/>
    <m/>
    <m/>
    <m/>
    <n v="20000"/>
    <m/>
  </r>
  <r>
    <x v="16"/>
    <x v="6"/>
    <s v="유튜브"/>
    <x v="1"/>
    <x v="1"/>
    <x v="1"/>
    <m/>
    <m/>
    <m/>
    <n v="138745"/>
    <m/>
  </r>
  <r>
    <x v="17"/>
    <x v="0"/>
    <s v="유튜브"/>
    <x v="1"/>
    <x v="1"/>
    <x v="1"/>
    <m/>
    <m/>
    <m/>
    <n v="91291"/>
    <m/>
  </r>
  <r>
    <x v="18"/>
    <x v="3"/>
    <s v="유튜브"/>
    <x v="1"/>
    <x v="1"/>
    <x v="1"/>
    <m/>
    <m/>
    <m/>
    <n v="47913"/>
    <m/>
  </r>
  <r>
    <x v="9"/>
    <x v="6"/>
    <s v="기획사이다"/>
    <x v="1"/>
    <x v="1"/>
    <x v="1"/>
    <m/>
    <m/>
    <m/>
    <n v="4700000"/>
    <m/>
  </r>
  <r>
    <x v="59"/>
    <x v="0"/>
    <s v="페이스북/인스타그램"/>
    <x v="2"/>
    <x v="1"/>
    <x v="1"/>
    <m/>
    <m/>
    <m/>
    <n v="1763178"/>
    <m/>
  </r>
  <r>
    <x v="60"/>
    <x v="3"/>
    <s v="페이스북/인스타그램"/>
    <x v="2"/>
    <x v="1"/>
    <x v="1"/>
    <m/>
    <m/>
    <m/>
    <n v="2026645"/>
    <m/>
  </r>
  <r>
    <x v="61"/>
    <x v="4"/>
    <s v="페이스북/인스타그램"/>
    <x v="2"/>
    <x v="1"/>
    <x v="1"/>
    <m/>
    <m/>
    <m/>
    <n v="2601081"/>
    <m/>
  </r>
  <r>
    <x v="62"/>
    <x v="1"/>
    <s v="페이스북/인스타그램"/>
    <x v="2"/>
    <x v="1"/>
    <x v="1"/>
    <m/>
    <m/>
    <m/>
    <n v="2917007"/>
    <m/>
  </r>
  <r>
    <x v="63"/>
    <x v="2"/>
    <s v="페이스북/인스타그램"/>
    <x v="2"/>
    <x v="1"/>
    <x v="1"/>
    <m/>
    <m/>
    <m/>
    <n v="2381826"/>
    <m/>
  </r>
  <r>
    <x v="64"/>
    <x v="5"/>
    <s v="페이스북/인스타그램"/>
    <x v="2"/>
    <x v="1"/>
    <x v="1"/>
    <m/>
    <m/>
    <m/>
    <n v="3509277"/>
    <m/>
  </r>
  <r>
    <x v="65"/>
    <x v="6"/>
    <s v="페이스북/인스타그램"/>
    <x v="2"/>
    <x v="1"/>
    <x v="1"/>
    <m/>
    <m/>
    <m/>
    <n v="2544193"/>
    <m/>
  </r>
  <r>
    <x v="66"/>
    <x v="0"/>
    <s v="페이스북/인스타그램"/>
    <x v="2"/>
    <x v="1"/>
    <x v="1"/>
    <m/>
    <m/>
    <m/>
    <n v="2684927"/>
    <m/>
  </r>
  <r>
    <x v="67"/>
    <x v="3"/>
    <s v="페이스북/인스타그램"/>
    <x v="2"/>
    <x v="1"/>
    <x v="1"/>
    <m/>
    <m/>
    <m/>
    <n v="1888783"/>
    <m/>
  </r>
  <r>
    <x v="68"/>
    <x v="4"/>
    <s v="페이스북/인스타그램"/>
    <x v="2"/>
    <x v="1"/>
    <x v="1"/>
    <m/>
    <m/>
    <m/>
    <n v="1325534"/>
    <m/>
  </r>
  <r>
    <x v="69"/>
    <x v="1"/>
    <s v="페이스북/인스타그램"/>
    <x v="2"/>
    <x v="1"/>
    <x v="1"/>
    <m/>
    <m/>
    <m/>
    <n v="1635202"/>
    <m/>
  </r>
  <r>
    <x v="70"/>
    <x v="2"/>
    <s v="페이스북/인스타그램"/>
    <x v="2"/>
    <x v="1"/>
    <x v="1"/>
    <m/>
    <m/>
    <m/>
    <n v="1353293"/>
    <m/>
  </r>
  <r>
    <x v="71"/>
    <x v="5"/>
    <s v="페이스북/인스타그램"/>
    <x v="2"/>
    <x v="1"/>
    <x v="1"/>
    <m/>
    <m/>
    <m/>
    <n v="1321069"/>
    <m/>
  </r>
  <r>
    <x v="72"/>
    <x v="6"/>
    <s v="페이스북/인스타그램"/>
    <x v="2"/>
    <x v="1"/>
    <x v="1"/>
    <m/>
    <m/>
    <m/>
    <n v="2196005"/>
    <m/>
  </r>
  <r>
    <x v="73"/>
    <x v="0"/>
    <s v="페이스북/인스타그램"/>
    <x v="2"/>
    <x v="1"/>
    <x v="1"/>
    <m/>
    <m/>
    <m/>
    <n v="1870810"/>
    <m/>
  </r>
  <r>
    <x v="74"/>
    <x v="3"/>
    <s v="페이스북/인스타그램"/>
    <x v="2"/>
    <x v="1"/>
    <x v="1"/>
    <m/>
    <m/>
    <m/>
    <n v="1585158"/>
    <m/>
  </r>
  <r>
    <x v="75"/>
    <x v="4"/>
    <s v="페이스북/인스타그램"/>
    <x v="2"/>
    <x v="1"/>
    <x v="1"/>
    <m/>
    <m/>
    <m/>
    <n v="1290778"/>
    <m/>
  </r>
  <r>
    <x v="76"/>
    <x v="1"/>
    <s v="페이스북/인스타그램"/>
    <x v="2"/>
    <x v="1"/>
    <x v="1"/>
    <m/>
    <m/>
    <m/>
    <n v="1460230"/>
    <m/>
  </r>
  <r>
    <x v="77"/>
    <x v="2"/>
    <s v="페이스북/인스타그램"/>
    <x v="2"/>
    <x v="1"/>
    <x v="1"/>
    <m/>
    <m/>
    <m/>
    <n v="1507885"/>
    <m/>
  </r>
  <r>
    <x v="78"/>
    <x v="5"/>
    <s v="페이스북/인스타그램"/>
    <x v="2"/>
    <x v="1"/>
    <x v="1"/>
    <m/>
    <m/>
    <m/>
    <n v="1617573"/>
    <m/>
  </r>
  <r>
    <x v="79"/>
    <x v="6"/>
    <s v="페이스북/인스타그램"/>
    <x v="2"/>
    <x v="1"/>
    <x v="1"/>
    <m/>
    <m/>
    <m/>
    <n v="1741039"/>
    <m/>
  </r>
  <r>
    <x v="80"/>
    <x v="0"/>
    <s v="페이스북/인스타그램"/>
    <x v="2"/>
    <x v="1"/>
    <x v="1"/>
    <m/>
    <m/>
    <m/>
    <n v="1747479"/>
    <m/>
  </r>
  <r>
    <x v="81"/>
    <x v="3"/>
    <s v="페이스북/인스타그램"/>
    <x v="2"/>
    <x v="1"/>
    <x v="1"/>
    <m/>
    <m/>
    <m/>
    <n v="1951239"/>
    <m/>
  </r>
  <r>
    <x v="82"/>
    <x v="4"/>
    <s v="페이스북/인스타그램"/>
    <x v="2"/>
    <x v="1"/>
    <x v="1"/>
    <m/>
    <m/>
    <m/>
    <n v="1634493"/>
    <m/>
  </r>
  <r>
    <x v="83"/>
    <x v="1"/>
    <s v="페이스북/인스타그램"/>
    <x v="2"/>
    <x v="1"/>
    <x v="1"/>
    <m/>
    <m/>
    <m/>
    <n v="1323227"/>
    <m/>
  </r>
  <r>
    <x v="84"/>
    <x v="2"/>
    <s v="페이스북/인스타그램"/>
    <x v="2"/>
    <x v="1"/>
    <x v="1"/>
    <m/>
    <m/>
    <m/>
    <n v="995395"/>
    <m/>
  </r>
  <r>
    <x v="85"/>
    <x v="5"/>
    <s v="페이스북/인스타그램"/>
    <x v="2"/>
    <x v="1"/>
    <x v="1"/>
    <m/>
    <m/>
    <m/>
    <n v="1013688"/>
    <m/>
  </r>
  <r>
    <x v="86"/>
    <x v="6"/>
    <s v="페이스북/인스타그램"/>
    <x v="2"/>
    <x v="1"/>
    <x v="1"/>
    <m/>
    <m/>
    <m/>
    <n v="1369854"/>
    <m/>
  </r>
  <r>
    <x v="87"/>
    <x v="0"/>
    <s v="페이스북/인스타그램"/>
    <x v="2"/>
    <x v="1"/>
    <x v="1"/>
    <m/>
    <m/>
    <m/>
    <n v="1442119"/>
    <m/>
  </r>
  <r>
    <x v="88"/>
    <x v="3"/>
    <s v="페이스북/인스타그램"/>
    <x v="2"/>
    <x v="1"/>
    <x v="1"/>
    <m/>
    <m/>
    <m/>
    <n v="1786142"/>
    <m/>
  </r>
  <r>
    <x v="89"/>
    <x v="4"/>
    <s v="페이스북/인스타그램"/>
    <x v="2"/>
    <x v="1"/>
    <x v="1"/>
    <m/>
    <m/>
    <m/>
    <n v="1889671"/>
    <m/>
  </r>
  <r>
    <x v="90"/>
    <x v="1"/>
    <s v="페이스북/인스타그램"/>
    <x v="2"/>
    <x v="1"/>
    <x v="1"/>
    <m/>
    <m/>
    <m/>
    <n v="1793441"/>
    <m/>
  </r>
  <r>
    <x v="91"/>
    <x v="2"/>
    <s v="페이스북/인스타그램"/>
    <x v="2"/>
    <x v="1"/>
    <x v="1"/>
    <m/>
    <m/>
    <m/>
    <n v="1439223"/>
    <m/>
  </r>
  <r>
    <x v="92"/>
    <x v="5"/>
    <s v="페이스북/인스타그램"/>
    <x v="2"/>
    <x v="1"/>
    <x v="1"/>
    <m/>
    <m/>
    <m/>
    <n v="1858292"/>
    <m/>
  </r>
  <r>
    <x v="93"/>
    <x v="6"/>
    <s v="페이스북/인스타그램"/>
    <x v="2"/>
    <x v="1"/>
    <x v="1"/>
    <m/>
    <m/>
    <m/>
    <n v="1904380"/>
    <m/>
  </r>
  <r>
    <x v="94"/>
    <x v="0"/>
    <s v="페이스북/인스타그램"/>
    <x v="2"/>
    <x v="1"/>
    <x v="1"/>
    <m/>
    <m/>
    <m/>
    <n v="1900368"/>
    <m/>
  </r>
  <r>
    <x v="95"/>
    <x v="3"/>
    <s v="페이스북/인스타그램"/>
    <x v="2"/>
    <x v="1"/>
    <x v="1"/>
    <m/>
    <m/>
    <m/>
    <n v="2016760"/>
    <m/>
  </r>
  <r>
    <x v="96"/>
    <x v="4"/>
    <s v="페이스북/인스타그램"/>
    <x v="2"/>
    <x v="1"/>
    <x v="1"/>
    <m/>
    <m/>
    <m/>
    <n v="1760782"/>
    <m/>
  </r>
  <r>
    <x v="97"/>
    <x v="1"/>
    <s v="페이스북/인스타그램"/>
    <x v="2"/>
    <x v="1"/>
    <x v="1"/>
    <m/>
    <m/>
    <m/>
    <n v="1694277"/>
    <m/>
  </r>
  <r>
    <x v="98"/>
    <x v="2"/>
    <s v="페이스북/인스타그램"/>
    <x v="2"/>
    <x v="1"/>
    <x v="1"/>
    <m/>
    <m/>
    <m/>
    <n v="1589744"/>
    <m/>
  </r>
  <r>
    <x v="99"/>
    <x v="5"/>
    <s v="페이스북/인스타그램"/>
    <x v="2"/>
    <x v="1"/>
    <x v="1"/>
    <m/>
    <m/>
    <m/>
    <n v="1804164"/>
    <m/>
  </r>
  <r>
    <x v="100"/>
    <x v="6"/>
    <s v="페이스북/인스타그램"/>
    <x v="2"/>
    <x v="1"/>
    <x v="1"/>
    <m/>
    <m/>
    <m/>
    <n v="2220566"/>
    <m/>
  </r>
  <r>
    <x v="101"/>
    <x v="0"/>
    <s v="페이스북/인스타그램"/>
    <x v="2"/>
    <x v="1"/>
    <x v="1"/>
    <m/>
    <m/>
    <m/>
    <n v="2172200"/>
    <m/>
  </r>
  <r>
    <x v="102"/>
    <x v="3"/>
    <s v="페이스북/인스타그램"/>
    <x v="2"/>
    <x v="1"/>
    <x v="1"/>
    <m/>
    <m/>
    <m/>
    <n v="2027733"/>
    <m/>
  </r>
  <r>
    <x v="103"/>
    <x v="4"/>
    <s v="페이스북/인스타그램"/>
    <x v="2"/>
    <x v="1"/>
    <x v="1"/>
    <m/>
    <m/>
    <m/>
    <n v="1887474"/>
    <m/>
  </r>
  <r>
    <x v="104"/>
    <x v="1"/>
    <s v="페이스북/인스타그램"/>
    <x v="2"/>
    <x v="1"/>
    <x v="1"/>
    <m/>
    <m/>
    <m/>
    <n v="1935877"/>
    <m/>
  </r>
  <r>
    <x v="105"/>
    <x v="2"/>
    <s v="페이스북/인스타그램"/>
    <x v="2"/>
    <x v="1"/>
    <x v="1"/>
    <m/>
    <m/>
    <m/>
    <n v="1762702"/>
    <m/>
  </r>
  <r>
    <x v="106"/>
    <x v="5"/>
    <s v="페이스북/인스타그램"/>
    <x v="2"/>
    <x v="1"/>
    <x v="1"/>
    <m/>
    <m/>
    <m/>
    <n v="1790570"/>
    <m/>
  </r>
  <r>
    <x v="107"/>
    <x v="6"/>
    <s v="페이스북/인스타그램"/>
    <x v="2"/>
    <x v="1"/>
    <x v="1"/>
    <m/>
    <m/>
    <m/>
    <n v="1783661"/>
    <m/>
  </r>
  <r>
    <x v="108"/>
    <x v="0"/>
    <s v="페이스북/인스타그램"/>
    <x v="2"/>
    <x v="1"/>
    <x v="1"/>
    <m/>
    <m/>
    <m/>
    <n v="1665216"/>
    <m/>
  </r>
  <r>
    <x v="109"/>
    <x v="3"/>
    <s v="페이스북/인스타그램"/>
    <x v="2"/>
    <x v="1"/>
    <x v="1"/>
    <m/>
    <m/>
    <m/>
    <n v="1702811"/>
    <m/>
  </r>
  <r>
    <x v="110"/>
    <x v="4"/>
    <s v="페이스북/인스타그램"/>
    <x v="2"/>
    <x v="1"/>
    <x v="1"/>
    <m/>
    <m/>
    <m/>
    <n v="1922127"/>
    <m/>
  </r>
  <r>
    <x v="111"/>
    <x v="1"/>
    <s v="페이스북/인스타그램"/>
    <x v="2"/>
    <x v="1"/>
    <x v="1"/>
    <m/>
    <m/>
    <m/>
    <n v="1798895"/>
    <m/>
  </r>
  <r>
    <x v="112"/>
    <x v="2"/>
    <s v="페이스북/인스타그램"/>
    <x v="2"/>
    <x v="1"/>
    <x v="1"/>
    <m/>
    <m/>
    <m/>
    <n v="1643292"/>
    <m/>
  </r>
  <r>
    <x v="113"/>
    <x v="5"/>
    <s v="페이스북/인스타그램"/>
    <x v="2"/>
    <x v="1"/>
    <x v="1"/>
    <m/>
    <m/>
    <m/>
    <n v="1703664"/>
    <m/>
  </r>
  <r>
    <x v="114"/>
    <x v="6"/>
    <s v="페이스북/인스타그램"/>
    <x v="2"/>
    <x v="1"/>
    <x v="1"/>
    <m/>
    <m/>
    <m/>
    <n v="1950145"/>
    <m/>
  </r>
  <r>
    <x v="115"/>
    <x v="0"/>
    <s v="페이스북/인스타그램"/>
    <x v="2"/>
    <x v="1"/>
    <x v="1"/>
    <m/>
    <m/>
    <m/>
    <n v="1865959"/>
    <m/>
  </r>
  <r>
    <x v="116"/>
    <x v="3"/>
    <s v="페이스북/인스타그램"/>
    <x v="2"/>
    <x v="1"/>
    <x v="1"/>
    <m/>
    <m/>
    <m/>
    <n v="1845485"/>
    <m/>
  </r>
  <r>
    <x v="117"/>
    <x v="4"/>
    <s v="페이스북/인스타그램"/>
    <x v="2"/>
    <x v="1"/>
    <x v="1"/>
    <m/>
    <m/>
    <m/>
    <n v="1785124"/>
    <m/>
  </r>
  <r>
    <x v="118"/>
    <x v="1"/>
    <s v="페이스북/인스타그램"/>
    <x v="2"/>
    <x v="1"/>
    <x v="1"/>
    <m/>
    <m/>
    <m/>
    <n v="2054944"/>
    <m/>
  </r>
  <r>
    <x v="119"/>
    <x v="2"/>
    <s v="페이스북/인스타그램"/>
    <x v="2"/>
    <x v="1"/>
    <x v="1"/>
    <m/>
    <m/>
    <m/>
    <n v="1848540"/>
    <m/>
  </r>
  <r>
    <x v="120"/>
    <x v="5"/>
    <s v="페이스북/인스타그램"/>
    <x v="2"/>
    <x v="1"/>
    <x v="1"/>
    <m/>
    <m/>
    <m/>
    <n v="2092786"/>
    <m/>
  </r>
  <r>
    <x v="121"/>
    <x v="6"/>
    <s v="페이스북/인스타그램"/>
    <x v="2"/>
    <x v="1"/>
    <x v="1"/>
    <m/>
    <m/>
    <m/>
    <n v="2428882"/>
    <m/>
  </r>
  <r>
    <x v="122"/>
    <x v="0"/>
    <s v="페이스북/인스타그램"/>
    <x v="2"/>
    <x v="1"/>
    <x v="1"/>
    <m/>
    <m/>
    <m/>
    <n v="2347547"/>
    <m/>
  </r>
  <r>
    <x v="123"/>
    <x v="3"/>
    <s v="페이스북/인스타그램"/>
    <x v="2"/>
    <x v="1"/>
    <x v="1"/>
    <m/>
    <m/>
    <m/>
    <n v="2632496"/>
    <m/>
  </r>
  <r>
    <x v="124"/>
    <x v="4"/>
    <s v="페이스북/인스타그램"/>
    <x v="2"/>
    <x v="1"/>
    <x v="1"/>
    <m/>
    <m/>
    <m/>
    <n v="2558867"/>
    <m/>
  </r>
  <r>
    <x v="125"/>
    <x v="1"/>
    <s v="페이스북/인스타그램"/>
    <x v="2"/>
    <x v="1"/>
    <x v="1"/>
    <m/>
    <m/>
    <m/>
    <n v="2592883"/>
    <m/>
  </r>
  <r>
    <x v="126"/>
    <x v="2"/>
    <s v="페이스북/인스타그램"/>
    <x v="2"/>
    <x v="1"/>
    <x v="1"/>
    <m/>
    <m/>
    <m/>
    <n v="2876765"/>
    <m/>
  </r>
  <r>
    <x v="127"/>
    <x v="5"/>
    <s v="페이스북/인스타그램"/>
    <x v="2"/>
    <x v="1"/>
    <x v="1"/>
    <m/>
    <m/>
    <m/>
    <n v="3087637"/>
    <m/>
  </r>
  <r>
    <x v="128"/>
    <x v="6"/>
    <s v="페이스북/인스타그램"/>
    <x v="2"/>
    <x v="1"/>
    <x v="1"/>
    <m/>
    <m/>
    <m/>
    <n v="3068541"/>
    <m/>
  </r>
  <r>
    <x v="129"/>
    <x v="0"/>
    <s v="페이스북/인스타그램"/>
    <x v="2"/>
    <x v="1"/>
    <x v="1"/>
    <m/>
    <m/>
    <m/>
    <n v="3570232"/>
    <m/>
  </r>
  <r>
    <x v="130"/>
    <x v="3"/>
    <s v="페이스북/인스타그램"/>
    <x v="2"/>
    <x v="1"/>
    <x v="1"/>
    <m/>
    <m/>
    <m/>
    <n v="3935350"/>
    <m/>
  </r>
  <r>
    <x v="131"/>
    <x v="4"/>
    <s v="페이스북/인스타그램"/>
    <x v="2"/>
    <x v="1"/>
    <x v="1"/>
    <m/>
    <m/>
    <m/>
    <n v="4194609"/>
    <m/>
  </r>
  <r>
    <x v="132"/>
    <x v="1"/>
    <s v="페이스북/인스타그램"/>
    <x v="2"/>
    <x v="1"/>
    <x v="1"/>
    <m/>
    <m/>
    <m/>
    <n v="4042480"/>
    <m/>
  </r>
  <r>
    <x v="133"/>
    <x v="2"/>
    <s v="페이스북/인스타그램"/>
    <x v="2"/>
    <x v="1"/>
    <x v="1"/>
    <m/>
    <m/>
    <m/>
    <n v="4286573"/>
    <m/>
  </r>
  <r>
    <x v="134"/>
    <x v="5"/>
    <s v="페이스북/인스타그램"/>
    <x v="2"/>
    <x v="1"/>
    <x v="1"/>
    <m/>
    <m/>
    <m/>
    <n v="4321892"/>
    <m/>
  </r>
  <r>
    <x v="135"/>
    <x v="6"/>
    <s v="페이스북/인스타그램"/>
    <x v="2"/>
    <x v="1"/>
    <x v="1"/>
    <m/>
    <m/>
    <m/>
    <n v="3497320"/>
    <m/>
  </r>
  <r>
    <x v="136"/>
    <x v="0"/>
    <s v="페이스북/인스타그램"/>
    <x v="2"/>
    <x v="1"/>
    <x v="1"/>
    <m/>
    <m/>
    <m/>
    <n v="3952055"/>
    <m/>
  </r>
  <r>
    <x v="137"/>
    <x v="3"/>
    <s v="페이스북/인스타그램"/>
    <x v="2"/>
    <x v="1"/>
    <x v="1"/>
    <m/>
    <m/>
    <m/>
    <n v="4178698"/>
    <m/>
  </r>
  <r>
    <x v="138"/>
    <x v="4"/>
    <s v="페이스북/인스타그램"/>
    <x v="2"/>
    <x v="1"/>
    <x v="1"/>
    <m/>
    <m/>
    <m/>
    <n v="3909871"/>
    <m/>
  </r>
  <r>
    <x v="139"/>
    <x v="1"/>
    <s v="페이스북/인스타그램"/>
    <x v="2"/>
    <x v="1"/>
    <x v="1"/>
    <m/>
    <m/>
    <m/>
    <n v="4965656"/>
    <m/>
  </r>
  <r>
    <x v="140"/>
    <x v="2"/>
    <s v="페이스북/인스타그램"/>
    <x v="2"/>
    <x v="1"/>
    <x v="1"/>
    <m/>
    <m/>
    <m/>
    <n v="5104416"/>
    <m/>
  </r>
  <r>
    <x v="141"/>
    <x v="5"/>
    <s v="페이스북/인스타그램"/>
    <x v="2"/>
    <x v="1"/>
    <x v="1"/>
    <m/>
    <m/>
    <m/>
    <n v="5124673"/>
    <m/>
  </r>
  <r>
    <x v="142"/>
    <x v="6"/>
    <s v="페이스북/인스타그램"/>
    <x v="2"/>
    <x v="1"/>
    <x v="1"/>
    <m/>
    <m/>
    <m/>
    <n v="5429661"/>
    <m/>
  </r>
  <r>
    <x v="143"/>
    <x v="0"/>
    <s v="페이스북/인스타그램"/>
    <x v="2"/>
    <x v="1"/>
    <x v="1"/>
    <m/>
    <m/>
    <m/>
    <n v="5749470"/>
    <m/>
  </r>
  <r>
    <x v="144"/>
    <x v="3"/>
    <s v="페이스북/인스타그램"/>
    <x v="2"/>
    <x v="1"/>
    <x v="1"/>
    <m/>
    <m/>
    <m/>
    <n v="5918409"/>
    <m/>
  </r>
  <r>
    <x v="145"/>
    <x v="4"/>
    <s v="페이스북/인스타그램"/>
    <x v="2"/>
    <x v="1"/>
    <x v="1"/>
    <m/>
    <m/>
    <m/>
    <n v="5660700"/>
    <m/>
  </r>
  <r>
    <x v="146"/>
    <x v="1"/>
    <s v="페이스북/인스타그램"/>
    <x v="2"/>
    <x v="1"/>
    <x v="1"/>
    <m/>
    <m/>
    <m/>
    <n v="5423171"/>
    <m/>
  </r>
  <r>
    <x v="147"/>
    <x v="2"/>
    <s v="페이스북/인스타그램"/>
    <x v="2"/>
    <x v="1"/>
    <x v="1"/>
    <m/>
    <m/>
    <m/>
    <n v="5538240"/>
    <m/>
  </r>
  <r>
    <x v="148"/>
    <x v="5"/>
    <s v="페이스북/인스타그램"/>
    <x v="2"/>
    <x v="1"/>
    <x v="1"/>
    <m/>
    <m/>
    <m/>
    <n v="5823280"/>
    <m/>
  </r>
  <r>
    <x v="149"/>
    <x v="6"/>
    <s v="페이스북/인스타그램"/>
    <x v="2"/>
    <x v="1"/>
    <x v="1"/>
    <m/>
    <m/>
    <m/>
    <n v="5956853"/>
    <m/>
  </r>
  <r>
    <x v="150"/>
    <x v="0"/>
    <s v="페이스북/인스타그램"/>
    <x v="2"/>
    <x v="1"/>
    <x v="1"/>
    <m/>
    <m/>
    <m/>
    <n v="6301841"/>
    <m/>
  </r>
  <r>
    <x v="151"/>
    <x v="3"/>
    <s v="페이스북/인스타그램"/>
    <x v="2"/>
    <x v="1"/>
    <x v="1"/>
    <m/>
    <m/>
    <m/>
    <n v="6577186"/>
    <m/>
  </r>
  <r>
    <x v="152"/>
    <x v="4"/>
    <s v="페이스북/인스타그램"/>
    <x v="2"/>
    <x v="1"/>
    <x v="1"/>
    <m/>
    <m/>
    <m/>
    <n v="6318505"/>
    <m/>
  </r>
  <r>
    <x v="153"/>
    <x v="1"/>
    <s v="페이스북/인스타그램"/>
    <x v="2"/>
    <x v="1"/>
    <x v="1"/>
    <m/>
    <m/>
    <m/>
    <n v="5901422"/>
    <m/>
  </r>
  <r>
    <x v="154"/>
    <x v="2"/>
    <s v="페이스북/인스타그램"/>
    <x v="2"/>
    <x v="1"/>
    <x v="1"/>
    <m/>
    <m/>
    <m/>
    <n v="5827226"/>
    <m/>
  </r>
  <r>
    <x v="155"/>
    <x v="5"/>
    <s v="페이스북/인스타그램"/>
    <x v="2"/>
    <x v="1"/>
    <x v="1"/>
    <m/>
    <m/>
    <m/>
    <n v="5722965"/>
    <m/>
  </r>
  <r>
    <x v="156"/>
    <x v="6"/>
    <s v="페이스북/인스타그램"/>
    <x v="2"/>
    <x v="1"/>
    <x v="1"/>
    <m/>
    <m/>
    <m/>
    <n v="5965586"/>
    <m/>
  </r>
  <r>
    <x v="157"/>
    <x v="0"/>
    <s v="페이스북/인스타그램"/>
    <x v="2"/>
    <x v="1"/>
    <x v="1"/>
    <m/>
    <m/>
    <m/>
    <n v="6733643"/>
    <m/>
  </r>
  <r>
    <x v="158"/>
    <x v="3"/>
    <s v="페이스북/인스타그램"/>
    <x v="2"/>
    <x v="1"/>
    <x v="1"/>
    <m/>
    <m/>
    <m/>
    <n v="6362911"/>
    <m/>
  </r>
  <r>
    <x v="159"/>
    <x v="4"/>
    <s v="페이스북/인스타그램"/>
    <x v="2"/>
    <x v="1"/>
    <x v="1"/>
    <m/>
    <m/>
    <m/>
    <n v="5411754"/>
    <m/>
  </r>
  <r>
    <x v="160"/>
    <x v="1"/>
    <s v="페이스북/인스타그램"/>
    <x v="2"/>
    <x v="1"/>
    <x v="1"/>
    <m/>
    <m/>
    <m/>
    <n v="5158645"/>
    <m/>
  </r>
  <r>
    <x v="161"/>
    <x v="2"/>
    <s v="페이스북/인스타그램"/>
    <x v="2"/>
    <x v="1"/>
    <x v="1"/>
    <m/>
    <m/>
    <m/>
    <n v="5393829"/>
    <m/>
  </r>
  <r>
    <x v="162"/>
    <x v="5"/>
    <s v="페이스북/인스타그램"/>
    <x v="2"/>
    <x v="1"/>
    <x v="1"/>
    <m/>
    <m/>
    <m/>
    <n v="5259332"/>
    <m/>
  </r>
  <r>
    <x v="163"/>
    <x v="6"/>
    <s v="페이스북/인스타그램"/>
    <x v="2"/>
    <x v="1"/>
    <x v="1"/>
    <m/>
    <m/>
    <m/>
    <n v="5061677"/>
    <m/>
  </r>
  <r>
    <x v="164"/>
    <x v="0"/>
    <s v="페이스북/인스타그램"/>
    <x v="2"/>
    <x v="1"/>
    <x v="1"/>
    <m/>
    <m/>
    <m/>
    <n v="5418913"/>
    <m/>
  </r>
  <r>
    <x v="165"/>
    <x v="3"/>
    <s v="페이스북/인스타그램"/>
    <x v="2"/>
    <x v="1"/>
    <x v="1"/>
    <m/>
    <m/>
    <m/>
    <n v="5769473"/>
    <m/>
  </r>
  <r>
    <x v="166"/>
    <x v="4"/>
    <s v="페이스북/인스타그램"/>
    <x v="2"/>
    <x v="1"/>
    <x v="1"/>
    <m/>
    <m/>
    <m/>
    <n v="5089776"/>
    <m/>
  </r>
  <r>
    <x v="167"/>
    <x v="1"/>
    <s v="페이스북/인스타그램"/>
    <x v="2"/>
    <x v="1"/>
    <x v="1"/>
    <m/>
    <m/>
    <m/>
    <n v="4755724"/>
    <m/>
  </r>
  <r>
    <x v="168"/>
    <x v="2"/>
    <s v="페이스북/인스타그램"/>
    <x v="2"/>
    <x v="1"/>
    <x v="1"/>
    <m/>
    <m/>
    <m/>
    <n v="5029674"/>
    <m/>
  </r>
  <r>
    <x v="169"/>
    <x v="5"/>
    <s v="페이스북/인스타그램"/>
    <x v="2"/>
    <x v="1"/>
    <x v="1"/>
    <m/>
    <m/>
    <m/>
    <n v="5026491"/>
    <m/>
  </r>
  <r>
    <x v="170"/>
    <x v="6"/>
    <s v="페이스북/인스타그램"/>
    <x v="2"/>
    <x v="1"/>
    <x v="1"/>
    <m/>
    <m/>
    <m/>
    <n v="4981840"/>
    <m/>
  </r>
  <r>
    <x v="171"/>
    <x v="0"/>
    <s v="페이스북/인스타그램"/>
    <x v="2"/>
    <x v="1"/>
    <x v="1"/>
    <m/>
    <m/>
    <m/>
    <n v="5098311"/>
    <m/>
  </r>
  <r>
    <x v="172"/>
    <x v="3"/>
    <s v="페이스북/인스타그램"/>
    <x v="2"/>
    <x v="1"/>
    <x v="1"/>
    <m/>
    <m/>
    <m/>
    <n v="5288679"/>
    <m/>
  </r>
  <r>
    <x v="173"/>
    <x v="4"/>
    <s v="페이스북/인스타그램"/>
    <x v="2"/>
    <x v="1"/>
    <x v="1"/>
    <m/>
    <m/>
    <m/>
    <n v="5214059"/>
    <m/>
  </r>
  <r>
    <x v="174"/>
    <x v="1"/>
    <s v="페이스북/인스타그램"/>
    <x v="2"/>
    <x v="1"/>
    <x v="1"/>
    <m/>
    <m/>
    <m/>
    <n v="4780271"/>
    <m/>
  </r>
  <r>
    <x v="175"/>
    <x v="2"/>
    <s v="페이스북/인스타그램"/>
    <x v="2"/>
    <x v="1"/>
    <x v="1"/>
    <m/>
    <m/>
    <m/>
    <n v="5040650"/>
    <m/>
  </r>
  <r>
    <x v="176"/>
    <x v="5"/>
    <s v="페이스북/인스타그램"/>
    <x v="2"/>
    <x v="1"/>
    <x v="1"/>
    <m/>
    <m/>
    <m/>
    <n v="4563528"/>
    <m/>
  </r>
  <r>
    <x v="177"/>
    <x v="6"/>
    <s v="페이스북/인스타그램"/>
    <x v="2"/>
    <x v="1"/>
    <x v="1"/>
    <m/>
    <m/>
    <m/>
    <n v="1909635"/>
    <m/>
  </r>
  <r>
    <x v="178"/>
    <x v="0"/>
    <s v="페이스북/인스타그램"/>
    <x v="2"/>
    <x v="1"/>
    <x v="1"/>
    <m/>
    <m/>
    <m/>
    <n v="1476447"/>
    <m/>
  </r>
  <r>
    <x v="179"/>
    <x v="3"/>
    <s v="페이스북/인스타그램"/>
    <x v="2"/>
    <x v="1"/>
    <x v="1"/>
    <m/>
    <m/>
    <m/>
    <n v="897400"/>
    <m/>
  </r>
  <r>
    <x v="180"/>
    <x v="4"/>
    <s v="페이스북/인스타그램"/>
    <x v="2"/>
    <x v="1"/>
    <x v="1"/>
    <m/>
    <m/>
    <m/>
    <n v="827199"/>
    <m/>
  </r>
  <r>
    <x v="181"/>
    <x v="1"/>
    <s v="페이스북/인스타그램"/>
    <x v="2"/>
    <x v="1"/>
    <x v="1"/>
    <m/>
    <m/>
    <m/>
    <n v="1086363"/>
    <m/>
  </r>
  <r>
    <x v="182"/>
    <x v="2"/>
    <s v="페이스북/인스타그램"/>
    <x v="2"/>
    <x v="1"/>
    <x v="1"/>
    <m/>
    <m/>
    <m/>
    <n v="1084369"/>
    <m/>
  </r>
  <r>
    <x v="183"/>
    <x v="5"/>
    <s v="페이스북/인스타그램"/>
    <x v="2"/>
    <x v="1"/>
    <x v="1"/>
    <m/>
    <m/>
    <m/>
    <n v="1052758"/>
    <m/>
  </r>
  <r>
    <x v="184"/>
    <x v="6"/>
    <s v="페이스북/인스타그램"/>
    <x v="2"/>
    <x v="1"/>
    <x v="1"/>
    <m/>
    <m/>
    <m/>
    <n v="1027292"/>
    <m/>
  </r>
  <r>
    <x v="185"/>
    <x v="0"/>
    <s v="페이스북/인스타그램"/>
    <x v="2"/>
    <x v="1"/>
    <x v="1"/>
    <m/>
    <m/>
    <m/>
    <n v="1242255"/>
    <m/>
  </r>
  <r>
    <x v="186"/>
    <x v="3"/>
    <s v="페이스북/인스타그램"/>
    <x v="2"/>
    <x v="1"/>
    <x v="1"/>
    <m/>
    <m/>
    <m/>
    <n v="1064481"/>
    <m/>
  </r>
  <r>
    <x v="187"/>
    <x v="4"/>
    <s v="페이스북/인스타그램"/>
    <x v="2"/>
    <x v="1"/>
    <x v="1"/>
    <m/>
    <m/>
    <m/>
    <n v="1064034"/>
    <m/>
  </r>
  <r>
    <x v="188"/>
    <x v="1"/>
    <s v="페이스북/인스타그램"/>
    <x v="2"/>
    <x v="1"/>
    <x v="1"/>
    <m/>
    <m/>
    <m/>
    <n v="1067233"/>
    <m/>
  </r>
  <r>
    <x v="189"/>
    <x v="2"/>
    <s v="페이스북/인스타그램"/>
    <x v="2"/>
    <x v="1"/>
    <x v="1"/>
    <m/>
    <m/>
    <m/>
    <n v="1063546"/>
    <m/>
  </r>
  <r>
    <x v="190"/>
    <x v="5"/>
    <s v="페이스북/인스타그램"/>
    <x v="2"/>
    <x v="1"/>
    <x v="1"/>
    <m/>
    <m/>
    <m/>
    <n v="1073545"/>
    <m/>
  </r>
  <r>
    <x v="191"/>
    <x v="6"/>
    <s v="페이스북/인스타그램"/>
    <x v="2"/>
    <x v="1"/>
    <x v="1"/>
    <m/>
    <m/>
    <m/>
    <n v="1162621"/>
    <m/>
  </r>
  <r>
    <x v="192"/>
    <x v="0"/>
    <s v="페이스북/인스타그램"/>
    <x v="2"/>
    <x v="1"/>
    <x v="1"/>
    <m/>
    <m/>
    <m/>
    <n v="1567666"/>
    <m/>
  </r>
  <r>
    <x v="193"/>
    <x v="3"/>
    <s v="페이스북/인스타그램"/>
    <x v="2"/>
    <x v="1"/>
    <x v="1"/>
    <m/>
    <m/>
    <m/>
    <n v="1658029"/>
    <m/>
  </r>
  <r>
    <x v="194"/>
    <x v="4"/>
    <s v="페이스북/인스타그램"/>
    <x v="2"/>
    <x v="1"/>
    <x v="1"/>
    <m/>
    <m/>
    <m/>
    <n v="1477903"/>
    <m/>
  </r>
  <r>
    <x v="195"/>
    <x v="1"/>
    <s v="페이스북/인스타그램"/>
    <x v="2"/>
    <x v="1"/>
    <x v="1"/>
    <m/>
    <m/>
    <m/>
    <n v="1583658"/>
    <m/>
  </r>
  <r>
    <x v="196"/>
    <x v="2"/>
    <s v="페이스북/인스타그램"/>
    <x v="2"/>
    <x v="1"/>
    <x v="1"/>
    <m/>
    <m/>
    <m/>
    <n v="1751306"/>
    <m/>
  </r>
  <r>
    <x v="197"/>
    <x v="5"/>
    <s v="페이스북/인스타그램"/>
    <x v="2"/>
    <x v="1"/>
    <x v="1"/>
    <m/>
    <m/>
    <m/>
    <n v="1802275"/>
    <m/>
  </r>
  <r>
    <x v="198"/>
    <x v="6"/>
    <s v="페이스북/인스타그램"/>
    <x v="2"/>
    <x v="1"/>
    <x v="1"/>
    <m/>
    <m/>
    <m/>
    <n v="1849046"/>
    <m/>
  </r>
  <r>
    <x v="199"/>
    <x v="0"/>
    <s v="페이스북/인스타그램"/>
    <x v="2"/>
    <x v="1"/>
    <x v="1"/>
    <m/>
    <m/>
    <m/>
    <n v="1772156"/>
    <m/>
  </r>
  <r>
    <x v="200"/>
    <x v="3"/>
    <s v="페이스북/인스타그램"/>
    <x v="2"/>
    <x v="1"/>
    <x v="1"/>
    <m/>
    <m/>
    <m/>
    <n v="1695520"/>
    <m/>
  </r>
  <r>
    <x v="201"/>
    <x v="4"/>
    <s v="페이스북/인스타그램"/>
    <x v="2"/>
    <x v="1"/>
    <x v="1"/>
    <m/>
    <m/>
    <m/>
    <n v="1832295"/>
    <m/>
  </r>
  <r>
    <x v="202"/>
    <x v="1"/>
    <s v="페이스북/인스타그램"/>
    <x v="2"/>
    <x v="1"/>
    <x v="1"/>
    <m/>
    <m/>
    <m/>
    <n v="2484717"/>
    <m/>
  </r>
  <r>
    <x v="203"/>
    <x v="2"/>
    <s v="페이스북/인스타그램"/>
    <x v="2"/>
    <x v="1"/>
    <x v="1"/>
    <m/>
    <m/>
    <m/>
    <n v="2688860"/>
    <m/>
  </r>
  <r>
    <x v="204"/>
    <x v="5"/>
    <s v="페이스북/인스타그램"/>
    <x v="2"/>
    <x v="1"/>
    <x v="1"/>
    <m/>
    <m/>
    <m/>
    <n v="3369121"/>
    <m/>
  </r>
  <r>
    <x v="205"/>
    <x v="6"/>
    <s v="페이스북/인스타그램"/>
    <x v="2"/>
    <x v="1"/>
    <x v="1"/>
    <m/>
    <m/>
    <m/>
    <n v="4213068"/>
    <m/>
  </r>
  <r>
    <x v="206"/>
    <x v="0"/>
    <s v="페이스북/인스타그램"/>
    <x v="2"/>
    <x v="1"/>
    <x v="1"/>
    <m/>
    <m/>
    <m/>
    <n v="4968615"/>
    <m/>
  </r>
  <r>
    <x v="207"/>
    <x v="3"/>
    <s v="페이스북/인스타그램"/>
    <x v="2"/>
    <x v="1"/>
    <x v="1"/>
    <m/>
    <m/>
    <m/>
    <n v="5506343"/>
    <m/>
  </r>
  <r>
    <x v="208"/>
    <x v="4"/>
    <s v="페이스북/인스타그램"/>
    <x v="2"/>
    <x v="1"/>
    <x v="1"/>
    <m/>
    <m/>
    <m/>
    <n v="5913042"/>
    <m/>
  </r>
  <r>
    <x v="209"/>
    <x v="1"/>
    <s v="페이스북/인스타그램"/>
    <x v="2"/>
    <x v="1"/>
    <x v="1"/>
    <m/>
    <m/>
    <m/>
    <n v="5703341"/>
    <m/>
  </r>
  <r>
    <x v="210"/>
    <x v="2"/>
    <s v="페이스북/인스타그램"/>
    <x v="2"/>
    <x v="1"/>
    <x v="1"/>
    <m/>
    <m/>
    <m/>
    <n v="6272608"/>
    <m/>
  </r>
  <r>
    <x v="211"/>
    <x v="5"/>
    <s v="페이스북/인스타그램"/>
    <x v="2"/>
    <x v="1"/>
    <x v="1"/>
    <m/>
    <m/>
    <m/>
    <n v="6891789"/>
    <m/>
  </r>
  <r>
    <x v="212"/>
    <x v="6"/>
    <s v="페이스북/인스타그램"/>
    <x v="2"/>
    <x v="1"/>
    <x v="1"/>
    <m/>
    <m/>
    <m/>
    <n v="5926152"/>
    <m/>
  </r>
  <r>
    <x v="213"/>
    <x v="0"/>
    <s v="페이스북/인스타그램"/>
    <x v="2"/>
    <x v="1"/>
    <x v="1"/>
    <m/>
    <m/>
    <m/>
    <n v="4865962"/>
    <m/>
  </r>
  <r>
    <x v="214"/>
    <x v="3"/>
    <s v="페이스북/인스타그램"/>
    <x v="2"/>
    <x v="1"/>
    <x v="1"/>
    <m/>
    <m/>
    <m/>
    <n v="3231197"/>
    <m/>
  </r>
  <r>
    <x v="215"/>
    <x v="4"/>
    <s v="페이스북/인스타그램"/>
    <x v="2"/>
    <x v="1"/>
    <x v="1"/>
    <m/>
    <m/>
    <m/>
    <n v="2991135"/>
    <m/>
  </r>
  <r>
    <x v="216"/>
    <x v="1"/>
    <s v="페이스북/인스타그램"/>
    <x v="2"/>
    <x v="1"/>
    <x v="1"/>
    <m/>
    <m/>
    <m/>
    <n v="3377561"/>
    <m/>
  </r>
  <r>
    <x v="217"/>
    <x v="2"/>
    <s v="페이스북/인스타그램"/>
    <x v="2"/>
    <x v="1"/>
    <x v="1"/>
    <m/>
    <m/>
    <m/>
    <n v="3747438"/>
    <m/>
  </r>
  <r>
    <x v="218"/>
    <x v="5"/>
    <s v="페이스북/인스타그램"/>
    <x v="2"/>
    <x v="1"/>
    <x v="1"/>
    <m/>
    <m/>
    <m/>
    <n v="3916705"/>
    <m/>
  </r>
  <r>
    <x v="219"/>
    <x v="6"/>
    <s v="페이스북/인스타그램"/>
    <x v="2"/>
    <x v="1"/>
    <x v="1"/>
    <m/>
    <m/>
    <m/>
    <n v="3802760"/>
    <m/>
  </r>
  <r>
    <x v="220"/>
    <x v="0"/>
    <s v="페이스북/인스타그램"/>
    <x v="2"/>
    <x v="1"/>
    <x v="1"/>
    <m/>
    <m/>
    <m/>
    <n v="3959175"/>
    <m/>
  </r>
  <r>
    <x v="221"/>
    <x v="3"/>
    <s v="페이스북/인스타그램"/>
    <x v="2"/>
    <x v="1"/>
    <x v="1"/>
    <m/>
    <m/>
    <m/>
    <n v="5137445"/>
    <m/>
  </r>
  <r>
    <x v="222"/>
    <x v="4"/>
    <s v="페이스북/인스타그램"/>
    <x v="2"/>
    <x v="1"/>
    <x v="1"/>
    <m/>
    <m/>
    <m/>
    <n v="5110183"/>
    <m/>
  </r>
  <r>
    <x v="223"/>
    <x v="1"/>
    <s v="페이스북/인스타그램"/>
    <x v="2"/>
    <x v="1"/>
    <x v="1"/>
    <m/>
    <m/>
    <m/>
    <n v="5107750"/>
    <m/>
  </r>
  <r>
    <x v="224"/>
    <x v="2"/>
    <s v="페이스북/인스타그램"/>
    <x v="2"/>
    <x v="1"/>
    <x v="1"/>
    <m/>
    <m/>
    <m/>
    <n v="5498801"/>
    <m/>
  </r>
  <r>
    <x v="225"/>
    <x v="5"/>
    <s v="페이스북/인스타그램"/>
    <x v="2"/>
    <x v="1"/>
    <x v="1"/>
    <m/>
    <m/>
    <m/>
    <n v="5132147"/>
    <m/>
  </r>
  <r>
    <x v="226"/>
    <x v="6"/>
    <s v="페이스북/인스타그램"/>
    <x v="2"/>
    <x v="1"/>
    <x v="1"/>
    <m/>
    <m/>
    <m/>
    <n v="4924534"/>
    <m/>
  </r>
  <r>
    <x v="227"/>
    <x v="0"/>
    <s v="페이스북/인스타그램"/>
    <x v="2"/>
    <x v="1"/>
    <x v="1"/>
    <m/>
    <m/>
    <m/>
    <n v="4889804"/>
    <m/>
  </r>
  <r>
    <x v="228"/>
    <x v="3"/>
    <s v="페이스북/인스타그램"/>
    <x v="2"/>
    <x v="1"/>
    <x v="1"/>
    <m/>
    <m/>
    <m/>
    <n v="5107354"/>
    <m/>
  </r>
  <r>
    <x v="229"/>
    <x v="4"/>
    <s v="페이스북/인스타그램"/>
    <x v="2"/>
    <x v="1"/>
    <x v="1"/>
    <m/>
    <m/>
    <m/>
    <n v="5068785"/>
    <m/>
  </r>
  <r>
    <x v="230"/>
    <x v="1"/>
    <s v="페이스북/인스타그램"/>
    <x v="2"/>
    <x v="1"/>
    <x v="1"/>
    <m/>
    <m/>
    <m/>
    <n v="5121174"/>
    <m/>
  </r>
  <r>
    <x v="231"/>
    <x v="2"/>
    <s v="페이스북/인스타그램"/>
    <x v="2"/>
    <x v="1"/>
    <x v="1"/>
    <m/>
    <m/>
    <m/>
    <n v="4943526"/>
    <m/>
  </r>
  <r>
    <x v="232"/>
    <x v="5"/>
    <s v="페이스북/인스타그램"/>
    <x v="2"/>
    <x v="1"/>
    <x v="1"/>
    <m/>
    <m/>
    <m/>
    <n v="5048775"/>
    <m/>
  </r>
  <r>
    <x v="233"/>
    <x v="6"/>
    <s v="페이스북/인스타그램"/>
    <x v="2"/>
    <x v="1"/>
    <x v="1"/>
    <m/>
    <m/>
    <m/>
    <n v="4429424"/>
    <m/>
  </r>
  <r>
    <x v="234"/>
    <x v="0"/>
    <s v="페이스북/인스타그램"/>
    <x v="2"/>
    <x v="1"/>
    <x v="1"/>
    <m/>
    <m/>
    <m/>
    <n v="4339586"/>
    <m/>
  </r>
  <r>
    <x v="235"/>
    <x v="3"/>
    <s v="페이스북/인스타그램"/>
    <x v="2"/>
    <x v="1"/>
    <x v="1"/>
    <m/>
    <m/>
    <m/>
    <n v="4232664"/>
    <m/>
  </r>
  <r>
    <x v="236"/>
    <x v="4"/>
    <s v="페이스북/인스타그램"/>
    <x v="2"/>
    <x v="1"/>
    <x v="1"/>
    <m/>
    <m/>
    <m/>
    <n v="4126826"/>
    <m/>
  </r>
  <r>
    <x v="237"/>
    <x v="1"/>
    <s v="페이스북/인스타그램"/>
    <x v="2"/>
    <x v="1"/>
    <x v="1"/>
    <m/>
    <m/>
    <m/>
    <n v="4327408"/>
    <m/>
  </r>
  <r>
    <x v="238"/>
    <x v="2"/>
    <s v="페이스북/인스타그램"/>
    <x v="2"/>
    <x v="1"/>
    <x v="1"/>
    <m/>
    <m/>
    <m/>
    <n v="4537018"/>
    <m/>
  </r>
  <r>
    <x v="239"/>
    <x v="5"/>
    <s v="페이스북/인스타그램"/>
    <x v="2"/>
    <x v="1"/>
    <x v="1"/>
    <m/>
    <m/>
    <m/>
    <n v="4542592"/>
    <m/>
  </r>
  <r>
    <x v="240"/>
    <x v="6"/>
    <s v="페이스북/인스타그램"/>
    <x v="2"/>
    <x v="1"/>
    <x v="1"/>
    <m/>
    <m/>
    <m/>
    <n v="4368026"/>
    <m/>
  </r>
  <r>
    <x v="241"/>
    <x v="0"/>
    <s v="페이스북/인스타그램"/>
    <x v="2"/>
    <x v="1"/>
    <x v="1"/>
    <m/>
    <m/>
    <m/>
    <n v="4533547"/>
    <m/>
  </r>
  <r>
    <x v="242"/>
    <x v="3"/>
    <s v="페이스북/인스타그램"/>
    <x v="2"/>
    <x v="1"/>
    <x v="1"/>
    <m/>
    <m/>
    <m/>
    <n v="4500123"/>
    <m/>
  </r>
  <r>
    <x v="243"/>
    <x v="4"/>
    <s v="페이스북/인스타그램"/>
    <x v="2"/>
    <x v="1"/>
    <x v="1"/>
    <m/>
    <m/>
    <m/>
    <n v="4648581"/>
    <m/>
  </r>
  <r>
    <x v="244"/>
    <x v="1"/>
    <s v="페이스북/인스타그램"/>
    <x v="2"/>
    <x v="1"/>
    <x v="1"/>
    <m/>
    <m/>
    <m/>
    <n v="4509017"/>
    <m/>
  </r>
  <r>
    <x v="245"/>
    <x v="2"/>
    <s v="페이스북/인스타그램"/>
    <x v="2"/>
    <x v="1"/>
    <x v="1"/>
    <m/>
    <m/>
    <m/>
    <n v="4509017"/>
    <m/>
  </r>
  <r>
    <x v="246"/>
    <x v="5"/>
    <s v="페이스북/인스타그램"/>
    <x v="2"/>
    <x v="1"/>
    <x v="1"/>
    <m/>
    <m/>
    <m/>
    <n v="4491645"/>
    <m/>
  </r>
  <r>
    <x v="247"/>
    <x v="6"/>
    <s v="페이스북/인스타그램"/>
    <x v="2"/>
    <x v="1"/>
    <x v="1"/>
    <m/>
    <m/>
    <m/>
    <n v="4152557"/>
    <m/>
  </r>
  <r>
    <x v="248"/>
    <x v="0"/>
    <s v="페이스북/인스타그램"/>
    <x v="2"/>
    <x v="1"/>
    <x v="1"/>
    <m/>
    <m/>
    <m/>
    <n v="4309647"/>
    <m/>
  </r>
  <r>
    <x v="249"/>
    <x v="3"/>
    <s v="페이스북/인스타그램"/>
    <x v="2"/>
    <x v="1"/>
    <x v="1"/>
    <m/>
    <m/>
    <m/>
    <n v="4161919"/>
    <m/>
  </r>
  <r>
    <x v="250"/>
    <x v="4"/>
    <s v="페이스북/인스타그램"/>
    <x v="2"/>
    <x v="1"/>
    <x v="1"/>
    <m/>
    <m/>
    <m/>
    <n v="4128112"/>
    <m/>
  </r>
  <r>
    <x v="251"/>
    <x v="1"/>
    <s v="페이스북/인스타그램"/>
    <x v="2"/>
    <x v="1"/>
    <x v="1"/>
    <m/>
    <m/>
    <m/>
    <n v="4190922"/>
    <m/>
  </r>
  <r>
    <x v="252"/>
    <x v="2"/>
    <s v="페이스북/인스타그램"/>
    <x v="2"/>
    <x v="1"/>
    <x v="1"/>
    <m/>
    <m/>
    <m/>
    <n v="4369544"/>
    <m/>
  </r>
  <r>
    <x v="253"/>
    <x v="5"/>
    <s v="페이스북/인스타그램"/>
    <x v="2"/>
    <x v="1"/>
    <x v="1"/>
    <m/>
    <m/>
    <m/>
    <n v="4188960"/>
    <m/>
  </r>
  <r>
    <x v="254"/>
    <x v="6"/>
    <s v="페이스북/인스타그램"/>
    <x v="2"/>
    <x v="1"/>
    <x v="1"/>
    <m/>
    <m/>
    <m/>
    <n v="4064471"/>
    <m/>
  </r>
  <r>
    <x v="255"/>
    <x v="0"/>
    <s v="페이스북/인스타그램"/>
    <x v="2"/>
    <x v="1"/>
    <x v="1"/>
    <m/>
    <m/>
    <m/>
    <n v="3918886"/>
    <m/>
  </r>
  <r>
    <x v="256"/>
    <x v="3"/>
    <s v="페이스북/인스타그램"/>
    <x v="2"/>
    <x v="1"/>
    <x v="1"/>
    <m/>
    <m/>
    <m/>
    <n v="3808298"/>
    <m/>
  </r>
  <r>
    <x v="257"/>
    <x v="4"/>
    <s v="페이스북/인스타그램"/>
    <x v="2"/>
    <x v="1"/>
    <x v="1"/>
    <m/>
    <m/>
    <m/>
    <n v="3553718"/>
    <m/>
  </r>
  <r>
    <x v="258"/>
    <x v="1"/>
    <s v="페이스북/인스타그램"/>
    <x v="2"/>
    <x v="1"/>
    <x v="1"/>
    <m/>
    <m/>
    <m/>
    <n v="3107785"/>
    <m/>
  </r>
  <r>
    <x v="259"/>
    <x v="2"/>
    <s v="페이스북/인스타그램"/>
    <x v="2"/>
    <x v="1"/>
    <x v="1"/>
    <m/>
    <m/>
    <m/>
    <n v="2826800"/>
    <m/>
  </r>
  <r>
    <x v="260"/>
    <x v="5"/>
    <s v="페이스북/인스타그램"/>
    <x v="2"/>
    <x v="1"/>
    <x v="1"/>
    <m/>
    <m/>
    <m/>
    <n v="2823592"/>
    <m/>
  </r>
  <r>
    <x v="261"/>
    <x v="6"/>
    <s v="페이스북/인스타그램"/>
    <x v="2"/>
    <x v="1"/>
    <x v="1"/>
    <m/>
    <m/>
    <m/>
    <n v="2876646"/>
    <m/>
  </r>
  <r>
    <x v="0"/>
    <x v="0"/>
    <s v="페이스북/인스타그램"/>
    <x v="2"/>
    <x v="1"/>
    <x v="1"/>
    <m/>
    <m/>
    <m/>
    <n v="2762968"/>
    <m/>
  </r>
  <r>
    <x v="59"/>
    <x v="0"/>
    <s v="네이버 쇼핑검색"/>
    <x v="2"/>
    <x v="1"/>
    <x v="1"/>
    <m/>
    <m/>
    <m/>
    <n v="1590"/>
    <m/>
  </r>
  <r>
    <x v="60"/>
    <x v="3"/>
    <s v="네이버 쇼핑검색"/>
    <x v="2"/>
    <x v="1"/>
    <x v="1"/>
    <m/>
    <m/>
    <m/>
    <n v="5460"/>
    <m/>
  </r>
  <r>
    <x v="61"/>
    <x v="4"/>
    <s v="네이버 쇼핑검색"/>
    <x v="2"/>
    <x v="1"/>
    <x v="1"/>
    <m/>
    <m/>
    <m/>
    <n v="3480"/>
    <m/>
  </r>
  <r>
    <x v="62"/>
    <x v="1"/>
    <s v="네이버 쇼핑검색"/>
    <x v="2"/>
    <x v="1"/>
    <x v="1"/>
    <m/>
    <m/>
    <m/>
    <n v="2380"/>
    <m/>
  </r>
  <r>
    <x v="63"/>
    <x v="2"/>
    <s v="네이버 쇼핑검색"/>
    <x v="2"/>
    <x v="1"/>
    <x v="1"/>
    <m/>
    <m/>
    <m/>
    <n v="1780"/>
    <m/>
  </r>
  <r>
    <x v="64"/>
    <x v="5"/>
    <s v="네이버 쇼핑검색"/>
    <x v="2"/>
    <x v="1"/>
    <x v="1"/>
    <m/>
    <m/>
    <m/>
    <n v="170"/>
    <m/>
  </r>
  <r>
    <x v="65"/>
    <x v="6"/>
    <s v="네이버 쇼핑검색"/>
    <x v="2"/>
    <x v="1"/>
    <x v="1"/>
    <m/>
    <m/>
    <m/>
    <n v="170"/>
    <m/>
  </r>
  <r>
    <x v="66"/>
    <x v="0"/>
    <s v="네이버 쇼핑검색"/>
    <x v="2"/>
    <x v="1"/>
    <x v="1"/>
    <m/>
    <m/>
    <m/>
    <n v="4270"/>
    <m/>
  </r>
  <r>
    <x v="67"/>
    <x v="3"/>
    <s v="네이버 쇼핑검색"/>
    <x v="2"/>
    <x v="1"/>
    <x v="1"/>
    <m/>
    <m/>
    <m/>
    <n v="2340"/>
    <m/>
  </r>
  <r>
    <x v="68"/>
    <x v="4"/>
    <s v="네이버 쇼핑검색"/>
    <x v="2"/>
    <x v="1"/>
    <x v="1"/>
    <m/>
    <m/>
    <m/>
    <n v="350"/>
    <m/>
  </r>
  <r>
    <x v="69"/>
    <x v="1"/>
    <s v="네이버 쇼핑검색"/>
    <x v="2"/>
    <x v="1"/>
    <x v="1"/>
    <m/>
    <m/>
    <m/>
    <n v="959.9999999999999"/>
    <m/>
  </r>
  <r>
    <x v="70"/>
    <x v="2"/>
    <s v="네이버 쇼핑검색"/>
    <x v="2"/>
    <x v="1"/>
    <x v="1"/>
    <m/>
    <m/>
    <m/>
    <n v="1600"/>
    <m/>
  </r>
  <r>
    <x v="71"/>
    <x v="5"/>
    <s v="네이버 쇼핑검색"/>
    <x v="2"/>
    <x v="1"/>
    <x v="1"/>
    <m/>
    <m/>
    <m/>
    <n v="1140"/>
    <m/>
  </r>
  <r>
    <x v="72"/>
    <x v="6"/>
    <s v="네이버 쇼핑검색"/>
    <x v="2"/>
    <x v="1"/>
    <x v="1"/>
    <m/>
    <m/>
    <m/>
    <n v="1560"/>
    <m/>
  </r>
  <r>
    <x v="73"/>
    <x v="0"/>
    <s v="네이버 쇼핑검색"/>
    <x v="2"/>
    <x v="1"/>
    <x v="1"/>
    <m/>
    <m/>
    <m/>
    <n v="1560"/>
    <m/>
  </r>
  <r>
    <x v="74"/>
    <x v="3"/>
    <s v="네이버 쇼핑검색"/>
    <x v="2"/>
    <x v="1"/>
    <x v="1"/>
    <m/>
    <m/>
    <m/>
    <n v="4010"/>
    <m/>
  </r>
  <r>
    <x v="75"/>
    <x v="4"/>
    <s v="네이버 쇼핑검색"/>
    <x v="2"/>
    <x v="1"/>
    <x v="1"/>
    <m/>
    <m/>
    <m/>
    <n v="1940"/>
    <m/>
  </r>
  <r>
    <x v="76"/>
    <x v="1"/>
    <s v="네이버 쇼핑검색"/>
    <x v="2"/>
    <x v="1"/>
    <x v="1"/>
    <m/>
    <m/>
    <m/>
    <n v="0"/>
    <m/>
  </r>
  <r>
    <x v="77"/>
    <x v="2"/>
    <s v="네이버 쇼핑검색"/>
    <x v="2"/>
    <x v="1"/>
    <x v="1"/>
    <m/>
    <m/>
    <m/>
    <n v="200"/>
    <m/>
  </r>
  <r>
    <x v="78"/>
    <x v="5"/>
    <s v="네이버 쇼핑검색"/>
    <x v="2"/>
    <x v="1"/>
    <x v="1"/>
    <m/>
    <m/>
    <m/>
    <n v="0"/>
    <m/>
  </r>
  <r>
    <x v="79"/>
    <x v="6"/>
    <s v="네이버 쇼핑검색"/>
    <x v="2"/>
    <x v="1"/>
    <x v="1"/>
    <m/>
    <m/>
    <m/>
    <n v="0"/>
    <m/>
  </r>
  <r>
    <x v="80"/>
    <x v="0"/>
    <s v="네이버 쇼핑검색"/>
    <x v="2"/>
    <x v="1"/>
    <x v="1"/>
    <m/>
    <m/>
    <m/>
    <n v="3170"/>
    <m/>
  </r>
  <r>
    <x v="81"/>
    <x v="3"/>
    <s v="네이버 쇼핑검색"/>
    <x v="2"/>
    <x v="1"/>
    <x v="1"/>
    <m/>
    <m/>
    <m/>
    <n v="5080"/>
    <m/>
  </r>
  <r>
    <x v="82"/>
    <x v="4"/>
    <s v="네이버 쇼핑검색"/>
    <x v="2"/>
    <x v="1"/>
    <x v="1"/>
    <m/>
    <m/>
    <m/>
    <n v="2350"/>
    <m/>
  </r>
  <r>
    <x v="83"/>
    <x v="1"/>
    <s v="네이버 쇼핑검색"/>
    <x v="2"/>
    <x v="1"/>
    <x v="1"/>
    <m/>
    <m/>
    <m/>
    <n v="330"/>
    <m/>
  </r>
  <r>
    <x v="84"/>
    <x v="2"/>
    <s v="네이버 쇼핑검색"/>
    <x v="2"/>
    <x v="1"/>
    <x v="1"/>
    <m/>
    <m/>
    <m/>
    <n v="2870"/>
    <m/>
  </r>
  <r>
    <x v="85"/>
    <x v="5"/>
    <s v="네이버 쇼핑검색"/>
    <x v="2"/>
    <x v="1"/>
    <x v="1"/>
    <m/>
    <m/>
    <m/>
    <n v="620"/>
    <m/>
  </r>
  <r>
    <x v="86"/>
    <x v="6"/>
    <s v="네이버 쇼핑검색"/>
    <x v="2"/>
    <x v="1"/>
    <x v="1"/>
    <m/>
    <m/>
    <m/>
    <n v="1770"/>
    <m/>
  </r>
  <r>
    <x v="87"/>
    <x v="0"/>
    <s v="네이버 쇼핑검색"/>
    <x v="2"/>
    <x v="1"/>
    <x v="1"/>
    <m/>
    <m/>
    <m/>
    <n v="1590"/>
    <m/>
  </r>
  <r>
    <x v="88"/>
    <x v="3"/>
    <s v="네이버 쇼핑검색"/>
    <x v="2"/>
    <x v="1"/>
    <x v="1"/>
    <m/>
    <m/>
    <m/>
    <n v="2610"/>
    <m/>
  </r>
  <r>
    <x v="89"/>
    <x v="4"/>
    <s v="네이버 쇼핑검색"/>
    <x v="2"/>
    <x v="1"/>
    <x v="1"/>
    <m/>
    <m/>
    <m/>
    <n v="3010"/>
    <m/>
  </r>
  <r>
    <x v="90"/>
    <x v="1"/>
    <s v="네이버 쇼핑검색"/>
    <x v="2"/>
    <x v="1"/>
    <x v="1"/>
    <m/>
    <m/>
    <m/>
    <n v="3480"/>
    <m/>
  </r>
  <r>
    <x v="91"/>
    <x v="2"/>
    <s v="네이버 쇼핑검색"/>
    <x v="2"/>
    <x v="1"/>
    <x v="1"/>
    <m/>
    <m/>
    <m/>
    <n v="1630"/>
    <m/>
  </r>
  <r>
    <x v="92"/>
    <x v="5"/>
    <s v="네이버 쇼핑검색"/>
    <x v="2"/>
    <x v="1"/>
    <x v="1"/>
    <m/>
    <m/>
    <m/>
    <n v="2030"/>
    <m/>
  </r>
  <r>
    <x v="93"/>
    <x v="6"/>
    <s v="네이버 쇼핑검색"/>
    <x v="2"/>
    <x v="1"/>
    <x v="1"/>
    <m/>
    <m/>
    <m/>
    <n v="1540"/>
    <m/>
  </r>
  <r>
    <x v="94"/>
    <x v="0"/>
    <s v="네이버 쇼핑검색"/>
    <x v="2"/>
    <x v="1"/>
    <x v="1"/>
    <m/>
    <m/>
    <m/>
    <n v="1560"/>
    <m/>
  </r>
  <r>
    <x v="95"/>
    <x v="3"/>
    <s v="네이버 쇼핑검색"/>
    <x v="2"/>
    <x v="1"/>
    <x v="1"/>
    <m/>
    <m/>
    <m/>
    <n v="3470"/>
    <m/>
  </r>
  <r>
    <x v="96"/>
    <x v="4"/>
    <s v="네이버 쇼핑검색"/>
    <x v="2"/>
    <x v="1"/>
    <x v="1"/>
    <m/>
    <m/>
    <m/>
    <n v="5270"/>
    <m/>
  </r>
  <r>
    <x v="97"/>
    <x v="1"/>
    <s v="네이버 쇼핑검색"/>
    <x v="2"/>
    <x v="1"/>
    <x v="1"/>
    <m/>
    <m/>
    <m/>
    <n v="2640"/>
    <m/>
  </r>
  <r>
    <x v="98"/>
    <x v="2"/>
    <s v="네이버 쇼핑검색"/>
    <x v="2"/>
    <x v="1"/>
    <x v="1"/>
    <m/>
    <m/>
    <m/>
    <n v="1920"/>
    <m/>
  </r>
  <r>
    <x v="99"/>
    <x v="5"/>
    <s v="네이버 쇼핑검색"/>
    <x v="2"/>
    <x v="1"/>
    <x v="1"/>
    <m/>
    <m/>
    <m/>
    <n v="3180"/>
    <m/>
  </r>
  <r>
    <x v="100"/>
    <x v="6"/>
    <s v="네이버 쇼핑검색"/>
    <x v="2"/>
    <x v="1"/>
    <x v="1"/>
    <m/>
    <m/>
    <m/>
    <n v="1290"/>
    <m/>
  </r>
  <r>
    <x v="101"/>
    <x v="0"/>
    <s v="네이버 쇼핑검색"/>
    <x v="2"/>
    <x v="1"/>
    <x v="1"/>
    <m/>
    <m/>
    <m/>
    <n v="6010"/>
    <m/>
  </r>
  <r>
    <x v="102"/>
    <x v="3"/>
    <s v="네이버 쇼핑검색"/>
    <x v="2"/>
    <x v="1"/>
    <x v="1"/>
    <m/>
    <m/>
    <m/>
    <n v="5600"/>
    <m/>
  </r>
  <r>
    <x v="103"/>
    <x v="4"/>
    <s v="네이버 쇼핑검색"/>
    <x v="2"/>
    <x v="1"/>
    <x v="1"/>
    <m/>
    <m/>
    <m/>
    <n v="5600"/>
    <m/>
  </r>
  <r>
    <x v="104"/>
    <x v="1"/>
    <s v="네이버 쇼핑검색"/>
    <x v="2"/>
    <x v="1"/>
    <x v="1"/>
    <m/>
    <m/>
    <m/>
    <n v="3690"/>
    <m/>
  </r>
  <r>
    <x v="105"/>
    <x v="2"/>
    <s v="네이버 쇼핑검색"/>
    <x v="2"/>
    <x v="1"/>
    <x v="1"/>
    <m/>
    <m/>
    <m/>
    <n v="1870"/>
    <m/>
  </r>
  <r>
    <x v="106"/>
    <x v="5"/>
    <s v="네이버 쇼핑검색"/>
    <x v="2"/>
    <x v="1"/>
    <x v="1"/>
    <m/>
    <m/>
    <m/>
    <n v="3320"/>
    <m/>
  </r>
  <r>
    <x v="107"/>
    <x v="6"/>
    <s v="네이버 쇼핑검색"/>
    <x v="2"/>
    <x v="1"/>
    <x v="1"/>
    <m/>
    <m/>
    <m/>
    <n v="3110"/>
    <m/>
  </r>
  <r>
    <x v="108"/>
    <x v="0"/>
    <s v="네이버 쇼핑검색"/>
    <x v="2"/>
    <x v="1"/>
    <x v="1"/>
    <m/>
    <m/>
    <m/>
    <n v="4390"/>
    <m/>
  </r>
  <r>
    <x v="109"/>
    <x v="3"/>
    <s v="네이버 쇼핑검색"/>
    <x v="2"/>
    <x v="1"/>
    <x v="1"/>
    <m/>
    <m/>
    <m/>
    <n v="1770"/>
    <m/>
  </r>
  <r>
    <x v="110"/>
    <x v="4"/>
    <s v="네이버 쇼핑검색"/>
    <x v="2"/>
    <x v="1"/>
    <x v="1"/>
    <m/>
    <m/>
    <m/>
    <n v="1450"/>
    <m/>
  </r>
  <r>
    <x v="111"/>
    <x v="1"/>
    <s v="네이버 쇼핑검색"/>
    <x v="2"/>
    <x v="1"/>
    <x v="1"/>
    <m/>
    <m/>
    <m/>
    <n v="1510"/>
    <m/>
  </r>
  <r>
    <x v="112"/>
    <x v="2"/>
    <s v="네이버 쇼핑검색"/>
    <x v="2"/>
    <x v="1"/>
    <x v="1"/>
    <m/>
    <m/>
    <m/>
    <n v="1450"/>
    <m/>
  </r>
  <r>
    <x v="113"/>
    <x v="5"/>
    <s v="네이버 쇼핑검색"/>
    <x v="2"/>
    <x v="1"/>
    <x v="1"/>
    <m/>
    <m/>
    <m/>
    <n v="5090"/>
    <m/>
  </r>
  <r>
    <x v="114"/>
    <x v="6"/>
    <s v="네이버 쇼핑검색"/>
    <x v="2"/>
    <x v="1"/>
    <x v="1"/>
    <m/>
    <m/>
    <m/>
    <n v="2680"/>
    <m/>
  </r>
  <r>
    <x v="115"/>
    <x v="0"/>
    <s v="네이버 쇼핑검색"/>
    <x v="2"/>
    <x v="1"/>
    <x v="1"/>
    <m/>
    <m/>
    <m/>
    <n v="1890"/>
    <m/>
  </r>
  <r>
    <x v="116"/>
    <x v="3"/>
    <s v="네이버 쇼핑검색"/>
    <x v="2"/>
    <x v="1"/>
    <x v="1"/>
    <m/>
    <m/>
    <m/>
    <n v="1100"/>
    <m/>
  </r>
  <r>
    <x v="117"/>
    <x v="4"/>
    <s v="네이버 쇼핑검색"/>
    <x v="2"/>
    <x v="1"/>
    <x v="1"/>
    <m/>
    <m/>
    <m/>
    <n v="2120"/>
    <m/>
  </r>
  <r>
    <x v="118"/>
    <x v="1"/>
    <s v="네이버 쇼핑검색"/>
    <x v="2"/>
    <x v="1"/>
    <x v="1"/>
    <m/>
    <m/>
    <m/>
    <n v="420"/>
    <m/>
  </r>
  <r>
    <x v="119"/>
    <x v="2"/>
    <s v="네이버 쇼핑검색"/>
    <x v="2"/>
    <x v="1"/>
    <x v="1"/>
    <m/>
    <m/>
    <m/>
    <n v="2610"/>
    <m/>
  </r>
  <r>
    <x v="120"/>
    <x v="5"/>
    <s v="네이버 쇼핑검색"/>
    <x v="2"/>
    <x v="1"/>
    <x v="1"/>
    <m/>
    <m/>
    <m/>
    <n v="2770"/>
    <m/>
  </r>
  <r>
    <x v="121"/>
    <x v="6"/>
    <s v="네이버 쇼핑검색"/>
    <x v="2"/>
    <x v="1"/>
    <x v="1"/>
    <m/>
    <m/>
    <m/>
    <n v="4610"/>
    <m/>
  </r>
  <r>
    <x v="122"/>
    <x v="0"/>
    <s v="네이버 쇼핑검색"/>
    <x v="2"/>
    <x v="1"/>
    <x v="1"/>
    <m/>
    <m/>
    <m/>
    <n v="4320"/>
    <m/>
  </r>
  <r>
    <x v="123"/>
    <x v="3"/>
    <s v="네이버 쇼핑검색"/>
    <x v="2"/>
    <x v="1"/>
    <x v="1"/>
    <m/>
    <m/>
    <m/>
    <n v="2670"/>
    <m/>
  </r>
  <r>
    <x v="124"/>
    <x v="4"/>
    <s v="네이버 쇼핑검색"/>
    <x v="2"/>
    <x v="1"/>
    <x v="1"/>
    <m/>
    <m/>
    <m/>
    <n v="3010"/>
    <m/>
  </r>
  <r>
    <x v="125"/>
    <x v="1"/>
    <s v="네이버 쇼핑검색"/>
    <x v="2"/>
    <x v="1"/>
    <x v="1"/>
    <m/>
    <m/>
    <m/>
    <n v="3090"/>
    <m/>
  </r>
  <r>
    <x v="126"/>
    <x v="2"/>
    <s v="네이버 쇼핑검색"/>
    <x v="2"/>
    <x v="1"/>
    <x v="1"/>
    <m/>
    <m/>
    <m/>
    <n v="2180"/>
    <m/>
  </r>
  <r>
    <x v="127"/>
    <x v="5"/>
    <s v="네이버 쇼핑검색"/>
    <x v="2"/>
    <x v="1"/>
    <x v="1"/>
    <m/>
    <m/>
    <m/>
    <n v="4320"/>
    <m/>
  </r>
  <r>
    <x v="128"/>
    <x v="6"/>
    <s v="네이버 쇼핑검색"/>
    <x v="2"/>
    <x v="1"/>
    <x v="1"/>
    <m/>
    <m/>
    <m/>
    <n v="2860"/>
    <m/>
  </r>
  <r>
    <x v="129"/>
    <x v="0"/>
    <s v="네이버 쇼핑검색"/>
    <x v="2"/>
    <x v="1"/>
    <x v="1"/>
    <m/>
    <m/>
    <m/>
    <n v="6550"/>
    <m/>
  </r>
  <r>
    <x v="130"/>
    <x v="3"/>
    <s v="네이버 쇼핑검색"/>
    <x v="2"/>
    <x v="1"/>
    <x v="1"/>
    <m/>
    <m/>
    <m/>
    <n v="2880"/>
    <m/>
  </r>
  <r>
    <x v="131"/>
    <x v="4"/>
    <s v="네이버 쇼핑검색"/>
    <x v="2"/>
    <x v="1"/>
    <x v="1"/>
    <m/>
    <m/>
    <m/>
    <n v="7030"/>
    <m/>
  </r>
  <r>
    <x v="132"/>
    <x v="1"/>
    <s v="네이버 쇼핑검색"/>
    <x v="2"/>
    <x v="1"/>
    <x v="1"/>
    <m/>
    <m/>
    <m/>
    <n v="4360"/>
    <m/>
  </r>
  <r>
    <x v="133"/>
    <x v="2"/>
    <s v="네이버 쇼핑검색"/>
    <x v="2"/>
    <x v="1"/>
    <x v="1"/>
    <m/>
    <m/>
    <m/>
    <n v="13770"/>
    <m/>
  </r>
  <r>
    <x v="134"/>
    <x v="5"/>
    <s v="네이버 쇼핑검색"/>
    <x v="2"/>
    <x v="1"/>
    <x v="1"/>
    <m/>
    <m/>
    <m/>
    <n v="8750"/>
    <m/>
  </r>
  <r>
    <x v="135"/>
    <x v="6"/>
    <s v="네이버 쇼핑검색"/>
    <x v="2"/>
    <x v="1"/>
    <x v="1"/>
    <m/>
    <m/>
    <m/>
    <n v="9780"/>
    <m/>
  </r>
  <r>
    <x v="136"/>
    <x v="0"/>
    <s v="네이버 쇼핑검색"/>
    <x v="2"/>
    <x v="1"/>
    <x v="1"/>
    <m/>
    <m/>
    <m/>
    <n v="5870"/>
    <m/>
  </r>
  <r>
    <x v="137"/>
    <x v="3"/>
    <s v="네이버 쇼핑검색"/>
    <x v="2"/>
    <x v="1"/>
    <x v="1"/>
    <m/>
    <m/>
    <m/>
    <n v="5560"/>
    <m/>
  </r>
  <r>
    <x v="138"/>
    <x v="4"/>
    <s v="네이버 쇼핑검색"/>
    <x v="2"/>
    <x v="1"/>
    <x v="1"/>
    <m/>
    <m/>
    <m/>
    <n v="8670"/>
    <m/>
  </r>
  <r>
    <x v="139"/>
    <x v="1"/>
    <s v="네이버 쇼핑검색"/>
    <x v="2"/>
    <x v="1"/>
    <x v="1"/>
    <m/>
    <m/>
    <m/>
    <n v="7260"/>
    <m/>
  </r>
  <r>
    <x v="140"/>
    <x v="2"/>
    <s v="네이버 쇼핑검색"/>
    <x v="2"/>
    <x v="1"/>
    <x v="1"/>
    <m/>
    <m/>
    <m/>
    <n v="12680"/>
    <m/>
  </r>
  <r>
    <x v="141"/>
    <x v="5"/>
    <s v="네이버 쇼핑검색"/>
    <x v="2"/>
    <x v="1"/>
    <x v="1"/>
    <m/>
    <m/>
    <m/>
    <n v="14480"/>
    <m/>
  </r>
  <r>
    <x v="142"/>
    <x v="6"/>
    <s v="네이버 쇼핑검색"/>
    <x v="2"/>
    <x v="1"/>
    <x v="1"/>
    <m/>
    <m/>
    <m/>
    <n v="7040"/>
    <m/>
  </r>
  <r>
    <x v="143"/>
    <x v="0"/>
    <s v="네이버 쇼핑검색"/>
    <x v="2"/>
    <x v="1"/>
    <x v="1"/>
    <m/>
    <m/>
    <m/>
    <n v="12770"/>
    <m/>
  </r>
  <r>
    <x v="144"/>
    <x v="3"/>
    <s v="네이버 쇼핑검색"/>
    <x v="2"/>
    <x v="1"/>
    <x v="1"/>
    <m/>
    <m/>
    <m/>
    <n v="11740"/>
    <m/>
  </r>
  <r>
    <x v="145"/>
    <x v="4"/>
    <s v="네이버 쇼핑검색"/>
    <x v="2"/>
    <x v="1"/>
    <x v="1"/>
    <m/>
    <m/>
    <m/>
    <n v="12460"/>
    <m/>
  </r>
  <r>
    <x v="146"/>
    <x v="1"/>
    <s v="네이버 쇼핑검색"/>
    <x v="2"/>
    <x v="1"/>
    <x v="1"/>
    <m/>
    <m/>
    <m/>
    <n v="7990"/>
    <m/>
  </r>
  <r>
    <x v="147"/>
    <x v="2"/>
    <s v="네이버 쇼핑검색"/>
    <x v="2"/>
    <x v="1"/>
    <x v="1"/>
    <m/>
    <m/>
    <m/>
    <n v="11070"/>
    <m/>
  </r>
  <r>
    <x v="148"/>
    <x v="5"/>
    <s v="네이버 쇼핑검색"/>
    <x v="2"/>
    <x v="1"/>
    <x v="1"/>
    <m/>
    <m/>
    <m/>
    <n v="12730"/>
    <m/>
  </r>
  <r>
    <x v="149"/>
    <x v="6"/>
    <s v="네이버 쇼핑검색"/>
    <x v="2"/>
    <x v="1"/>
    <x v="1"/>
    <m/>
    <m/>
    <m/>
    <n v="7840"/>
    <m/>
  </r>
  <r>
    <x v="150"/>
    <x v="0"/>
    <s v="네이버 쇼핑검색"/>
    <x v="2"/>
    <x v="1"/>
    <x v="1"/>
    <m/>
    <m/>
    <m/>
    <n v="7650"/>
    <m/>
  </r>
  <r>
    <x v="151"/>
    <x v="3"/>
    <s v="네이버 쇼핑검색"/>
    <x v="2"/>
    <x v="1"/>
    <x v="1"/>
    <m/>
    <m/>
    <m/>
    <n v="13600"/>
    <m/>
  </r>
  <r>
    <x v="152"/>
    <x v="4"/>
    <s v="네이버 쇼핑검색"/>
    <x v="2"/>
    <x v="1"/>
    <x v="1"/>
    <m/>
    <m/>
    <m/>
    <n v="11370"/>
    <m/>
  </r>
  <r>
    <x v="153"/>
    <x v="1"/>
    <s v="네이버 쇼핑검색"/>
    <x v="2"/>
    <x v="1"/>
    <x v="1"/>
    <m/>
    <m/>
    <m/>
    <n v="7930"/>
    <m/>
  </r>
  <r>
    <x v="154"/>
    <x v="2"/>
    <s v="네이버 쇼핑검색"/>
    <x v="2"/>
    <x v="1"/>
    <x v="1"/>
    <m/>
    <m/>
    <m/>
    <n v="2940"/>
    <m/>
  </r>
  <r>
    <x v="155"/>
    <x v="5"/>
    <s v="네이버 쇼핑검색"/>
    <x v="2"/>
    <x v="1"/>
    <x v="1"/>
    <m/>
    <m/>
    <m/>
    <n v="15270"/>
    <m/>
  </r>
  <r>
    <x v="156"/>
    <x v="6"/>
    <s v="네이버 쇼핑검색"/>
    <x v="2"/>
    <x v="1"/>
    <x v="1"/>
    <m/>
    <m/>
    <m/>
    <n v="9190"/>
    <m/>
  </r>
  <r>
    <x v="157"/>
    <x v="0"/>
    <s v="네이버 쇼핑검색"/>
    <x v="2"/>
    <x v="1"/>
    <x v="1"/>
    <m/>
    <m/>
    <m/>
    <n v="18700"/>
    <m/>
  </r>
  <r>
    <x v="158"/>
    <x v="3"/>
    <s v="네이버 쇼핑검색"/>
    <x v="2"/>
    <x v="1"/>
    <x v="1"/>
    <m/>
    <m/>
    <m/>
    <n v="10690"/>
    <m/>
  </r>
  <r>
    <x v="159"/>
    <x v="4"/>
    <s v="네이버 쇼핑검색"/>
    <x v="2"/>
    <x v="1"/>
    <x v="1"/>
    <m/>
    <m/>
    <m/>
    <n v="9710"/>
    <m/>
  </r>
  <r>
    <x v="160"/>
    <x v="1"/>
    <s v="네이버 쇼핑검색"/>
    <x v="2"/>
    <x v="1"/>
    <x v="1"/>
    <m/>
    <m/>
    <m/>
    <n v="4160"/>
    <m/>
  </r>
  <r>
    <x v="161"/>
    <x v="2"/>
    <s v="네이버 쇼핑검색"/>
    <x v="2"/>
    <x v="1"/>
    <x v="1"/>
    <m/>
    <m/>
    <m/>
    <n v="5959.999999999999"/>
    <m/>
  </r>
  <r>
    <x v="162"/>
    <x v="5"/>
    <s v="네이버 쇼핑검색"/>
    <x v="2"/>
    <x v="1"/>
    <x v="1"/>
    <m/>
    <m/>
    <m/>
    <n v="8560"/>
    <m/>
  </r>
  <r>
    <x v="163"/>
    <x v="6"/>
    <s v="네이버 쇼핑검색"/>
    <x v="2"/>
    <x v="1"/>
    <x v="1"/>
    <m/>
    <m/>
    <m/>
    <n v="10150"/>
    <m/>
  </r>
  <r>
    <x v="164"/>
    <x v="0"/>
    <s v="네이버 쇼핑검색"/>
    <x v="2"/>
    <x v="1"/>
    <x v="1"/>
    <m/>
    <m/>
    <m/>
    <n v="10040"/>
    <m/>
  </r>
  <r>
    <x v="165"/>
    <x v="3"/>
    <s v="네이버 쇼핑검색"/>
    <x v="2"/>
    <x v="1"/>
    <x v="1"/>
    <m/>
    <m/>
    <m/>
    <n v="3230"/>
    <m/>
  </r>
  <r>
    <x v="166"/>
    <x v="4"/>
    <s v="네이버 쇼핑검색"/>
    <x v="2"/>
    <x v="1"/>
    <x v="1"/>
    <m/>
    <m/>
    <m/>
    <n v="5130"/>
    <m/>
  </r>
  <r>
    <x v="167"/>
    <x v="1"/>
    <s v="네이버 쇼핑검색"/>
    <x v="2"/>
    <x v="1"/>
    <x v="1"/>
    <m/>
    <m/>
    <m/>
    <n v="4460"/>
    <m/>
  </r>
  <r>
    <x v="168"/>
    <x v="2"/>
    <s v="네이버 쇼핑검색"/>
    <x v="2"/>
    <x v="1"/>
    <x v="1"/>
    <m/>
    <m/>
    <m/>
    <n v="8960"/>
    <m/>
  </r>
  <r>
    <x v="169"/>
    <x v="5"/>
    <s v="네이버 쇼핑검색"/>
    <x v="2"/>
    <x v="1"/>
    <x v="1"/>
    <m/>
    <m/>
    <m/>
    <n v="11210"/>
    <m/>
  </r>
  <r>
    <x v="170"/>
    <x v="6"/>
    <s v="네이버 쇼핑검색"/>
    <x v="2"/>
    <x v="1"/>
    <x v="1"/>
    <m/>
    <m/>
    <m/>
    <n v="7059.999999999999"/>
    <m/>
  </r>
  <r>
    <x v="171"/>
    <x v="0"/>
    <s v="네이버 쇼핑검색"/>
    <x v="2"/>
    <x v="1"/>
    <x v="1"/>
    <m/>
    <m/>
    <m/>
    <n v="6679.999999999999"/>
    <m/>
  </r>
  <r>
    <x v="172"/>
    <x v="3"/>
    <s v="네이버 쇼핑검색"/>
    <x v="2"/>
    <x v="1"/>
    <x v="1"/>
    <m/>
    <m/>
    <m/>
    <n v="2380"/>
    <m/>
  </r>
  <r>
    <x v="173"/>
    <x v="4"/>
    <s v="네이버 쇼핑검색"/>
    <x v="2"/>
    <x v="1"/>
    <x v="1"/>
    <m/>
    <m/>
    <m/>
    <n v="6529.999999999999"/>
    <m/>
  </r>
  <r>
    <x v="174"/>
    <x v="1"/>
    <s v="네이버 쇼핑검색"/>
    <x v="2"/>
    <x v="1"/>
    <x v="1"/>
    <m/>
    <m/>
    <m/>
    <n v="13600"/>
    <m/>
  </r>
  <r>
    <x v="175"/>
    <x v="2"/>
    <s v="네이버 쇼핑검색"/>
    <x v="2"/>
    <x v="1"/>
    <x v="1"/>
    <m/>
    <m/>
    <m/>
    <n v="15870"/>
    <m/>
  </r>
  <r>
    <x v="176"/>
    <x v="5"/>
    <s v="네이버 쇼핑검색"/>
    <x v="2"/>
    <x v="1"/>
    <x v="1"/>
    <m/>
    <m/>
    <m/>
    <n v="19100"/>
    <m/>
  </r>
  <r>
    <x v="177"/>
    <x v="6"/>
    <s v="네이버 쇼핑검색"/>
    <x v="2"/>
    <x v="1"/>
    <x v="1"/>
    <m/>
    <m/>
    <m/>
    <n v="10890"/>
    <m/>
  </r>
  <r>
    <x v="178"/>
    <x v="0"/>
    <s v="네이버 쇼핑검색"/>
    <x v="2"/>
    <x v="1"/>
    <x v="1"/>
    <m/>
    <m/>
    <m/>
    <n v="16430"/>
    <m/>
  </r>
  <r>
    <x v="179"/>
    <x v="3"/>
    <s v="네이버 쇼핑검색"/>
    <x v="2"/>
    <x v="1"/>
    <x v="1"/>
    <m/>
    <m/>
    <m/>
    <n v="20510"/>
    <m/>
  </r>
  <r>
    <x v="180"/>
    <x v="4"/>
    <s v="네이버 쇼핑검색"/>
    <x v="2"/>
    <x v="1"/>
    <x v="1"/>
    <m/>
    <m/>
    <m/>
    <n v="27750"/>
    <m/>
  </r>
  <r>
    <x v="181"/>
    <x v="1"/>
    <s v="네이버 쇼핑검색"/>
    <x v="2"/>
    <x v="1"/>
    <x v="1"/>
    <m/>
    <m/>
    <m/>
    <n v="19510"/>
    <m/>
  </r>
  <r>
    <x v="182"/>
    <x v="2"/>
    <s v="네이버 쇼핑검색"/>
    <x v="2"/>
    <x v="1"/>
    <x v="1"/>
    <m/>
    <m/>
    <m/>
    <n v="17860"/>
    <m/>
  </r>
  <r>
    <x v="183"/>
    <x v="5"/>
    <s v="네이버 쇼핑검색"/>
    <x v="2"/>
    <x v="1"/>
    <x v="1"/>
    <m/>
    <m/>
    <m/>
    <n v="24280"/>
    <m/>
  </r>
  <r>
    <x v="184"/>
    <x v="6"/>
    <s v="네이버 쇼핑검색"/>
    <x v="2"/>
    <x v="1"/>
    <x v="1"/>
    <m/>
    <m/>
    <m/>
    <n v="17150"/>
    <m/>
  </r>
  <r>
    <x v="185"/>
    <x v="0"/>
    <s v="네이버 쇼핑검색"/>
    <x v="2"/>
    <x v="1"/>
    <x v="1"/>
    <m/>
    <m/>
    <m/>
    <n v="19640"/>
    <m/>
  </r>
  <r>
    <x v="186"/>
    <x v="3"/>
    <s v="네이버 쇼핑검색"/>
    <x v="2"/>
    <x v="1"/>
    <x v="1"/>
    <m/>
    <m/>
    <m/>
    <n v="22660"/>
    <m/>
  </r>
  <r>
    <x v="187"/>
    <x v="4"/>
    <s v="네이버 쇼핑검색"/>
    <x v="2"/>
    <x v="1"/>
    <x v="1"/>
    <m/>
    <m/>
    <m/>
    <n v="14240"/>
    <m/>
  </r>
  <r>
    <x v="188"/>
    <x v="1"/>
    <s v="네이버 쇼핑검색"/>
    <x v="2"/>
    <x v="1"/>
    <x v="1"/>
    <m/>
    <m/>
    <m/>
    <n v="22870"/>
    <m/>
  </r>
  <r>
    <x v="189"/>
    <x v="2"/>
    <s v="네이버 쇼핑검색"/>
    <x v="2"/>
    <x v="1"/>
    <x v="1"/>
    <m/>
    <m/>
    <m/>
    <n v="27210"/>
    <m/>
  </r>
  <r>
    <x v="190"/>
    <x v="5"/>
    <s v="네이버 쇼핑검색"/>
    <x v="2"/>
    <x v="1"/>
    <x v="1"/>
    <m/>
    <m/>
    <m/>
    <n v="40860"/>
    <m/>
  </r>
  <r>
    <x v="191"/>
    <x v="6"/>
    <s v="네이버 쇼핑검색"/>
    <x v="2"/>
    <x v="1"/>
    <x v="1"/>
    <m/>
    <m/>
    <m/>
    <n v="26380"/>
    <m/>
  </r>
  <r>
    <x v="192"/>
    <x v="0"/>
    <s v="네이버 쇼핑검색"/>
    <x v="2"/>
    <x v="1"/>
    <x v="1"/>
    <m/>
    <m/>
    <m/>
    <n v="31990"/>
    <m/>
  </r>
  <r>
    <x v="193"/>
    <x v="3"/>
    <s v="네이버 쇼핑검색"/>
    <x v="2"/>
    <x v="1"/>
    <x v="1"/>
    <m/>
    <m/>
    <m/>
    <n v="42700"/>
    <m/>
  </r>
  <r>
    <x v="194"/>
    <x v="4"/>
    <s v="네이버 쇼핑검색"/>
    <x v="2"/>
    <x v="1"/>
    <x v="1"/>
    <m/>
    <m/>
    <m/>
    <n v="33000"/>
    <m/>
  </r>
  <r>
    <x v="195"/>
    <x v="1"/>
    <s v="네이버 쇼핑검색"/>
    <x v="2"/>
    <x v="1"/>
    <x v="1"/>
    <m/>
    <m/>
    <m/>
    <n v="38450"/>
    <m/>
  </r>
  <r>
    <x v="196"/>
    <x v="2"/>
    <s v="네이버 쇼핑검색"/>
    <x v="2"/>
    <x v="1"/>
    <x v="1"/>
    <m/>
    <m/>
    <m/>
    <n v="35250"/>
    <m/>
  </r>
  <r>
    <x v="197"/>
    <x v="5"/>
    <s v="네이버 쇼핑검색"/>
    <x v="2"/>
    <x v="1"/>
    <x v="1"/>
    <m/>
    <m/>
    <m/>
    <n v="52359.99999999999"/>
    <m/>
  </r>
  <r>
    <x v="198"/>
    <x v="6"/>
    <s v="네이버 쇼핑검색"/>
    <x v="2"/>
    <x v="1"/>
    <x v="1"/>
    <m/>
    <m/>
    <m/>
    <n v="48269.99999999999"/>
    <m/>
  </r>
  <r>
    <x v="199"/>
    <x v="0"/>
    <s v="네이버 쇼핑검색"/>
    <x v="2"/>
    <x v="1"/>
    <x v="1"/>
    <m/>
    <m/>
    <m/>
    <n v="50669.99999999999"/>
    <m/>
  </r>
  <r>
    <x v="200"/>
    <x v="3"/>
    <s v="네이버 쇼핑검색"/>
    <x v="2"/>
    <x v="1"/>
    <x v="1"/>
    <m/>
    <m/>
    <m/>
    <n v="66140"/>
    <m/>
  </r>
  <r>
    <x v="201"/>
    <x v="4"/>
    <s v="네이버 쇼핑검색"/>
    <x v="2"/>
    <x v="1"/>
    <x v="1"/>
    <m/>
    <m/>
    <m/>
    <n v="63049.99999999999"/>
    <m/>
  </r>
  <r>
    <x v="202"/>
    <x v="1"/>
    <s v="네이버 쇼핑검색"/>
    <x v="2"/>
    <x v="1"/>
    <x v="1"/>
    <m/>
    <m/>
    <m/>
    <n v="60979.99999999999"/>
    <m/>
  </r>
  <r>
    <x v="203"/>
    <x v="2"/>
    <s v="네이버 쇼핑검색"/>
    <x v="2"/>
    <x v="1"/>
    <x v="1"/>
    <m/>
    <m/>
    <m/>
    <n v="68000"/>
    <m/>
  </r>
  <r>
    <x v="204"/>
    <x v="5"/>
    <s v="네이버 쇼핑검색"/>
    <x v="2"/>
    <x v="1"/>
    <x v="1"/>
    <m/>
    <m/>
    <m/>
    <n v="70450"/>
    <m/>
  </r>
  <r>
    <x v="205"/>
    <x v="6"/>
    <s v="네이버 쇼핑검색"/>
    <x v="2"/>
    <x v="1"/>
    <x v="1"/>
    <m/>
    <m/>
    <m/>
    <n v="59889.99999999999"/>
    <m/>
  </r>
  <r>
    <x v="206"/>
    <x v="0"/>
    <s v="네이버 쇼핑검색"/>
    <x v="2"/>
    <x v="1"/>
    <x v="1"/>
    <m/>
    <m/>
    <m/>
    <n v="27470"/>
    <m/>
  </r>
  <r>
    <x v="207"/>
    <x v="3"/>
    <s v="네이버 쇼핑검색"/>
    <x v="2"/>
    <x v="1"/>
    <x v="1"/>
    <m/>
    <m/>
    <m/>
    <n v="14630"/>
    <m/>
  </r>
  <r>
    <x v="208"/>
    <x v="4"/>
    <s v="네이버 쇼핑검색"/>
    <x v="2"/>
    <x v="1"/>
    <x v="1"/>
    <m/>
    <m/>
    <m/>
    <n v="14700"/>
    <m/>
  </r>
  <r>
    <x v="209"/>
    <x v="1"/>
    <s v="네이버 쇼핑검색"/>
    <x v="2"/>
    <x v="1"/>
    <x v="1"/>
    <m/>
    <m/>
    <m/>
    <n v="16750"/>
    <m/>
  </r>
  <r>
    <x v="210"/>
    <x v="2"/>
    <s v="네이버 쇼핑검색"/>
    <x v="2"/>
    <x v="1"/>
    <x v="1"/>
    <m/>
    <m/>
    <m/>
    <n v="16250"/>
    <m/>
  </r>
  <r>
    <x v="211"/>
    <x v="5"/>
    <s v="네이버 쇼핑검색"/>
    <x v="2"/>
    <x v="1"/>
    <x v="1"/>
    <m/>
    <m/>
    <m/>
    <n v="26560"/>
    <m/>
  </r>
  <r>
    <x v="212"/>
    <x v="6"/>
    <s v="네이버 쇼핑검색"/>
    <x v="2"/>
    <x v="1"/>
    <x v="1"/>
    <m/>
    <m/>
    <m/>
    <n v="13670"/>
    <m/>
  </r>
  <r>
    <x v="213"/>
    <x v="0"/>
    <s v="네이버 쇼핑검색"/>
    <x v="2"/>
    <x v="1"/>
    <x v="1"/>
    <m/>
    <m/>
    <m/>
    <n v="9240"/>
    <m/>
  </r>
  <r>
    <x v="214"/>
    <x v="3"/>
    <s v="네이버 쇼핑검색"/>
    <x v="2"/>
    <x v="1"/>
    <x v="1"/>
    <m/>
    <m/>
    <m/>
    <n v="13410"/>
    <m/>
  </r>
  <r>
    <x v="215"/>
    <x v="4"/>
    <s v="네이버 쇼핑검색"/>
    <x v="2"/>
    <x v="1"/>
    <x v="1"/>
    <m/>
    <m/>
    <m/>
    <n v="10620"/>
    <m/>
  </r>
  <r>
    <x v="216"/>
    <x v="1"/>
    <s v="네이버 쇼핑검색"/>
    <x v="2"/>
    <x v="1"/>
    <x v="1"/>
    <m/>
    <m/>
    <m/>
    <n v="25060"/>
    <m/>
  </r>
  <r>
    <x v="217"/>
    <x v="2"/>
    <s v="네이버 쇼핑검색"/>
    <x v="2"/>
    <x v="1"/>
    <x v="1"/>
    <m/>
    <m/>
    <m/>
    <n v="32280"/>
    <m/>
  </r>
  <r>
    <x v="218"/>
    <x v="5"/>
    <s v="네이버 쇼핑검색"/>
    <x v="2"/>
    <x v="1"/>
    <x v="1"/>
    <m/>
    <m/>
    <m/>
    <n v="32090"/>
    <m/>
  </r>
  <r>
    <x v="219"/>
    <x v="6"/>
    <s v="네이버 쇼핑검색"/>
    <x v="2"/>
    <x v="1"/>
    <x v="1"/>
    <m/>
    <m/>
    <m/>
    <n v="28870"/>
    <m/>
  </r>
  <r>
    <x v="220"/>
    <x v="0"/>
    <s v="네이버 쇼핑검색"/>
    <x v="2"/>
    <x v="1"/>
    <x v="1"/>
    <m/>
    <m/>
    <m/>
    <n v="24800"/>
    <m/>
  </r>
  <r>
    <x v="221"/>
    <x v="3"/>
    <s v="네이버 쇼핑검색"/>
    <x v="2"/>
    <x v="1"/>
    <x v="1"/>
    <m/>
    <m/>
    <m/>
    <n v="30510"/>
    <m/>
  </r>
  <r>
    <x v="222"/>
    <x v="4"/>
    <s v="네이버 쇼핑검색"/>
    <x v="2"/>
    <x v="1"/>
    <x v="1"/>
    <m/>
    <m/>
    <m/>
    <n v="25410"/>
    <m/>
  </r>
  <r>
    <x v="223"/>
    <x v="1"/>
    <s v="네이버 쇼핑검색"/>
    <x v="2"/>
    <x v="1"/>
    <x v="1"/>
    <m/>
    <m/>
    <m/>
    <n v="31670"/>
    <m/>
  </r>
  <r>
    <x v="224"/>
    <x v="2"/>
    <s v="네이버 쇼핑검색"/>
    <x v="2"/>
    <x v="1"/>
    <x v="1"/>
    <m/>
    <m/>
    <m/>
    <n v="31490"/>
    <m/>
  </r>
  <r>
    <x v="225"/>
    <x v="5"/>
    <s v="네이버 쇼핑검색"/>
    <x v="2"/>
    <x v="1"/>
    <x v="1"/>
    <m/>
    <m/>
    <m/>
    <n v="32720"/>
    <m/>
  </r>
  <r>
    <x v="226"/>
    <x v="6"/>
    <s v="네이버 쇼핑검색"/>
    <x v="2"/>
    <x v="1"/>
    <x v="1"/>
    <m/>
    <m/>
    <m/>
    <n v="80300"/>
    <m/>
  </r>
  <r>
    <x v="227"/>
    <x v="0"/>
    <s v="네이버 쇼핑검색"/>
    <x v="2"/>
    <x v="1"/>
    <x v="1"/>
    <m/>
    <m/>
    <m/>
    <n v="119700"/>
    <m/>
  </r>
  <r>
    <x v="228"/>
    <x v="3"/>
    <s v="네이버 쇼핑검색"/>
    <x v="2"/>
    <x v="1"/>
    <x v="1"/>
    <m/>
    <m/>
    <m/>
    <n v="56279.99999999999"/>
    <m/>
  </r>
  <r>
    <x v="229"/>
    <x v="4"/>
    <s v="네이버 쇼핑검색"/>
    <x v="2"/>
    <x v="1"/>
    <x v="1"/>
    <m/>
    <m/>
    <m/>
    <n v="31650"/>
    <m/>
  </r>
  <r>
    <x v="230"/>
    <x v="1"/>
    <s v="네이버 쇼핑검색"/>
    <x v="2"/>
    <x v="1"/>
    <x v="1"/>
    <m/>
    <m/>
    <m/>
    <n v="31740"/>
    <m/>
  </r>
  <r>
    <x v="231"/>
    <x v="2"/>
    <s v="네이버 쇼핑검색"/>
    <x v="2"/>
    <x v="1"/>
    <x v="1"/>
    <m/>
    <m/>
    <m/>
    <n v="31930"/>
    <m/>
  </r>
  <r>
    <x v="232"/>
    <x v="5"/>
    <s v="네이버 쇼핑검색"/>
    <x v="2"/>
    <x v="1"/>
    <x v="1"/>
    <m/>
    <m/>
    <m/>
    <n v="32040"/>
    <m/>
  </r>
  <r>
    <x v="233"/>
    <x v="6"/>
    <s v="네이버 쇼핑검색"/>
    <x v="2"/>
    <x v="1"/>
    <x v="1"/>
    <m/>
    <m/>
    <m/>
    <n v="32530"/>
    <m/>
  </r>
  <r>
    <x v="234"/>
    <x v="0"/>
    <s v="네이버 쇼핑검색"/>
    <x v="2"/>
    <x v="1"/>
    <x v="1"/>
    <m/>
    <m/>
    <m/>
    <n v="31550"/>
    <m/>
  </r>
  <r>
    <x v="235"/>
    <x v="3"/>
    <s v="네이버 쇼핑검색"/>
    <x v="2"/>
    <x v="1"/>
    <x v="1"/>
    <m/>
    <m/>
    <m/>
    <n v="31770"/>
    <m/>
  </r>
  <r>
    <x v="236"/>
    <x v="4"/>
    <s v="네이버 쇼핑검색"/>
    <x v="2"/>
    <x v="1"/>
    <x v="1"/>
    <m/>
    <m/>
    <m/>
    <n v="31760"/>
    <m/>
  </r>
  <r>
    <x v="237"/>
    <x v="1"/>
    <s v="네이버 쇼핑검색"/>
    <x v="2"/>
    <x v="1"/>
    <x v="1"/>
    <m/>
    <m/>
    <m/>
    <n v="31600"/>
    <m/>
  </r>
  <r>
    <x v="238"/>
    <x v="2"/>
    <s v="네이버 쇼핑검색"/>
    <x v="2"/>
    <x v="1"/>
    <x v="1"/>
    <m/>
    <m/>
    <m/>
    <n v="31980"/>
    <m/>
  </r>
  <r>
    <x v="239"/>
    <x v="5"/>
    <s v="네이버 쇼핑검색"/>
    <x v="2"/>
    <x v="1"/>
    <x v="1"/>
    <m/>
    <m/>
    <m/>
    <n v="32020"/>
    <m/>
  </r>
  <r>
    <x v="240"/>
    <x v="6"/>
    <s v="네이버 쇼핑검색"/>
    <x v="2"/>
    <x v="1"/>
    <x v="1"/>
    <m/>
    <m/>
    <m/>
    <n v="31450"/>
    <m/>
  </r>
  <r>
    <x v="241"/>
    <x v="0"/>
    <s v="네이버 쇼핑검색"/>
    <x v="2"/>
    <x v="1"/>
    <x v="1"/>
    <m/>
    <m/>
    <m/>
    <n v="31700"/>
    <m/>
  </r>
  <r>
    <x v="242"/>
    <x v="3"/>
    <s v="네이버 쇼핑검색"/>
    <x v="2"/>
    <x v="1"/>
    <x v="1"/>
    <m/>
    <m/>
    <m/>
    <n v="31760"/>
    <m/>
  </r>
  <r>
    <x v="243"/>
    <x v="4"/>
    <s v="네이버 쇼핑검색"/>
    <x v="2"/>
    <x v="1"/>
    <x v="1"/>
    <m/>
    <m/>
    <m/>
    <n v="31700"/>
    <m/>
  </r>
  <r>
    <x v="244"/>
    <x v="1"/>
    <s v="네이버 쇼핑검색"/>
    <x v="2"/>
    <x v="1"/>
    <x v="1"/>
    <m/>
    <m/>
    <m/>
    <n v="32120"/>
    <m/>
  </r>
  <r>
    <x v="245"/>
    <x v="2"/>
    <s v="네이버 쇼핑검색"/>
    <x v="2"/>
    <x v="1"/>
    <x v="1"/>
    <m/>
    <m/>
    <m/>
    <n v="32110"/>
    <m/>
  </r>
  <r>
    <x v="246"/>
    <x v="5"/>
    <s v="네이버 쇼핑검색"/>
    <x v="2"/>
    <x v="1"/>
    <x v="1"/>
    <m/>
    <m/>
    <m/>
    <n v="32400"/>
    <m/>
  </r>
  <r>
    <x v="247"/>
    <x v="6"/>
    <s v="네이버 쇼핑검색"/>
    <x v="2"/>
    <x v="1"/>
    <x v="1"/>
    <m/>
    <m/>
    <m/>
    <n v="31560"/>
    <m/>
  </r>
  <r>
    <x v="248"/>
    <x v="0"/>
    <s v="네이버 쇼핑검색"/>
    <x v="2"/>
    <x v="1"/>
    <x v="1"/>
    <m/>
    <m/>
    <m/>
    <n v="31510"/>
    <m/>
  </r>
  <r>
    <x v="249"/>
    <x v="3"/>
    <s v="네이버 쇼핑검색"/>
    <x v="2"/>
    <x v="1"/>
    <x v="1"/>
    <m/>
    <m/>
    <m/>
    <n v="31860"/>
    <m/>
  </r>
  <r>
    <x v="250"/>
    <x v="4"/>
    <s v="네이버 쇼핑검색"/>
    <x v="2"/>
    <x v="1"/>
    <x v="1"/>
    <m/>
    <m/>
    <m/>
    <n v="32190"/>
    <m/>
  </r>
  <r>
    <x v="251"/>
    <x v="1"/>
    <s v="네이버 쇼핑검색"/>
    <x v="2"/>
    <x v="1"/>
    <x v="1"/>
    <m/>
    <m/>
    <m/>
    <n v="31590"/>
    <m/>
  </r>
  <r>
    <x v="252"/>
    <x v="2"/>
    <s v="네이버 쇼핑검색"/>
    <x v="2"/>
    <x v="1"/>
    <x v="1"/>
    <m/>
    <m/>
    <m/>
    <n v="31530"/>
    <m/>
  </r>
  <r>
    <x v="253"/>
    <x v="5"/>
    <s v="네이버 쇼핑검색"/>
    <x v="2"/>
    <x v="1"/>
    <x v="1"/>
    <m/>
    <m/>
    <m/>
    <n v="31600"/>
    <m/>
  </r>
  <r>
    <x v="254"/>
    <x v="6"/>
    <s v="네이버 쇼핑검색"/>
    <x v="2"/>
    <x v="1"/>
    <x v="1"/>
    <m/>
    <m/>
    <m/>
    <n v="31660"/>
    <m/>
  </r>
  <r>
    <x v="255"/>
    <x v="0"/>
    <s v="네이버 쇼핑검색"/>
    <x v="2"/>
    <x v="1"/>
    <x v="1"/>
    <m/>
    <m/>
    <m/>
    <n v="31860"/>
    <m/>
  </r>
  <r>
    <x v="256"/>
    <x v="3"/>
    <s v="네이버 쇼핑검색"/>
    <x v="2"/>
    <x v="1"/>
    <x v="1"/>
    <m/>
    <m/>
    <m/>
    <n v="31930"/>
    <m/>
  </r>
  <r>
    <x v="257"/>
    <x v="4"/>
    <s v="네이버 쇼핑검색"/>
    <x v="2"/>
    <x v="1"/>
    <x v="1"/>
    <m/>
    <m/>
    <m/>
    <n v="32080"/>
    <m/>
  </r>
  <r>
    <x v="258"/>
    <x v="1"/>
    <s v="네이버 쇼핑검색"/>
    <x v="2"/>
    <x v="1"/>
    <x v="1"/>
    <m/>
    <m/>
    <m/>
    <n v="31930"/>
    <m/>
  </r>
  <r>
    <x v="259"/>
    <x v="2"/>
    <s v="네이버 쇼핑검색"/>
    <x v="2"/>
    <x v="1"/>
    <x v="1"/>
    <m/>
    <m/>
    <m/>
    <n v="32210"/>
    <m/>
  </r>
  <r>
    <x v="260"/>
    <x v="5"/>
    <s v="네이버 쇼핑검색"/>
    <x v="2"/>
    <x v="1"/>
    <x v="1"/>
    <m/>
    <m/>
    <m/>
    <n v="32780"/>
    <m/>
  </r>
  <r>
    <x v="261"/>
    <x v="6"/>
    <s v="네이버 쇼핑검색"/>
    <x v="2"/>
    <x v="1"/>
    <x v="1"/>
    <m/>
    <m/>
    <m/>
    <n v="31650"/>
    <m/>
  </r>
  <r>
    <x v="0"/>
    <x v="0"/>
    <s v="네이버 쇼핑검색"/>
    <x v="2"/>
    <x v="1"/>
    <x v="1"/>
    <m/>
    <m/>
    <m/>
    <n v="31580"/>
    <m/>
  </r>
  <r>
    <x v="59"/>
    <x v="0"/>
    <s v="네이버 파워링크"/>
    <x v="2"/>
    <x v="1"/>
    <x v="1"/>
    <m/>
    <m/>
    <m/>
    <n v="140"/>
    <m/>
  </r>
  <r>
    <x v="60"/>
    <x v="3"/>
    <s v="네이버 파워링크"/>
    <x v="2"/>
    <x v="1"/>
    <x v="1"/>
    <m/>
    <m/>
    <m/>
    <n v="70"/>
    <m/>
  </r>
  <r>
    <x v="61"/>
    <x v="4"/>
    <s v="네이버 파워링크"/>
    <x v="2"/>
    <x v="1"/>
    <x v="1"/>
    <m/>
    <m/>
    <m/>
    <n v="140"/>
    <m/>
  </r>
  <r>
    <x v="62"/>
    <x v="1"/>
    <s v="네이버 파워링크"/>
    <x v="2"/>
    <x v="1"/>
    <x v="1"/>
    <m/>
    <m/>
    <m/>
    <n v="140"/>
    <m/>
  </r>
  <r>
    <x v="63"/>
    <x v="2"/>
    <s v="네이버 파워링크"/>
    <x v="2"/>
    <x v="1"/>
    <x v="1"/>
    <m/>
    <m/>
    <m/>
    <n v="0"/>
    <m/>
  </r>
  <r>
    <x v="64"/>
    <x v="5"/>
    <s v="네이버 파워링크"/>
    <x v="2"/>
    <x v="1"/>
    <x v="1"/>
    <m/>
    <m/>
    <m/>
    <n v="70"/>
    <m/>
  </r>
  <r>
    <x v="65"/>
    <x v="6"/>
    <s v="네이버 파워링크"/>
    <x v="2"/>
    <x v="1"/>
    <x v="1"/>
    <m/>
    <m/>
    <m/>
    <n v="70"/>
    <m/>
  </r>
  <r>
    <x v="66"/>
    <x v="0"/>
    <s v="네이버 파워링크"/>
    <x v="2"/>
    <x v="1"/>
    <x v="1"/>
    <m/>
    <m/>
    <m/>
    <n v="70"/>
    <m/>
  </r>
  <r>
    <x v="67"/>
    <x v="3"/>
    <s v="네이버 파워링크"/>
    <x v="2"/>
    <x v="1"/>
    <x v="1"/>
    <m/>
    <m/>
    <m/>
    <n v="0"/>
    <m/>
  </r>
  <r>
    <x v="68"/>
    <x v="4"/>
    <s v="네이버 파워링크"/>
    <x v="2"/>
    <x v="1"/>
    <x v="1"/>
    <m/>
    <m/>
    <m/>
    <n v="140"/>
    <m/>
  </r>
  <r>
    <x v="69"/>
    <x v="1"/>
    <s v="네이버 파워링크"/>
    <x v="2"/>
    <x v="1"/>
    <x v="1"/>
    <m/>
    <m/>
    <m/>
    <n v="0"/>
    <m/>
  </r>
  <r>
    <x v="70"/>
    <x v="2"/>
    <s v="네이버 파워링크"/>
    <x v="2"/>
    <x v="1"/>
    <x v="1"/>
    <m/>
    <m/>
    <m/>
    <n v="0"/>
    <m/>
  </r>
  <r>
    <x v="71"/>
    <x v="5"/>
    <s v="네이버 파워링크"/>
    <x v="2"/>
    <x v="1"/>
    <x v="1"/>
    <m/>
    <m/>
    <m/>
    <n v="70"/>
    <m/>
  </r>
  <r>
    <x v="72"/>
    <x v="6"/>
    <s v="네이버 파워링크"/>
    <x v="2"/>
    <x v="1"/>
    <x v="1"/>
    <m/>
    <m/>
    <m/>
    <n v="70"/>
    <m/>
  </r>
  <r>
    <x v="73"/>
    <x v="0"/>
    <s v="네이버 파워링크"/>
    <x v="2"/>
    <x v="1"/>
    <x v="1"/>
    <m/>
    <m/>
    <m/>
    <n v="0"/>
    <m/>
  </r>
  <r>
    <x v="74"/>
    <x v="3"/>
    <s v="네이버 파워링크"/>
    <x v="2"/>
    <x v="1"/>
    <x v="1"/>
    <m/>
    <m/>
    <m/>
    <n v="70"/>
    <m/>
  </r>
  <r>
    <x v="75"/>
    <x v="4"/>
    <s v="네이버 파워링크"/>
    <x v="2"/>
    <x v="1"/>
    <x v="1"/>
    <m/>
    <m/>
    <m/>
    <n v="70"/>
    <m/>
  </r>
  <r>
    <x v="76"/>
    <x v="1"/>
    <s v="네이버 파워링크"/>
    <x v="2"/>
    <x v="1"/>
    <x v="1"/>
    <m/>
    <m/>
    <m/>
    <n v="70"/>
    <m/>
  </r>
  <r>
    <x v="77"/>
    <x v="2"/>
    <s v="네이버 파워링크"/>
    <x v="2"/>
    <x v="1"/>
    <x v="1"/>
    <m/>
    <m/>
    <m/>
    <n v="0"/>
    <m/>
  </r>
  <r>
    <x v="78"/>
    <x v="5"/>
    <s v="네이버 파워링크"/>
    <x v="2"/>
    <x v="1"/>
    <x v="1"/>
    <m/>
    <m/>
    <m/>
    <n v="140"/>
    <m/>
  </r>
  <r>
    <x v="79"/>
    <x v="6"/>
    <s v="네이버 파워링크"/>
    <x v="2"/>
    <x v="1"/>
    <x v="1"/>
    <m/>
    <m/>
    <m/>
    <n v="0"/>
    <m/>
  </r>
  <r>
    <x v="80"/>
    <x v="0"/>
    <s v="네이버 파워링크"/>
    <x v="2"/>
    <x v="1"/>
    <x v="1"/>
    <m/>
    <m/>
    <m/>
    <n v="210"/>
    <m/>
  </r>
  <r>
    <x v="81"/>
    <x v="3"/>
    <s v="네이버 파워링크"/>
    <x v="2"/>
    <x v="1"/>
    <x v="1"/>
    <m/>
    <m/>
    <m/>
    <n v="0"/>
    <m/>
  </r>
  <r>
    <x v="82"/>
    <x v="4"/>
    <s v="네이버 파워링크"/>
    <x v="2"/>
    <x v="1"/>
    <x v="1"/>
    <m/>
    <m/>
    <m/>
    <n v="0"/>
    <m/>
  </r>
  <r>
    <x v="83"/>
    <x v="1"/>
    <s v="네이버 파워링크"/>
    <x v="2"/>
    <x v="1"/>
    <x v="1"/>
    <m/>
    <m/>
    <m/>
    <n v="140"/>
    <m/>
  </r>
  <r>
    <x v="84"/>
    <x v="2"/>
    <s v="네이버 파워링크"/>
    <x v="2"/>
    <x v="1"/>
    <x v="1"/>
    <m/>
    <m/>
    <m/>
    <n v="0"/>
    <m/>
  </r>
  <r>
    <x v="85"/>
    <x v="5"/>
    <s v="네이버 파워링크"/>
    <x v="2"/>
    <x v="1"/>
    <x v="1"/>
    <m/>
    <m/>
    <m/>
    <n v="0"/>
    <m/>
  </r>
  <r>
    <x v="86"/>
    <x v="6"/>
    <s v="네이버 파워링크"/>
    <x v="2"/>
    <x v="1"/>
    <x v="1"/>
    <m/>
    <m/>
    <m/>
    <n v="0"/>
    <m/>
  </r>
  <r>
    <x v="87"/>
    <x v="0"/>
    <s v="네이버 파워링크"/>
    <x v="2"/>
    <x v="1"/>
    <x v="1"/>
    <m/>
    <m/>
    <m/>
    <n v="210"/>
    <m/>
  </r>
  <r>
    <x v="88"/>
    <x v="3"/>
    <s v="네이버 파워링크"/>
    <x v="2"/>
    <x v="1"/>
    <x v="1"/>
    <m/>
    <m/>
    <m/>
    <n v="70"/>
    <m/>
  </r>
  <r>
    <x v="89"/>
    <x v="4"/>
    <s v="네이버 파워링크"/>
    <x v="2"/>
    <x v="1"/>
    <x v="1"/>
    <m/>
    <m/>
    <m/>
    <n v="70"/>
    <m/>
  </r>
  <r>
    <x v="90"/>
    <x v="1"/>
    <s v="네이버 파워링크"/>
    <x v="2"/>
    <x v="1"/>
    <x v="1"/>
    <m/>
    <m/>
    <m/>
    <n v="0"/>
    <m/>
  </r>
  <r>
    <x v="91"/>
    <x v="2"/>
    <s v="네이버 파워링크"/>
    <x v="2"/>
    <x v="1"/>
    <x v="1"/>
    <m/>
    <m/>
    <m/>
    <n v="70"/>
    <m/>
  </r>
  <r>
    <x v="92"/>
    <x v="5"/>
    <s v="네이버 파워링크"/>
    <x v="2"/>
    <x v="1"/>
    <x v="1"/>
    <m/>
    <m/>
    <m/>
    <n v="0"/>
    <m/>
  </r>
  <r>
    <x v="93"/>
    <x v="6"/>
    <s v="네이버 파워링크"/>
    <x v="2"/>
    <x v="1"/>
    <x v="1"/>
    <m/>
    <m/>
    <m/>
    <n v="70"/>
    <m/>
  </r>
  <r>
    <x v="94"/>
    <x v="0"/>
    <s v="네이버 파워링크"/>
    <x v="2"/>
    <x v="1"/>
    <x v="1"/>
    <m/>
    <m/>
    <m/>
    <n v="0"/>
    <m/>
  </r>
  <r>
    <x v="95"/>
    <x v="3"/>
    <s v="네이버 파워링크"/>
    <x v="2"/>
    <x v="1"/>
    <x v="1"/>
    <m/>
    <m/>
    <m/>
    <n v="0"/>
    <m/>
  </r>
  <r>
    <x v="96"/>
    <x v="4"/>
    <s v="네이버 파워링크"/>
    <x v="2"/>
    <x v="1"/>
    <x v="1"/>
    <m/>
    <m/>
    <m/>
    <n v="0"/>
    <m/>
  </r>
  <r>
    <x v="97"/>
    <x v="1"/>
    <s v="네이버 파워링크"/>
    <x v="2"/>
    <x v="1"/>
    <x v="1"/>
    <m/>
    <m/>
    <m/>
    <n v="210"/>
    <m/>
  </r>
  <r>
    <x v="98"/>
    <x v="2"/>
    <s v="네이버 파워링크"/>
    <x v="2"/>
    <x v="1"/>
    <x v="1"/>
    <m/>
    <m/>
    <m/>
    <n v="70"/>
    <m/>
  </r>
  <r>
    <x v="99"/>
    <x v="5"/>
    <s v="네이버 파워링크"/>
    <x v="2"/>
    <x v="1"/>
    <x v="1"/>
    <m/>
    <m/>
    <m/>
    <n v="70"/>
    <m/>
  </r>
  <r>
    <x v="100"/>
    <x v="6"/>
    <s v="네이버 파워링크"/>
    <x v="2"/>
    <x v="1"/>
    <x v="1"/>
    <m/>
    <m/>
    <m/>
    <n v="0"/>
    <m/>
  </r>
  <r>
    <x v="101"/>
    <x v="0"/>
    <s v="네이버 파워링크"/>
    <x v="2"/>
    <x v="1"/>
    <x v="1"/>
    <m/>
    <m/>
    <m/>
    <n v="210"/>
    <m/>
  </r>
  <r>
    <x v="102"/>
    <x v="3"/>
    <s v="네이버 파워링크"/>
    <x v="2"/>
    <x v="1"/>
    <x v="1"/>
    <m/>
    <m/>
    <m/>
    <n v="70"/>
    <m/>
  </r>
  <r>
    <x v="103"/>
    <x v="4"/>
    <s v="네이버 파워링크"/>
    <x v="2"/>
    <x v="1"/>
    <x v="1"/>
    <m/>
    <m/>
    <m/>
    <n v="70"/>
    <m/>
  </r>
  <r>
    <x v="104"/>
    <x v="1"/>
    <s v="네이버 파워링크"/>
    <x v="2"/>
    <x v="1"/>
    <x v="1"/>
    <m/>
    <m/>
    <m/>
    <n v="0"/>
    <m/>
  </r>
  <r>
    <x v="105"/>
    <x v="2"/>
    <s v="네이버 파워링크"/>
    <x v="2"/>
    <x v="1"/>
    <x v="1"/>
    <m/>
    <m/>
    <m/>
    <n v="140"/>
    <m/>
  </r>
  <r>
    <x v="106"/>
    <x v="5"/>
    <s v="네이버 파워링크"/>
    <x v="2"/>
    <x v="1"/>
    <x v="1"/>
    <m/>
    <m/>
    <m/>
    <n v="70"/>
    <m/>
  </r>
  <r>
    <x v="107"/>
    <x v="6"/>
    <s v="네이버 파워링크"/>
    <x v="2"/>
    <x v="1"/>
    <x v="1"/>
    <m/>
    <m/>
    <m/>
    <n v="0"/>
    <m/>
  </r>
  <r>
    <x v="108"/>
    <x v="0"/>
    <s v="네이버 파워링크"/>
    <x v="2"/>
    <x v="1"/>
    <x v="1"/>
    <m/>
    <m/>
    <m/>
    <n v="0"/>
    <m/>
  </r>
  <r>
    <x v="109"/>
    <x v="3"/>
    <s v="네이버 파워링크"/>
    <x v="2"/>
    <x v="1"/>
    <x v="1"/>
    <m/>
    <m/>
    <m/>
    <n v="70"/>
    <m/>
  </r>
  <r>
    <x v="110"/>
    <x v="4"/>
    <s v="네이버 파워링크"/>
    <x v="2"/>
    <x v="1"/>
    <x v="1"/>
    <m/>
    <m/>
    <m/>
    <n v="70"/>
    <m/>
  </r>
  <r>
    <x v="111"/>
    <x v="1"/>
    <s v="네이버 파워링크"/>
    <x v="2"/>
    <x v="1"/>
    <x v="1"/>
    <m/>
    <m/>
    <m/>
    <n v="0"/>
    <m/>
  </r>
  <r>
    <x v="112"/>
    <x v="2"/>
    <s v="네이버 파워링크"/>
    <x v="2"/>
    <x v="1"/>
    <x v="1"/>
    <m/>
    <m/>
    <m/>
    <n v="140"/>
    <m/>
  </r>
  <r>
    <x v="113"/>
    <x v="5"/>
    <s v="네이버 파워링크"/>
    <x v="2"/>
    <x v="1"/>
    <x v="1"/>
    <m/>
    <m/>
    <m/>
    <n v="140"/>
    <m/>
  </r>
  <r>
    <x v="114"/>
    <x v="6"/>
    <s v="네이버 파워링크"/>
    <x v="2"/>
    <x v="1"/>
    <x v="1"/>
    <m/>
    <m/>
    <m/>
    <n v="0"/>
    <m/>
  </r>
  <r>
    <x v="115"/>
    <x v="0"/>
    <s v="네이버 파워링크"/>
    <x v="2"/>
    <x v="1"/>
    <x v="1"/>
    <m/>
    <m/>
    <m/>
    <n v="70"/>
    <m/>
  </r>
  <r>
    <x v="116"/>
    <x v="3"/>
    <s v="네이버 파워링크"/>
    <x v="2"/>
    <x v="1"/>
    <x v="1"/>
    <m/>
    <m/>
    <m/>
    <n v="0"/>
    <m/>
  </r>
  <r>
    <x v="117"/>
    <x v="4"/>
    <s v="네이버 파워링크"/>
    <x v="2"/>
    <x v="1"/>
    <x v="1"/>
    <m/>
    <m/>
    <m/>
    <n v="70"/>
    <m/>
  </r>
  <r>
    <x v="118"/>
    <x v="1"/>
    <s v="네이버 파워링크"/>
    <x v="2"/>
    <x v="1"/>
    <x v="1"/>
    <m/>
    <m/>
    <m/>
    <n v="70"/>
    <m/>
  </r>
  <r>
    <x v="119"/>
    <x v="2"/>
    <s v="네이버 파워링크"/>
    <x v="2"/>
    <x v="1"/>
    <x v="1"/>
    <m/>
    <m/>
    <m/>
    <n v="140"/>
    <m/>
  </r>
  <r>
    <x v="120"/>
    <x v="5"/>
    <s v="네이버 파워링크"/>
    <x v="2"/>
    <x v="1"/>
    <x v="1"/>
    <m/>
    <m/>
    <m/>
    <n v="70"/>
    <m/>
  </r>
  <r>
    <x v="121"/>
    <x v="6"/>
    <s v="네이버 파워링크"/>
    <x v="2"/>
    <x v="1"/>
    <x v="1"/>
    <m/>
    <m/>
    <m/>
    <n v="70"/>
    <m/>
  </r>
  <r>
    <x v="122"/>
    <x v="0"/>
    <s v="네이버 파워링크"/>
    <x v="2"/>
    <x v="1"/>
    <x v="1"/>
    <m/>
    <m/>
    <m/>
    <n v="70"/>
    <m/>
  </r>
  <r>
    <x v="123"/>
    <x v="3"/>
    <s v="네이버 파워링크"/>
    <x v="2"/>
    <x v="1"/>
    <x v="1"/>
    <m/>
    <m/>
    <m/>
    <n v="140"/>
    <m/>
  </r>
  <r>
    <x v="124"/>
    <x v="4"/>
    <s v="네이버 파워링크"/>
    <x v="2"/>
    <x v="1"/>
    <x v="1"/>
    <m/>
    <m/>
    <m/>
    <n v="0"/>
    <m/>
  </r>
  <r>
    <x v="125"/>
    <x v="1"/>
    <s v="네이버 파워링크"/>
    <x v="2"/>
    <x v="1"/>
    <x v="1"/>
    <m/>
    <m/>
    <m/>
    <n v="0"/>
    <m/>
  </r>
  <r>
    <x v="126"/>
    <x v="2"/>
    <s v="네이버 파워링크"/>
    <x v="2"/>
    <x v="1"/>
    <x v="1"/>
    <m/>
    <m/>
    <m/>
    <n v="70"/>
    <m/>
  </r>
  <r>
    <x v="127"/>
    <x v="5"/>
    <s v="네이버 파워링크"/>
    <x v="2"/>
    <x v="1"/>
    <x v="1"/>
    <m/>
    <m/>
    <m/>
    <n v="0"/>
    <m/>
  </r>
  <r>
    <x v="128"/>
    <x v="6"/>
    <s v="네이버 파워링크"/>
    <x v="2"/>
    <x v="1"/>
    <x v="1"/>
    <m/>
    <m/>
    <m/>
    <n v="140"/>
    <m/>
  </r>
  <r>
    <x v="129"/>
    <x v="0"/>
    <s v="네이버 파워링크"/>
    <x v="2"/>
    <x v="1"/>
    <x v="1"/>
    <m/>
    <m/>
    <m/>
    <n v="0"/>
    <m/>
  </r>
  <r>
    <x v="130"/>
    <x v="3"/>
    <s v="네이버 파워링크"/>
    <x v="2"/>
    <x v="1"/>
    <x v="1"/>
    <m/>
    <m/>
    <m/>
    <n v="140"/>
    <m/>
  </r>
  <r>
    <x v="131"/>
    <x v="4"/>
    <s v="네이버 파워링크"/>
    <x v="2"/>
    <x v="1"/>
    <x v="1"/>
    <m/>
    <m/>
    <m/>
    <n v="0"/>
    <m/>
  </r>
  <r>
    <x v="132"/>
    <x v="1"/>
    <s v="네이버 파워링크"/>
    <x v="2"/>
    <x v="1"/>
    <x v="1"/>
    <m/>
    <m/>
    <m/>
    <n v="0"/>
    <m/>
  </r>
  <r>
    <x v="133"/>
    <x v="2"/>
    <s v="네이버 파워링크"/>
    <x v="2"/>
    <x v="1"/>
    <x v="1"/>
    <m/>
    <m/>
    <m/>
    <n v="140"/>
    <m/>
  </r>
  <r>
    <x v="134"/>
    <x v="5"/>
    <s v="네이버 파워링크"/>
    <x v="2"/>
    <x v="1"/>
    <x v="1"/>
    <m/>
    <m/>
    <m/>
    <n v="3690"/>
    <m/>
  </r>
  <r>
    <x v="135"/>
    <x v="6"/>
    <s v="네이버 파워링크"/>
    <x v="2"/>
    <x v="1"/>
    <x v="1"/>
    <m/>
    <m/>
    <m/>
    <n v="13340"/>
    <m/>
  </r>
  <r>
    <x v="136"/>
    <x v="0"/>
    <s v="네이버 파워링크"/>
    <x v="2"/>
    <x v="1"/>
    <x v="1"/>
    <m/>
    <m/>
    <m/>
    <n v="740"/>
    <m/>
  </r>
  <r>
    <x v="137"/>
    <x v="3"/>
    <s v="네이버 파워링크"/>
    <x v="2"/>
    <x v="1"/>
    <x v="1"/>
    <m/>
    <m/>
    <m/>
    <n v="0"/>
    <m/>
  </r>
  <r>
    <x v="138"/>
    <x v="4"/>
    <s v="네이버 파워링크"/>
    <x v="2"/>
    <x v="1"/>
    <x v="1"/>
    <m/>
    <m/>
    <m/>
    <n v="0"/>
    <m/>
  </r>
  <r>
    <x v="139"/>
    <x v="1"/>
    <s v="네이버 파워링크"/>
    <x v="2"/>
    <x v="1"/>
    <x v="1"/>
    <m/>
    <m/>
    <m/>
    <n v="0"/>
    <m/>
  </r>
  <r>
    <x v="140"/>
    <x v="2"/>
    <s v="네이버 파워링크"/>
    <x v="2"/>
    <x v="1"/>
    <x v="1"/>
    <m/>
    <m/>
    <m/>
    <n v="0"/>
    <m/>
  </r>
  <r>
    <x v="141"/>
    <x v="5"/>
    <s v="네이버 파워링크"/>
    <x v="2"/>
    <x v="1"/>
    <x v="1"/>
    <m/>
    <m/>
    <m/>
    <n v="0"/>
    <m/>
  </r>
  <r>
    <x v="142"/>
    <x v="6"/>
    <s v="네이버 파워링크"/>
    <x v="2"/>
    <x v="1"/>
    <x v="1"/>
    <m/>
    <m/>
    <m/>
    <n v="0"/>
    <m/>
  </r>
  <r>
    <x v="143"/>
    <x v="0"/>
    <s v="네이버 파워링크"/>
    <x v="2"/>
    <x v="1"/>
    <x v="1"/>
    <m/>
    <m/>
    <m/>
    <n v="0"/>
    <m/>
  </r>
  <r>
    <x v="144"/>
    <x v="3"/>
    <s v="네이버 파워링크"/>
    <x v="2"/>
    <x v="1"/>
    <x v="1"/>
    <m/>
    <m/>
    <m/>
    <n v="4930"/>
    <m/>
  </r>
  <r>
    <x v="145"/>
    <x v="4"/>
    <s v="네이버 파워링크"/>
    <x v="2"/>
    <x v="1"/>
    <x v="1"/>
    <m/>
    <m/>
    <m/>
    <n v="17470"/>
    <m/>
  </r>
  <r>
    <x v="146"/>
    <x v="1"/>
    <s v="네이버 파워링크"/>
    <x v="2"/>
    <x v="1"/>
    <x v="1"/>
    <m/>
    <m/>
    <m/>
    <n v="11880"/>
    <m/>
  </r>
  <r>
    <x v="147"/>
    <x v="2"/>
    <s v="네이버 파워링크"/>
    <x v="2"/>
    <x v="1"/>
    <x v="1"/>
    <m/>
    <m/>
    <m/>
    <n v="11040"/>
    <m/>
  </r>
  <r>
    <x v="148"/>
    <x v="5"/>
    <s v="네이버 파워링크"/>
    <x v="2"/>
    <x v="1"/>
    <x v="1"/>
    <m/>
    <m/>
    <m/>
    <n v="9410"/>
    <m/>
  </r>
  <r>
    <x v="149"/>
    <x v="6"/>
    <s v="네이버 파워링크"/>
    <x v="2"/>
    <x v="1"/>
    <x v="1"/>
    <m/>
    <m/>
    <m/>
    <n v="16380"/>
    <m/>
  </r>
  <r>
    <x v="150"/>
    <x v="0"/>
    <s v="네이버 파워링크"/>
    <x v="2"/>
    <x v="1"/>
    <x v="1"/>
    <m/>
    <m/>
    <m/>
    <n v="9130"/>
    <m/>
  </r>
  <r>
    <x v="151"/>
    <x v="3"/>
    <s v="네이버 파워링크"/>
    <x v="2"/>
    <x v="1"/>
    <x v="1"/>
    <m/>
    <m/>
    <m/>
    <n v="19310"/>
    <m/>
  </r>
  <r>
    <x v="152"/>
    <x v="4"/>
    <s v="네이버 파워링크"/>
    <x v="2"/>
    <x v="1"/>
    <x v="1"/>
    <m/>
    <m/>
    <m/>
    <n v="38670"/>
    <m/>
  </r>
  <r>
    <x v="153"/>
    <x v="1"/>
    <s v="네이버 파워링크"/>
    <x v="2"/>
    <x v="1"/>
    <x v="1"/>
    <m/>
    <m/>
    <m/>
    <n v="45680"/>
    <m/>
  </r>
  <r>
    <x v="154"/>
    <x v="2"/>
    <s v="네이버 파워링크"/>
    <x v="2"/>
    <x v="1"/>
    <x v="1"/>
    <m/>
    <m/>
    <m/>
    <n v="48380"/>
    <m/>
  </r>
  <r>
    <x v="155"/>
    <x v="5"/>
    <s v="네이버 파워링크"/>
    <x v="2"/>
    <x v="1"/>
    <x v="1"/>
    <m/>
    <m/>
    <m/>
    <n v="61550"/>
    <m/>
  </r>
  <r>
    <x v="156"/>
    <x v="6"/>
    <s v="네이버 파워링크"/>
    <x v="2"/>
    <x v="1"/>
    <x v="1"/>
    <m/>
    <m/>
    <m/>
    <n v="63190"/>
    <m/>
  </r>
  <r>
    <x v="157"/>
    <x v="0"/>
    <s v="네이버 파워링크"/>
    <x v="2"/>
    <x v="1"/>
    <x v="1"/>
    <m/>
    <m/>
    <m/>
    <n v="31360"/>
    <m/>
  </r>
  <r>
    <x v="158"/>
    <x v="3"/>
    <s v="네이버 파워링크"/>
    <x v="2"/>
    <x v="1"/>
    <x v="1"/>
    <m/>
    <m/>
    <m/>
    <n v="5890"/>
    <m/>
  </r>
  <r>
    <x v="159"/>
    <x v="4"/>
    <s v="네이버 파워링크"/>
    <x v="2"/>
    <x v="1"/>
    <x v="1"/>
    <m/>
    <m/>
    <m/>
    <n v="3970"/>
    <m/>
  </r>
  <r>
    <x v="160"/>
    <x v="1"/>
    <s v="네이버 파워링크"/>
    <x v="2"/>
    <x v="1"/>
    <x v="1"/>
    <m/>
    <m/>
    <m/>
    <n v="7439.999999999999"/>
    <m/>
  </r>
  <r>
    <x v="161"/>
    <x v="2"/>
    <s v="네이버 파워링크"/>
    <x v="2"/>
    <x v="1"/>
    <x v="1"/>
    <m/>
    <m/>
    <m/>
    <n v="5320"/>
    <m/>
  </r>
  <r>
    <x v="162"/>
    <x v="5"/>
    <s v="네이버 파워링크"/>
    <x v="2"/>
    <x v="1"/>
    <x v="1"/>
    <m/>
    <m/>
    <m/>
    <n v="8099.999999999999"/>
    <m/>
  </r>
  <r>
    <x v="163"/>
    <x v="6"/>
    <s v="네이버 파워링크"/>
    <x v="2"/>
    <x v="1"/>
    <x v="1"/>
    <m/>
    <m/>
    <m/>
    <n v="9220"/>
    <m/>
  </r>
  <r>
    <x v="164"/>
    <x v="0"/>
    <s v="네이버 파워링크"/>
    <x v="2"/>
    <x v="1"/>
    <x v="1"/>
    <m/>
    <m/>
    <m/>
    <n v="4210"/>
    <m/>
  </r>
  <r>
    <x v="165"/>
    <x v="3"/>
    <s v="네이버 파워링크"/>
    <x v="2"/>
    <x v="1"/>
    <x v="1"/>
    <m/>
    <m/>
    <m/>
    <n v="7099.999999999999"/>
    <m/>
  </r>
  <r>
    <x v="166"/>
    <x v="4"/>
    <s v="네이버 파워링크"/>
    <x v="2"/>
    <x v="1"/>
    <x v="1"/>
    <m/>
    <m/>
    <m/>
    <n v="2250"/>
    <m/>
  </r>
  <r>
    <x v="167"/>
    <x v="1"/>
    <s v="네이버 파워링크"/>
    <x v="2"/>
    <x v="1"/>
    <x v="1"/>
    <m/>
    <m/>
    <m/>
    <n v="9290"/>
    <m/>
  </r>
  <r>
    <x v="168"/>
    <x v="2"/>
    <s v="네이버 파워링크"/>
    <x v="2"/>
    <x v="1"/>
    <x v="1"/>
    <m/>
    <m/>
    <m/>
    <n v="2530"/>
    <m/>
  </r>
  <r>
    <x v="169"/>
    <x v="5"/>
    <s v="네이버 파워링크"/>
    <x v="2"/>
    <x v="1"/>
    <x v="1"/>
    <m/>
    <m/>
    <m/>
    <n v="4080"/>
    <m/>
  </r>
  <r>
    <x v="170"/>
    <x v="6"/>
    <s v="네이버 파워링크"/>
    <x v="2"/>
    <x v="1"/>
    <x v="1"/>
    <m/>
    <m/>
    <m/>
    <n v="4010"/>
    <m/>
  </r>
  <r>
    <x v="171"/>
    <x v="0"/>
    <s v="네이버 파워링크"/>
    <x v="2"/>
    <x v="1"/>
    <x v="1"/>
    <m/>
    <m/>
    <m/>
    <n v="6149.999999999999"/>
    <m/>
  </r>
  <r>
    <x v="172"/>
    <x v="3"/>
    <s v="네이버 파워링크"/>
    <x v="2"/>
    <x v="1"/>
    <x v="1"/>
    <m/>
    <m/>
    <m/>
    <n v="2870"/>
    <m/>
  </r>
  <r>
    <x v="173"/>
    <x v="4"/>
    <s v="네이버 파워링크"/>
    <x v="2"/>
    <x v="1"/>
    <x v="1"/>
    <m/>
    <m/>
    <m/>
    <n v="8260"/>
    <m/>
  </r>
  <r>
    <x v="174"/>
    <x v="1"/>
    <s v="네이버 파워링크"/>
    <x v="2"/>
    <x v="1"/>
    <x v="1"/>
    <m/>
    <m/>
    <m/>
    <n v="3080"/>
    <m/>
  </r>
  <r>
    <x v="175"/>
    <x v="2"/>
    <s v="네이버 파워링크"/>
    <x v="2"/>
    <x v="1"/>
    <x v="1"/>
    <m/>
    <m/>
    <m/>
    <n v="4010"/>
    <m/>
  </r>
  <r>
    <x v="176"/>
    <x v="5"/>
    <s v="네이버 파워링크"/>
    <x v="2"/>
    <x v="1"/>
    <x v="1"/>
    <m/>
    <m/>
    <m/>
    <n v="6869.999999999999"/>
    <m/>
  </r>
  <r>
    <x v="177"/>
    <x v="6"/>
    <s v="네이버 파워링크"/>
    <x v="2"/>
    <x v="1"/>
    <x v="1"/>
    <m/>
    <m/>
    <m/>
    <n v="3070"/>
    <m/>
  </r>
  <r>
    <x v="178"/>
    <x v="0"/>
    <s v="네이버 파워링크"/>
    <x v="2"/>
    <x v="1"/>
    <x v="1"/>
    <m/>
    <m/>
    <m/>
    <n v="10730"/>
    <m/>
  </r>
  <r>
    <x v="179"/>
    <x v="3"/>
    <s v="네이버 파워링크"/>
    <x v="2"/>
    <x v="1"/>
    <x v="1"/>
    <m/>
    <m/>
    <m/>
    <n v="4410"/>
    <m/>
  </r>
  <r>
    <x v="180"/>
    <x v="4"/>
    <s v="네이버 파워링크"/>
    <x v="2"/>
    <x v="1"/>
    <x v="1"/>
    <m/>
    <m/>
    <m/>
    <n v="8980"/>
    <m/>
  </r>
  <r>
    <x v="181"/>
    <x v="1"/>
    <s v="네이버 파워링크"/>
    <x v="2"/>
    <x v="1"/>
    <x v="1"/>
    <m/>
    <m/>
    <m/>
    <n v="2350"/>
    <m/>
  </r>
  <r>
    <x v="182"/>
    <x v="2"/>
    <s v="네이버 파워링크"/>
    <x v="2"/>
    <x v="1"/>
    <x v="1"/>
    <m/>
    <m/>
    <m/>
    <n v="6289.999999999999"/>
    <m/>
  </r>
  <r>
    <x v="183"/>
    <x v="5"/>
    <s v="네이버 파워링크"/>
    <x v="2"/>
    <x v="1"/>
    <x v="1"/>
    <m/>
    <m/>
    <m/>
    <n v="7129.999999999999"/>
    <m/>
  </r>
  <r>
    <x v="184"/>
    <x v="6"/>
    <s v="네이버 파워링크"/>
    <x v="2"/>
    <x v="1"/>
    <x v="1"/>
    <m/>
    <m/>
    <m/>
    <n v="11970"/>
    <m/>
  </r>
  <r>
    <x v="185"/>
    <x v="0"/>
    <s v="네이버 파워링크"/>
    <x v="2"/>
    <x v="1"/>
    <x v="1"/>
    <m/>
    <m/>
    <m/>
    <n v="8079.999999999999"/>
    <m/>
  </r>
  <r>
    <x v="186"/>
    <x v="3"/>
    <s v="네이버 파워링크"/>
    <x v="2"/>
    <x v="1"/>
    <x v="1"/>
    <m/>
    <m/>
    <m/>
    <n v="9570"/>
    <m/>
  </r>
  <r>
    <x v="187"/>
    <x v="4"/>
    <s v="네이버 파워링크"/>
    <x v="2"/>
    <x v="1"/>
    <x v="1"/>
    <m/>
    <m/>
    <m/>
    <n v="4420"/>
    <m/>
  </r>
  <r>
    <x v="188"/>
    <x v="1"/>
    <s v="네이버 파워링크"/>
    <x v="2"/>
    <x v="1"/>
    <x v="1"/>
    <m/>
    <m/>
    <m/>
    <n v="5480"/>
    <m/>
  </r>
  <r>
    <x v="189"/>
    <x v="2"/>
    <s v="네이버 파워링크"/>
    <x v="2"/>
    <x v="1"/>
    <x v="1"/>
    <m/>
    <m/>
    <m/>
    <n v="3940"/>
    <m/>
  </r>
  <r>
    <x v="190"/>
    <x v="5"/>
    <s v="네이버 파워링크"/>
    <x v="2"/>
    <x v="1"/>
    <x v="1"/>
    <m/>
    <m/>
    <m/>
    <n v="2320"/>
    <m/>
  </r>
  <r>
    <x v="191"/>
    <x v="6"/>
    <s v="네이버 파워링크"/>
    <x v="2"/>
    <x v="1"/>
    <x v="1"/>
    <m/>
    <m/>
    <m/>
    <n v="8500"/>
    <m/>
  </r>
  <r>
    <x v="192"/>
    <x v="0"/>
    <s v="네이버 파워링크"/>
    <x v="2"/>
    <x v="1"/>
    <x v="1"/>
    <m/>
    <m/>
    <m/>
    <n v="8900"/>
    <m/>
  </r>
  <r>
    <x v="193"/>
    <x v="3"/>
    <s v="네이버 파워링크"/>
    <x v="2"/>
    <x v="1"/>
    <x v="1"/>
    <m/>
    <m/>
    <m/>
    <n v="6989.999999999999"/>
    <m/>
  </r>
  <r>
    <x v="194"/>
    <x v="4"/>
    <s v="네이버 파워링크"/>
    <x v="2"/>
    <x v="1"/>
    <x v="1"/>
    <m/>
    <m/>
    <m/>
    <n v="8630"/>
    <m/>
  </r>
  <r>
    <x v="195"/>
    <x v="1"/>
    <s v="네이버 파워링크"/>
    <x v="2"/>
    <x v="1"/>
    <x v="1"/>
    <m/>
    <m/>
    <m/>
    <n v="7609.999999999999"/>
    <m/>
  </r>
  <r>
    <x v="196"/>
    <x v="2"/>
    <s v="네이버 파워링크"/>
    <x v="2"/>
    <x v="1"/>
    <x v="1"/>
    <m/>
    <m/>
    <m/>
    <n v="13190"/>
    <m/>
  </r>
  <r>
    <x v="197"/>
    <x v="5"/>
    <s v="네이버 파워링크"/>
    <x v="2"/>
    <x v="1"/>
    <x v="1"/>
    <m/>
    <m/>
    <m/>
    <n v="11770"/>
    <m/>
  </r>
  <r>
    <x v="198"/>
    <x v="6"/>
    <s v="네이버 파워링크"/>
    <x v="2"/>
    <x v="1"/>
    <x v="1"/>
    <m/>
    <m/>
    <m/>
    <n v="10740"/>
    <m/>
  </r>
  <r>
    <x v="199"/>
    <x v="0"/>
    <s v="네이버 파워링크"/>
    <x v="2"/>
    <x v="1"/>
    <x v="1"/>
    <m/>
    <m/>
    <m/>
    <n v="10970"/>
    <m/>
  </r>
  <r>
    <x v="200"/>
    <x v="3"/>
    <s v="네이버 파워링크"/>
    <x v="2"/>
    <x v="1"/>
    <x v="1"/>
    <m/>
    <m/>
    <m/>
    <n v="9000"/>
    <m/>
  </r>
  <r>
    <x v="201"/>
    <x v="4"/>
    <s v="네이버 파워링크"/>
    <x v="2"/>
    <x v="1"/>
    <x v="1"/>
    <m/>
    <m/>
    <m/>
    <n v="7279.999999999999"/>
    <m/>
  </r>
  <r>
    <x v="202"/>
    <x v="1"/>
    <s v="네이버 파워링크"/>
    <x v="2"/>
    <x v="1"/>
    <x v="1"/>
    <m/>
    <m/>
    <m/>
    <n v="5669.999999999999"/>
    <m/>
  </r>
  <r>
    <x v="203"/>
    <x v="2"/>
    <s v="네이버 파워링크"/>
    <x v="2"/>
    <x v="1"/>
    <x v="1"/>
    <m/>
    <m/>
    <m/>
    <n v="979.9999999999999"/>
    <m/>
  </r>
  <r>
    <x v="204"/>
    <x v="5"/>
    <s v="네이버 파워링크"/>
    <x v="2"/>
    <x v="1"/>
    <x v="1"/>
    <m/>
    <m/>
    <m/>
    <n v="8690"/>
    <m/>
  </r>
  <r>
    <x v="205"/>
    <x v="6"/>
    <s v="네이버 파워링크"/>
    <x v="2"/>
    <x v="1"/>
    <x v="1"/>
    <m/>
    <m/>
    <m/>
    <n v="9350"/>
    <m/>
  </r>
  <r>
    <x v="206"/>
    <x v="0"/>
    <s v="네이버 파워링크"/>
    <x v="2"/>
    <x v="1"/>
    <x v="1"/>
    <m/>
    <m/>
    <m/>
    <n v="3470"/>
    <m/>
  </r>
  <r>
    <x v="207"/>
    <x v="3"/>
    <s v="네이버 파워링크"/>
    <x v="2"/>
    <x v="1"/>
    <x v="1"/>
    <m/>
    <m/>
    <m/>
    <n v="0"/>
    <m/>
  </r>
  <r>
    <x v="208"/>
    <x v="4"/>
    <s v="네이버 파워링크"/>
    <x v="2"/>
    <x v="1"/>
    <x v="1"/>
    <m/>
    <m/>
    <m/>
    <n v="0"/>
    <m/>
  </r>
  <r>
    <x v="209"/>
    <x v="1"/>
    <s v="네이버 파워링크"/>
    <x v="2"/>
    <x v="1"/>
    <x v="1"/>
    <m/>
    <m/>
    <m/>
    <n v="0"/>
    <m/>
  </r>
  <r>
    <x v="210"/>
    <x v="2"/>
    <s v="네이버 파워링크"/>
    <x v="2"/>
    <x v="1"/>
    <x v="1"/>
    <m/>
    <m/>
    <m/>
    <n v="0"/>
    <m/>
  </r>
  <r>
    <x v="211"/>
    <x v="5"/>
    <s v="네이버 파워링크"/>
    <x v="2"/>
    <x v="1"/>
    <x v="1"/>
    <m/>
    <m/>
    <m/>
    <n v="0"/>
    <m/>
  </r>
  <r>
    <x v="212"/>
    <x v="6"/>
    <s v="네이버 파워링크"/>
    <x v="2"/>
    <x v="1"/>
    <x v="1"/>
    <m/>
    <m/>
    <m/>
    <n v="27420"/>
    <m/>
  </r>
  <r>
    <x v="213"/>
    <x v="0"/>
    <s v="네이버 파워링크"/>
    <x v="2"/>
    <x v="1"/>
    <x v="1"/>
    <m/>
    <m/>
    <m/>
    <n v="39310"/>
    <m/>
  </r>
  <r>
    <x v="214"/>
    <x v="3"/>
    <s v="네이버 파워링크"/>
    <x v="2"/>
    <x v="1"/>
    <x v="1"/>
    <m/>
    <m/>
    <m/>
    <n v="33100"/>
    <m/>
  </r>
  <r>
    <x v="215"/>
    <x v="4"/>
    <s v="네이버 파워링크"/>
    <x v="2"/>
    <x v="1"/>
    <x v="1"/>
    <m/>
    <m/>
    <m/>
    <n v="33280"/>
    <m/>
  </r>
  <r>
    <x v="216"/>
    <x v="1"/>
    <s v="네이버 파워링크"/>
    <x v="2"/>
    <x v="1"/>
    <x v="1"/>
    <m/>
    <m/>
    <m/>
    <n v="46069.99999999999"/>
    <m/>
  </r>
  <r>
    <x v="217"/>
    <x v="2"/>
    <s v="네이버 파워링크"/>
    <x v="2"/>
    <x v="1"/>
    <x v="1"/>
    <m/>
    <m/>
    <m/>
    <n v="59419.99999999999"/>
    <m/>
  </r>
  <r>
    <x v="218"/>
    <x v="5"/>
    <s v="네이버 파워링크"/>
    <x v="2"/>
    <x v="1"/>
    <x v="1"/>
    <m/>
    <m/>
    <m/>
    <n v="65409.99999999999"/>
    <m/>
  </r>
  <r>
    <x v="219"/>
    <x v="6"/>
    <s v="네이버 파워링크"/>
    <x v="2"/>
    <x v="1"/>
    <x v="1"/>
    <m/>
    <m/>
    <m/>
    <n v="36550"/>
    <m/>
  </r>
  <r>
    <x v="220"/>
    <x v="0"/>
    <s v="네이버 파워링크"/>
    <x v="2"/>
    <x v="1"/>
    <x v="1"/>
    <m/>
    <m/>
    <m/>
    <n v="104360"/>
    <m/>
  </r>
  <r>
    <x v="221"/>
    <x v="3"/>
    <s v="네이버 파워링크"/>
    <x v="2"/>
    <x v="1"/>
    <x v="1"/>
    <m/>
    <m/>
    <m/>
    <n v="69570"/>
    <m/>
  </r>
  <r>
    <x v="222"/>
    <x v="4"/>
    <s v="네이버 파워링크"/>
    <x v="2"/>
    <x v="1"/>
    <x v="1"/>
    <m/>
    <m/>
    <m/>
    <n v="82180"/>
    <m/>
  </r>
  <r>
    <x v="223"/>
    <x v="1"/>
    <s v="네이버 파워링크"/>
    <x v="2"/>
    <x v="1"/>
    <x v="1"/>
    <m/>
    <m/>
    <m/>
    <n v="124320"/>
    <m/>
  </r>
  <r>
    <x v="224"/>
    <x v="2"/>
    <s v="네이버 파워링크"/>
    <x v="2"/>
    <x v="1"/>
    <x v="1"/>
    <m/>
    <m/>
    <m/>
    <n v="169150"/>
    <m/>
  </r>
  <r>
    <x v="225"/>
    <x v="5"/>
    <s v="네이버 파워링크"/>
    <x v="2"/>
    <x v="1"/>
    <x v="1"/>
    <m/>
    <m/>
    <m/>
    <n v="176000"/>
    <m/>
  </r>
  <r>
    <x v="226"/>
    <x v="6"/>
    <s v="네이버 파워링크"/>
    <x v="2"/>
    <x v="1"/>
    <x v="1"/>
    <m/>
    <m/>
    <m/>
    <n v="102160"/>
    <m/>
  </r>
  <r>
    <x v="227"/>
    <x v="0"/>
    <s v="네이버 파워링크"/>
    <x v="2"/>
    <x v="1"/>
    <x v="1"/>
    <m/>
    <m/>
    <m/>
    <n v="90070"/>
    <m/>
  </r>
  <r>
    <x v="228"/>
    <x v="3"/>
    <s v="네이버 파워링크"/>
    <x v="2"/>
    <x v="1"/>
    <x v="1"/>
    <m/>
    <m/>
    <m/>
    <n v="141470"/>
    <m/>
  </r>
  <r>
    <x v="229"/>
    <x v="4"/>
    <s v="네이버 파워링크"/>
    <x v="2"/>
    <x v="1"/>
    <x v="1"/>
    <m/>
    <m/>
    <m/>
    <n v="90050"/>
    <m/>
  </r>
  <r>
    <x v="230"/>
    <x v="1"/>
    <s v="네이버 파워링크"/>
    <x v="2"/>
    <x v="1"/>
    <x v="1"/>
    <m/>
    <m/>
    <m/>
    <n v="34830"/>
    <m/>
  </r>
  <r>
    <x v="231"/>
    <x v="2"/>
    <s v="네이버 파워링크"/>
    <x v="2"/>
    <x v="1"/>
    <x v="1"/>
    <m/>
    <m/>
    <m/>
    <n v="7999.999999999999"/>
    <m/>
  </r>
  <r>
    <x v="232"/>
    <x v="5"/>
    <s v="네이버 파워링크"/>
    <x v="2"/>
    <x v="1"/>
    <x v="1"/>
    <m/>
    <m/>
    <m/>
    <n v="11330"/>
    <m/>
  </r>
  <r>
    <x v="233"/>
    <x v="6"/>
    <s v="네이버 파워링크"/>
    <x v="2"/>
    <x v="1"/>
    <x v="1"/>
    <m/>
    <m/>
    <m/>
    <n v="9900"/>
    <m/>
  </r>
  <r>
    <x v="234"/>
    <x v="0"/>
    <s v="네이버 파워링크"/>
    <x v="2"/>
    <x v="1"/>
    <x v="1"/>
    <m/>
    <m/>
    <m/>
    <n v="8350"/>
    <m/>
  </r>
  <r>
    <x v="235"/>
    <x v="3"/>
    <s v="네이버 파워링크"/>
    <x v="2"/>
    <x v="1"/>
    <x v="1"/>
    <m/>
    <m/>
    <m/>
    <n v="8860"/>
    <m/>
  </r>
  <r>
    <x v="236"/>
    <x v="4"/>
    <s v="네이버 파워링크"/>
    <x v="2"/>
    <x v="1"/>
    <x v="1"/>
    <m/>
    <m/>
    <m/>
    <n v="9340"/>
    <m/>
  </r>
  <r>
    <x v="237"/>
    <x v="1"/>
    <s v="네이버 파워링크"/>
    <x v="2"/>
    <x v="1"/>
    <x v="1"/>
    <m/>
    <m/>
    <m/>
    <n v="8069.999999999999"/>
    <m/>
  </r>
  <r>
    <x v="238"/>
    <x v="2"/>
    <s v="네이버 파워링크"/>
    <x v="2"/>
    <x v="1"/>
    <x v="1"/>
    <m/>
    <m/>
    <m/>
    <n v="8189.999999999999"/>
    <m/>
  </r>
  <r>
    <x v="239"/>
    <x v="5"/>
    <s v="네이버 파워링크"/>
    <x v="2"/>
    <x v="1"/>
    <x v="1"/>
    <m/>
    <m/>
    <m/>
    <n v="8360"/>
    <m/>
  </r>
  <r>
    <x v="240"/>
    <x v="6"/>
    <s v="네이버 파워링크"/>
    <x v="2"/>
    <x v="1"/>
    <x v="1"/>
    <m/>
    <m/>
    <m/>
    <n v="9080"/>
    <m/>
  </r>
  <r>
    <x v="241"/>
    <x v="0"/>
    <s v="네이버 파워링크"/>
    <x v="2"/>
    <x v="1"/>
    <x v="1"/>
    <m/>
    <m/>
    <m/>
    <n v="8179.999999999999"/>
    <m/>
  </r>
  <r>
    <x v="242"/>
    <x v="3"/>
    <s v="네이버 파워링크"/>
    <x v="2"/>
    <x v="1"/>
    <x v="1"/>
    <m/>
    <m/>
    <m/>
    <n v="9590"/>
    <m/>
  </r>
  <r>
    <x v="243"/>
    <x v="4"/>
    <s v="네이버 파워링크"/>
    <x v="2"/>
    <x v="1"/>
    <x v="1"/>
    <m/>
    <m/>
    <m/>
    <n v="11470"/>
    <m/>
  </r>
  <r>
    <x v="244"/>
    <x v="1"/>
    <s v="네이버 파워링크"/>
    <x v="2"/>
    <x v="1"/>
    <x v="1"/>
    <m/>
    <m/>
    <m/>
    <n v="8400"/>
    <m/>
  </r>
  <r>
    <x v="245"/>
    <x v="2"/>
    <s v="네이버 파워링크"/>
    <x v="2"/>
    <x v="1"/>
    <x v="1"/>
    <m/>
    <m/>
    <m/>
    <n v="8139.999999999999"/>
    <m/>
  </r>
  <r>
    <x v="246"/>
    <x v="5"/>
    <s v="네이버 파워링크"/>
    <x v="2"/>
    <x v="1"/>
    <x v="1"/>
    <m/>
    <m/>
    <m/>
    <n v="9040"/>
    <m/>
  </r>
  <r>
    <x v="247"/>
    <x v="6"/>
    <s v="네이버 파워링크"/>
    <x v="2"/>
    <x v="1"/>
    <x v="1"/>
    <m/>
    <m/>
    <m/>
    <n v="9880"/>
    <m/>
  </r>
  <r>
    <x v="248"/>
    <x v="0"/>
    <s v="네이버 파워링크"/>
    <x v="2"/>
    <x v="1"/>
    <x v="1"/>
    <m/>
    <m/>
    <m/>
    <n v="9150"/>
    <m/>
  </r>
  <r>
    <x v="249"/>
    <x v="3"/>
    <s v="네이버 파워링크"/>
    <x v="2"/>
    <x v="1"/>
    <x v="1"/>
    <m/>
    <m/>
    <m/>
    <n v="9960"/>
    <m/>
  </r>
  <r>
    <x v="250"/>
    <x v="4"/>
    <s v="네이버 파워링크"/>
    <x v="2"/>
    <x v="1"/>
    <x v="1"/>
    <m/>
    <m/>
    <m/>
    <n v="8420"/>
    <m/>
  </r>
  <r>
    <x v="251"/>
    <x v="1"/>
    <s v="네이버 파워링크"/>
    <x v="2"/>
    <x v="1"/>
    <x v="1"/>
    <m/>
    <m/>
    <m/>
    <n v="8049.999999999999"/>
    <m/>
  </r>
  <r>
    <x v="252"/>
    <x v="2"/>
    <s v="네이버 파워링크"/>
    <x v="2"/>
    <x v="1"/>
    <x v="1"/>
    <m/>
    <m/>
    <m/>
    <n v="8630"/>
    <m/>
  </r>
  <r>
    <x v="253"/>
    <x v="5"/>
    <s v="네이버 파워링크"/>
    <x v="2"/>
    <x v="1"/>
    <x v="1"/>
    <m/>
    <m/>
    <m/>
    <n v="8189.999999999999"/>
    <m/>
  </r>
  <r>
    <x v="254"/>
    <x v="6"/>
    <s v="네이버 파워링크"/>
    <x v="2"/>
    <x v="1"/>
    <x v="1"/>
    <m/>
    <m/>
    <m/>
    <n v="8370"/>
    <m/>
  </r>
  <r>
    <x v="255"/>
    <x v="0"/>
    <s v="네이버 파워링크"/>
    <x v="2"/>
    <x v="1"/>
    <x v="1"/>
    <m/>
    <m/>
    <m/>
    <n v="9940"/>
    <m/>
  </r>
  <r>
    <x v="256"/>
    <x v="3"/>
    <s v="네이버 파워링크"/>
    <x v="2"/>
    <x v="1"/>
    <x v="1"/>
    <m/>
    <m/>
    <m/>
    <n v="8880"/>
    <m/>
  </r>
  <r>
    <x v="257"/>
    <x v="4"/>
    <s v="네이버 파워링크"/>
    <x v="2"/>
    <x v="1"/>
    <x v="1"/>
    <m/>
    <m/>
    <m/>
    <n v="10100"/>
    <m/>
  </r>
  <r>
    <x v="258"/>
    <x v="1"/>
    <s v="네이버 파워링크"/>
    <x v="2"/>
    <x v="1"/>
    <x v="1"/>
    <m/>
    <m/>
    <m/>
    <n v="8640"/>
    <m/>
  </r>
  <r>
    <x v="259"/>
    <x v="2"/>
    <s v="네이버 파워링크"/>
    <x v="2"/>
    <x v="1"/>
    <x v="1"/>
    <m/>
    <m/>
    <m/>
    <n v="8009.999999999999"/>
    <m/>
  </r>
  <r>
    <x v="260"/>
    <x v="5"/>
    <s v="네이버 파워링크"/>
    <x v="2"/>
    <x v="1"/>
    <x v="1"/>
    <m/>
    <m/>
    <m/>
    <n v="0"/>
    <m/>
  </r>
  <r>
    <x v="261"/>
    <x v="6"/>
    <s v="네이버 파워링크"/>
    <x v="2"/>
    <x v="1"/>
    <x v="1"/>
    <m/>
    <m/>
    <m/>
    <n v="0"/>
    <m/>
  </r>
  <r>
    <x v="0"/>
    <x v="0"/>
    <s v="네이버 파워링크"/>
    <x v="2"/>
    <x v="1"/>
    <x v="1"/>
    <m/>
    <m/>
    <m/>
    <n v="0"/>
    <m/>
  </r>
  <r>
    <x v="59"/>
    <x v="0"/>
    <s v="네이버 브랜드검색"/>
    <x v="2"/>
    <x v="1"/>
    <x v="1"/>
    <m/>
    <m/>
    <m/>
    <n v="20000"/>
    <m/>
  </r>
  <r>
    <x v="60"/>
    <x v="3"/>
    <s v="네이버 브랜드검색"/>
    <x v="2"/>
    <x v="1"/>
    <x v="1"/>
    <m/>
    <m/>
    <m/>
    <n v="20000"/>
    <m/>
  </r>
  <r>
    <x v="61"/>
    <x v="4"/>
    <s v="네이버 브랜드검색"/>
    <x v="2"/>
    <x v="1"/>
    <x v="1"/>
    <m/>
    <m/>
    <m/>
    <n v="20000"/>
    <m/>
  </r>
  <r>
    <x v="62"/>
    <x v="1"/>
    <s v="네이버 브랜드검색"/>
    <x v="2"/>
    <x v="1"/>
    <x v="1"/>
    <m/>
    <m/>
    <m/>
    <n v="20000"/>
    <m/>
  </r>
  <r>
    <x v="63"/>
    <x v="2"/>
    <s v="네이버 브랜드검색"/>
    <x v="2"/>
    <x v="1"/>
    <x v="1"/>
    <m/>
    <m/>
    <m/>
    <n v="20000"/>
    <m/>
  </r>
  <r>
    <x v="64"/>
    <x v="5"/>
    <s v="네이버 브랜드검색"/>
    <x v="2"/>
    <x v="1"/>
    <x v="1"/>
    <m/>
    <m/>
    <m/>
    <n v="20000"/>
    <m/>
  </r>
  <r>
    <x v="65"/>
    <x v="6"/>
    <s v="네이버 브랜드검색"/>
    <x v="2"/>
    <x v="1"/>
    <x v="1"/>
    <m/>
    <m/>
    <m/>
    <n v="20000"/>
    <m/>
  </r>
  <r>
    <x v="66"/>
    <x v="0"/>
    <s v="네이버 브랜드검색"/>
    <x v="2"/>
    <x v="1"/>
    <x v="1"/>
    <m/>
    <m/>
    <m/>
    <n v="20000"/>
    <m/>
  </r>
  <r>
    <x v="67"/>
    <x v="3"/>
    <s v="네이버 브랜드검색"/>
    <x v="2"/>
    <x v="1"/>
    <x v="1"/>
    <m/>
    <m/>
    <m/>
    <n v="20000"/>
    <m/>
  </r>
  <r>
    <x v="68"/>
    <x v="4"/>
    <s v="네이버 브랜드검색"/>
    <x v="2"/>
    <x v="1"/>
    <x v="1"/>
    <m/>
    <m/>
    <m/>
    <n v="20000"/>
    <m/>
  </r>
  <r>
    <x v="69"/>
    <x v="1"/>
    <s v="네이버 브랜드검색"/>
    <x v="2"/>
    <x v="1"/>
    <x v="1"/>
    <m/>
    <m/>
    <m/>
    <n v="20000"/>
    <m/>
  </r>
  <r>
    <x v="70"/>
    <x v="2"/>
    <s v="네이버 브랜드검색"/>
    <x v="2"/>
    <x v="1"/>
    <x v="1"/>
    <m/>
    <m/>
    <m/>
    <n v="20000"/>
    <m/>
  </r>
  <r>
    <x v="71"/>
    <x v="5"/>
    <s v="네이버 브랜드검색"/>
    <x v="2"/>
    <x v="1"/>
    <x v="1"/>
    <m/>
    <m/>
    <m/>
    <n v="20000"/>
    <m/>
  </r>
  <r>
    <x v="72"/>
    <x v="6"/>
    <s v="네이버 브랜드검색"/>
    <x v="2"/>
    <x v="1"/>
    <x v="1"/>
    <m/>
    <m/>
    <m/>
    <n v="20000"/>
    <m/>
  </r>
  <r>
    <x v="73"/>
    <x v="0"/>
    <s v="네이버 브랜드검색"/>
    <x v="2"/>
    <x v="1"/>
    <x v="1"/>
    <m/>
    <m/>
    <m/>
    <n v="20000"/>
    <m/>
  </r>
  <r>
    <x v="74"/>
    <x v="3"/>
    <s v="네이버 브랜드검색"/>
    <x v="2"/>
    <x v="1"/>
    <x v="1"/>
    <m/>
    <m/>
    <m/>
    <n v="20000"/>
    <m/>
  </r>
  <r>
    <x v="75"/>
    <x v="4"/>
    <s v="네이버 브랜드검색"/>
    <x v="2"/>
    <x v="1"/>
    <x v="1"/>
    <m/>
    <m/>
    <m/>
    <n v="20000"/>
    <m/>
  </r>
  <r>
    <x v="76"/>
    <x v="1"/>
    <s v="네이버 브랜드검색"/>
    <x v="2"/>
    <x v="1"/>
    <x v="1"/>
    <m/>
    <m/>
    <m/>
    <n v="20000"/>
    <m/>
  </r>
  <r>
    <x v="77"/>
    <x v="2"/>
    <s v="네이버 브랜드검색"/>
    <x v="2"/>
    <x v="1"/>
    <x v="1"/>
    <m/>
    <m/>
    <m/>
    <n v="20000"/>
    <m/>
  </r>
  <r>
    <x v="78"/>
    <x v="5"/>
    <s v="네이버 브랜드검색"/>
    <x v="2"/>
    <x v="1"/>
    <x v="1"/>
    <m/>
    <m/>
    <m/>
    <n v="20000"/>
    <m/>
  </r>
  <r>
    <x v="79"/>
    <x v="6"/>
    <s v="네이버 브랜드검색"/>
    <x v="2"/>
    <x v="1"/>
    <x v="1"/>
    <m/>
    <m/>
    <m/>
    <n v="20000"/>
    <m/>
  </r>
  <r>
    <x v="80"/>
    <x v="0"/>
    <s v="네이버 브랜드검색"/>
    <x v="2"/>
    <x v="1"/>
    <x v="1"/>
    <m/>
    <m/>
    <m/>
    <n v="20000"/>
    <m/>
  </r>
  <r>
    <x v="81"/>
    <x v="3"/>
    <s v="네이버 브랜드검색"/>
    <x v="2"/>
    <x v="1"/>
    <x v="1"/>
    <m/>
    <m/>
    <m/>
    <n v="20000"/>
    <m/>
  </r>
  <r>
    <x v="82"/>
    <x v="4"/>
    <s v="네이버 브랜드검색"/>
    <x v="2"/>
    <x v="1"/>
    <x v="1"/>
    <m/>
    <m/>
    <m/>
    <n v="20000"/>
    <m/>
  </r>
  <r>
    <x v="83"/>
    <x v="1"/>
    <s v="네이버 브랜드검색"/>
    <x v="2"/>
    <x v="1"/>
    <x v="1"/>
    <m/>
    <m/>
    <m/>
    <n v="20000"/>
    <m/>
  </r>
  <r>
    <x v="84"/>
    <x v="2"/>
    <s v="네이버 브랜드검색"/>
    <x v="2"/>
    <x v="1"/>
    <x v="1"/>
    <m/>
    <m/>
    <m/>
    <n v="20000"/>
    <m/>
  </r>
  <r>
    <x v="85"/>
    <x v="5"/>
    <s v="네이버 브랜드검색"/>
    <x v="2"/>
    <x v="1"/>
    <x v="1"/>
    <m/>
    <m/>
    <m/>
    <n v="20000"/>
    <m/>
  </r>
  <r>
    <x v="86"/>
    <x v="6"/>
    <s v="네이버 브랜드검색"/>
    <x v="2"/>
    <x v="1"/>
    <x v="1"/>
    <m/>
    <m/>
    <m/>
    <n v="20000"/>
    <m/>
  </r>
  <r>
    <x v="87"/>
    <x v="0"/>
    <s v="네이버 브랜드검색"/>
    <x v="2"/>
    <x v="1"/>
    <x v="1"/>
    <m/>
    <m/>
    <m/>
    <n v="20000"/>
    <m/>
  </r>
  <r>
    <x v="88"/>
    <x v="3"/>
    <s v="네이버 브랜드검색"/>
    <x v="2"/>
    <x v="1"/>
    <x v="1"/>
    <m/>
    <m/>
    <m/>
    <n v="20000"/>
    <m/>
  </r>
  <r>
    <x v="89"/>
    <x v="4"/>
    <s v="네이버 브랜드검색"/>
    <x v="2"/>
    <x v="1"/>
    <x v="1"/>
    <m/>
    <m/>
    <m/>
    <n v="20000"/>
    <m/>
  </r>
  <r>
    <x v="90"/>
    <x v="1"/>
    <s v="네이버 브랜드검색"/>
    <x v="2"/>
    <x v="1"/>
    <x v="1"/>
    <m/>
    <m/>
    <m/>
    <n v="20000"/>
    <m/>
  </r>
  <r>
    <x v="91"/>
    <x v="2"/>
    <s v="네이버 브랜드검색"/>
    <x v="2"/>
    <x v="1"/>
    <x v="1"/>
    <m/>
    <m/>
    <m/>
    <n v="20000"/>
    <m/>
  </r>
  <r>
    <x v="92"/>
    <x v="5"/>
    <s v="네이버 브랜드검색"/>
    <x v="2"/>
    <x v="1"/>
    <x v="1"/>
    <m/>
    <m/>
    <m/>
    <n v="20000"/>
    <m/>
  </r>
  <r>
    <x v="93"/>
    <x v="6"/>
    <s v="네이버 브랜드검색"/>
    <x v="2"/>
    <x v="1"/>
    <x v="1"/>
    <m/>
    <m/>
    <m/>
    <n v="20000"/>
    <m/>
  </r>
  <r>
    <x v="94"/>
    <x v="0"/>
    <s v="네이버 브랜드검색"/>
    <x v="2"/>
    <x v="1"/>
    <x v="1"/>
    <m/>
    <m/>
    <m/>
    <n v="20000"/>
    <m/>
  </r>
  <r>
    <x v="95"/>
    <x v="3"/>
    <s v="네이버 브랜드검색"/>
    <x v="2"/>
    <x v="1"/>
    <x v="1"/>
    <m/>
    <m/>
    <m/>
    <n v="20000"/>
    <m/>
  </r>
  <r>
    <x v="96"/>
    <x v="4"/>
    <s v="네이버 브랜드검색"/>
    <x v="2"/>
    <x v="1"/>
    <x v="1"/>
    <m/>
    <m/>
    <m/>
    <n v="20000"/>
    <m/>
  </r>
  <r>
    <x v="97"/>
    <x v="1"/>
    <s v="네이버 브랜드검색"/>
    <x v="2"/>
    <x v="1"/>
    <x v="1"/>
    <m/>
    <m/>
    <m/>
    <n v="20000"/>
    <m/>
  </r>
  <r>
    <x v="98"/>
    <x v="2"/>
    <s v="네이버 브랜드검색"/>
    <x v="2"/>
    <x v="1"/>
    <x v="1"/>
    <m/>
    <m/>
    <m/>
    <n v="20000"/>
    <m/>
  </r>
  <r>
    <x v="99"/>
    <x v="5"/>
    <s v="네이버 브랜드검색"/>
    <x v="2"/>
    <x v="1"/>
    <x v="1"/>
    <m/>
    <m/>
    <m/>
    <n v="20000"/>
    <m/>
  </r>
  <r>
    <x v="100"/>
    <x v="6"/>
    <s v="네이버 브랜드검색"/>
    <x v="2"/>
    <x v="1"/>
    <x v="1"/>
    <m/>
    <m/>
    <m/>
    <n v="20000"/>
    <m/>
  </r>
  <r>
    <x v="101"/>
    <x v="0"/>
    <s v="네이버 브랜드검색"/>
    <x v="2"/>
    <x v="1"/>
    <x v="1"/>
    <m/>
    <m/>
    <m/>
    <n v="20000"/>
    <m/>
  </r>
  <r>
    <x v="102"/>
    <x v="3"/>
    <s v="네이버 브랜드검색"/>
    <x v="2"/>
    <x v="1"/>
    <x v="1"/>
    <m/>
    <m/>
    <m/>
    <n v="20000"/>
    <m/>
  </r>
  <r>
    <x v="103"/>
    <x v="4"/>
    <s v="네이버 브랜드검색"/>
    <x v="2"/>
    <x v="1"/>
    <x v="1"/>
    <m/>
    <m/>
    <m/>
    <n v="20000"/>
    <m/>
  </r>
  <r>
    <x v="104"/>
    <x v="1"/>
    <s v="네이버 브랜드검색"/>
    <x v="2"/>
    <x v="1"/>
    <x v="1"/>
    <m/>
    <m/>
    <m/>
    <n v="20000"/>
    <m/>
  </r>
  <r>
    <x v="105"/>
    <x v="2"/>
    <s v="네이버 브랜드검색"/>
    <x v="2"/>
    <x v="1"/>
    <x v="1"/>
    <m/>
    <m/>
    <m/>
    <n v="20000"/>
    <m/>
  </r>
  <r>
    <x v="106"/>
    <x v="5"/>
    <s v="네이버 브랜드검색"/>
    <x v="2"/>
    <x v="1"/>
    <x v="1"/>
    <m/>
    <m/>
    <m/>
    <n v="20000"/>
    <m/>
  </r>
  <r>
    <x v="107"/>
    <x v="6"/>
    <s v="네이버 브랜드검색"/>
    <x v="2"/>
    <x v="1"/>
    <x v="1"/>
    <m/>
    <m/>
    <m/>
    <n v="20000"/>
    <m/>
  </r>
  <r>
    <x v="108"/>
    <x v="0"/>
    <s v="네이버 브랜드검색"/>
    <x v="2"/>
    <x v="1"/>
    <x v="1"/>
    <m/>
    <m/>
    <m/>
    <n v="20000"/>
    <m/>
  </r>
  <r>
    <x v="109"/>
    <x v="3"/>
    <s v="네이버 브랜드검색"/>
    <x v="2"/>
    <x v="1"/>
    <x v="1"/>
    <m/>
    <m/>
    <m/>
    <n v="20000"/>
    <m/>
  </r>
  <r>
    <x v="110"/>
    <x v="4"/>
    <s v="네이버 브랜드검색"/>
    <x v="2"/>
    <x v="1"/>
    <x v="1"/>
    <m/>
    <m/>
    <m/>
    <n v="20000"/>
    <m/>
  </r>
  <r>
    <x v="111"/>
    <x v="1"/>
    <s v="네이버 브랜드검색"/>
    <x v="2"/>
    <x v="1"/>
    <x v="1"/>
    <m/>
    <m/>
    <m/>
    <n v="20000"/>
    <m/>
  </r>
  <r>
    <x v="112"/>
    <x v="2"/>
    <s v="네이버 브랜드검색"/>
    <x v="2"/>
    <x v="1"/>
    <x v="1"/>
    <m/>
    <m/>
    <m/>
    <n v="20000"/>
    <m/>
  </r>
  <r>
    <x v="113"/>
    <x v="5"/>
    <s v="네이버 브랜드검색"/>
    <x v="2"/>
    <x v="1"/>
    <x v="1"/>
    <m/>
    <m/>
    <m/>
    <n v="20000"/>
    <m/>
  </r>
  <r>
    <x v="114"/>
    <x v="6"/>
    <s v="네이버 브랜드검색"/>
    <x v="2"/>
    <x v="1"/>
    <x v="1"/>
    <m/>
    <m/>
    <m/>
    <n v="20000"/>
    <m/>
  </r>
  <r>
    <x v="115"/>
    <x v="0"/>
    <s v="네이버 브랜드검색"/>
    <x v="2"/>
    <x v="1"/>
    <x v="1"/>
    <m/>
    <m/>
    <m/>
    <n v="20000"/>
    <m/>
  </r>
  <r>
    <x v="116"/>
    <x v="3"/>
    <s v="네이버 브랜드검색"/>
    <x v="2"/>
    <x v="1"/>
    <x v="1"/>
    <m/>
    <m/>
    <m/>
    <n v="20000"/>
    <m/>
  </r>
  <r>
    <x v="117"/>
    <x v="4"/>
    <s v="네이버 브랜드검색"/>
    <x v="2"/>
    <x v="1"/>
    <x v="1"/>
    <m/>
    <m/>
    <m/>
    <n v="20000"/>
    <m/>
  </r>
  <r>
    <x v="118"/>
    <x v="1"/>
    <s v="네이버 브랜드검색"/>
    <x v="2"/>
    <x v="1"/>
    <x v="1"/>
    <m/>
    <m/>
    <m/>
    <n v="20000"/>
    <m/>
  </r>
  <r>
    <x v="119"/>
    <x v="2"/>
    <s v="네이버 브랜드검색"/>
    <x v="2"/>
    <x v="1"/>
    <x v="1"/>
    <m/>
    <m/>
    <m/>
    <n v="20000"/>
    <m/>
  </r>
  <r>
    <x v="120"/>
    <x v="5"/>
    <s v="네이버 브랜드검색"/>
    <x v="2"/>
    <x v="1"/>
    <x v="1"/>
    <m/>
    <m/>
    <m/>
    <n v="20000"/>
    <m/>
  </r>
  <r>
    <x v="121"/>
    <x v="6"/>
    <s v="네이버 브랜드검색"/>
    <x v="2"/>
    <x v="1"/>
    <x v="1"/>
    <m/>
    <m/>
    <m/>
    <n v="20000"/>
    <m/>
  </r>
  <r>
    <x v="122"/>
    <x v="0"/>
    <s v="네이버 브랜드검색"/>
    <x v="2"/>
    <x v="1"/>
    <x v="1"/>
    <m/>
    <m/>
    <m/>
    <n v="20000"/>
    <m/>
  </r>
  <r>
    <x v="123"/>
    <x v="3"/>
    <s v="네이버 브랜드검색"/>
    <x v="2"/>
    <x v="1"/>
    <x v="1"/>
    <m/>
    <m/>
    <m/>
    <n v="20000"/>
    <m/>
  </r>
  <r>
    <x v="124"/>
    <x v="4"/>
    <s v="네이버 브랜드검색"/>
    <x v="2"/>
    <x v="1"/>
    <x v="1"/>
    <m/>
    <m/>
    <m/>
    <n v="20000"/>
    <m/>
  </r>
  <r>
    <x v="125"/>
    <x v="1"/>
    <s v="네이버 브랜드검색"/>
    <x v="2"/>
    <x v="1"/>
    <x v="1"/>
    <m/>
    <m/>
    <m/>
    <n v="20000"/>
    <m/>
  </r>
  <r>
    <x v="126"/>
    <x v="2"/>
    <s v="네이버 브랜드검색"/>
    <x v="2"/>
    <x v="1"/>
    <x v="1"/>
    <m/>
    <m/>
    <m/>
    <n v="20000"/>
    <m/>
  </r>
  <r>
    <x v="127"/>
    <x v="5"/>
    <s v="네이버 브랜드검색"/>
    <x v="2"/>
    <x v="1"/>
    <x v="1"/>
    <m/>
    <m/>
    <m/>
    <n v="20000"/>
    <m/>
  </r>
  <r>
    <x v="128"/>
    <x v="6"/>
    <s v="네이버 브랜드검색"/>
    <x v="2"/>
    <x v="1"/>
    <x v="1"/>
    <m/>
    <m/>
    <m/>
    <n v="20000"/>
    <m/>
  </r>
  <r>
    <x v="129"/>
    <x v="0"/>
    <s v="네이버 브랜드검색"/>
    <x v="2"/>
    <x v="1"/>
    <x v="1"/>
    <m/>
    <m/>
    <m/>
    <n v="20000"/>
    <m/>
  </r>
  <r>
    <x v="130"/>
    <x v="3"/>
    <s v="네이버 브랜드검색"/>
    <x v="2"/>
    <x v="1"/>
    <x v="1"/>
    <m/>
    <m/>
    <m/>
    <n v="20000"/>
    <m/>
  </r>
  <r>
    <x v="131"/>
    <x v="4"/>
    <s v="네이버 브랜드검색"/>
    <x v="2"/>
    <x v="1"/>
    <x v="1"/>
    <m/>
    <m/>
    <m/>
    <n v="20000"/>
    <m/>
  </r>
  <r>
    <x v="132"/>
    <x v="1"/>
    <s v="네이버 브랜드검색"/>
    <x v="2"/>
    <x v="1"/>
    <x v="1"/>
    <m/>
    <m/>
    <m/>
    <n v="20000"/>
    <m/>
  </r>
  <r>
    <x v="133"/>
    <x v="2"/>
    <s v="네이버 브랜드검색"/>
    <x v="2"/>
    <x v="1"/>
    <x v="1"/>
    <m/>
    <m/>
    <m/>
    <n v="20000"/>
    <m/>
  </r>
  <r>
    <x v="134"/>
    <x v="5"/>
    <s v="네이버 브랜드검색"/>
    <x v="2"/>
    <x v="1"/>
    <x v="1"/>
    <m/>
    <m/>
    <m/>
    <n v="20000"/>
    <m/>
  </r>
  <r>
    <x v="135"/>
    <x v="6"/>
    <s v="네이버 브랜드검색"/>
    <x v="2"/>
    <x v="1"/>
    <x v="1"/>
    <m/>
    <m/>
    <m/>
    <n v="20000"/>
    <m/>
  </r>
  <r>
    <x v="136"/>
    <x v="0"/>
    <s v="네이버 브랜드검색"/>
    <x v="2"/>
    <x v="1"/>
    <x v="1"/>
    <m/>
    <m/>
    <m/>
    <n v="20000"/>
    <m/>
  </r>
  <r>
    <x v="137"/>
    <x v="3"/>
    <s v="네이버 브랜드검색"/>
    <x v="2"/>
    <x v="1"/>
    <x v="1"/>
    <m/>
    <m/>
    <m/>
    <n v="20000"/>
    <m/>
  </r>
  <r>
    <x v="138"/>
    <x v="4"/>
    <s v="네이버 브랜드검색"/>
    <x v="2"/>
    <x v="1"/>
    <x v="1"/>
    <m/>
    <m/>
    <m/>
    <n v="20000"/>
    <m/>
  </r>
  <r>
    <x v="139"/>
    <x v="1"/>
    <s v="네이버 브랜드검색"/>
    <x v="2"/>
    <x v="1"/>
    <x v="1"/>
    <m/>
    <m/>
    <m/>
    <n v="20000"/>
    <m/>
  </r>
  <r>
    <x v="140"/>
    <x v="2"/>
    <s v="네이버 브랜드검색"/>
    <x v="2"/>
    <x v="1"/>
    <x v="1"/>
    <m/>
    <m/>
    <m/>
    <n v="20000"/>
    <m/>
  </r>
  <r>
    <x v="141"/>
    <x v="5"/>
    <s v="네이버 브랜드검색"/>
    <x v="2"/>
    <x v="1"/>
    <x v="1"/>
    <m/>
    <m/>
    <m/>
    <n v="20000"/>
    <m/>
  </r>
  <r>
    <x v="142"/>
    <x v="6"/>
    <s v="네이버 브랜드검색"/>
    <x v="2"/>
    <x v="1"/>
    <x v="1"/>
    <m/>
    <m/>
    <m/>
    <n v="20000"/>
    <m/>
  </r>
  <r>
    <x v="143"/>
    <x v="0"/>
    <s v="네이버 브랜드검색"/>
    <x v="2"/>
    <x v="1"/>
    <x v="1"/>
    <m/>
    <m/>
    <m/>
    <n v="20000"/>
    <m/>
  </r>
  <r>
    <x v="144"/>
    <x v="3"/>
    <s v="네이버 브랜드검색"/>
    <x v="2"/>
    <x v="1"/>
    <x v="1"/>
    <m/>
    <m/>
    <m/>
    <n v="20000"/>
    <m/>
  </r>
  <r>
    <x v="145"/>
    <x v="4"/>
    <s v="네이버 브랜드검색"/>
    <x v="2"/>
    <x v="1"/>
    <x v="1"/>
    <m/>
    <m/>
    <m/>
    <n v="20000"/>
    <m/>
  </r>
  <r>
    <x v="146"/>
    <x v="1"/>
    <s v="네이버 브랜드검색"/>
    <x v="2"/>
    <x v="1"/>
    <x v="1"/>
    <m/>
    <m/>
    <m/>
    <n v="20000"/>
    <m/>
  </r>
  <r>
    <x v="147"/>
    <x v="2"/>
    <s v="네이버 브랜드검색"/>
    <x v="2"/>
    <x v="1"/>
    <x v="1"/>
    <m/>
    <m/>
    <m/>
    <n v="20000"/>
    <m/>
  </r>
  <r>
    <x v="148"/>
    <x v="5"/>
    <s v="네이버 브랜드검색"/>
    <x v="2"/>
    <x v="1"/>
    <x v="1"/>
    <m/>
    <m/>
    <m/>
    <n v="20000"/>
    <m/>
  </r>
  <r>
    <x v="149"/>
    <x v="6"/>
    <s v="네이버 브랜드검색"/>
    <x v="2"/>
    <x v="1"/>
    <x v="1"/>
    <m/>
    <m/>
    <m/>
    <n v="20000"/>
    <m/>
  </r>
  <r>
    <x v="150"/>
    <x v="0"/>
    <s v="네이버 브랜드검색"/>
    <x v="2"/>
    <x v="1"/>
    <x v="1"/>
    <m/>
    <m/>
    <m/>
    <n v="20000"/>
    <m/>
  </r>
  <r>
    <x v="151"/>
    <x v="3"/>
    <s v="네이버 브랜드검색"/>
    <x v="2"/>
    <x v="1"/>
    <x v="1"/>
    <m/>
    <m/>
    <m/>
    <n v="20000"/>
    <m/>
  </r>
  <r>
    <x v="152"/>
    <x v="4"/>
    <s v="네이버 브랜드검색"/>
    <x v="2"/>
    <x v="1"/>
    <x v="1"/>
    <m/>
    <m/>
    <m/>
    <n v="60000"/>
    <m/>
  </r>
  <r>
    <x v="153"/>
    <x v="1"/>
    <s v="네이버 브랜드검색"/>
    <x v="2"/>
    <x v="1"/>
    <x v="1"/>
    <m/>
    <m/>
    <m/>
    <n v="60000"/>
    <m/>
  </r>
  <r>
    <x v="154"/>
    <x v="2"/>
    <s v="네이버 브랜드검색"/>
    <x v="2"/>
    <x v="1"/>
    <x v="1"/>
    <m/>
    <m/>
    <m/>
    <n v="60000"/>
    <m/>
  </r>
  <r>
    <x v="155"/>
    <x v="5"/>
    <s v="네이버 브랜드검색"/>
    <x v="2"/>
    <x v="1"/>
    <x v="1"/>
    <m/>
    <m/>
    <m/>
    <n v="60000"/>
    <m/>
  </r>
  <r>
    <x v="156"/>
    <x v="6"/>
    <s v="네이버 브랜드검색"/>
    <x v="2"/>
    <x v="1"/>
    <x v="1"/>
    <m/>
    <m/>
    <m/>
    <n v="60000"/>
    <m/>
  </r>
  <r>
    <x v="157"/>
    <x v="0"/>
    <s v="네이버 브랜드검색"/>
    <x v="2"/>
    <x v="1"/>
    <x v="1"/>
    <m/>
    <m/>
    <m/>
    <n v="60000"/>
    <m/>
  </r>
  <r>
    <x v="158"/>
    <x v="3"/>
    <s v="네이버 브랜드검색"/>
    <x v="2"/>
    <x v="1"/>
    <x v="1"/>
    <m/>
    <m/>
    <m/>
    <n v="60000"/>
    <m/>
  </r>
  <r>
    <x v="159"/>
    <x v="4"/>
    <s v="네이버 브랜드검색"/>
    <x v="2"/>
    <x v="1"/>
    <x v="1"/>
    <m/>
    <m/>
    <m/>
    <n v="60000"/>
    <m/>
  </r>
  <r>
    <x v="160"/>
    <x v="1"/>
    <s v="네이버 브랜드검색"/>
    <x v="2"/>
    <x v="1"/>
    <x v="1"/>
    <m/>
    <m/>
    <m/>
    <n v="60000"/>
    <m/>
  </r>
  <r>
    <x v="161"/>
    <x v="2"/>
    <s v="네이버 브랜드검색"/>
    <x v="2"/>
    <x v="1"/>
    <x v="1"/>
    <m/>
    <m/>
    <m/>
    <n v="60000"/>
    <m/>
  </r>
  <r>
    <x v="162"/>
    <x v="5"/>
    <s v="네이버 브랜드검색"/>
    <x v="2"/>
    <x v="1"/>
    <x v="1"/>
    <m/>
    <m/>
    <m/>
    <n v="60000"/>
    <m/>
  </r>
  <r>
    <x v="163"/>
    <x v="6"/>
    <s v="네이버 브랜드검색"/>
    <x v="2"/>
    <x v="1"/>
    <x v="1"/>
    <m/>
    <m/>
    <m/>
    <n v="60000"/>
    <m/>
  </r>
  <r>
    <x v="164"/>
    <x v="0"/>
    <s v="네이버 브랜드검색"/>
    <x v="2"/>
    <x v="1"/>
    <x v="1"/>
    <m/>
    <m/>
    <m/>
    <n v="60000"/>
    <m/>
  </r>
  <r>
    <x v="165"/>
    <x v="3"/>
    <s v="네이버 브랜드검색"/>
    <x v="2"/>
    <x v="1"/>
    <x v="1"/>
    <m/>
    <m/>
    <m/>
    <n v="60000"/>
    <m/>
  </r>
  <r>
    <x v="166"/>
    <x v="4"/>
    <s v="네이버 브랜드검색"/>
    <x v="2"/>
    <x v="1"/>
    <x v="1"/>
    <m/>
    <m/>
    <m/>
    <n v="60000"/>
    <m/>
  </r>
  <r>
    <x v="167"/>
    <x v="1"/>
    <s v="네이버 브랜드검색"/>
    <x v="2"/>
    <x v="1"/>
    <x v="1"/>
    <m/>
    <m/>
    <m/>
    <n v="60000"/>
    <m/>
  </r>
  <r>
    <x v="168"/>
    <x v="2"/>
    <s v="네이버 브랜드검색"/>
    <x v="2"/>
    <x v="1"/>
    <x v="1"/>
    <m/>
    <m/>
    <m/>
    <n v="60000"/>
    <m/>
  </r>
  <r>
    <x v="169"/>
    <x v="5"/>
    <s v="네이버 브랜드검색"/>
    <x v="2"/>
    <x v="1"/>
    <x v="1"/>
    <m/>
    <m/>
    <m/>
    <n v="60000"/>
    <m/>
  </r>
  <r>
    <x v="170"/>
    <x v="6"/>
    <s v="네이버 브랜드검색"/>
    <x v="2"/>
    <x v="1"/>
    <x v="1"/>
    <m/>
    <m/>
    <m/>
    <n v="60000"/>
    <m/>
  </r>
  <r>
    <x v="171"/>
    <x v="0"/>
    <s v="네이버 브랜드검색"/>
    <x v="2"/>
    <x v="1"/>
    <x v="1"/>
    <m/>
    <m/>
    <m/>
    <n v="60000"/>
    <m/>
  </r>
  <r>
    <x v="172"/>
    <x v="3"/>
    <s v="네이버 브랜드검색"/>
    <x v="2"/>
    <x v="1"/>
    <x v="1"/>
    <m/>
    <m/>
    <m/>
    <n v="60000"/>
    <m/>
  </r>
  <r>
    <x v="173"/>
    <x v="4"/>
    <s v="네이버 브랜드검색"/>
    <x v="2"/>
    <x v="1"/>
    <x v="1"/>
    <m/>
    <m/>
    <m/>
    <n v="60000"/>
    <m/>
  </r>
  <r>
    <x v="174"/>
    <x v="1"/>
    <s v="네이버 브랜드검색"/>
    <x v="2"/>
    <x v="1"/>
    <x v="1"/>
    <m/>
    <m/>
    <m/>
    <n v="60000"/>
    <m/>
  </r>
  <r>
    <x v="175"/>
    <x v="2"/>
    <s v="네이버 브랜드검색"/>
    <x v="2"/>
    <x v="1"/>
    <x v="1"/>
    <m/>
    <m/>
    <m/>
    <n v="60000"/>
    <m/>
  </r>
  <r>
    <x v="176"/>
    <x v="5"/>
    <s v="네이버 브랜드검색"/>
    <x v="2"/>
    <x v="1"/>
    <x v="1"/>
    <m/>
    <m/>
    <m/>
    <n v="60000"/>
    <m/>
  </r>
  <r>
    <x v="177"/>
    <x v="6"/>
    <s v="네이버 브랜드검색"/>
    <x v="2"/>
    <x v="1"/>
    <x v="1"/>
    <m/>
    <m/>
    <m/>
    <n v="60000"/>
    <m/>
  </r>
  <r>
    <x v="178"/>
    <x v="0"/>
    <s v="네이버 브랜드검색"/>
    <x v="2"/>
    <x v="1"/>
    <x v="1"/>
    <m/>
    <m/>
    <m/>
    <n v="60000"/>
    <m/>
  </r>
  <r>
    <x v="179"/>
    <x v="3"/>
    <s v="네이버 브랜드검색"/>
    <x v="2"/>
    <x v="1"/>
    <x v="1"/>
    <m/>
    <m/>
    <m/>
    <n v="60000"/>
    <m/>
  </r>
  <r>
    <x v="180"/>
    <x v="4"/>
    <s v="네이버 브랜드검색"/>
    <x v="2"/>
    <x v="1"/>
    <x v="1"/>
    <m/>
    <m/>
    <m/>
    <n v="60000"/>
    <m/>
  </r>
  <r>
    <x v="181"/>
    <x v="1"/>
    <s v="네이버 브랜드검색"/>
    <x v="2"/>
    <x v="1"/>
    <x v="1"/>
    <m/>
    <m/>
    <m/>
    <n v="60000"/>
    <m/>
  </r>
  <r>
    <x v="182"/>
    <x v="2"/>
    <s v="네이버 브랜드검색"/>
    <x v="2"/>
    <x v="1"/>
    <x v="1"/>
    <m/>
    <m/>
    <m/>
    <n v="60000"/>
    <m/>
  </r>
  <r>
    <x v="183"/>
    <x v="5"/>
    <s v="네이버 브랜드검색"/>
    <x v="2"/>
    <x v="1"/>
    <x v="1"/>
    <m/>
    <m/>
    <m/>
    <n v="60000"/>
    <m/>
  </r>
  <r>
    <x v="184"/>
    <x v="6"/>
    <s v="네이버 브랜드검색"/>
    <x v="2"/>
    <x v="1"/>
    <x v="1"/>
    <m/>
    <m/>
    <m/>
    <n v="60000"/>
    <m/>
  </r>
  <r>
    <x v="185"/>
    <x v="0"/>
    <s v="네이버 브랜드검색"/>
    <x v="2"/>
    <x v="1"/>
    <x v="1"/>
    <m/>
    <m/>
    <m/>
    <n v="60000"/>
    <m/>
  </r>
  <r>
    <x v="186"/>
    <x v="3"/>
    <s v="네이버 브랜드검색"/>
    <x v="2"/>
    <x v="1"/>
    <x v="1"/>
    <m/>
    <m/>
    <m/>
    <n v="60000"/>
    <m/>
  </r>
  <r>
    <x v="187"/>
    <x v="4"/>
    <s v="네이버 브랜드검색"/>
    <x v="2"/>
    <x v="1"/>
    <x v="1"/>
    <m/>
    <m/>
    <m/>
    <n v="60000"/>
    <m/>
  </r>
  <r>
    <x v="188"/>
    <x v="1"/>
    <s v="네이버 브랜드검색"/>
    <x v="2"/>
    <x v="1"/>
    <x v="1"/>
    <m/>
    <m/>
    <m/>
    <n v="60000"/>
    <m/>
  </r>
  <r>
    <x v="189"/>
    <x v="2"/>
    <s v="네이버 브랜드검색"/>
    <x v="2"/>
    <x v="1"/>
    <x v="1"/>
    <m/>
    <m/>
    <m/>
    <n v="60000"/>
    <m/>
  </r>
  <r>
    <x v="190"/>
    <x v="5"/>
    <s v="네이버 브랜드검색"/>
    <x v="2"/>
    <x v="1"/>
    <x v="1"/>
    <m/>
    <m/>
    <m/>
    <n v="60000"/>
    <m/>
  </r>
  <r>
    <x v="191"/>
    <x v="6"/>
    <s v="네이버 브랜드검색"/>
    <x v="2"/>
    <x v="1"/>
    <x v="1"/>
    <m/>
    <m/>
    <m/>
    <n v="60000"/>
    <m/>
  </r>
  <r>
    <x v="192"/>
    <x v="0"/>
    <s v="네이버 브랜드검색"/>
    <x v="2"/>
    <x v="1"/>
    <x v="1"/>
    <m/>
    <m/>
    <m/>
    <n v="60000"/>
    <m/>
  </r>
  <r>
    <x v="193"/>
    <x v="3"/>
    <s v="네이버 브랜드검색"/>
    <x v="2"/>
    <x v="1"/>
    <x v="1"/>
    <m/>
    <m/>
    <m/>
    <n v="60000"/>
    <m/>
  </r>
  <r>
    <x v="194"/>
    <x v="4"/>
    <s v="네이버 브랜드검색"/>
    <x v="2"/>
    <x v="1"/>
    <x v="1"/>
    <m/>
    <m/>
    <m/>
    <n v="60000"/>
    <m/>
  </r>
  <r>
    <x v="195"/>
    <x v="1"/>
    <s v="네이버 브랜드검색"/>
    <x v="2"/>
    <x v="1"/>
    <x v="1"/>
    <m/>
    <m/>
    <m/>
    <n v="60000"/>
    <m/>
  </r>
  <r>
    <x v="196"/>
    <x v="2"/>
    <s v="네이버 브랜드검색"/>
    <x v="2"/>
    <x v="1"/>
    <x v="1"/>
    <m/>
    <m/>
    <m/>
    <n v="60000"/>
    <m/>
  </r>
  <r>
    <x v="197"/>
    <x v="5"/>
    <s v="네이버 브랜드검색"/>
    <x v="2"/>
    <x v="1"/>
    <x v="1"/>
    <m/>
    <m/>
    <m/>
    <n v="60000"/>
    <m/>
  </r>
  <r>
    <x v="198"/>
    <x v="6"/>
    <s v="네이버 브랜드검색"/>
    <x v="2"/>
    <x v="1"/>
    <x v="1"/>
    <m/>
    <m/>
    <m/>
    <n v="60000"/>
    <m/>
  </r>
  <r>
    <x v="199"/>
    <x v="0"/>
    <s v="네이버 브랜드검색"/>
    <x v="2"/>
    <x v="1"/>
    <x v="1"/>
    <m/>
    <m/>
    <m/>
    <n v="60000"/>
    <m/>
  </r>
  <r>
    <x v="200"/>
    <x v="3"/>
    <s v="네이버 브랜드검색"/>
    <x v="2"/>
    <x v="1"/>
    <x v="1"/>
    <m/>
    <m/>
    <m/>
    <n v="60000"/>
    <m/>
  </r>
  <r>
    <x v="201"/>
    <x v="4"/>
    <s v="네이버 브랜드검색"/>
    <x v="2"/>
    <x v="1"/>
    <x v="1"/>
    <m/>
    <m/>
    <m/>
    <n v="60000"/>
    <m/>
  </r>
  <r>
    <x v="202"/>
    <x v="1"/>
    <s v="네이버 브랜드검색"/>
    <x v="2"/>
    <x v="1"/>
    <x v="1"/>
    <m/>
    <m/>
    <m/>
    <n v="60000"/>
    <m/>
  </r>
  <r>
    <x v="203"/>
    <x v="2"/>
    <s v="네이버 브랜드검색"/>
    <x v="2"/>
    <x v="1"/>
    <x v="1"/>
    <m/>
    <m/>
    <m/>
    <n v="60000"/>
    <m/>
  </r>
  <r>
    <x v="204"/>
    <x v="5"/>
    <s v="네이버 브랜드검색"/>
    <x v="2"/>
    <x v="1"/>
    <x v="1"/>
    <m/>
    <m/>
    <m/>
    <n v="60000"/>
    <m/>
  </r>
  <r>
    <x v="205"/>
    <x v="6"/>
    <s v="네이버 브랜드검색"/>
    <x v="2"/>
    <x v="1"/>
    <x v="1"/>
    <m/>
    <m/>
    <m/>
    <n v="60000"/>
    <m/>
  </r>
  <r>
    <x v="206"/>
    <x v="0"/>
    <s v="네이버 브랜드검색"/>
    <x v="2"/>
    <x v="1"/>
    <x v="1"/>
    <m/>
    <m/>
    <m/>
    <n v="60000"/>
    <m/>
  </r>
  <r>
    <x v="207"/>
    <x v="3"/>
    <s v="네이버 브랜드검색"/>
    <x v="2"/>
    <x v="1"/>
    <x v="1"/>
    <m/>
    <m/>
    <m/>
    <n v="60000"/>
    <m/>
  </r>
  <r>
    <x v="208"/>
    <x v="4"/>
    <s v="네이버 브랜드검색"/>
    <x v="2"/>
    <x v="1"/>
    <x v="1"/>
    <m/>
    <m/>
    <m/>
    <n v="60000"/>
    <m/>
  </r>
  <r>
    <x v="209"/>
    <x v="1"/>
    <s v="네이버 브랜드검색"/>
    <x v="2"/>
    <x v="1"/>
    <x v="1"/>
    <m/>
    <m/>
    <m/>
    <n v="60000"/>
    <m/>
  </r>
  <r>
    <x v="210"/>
    <x v="2"/>
    <s v="네이버 브랜드검색"/>
    <x v="2"/>
    <x v="1"/>
    <x v="1"/>
    <m/>
    <m/>
    <m/>
    <n v="60000"/>
    <m/>
  </r>
  <r>
    <x v="211"/>
    <x v="5"/>
    <s v="네이버 브랜드검색"/>
    <x v="2"/>
    <x v="1"/>
    <x v="1"/>
    <m/>
    <m/>
    <m/>
    <n v="60000"/>
    <m/>
  </r>
  <r>
    <x v="212"/>
    <x v="6"/>
    <s v="네이버 브랜드검색"/>
    <x v="2"/>
    <x v="1"/>
    <x v="1"/>
    <m/>
    <m/>
    <m/>
    <n v="60000"/>
    <m/>
  </r>
  <r>
    <x v="213"/>
    <x v="0"/>
    <s v="네이버 브랜드검색"/>
    <x v="2"/>
    <x v="1"/>
    <x v="1"/>
    <m/>
    <m/>
    <m/>
    <n v="60000"/>
    <m/>
  </r>
  <r>
    <x v="214"/>
    <x v="3"/>
    <s v="네이버 브랜드검색"/>
    <x v="2"/>
    <x v="1"/>
    <x v="1"/>
    <m/>
    <m/>
    <m/>
    <n v="60000"/>
    <m/>
  </r>
  <r>
    <x v="215"/>
    <x v="4"/>
    <s v="네이버 브랜드검색"/>
    <x v="2"/>
    <x v="1"/>
    <x v="1"/>
    <m/>
    <m/>
    <m/>
    <n v="60000"/>
    <m/>
  </r>
  <r>
    <x v="216"/>
    <x v="1"/>
    <s v="네이버 브랜드검색"/>
    <x v="2"/>
    <x v="1"/>
    <x v="1"/>
    <m/>
    <m/>
    <m/>
    <n v="60000"/>
    <m/>
  </r>
  <r>
    <x v="217"/>
    <x v="2"/>
    <s v="네이버 브랜드검색"/>
    <x v="2"/>
    <x v="1"/>
    <x v="1"/>
    <m/>
    <m/>
    <m/>
    <n v="60000"/>
    <m/>
  </r>
  <r>
    <x v="218"/>
    <x v="5"/>
    <s v="네이버 브랜드검색"/>
    <x v="2"/>
    <x v="1"/>
    <x v="1"/>
    <m/>
    <m/>
    <m/>
    <n v="60000"/>
    <m/>
  </r>
  <r>
    <x v="219"/>
    <x v="6"/>
    <s v="네이버 브랜드검색"/>
    <x v="2"/>
    <x v="1"/>
    <x v="1"/>
    <m/>
    <m/>
    <m/>
    <n v="60000"/>
    <m/>
  </r>
  <r>
    <x v="220"/>
    <x v="0"/>
    <s v="네이버 브랜드검색"/>
    <x v="2"/>
    <x v="1"/>
    <x v="1"/>
    <m/>
    <m/>
    <m/>
    <n v="60000"/>
    <m/>
  </r>
  <r>
    <x v="221"/>
    <x v="3"/>
    <s v="네이버 브랜드검색"/>
    <x v="2"/>
    <x v="1"/>
    <x v="1"/>
    <m/>
    <m/>
    <m/>
    <n v="60000"/>
    <m/>
  </r>
  <r>
    <x v="222"/>
    <x v="4"/>
    <s v="네이버 브랜드검색"/>
    <x v="2"/>
    <x v="1"/>
    <x v="1"/>
    <m/>
    <m/>
    <m/>
    <n v="60000"/>
    <m/>
  </r>
  <r>
    <x v="223"/>
    <x v="1"/>
    <s v="네이버 브랜드검색"/>
    <x v="2"/>
    <x v="1"/>
    <x v="1"/>
    <m/>
    <m/>
    <m/>
    <n v="60000"/>
    <m/>
  </r>
  <r>
    <x v="224"/>
    <x v="2"/>
    <s v="네이버 브랜드검색"/>
    <x v="2"/>
    <x v="1"/>
    <x v="1"/>
    <m/>
    <m/>
    <m/>
    <n v="60000"/>
    <m/>
  </r>
  <r>
    <x v="225"/>
    <x v="5"/>
    <s v="네이버 브랜드검색"/>
    <x v="2"/>
    <x v="1"/>
    <x v="1"/>
    <m/>
    <m/>
    <m/>
    <n v="60000"/>
    <m/>
  </r>
  <r>
    <x v="226"/>
    <x v="6"/>
    <s v="네이버 브랜드검색"/>
    <x v="2"/>
    <x v="1"/>
    <x v="1"/>
    <m/>
    <m/>
    <m/>
    <n v="60000"/>
    <m/>
  </r>
  <r>
    <x v="227"/>
    <x v="0"/>
    <s v="네이버 브랜드검색"/>
    <x v="2"/>
    <x v="1"/>
    <x v="1"/>
    <m/>
    <m/>
    <m/>
    <n v="60000"/>
    <m/>
  </r>
  <r>
    <x v="228"/>
    <x v="3"/>
    <s v="네이버 브랜드검색"/>
    <x v="2"/>
    <x v="1"/>
    <x v="1"/>
    <m/>
    <m/>
    <m/>
    <n v="60000"/>
    <m/>
  </r>
  <r>
    <x v="229"/>
    <x v="4"/>
    <s v="네이버 브랜드검색"/>
    <x v="2"/>
    <x v="1"/>
    <x v="1"/>
    <m/>
    <m/>
    <m/>
    <n v="60000"/>
    <m/>
  </r>
  <r>
    <x v="230"/>
    <x v="1"/>
    <s v="네이버 브랜드검색"/>
    <x v="2"/>
    <x v="1"/>
    <x v="1"/>
    <m/>
    <m/>
    <m/>
    <n v="60000"/>
    <m/>
  </r>
  <r>
    <x v="231"/>
    <x v="2"/>
    <s v="네이버 브랜드검색"/>
    <x v="2"/>
    <x v="1"/>
    <x v="1"/>
    <m/>
    <m/>
    <m/>
    <n v="60000"/>
    <m/>
  </r>
  <r>
    <x v="232"/>
    <x v="5"/>
    <s v="네이버 브랜드검색"/>
    <x v="2"/>
    <x v="1"/>
    <x v="1"/>
    <m/>
    <m/>
    <m/>
    <n v="60000"/>
    <m/>
  </r>
  <r>
    <x v="233"/>
    <x v="6"/>
    <s v="네이버 브랜드검색"/>
    <x v="2"/>
    <x v="1"/>
    <x v="1"/>
    <m/>
    <m/>
    <m/>
    <n v="60000"/>
    <m/>
  </r>
  <r>
    <x v="234"/>
    <x v="0"/>
    <s v="네이버 브랜드검색"/>
    <x v="2"/>
    <x v="1"/>
    <x v="1"/>
    <m/>
    <m/>
    <m/>
    <n v="60000"/>
    <m/>
  </r>
  <r>
    <x v="235"/>
    <x v="3"/>
    <s v="네이버 브랜드검색"/>
    <x v="2"/>
    <x v="1"/>
    <x v="1"/>
    <m/>
    <m/>
    <m/>
    <n v="60000"/>
    <m/>
  </r>
  <r>
    <x v="236"/>
    <x v="4"/>
    <s v="네이버 브랜드검색"/>
    <x v="2"/>
    <x v="1"/>
    <x v="1"/>
    <m/>
    <m/>
    <m/>
    <n v="60000"/>
    <m/>
  </r>
  <r>
    <x v="237"/>
    <x v="1"/>
    <s v="네이버 브랜드검색"/>
    <x v="2"/>
    <x v="1"/>
    <x v="1"/>
    <m/>
    <m/>
    <m/>
    <n v="60000"/>
    <m/>
  </r>
  <r>
    <x v="238"/>
    <x v="2"/>
    <s v="네이버 브랜드검색"/>
    <x v="2"/>
    <x v="1"/>
    <x v="1"/>
    <m/>
    <m/>
    <m/>
    <n v="60000"/>
    <m/>
  </r>
  <r>
    <x v="239"/>
    <x v="5"/>
    <s v="네이버 브랜드검색"/>
    <x v="2"/>
    <x v="1"/>
    <x v="1"/>
    <m/>
    <m/>
    <m/>
    <n v="60000"/>
    <m/>
  </r>
  <r>
    <x v="240"/>
    <x v="6"/>
    <s v="네이버 브랜드검색"/>
    <x v="2"/>
    <x v="1"/>
    <x v="1"/>
    <m/>
    <m/>
    <m/>
    <n v="60000"/>
    <m/>
  </r>
  <r>
    <x v="241"/>
    <x v="0"/>
    <s v="네이버 브랜드검색"/>
    <x v="2"/>
    <x v="1"/>
    <x v="1"/>
    <m/>
    <m/>
    <m/>
    <n v="60000"/>
    <m/>
  </r>
  <r>
    <x v="242"/>
    <x v="3"/>
    <s v="네이버 브랜드검색"/>
    <x v="2"/>
    <x v="1"/>
    <x v="1"/>
    <m/>
    <m/>
    <m/>
    <n v="60000"/>
    <m/>
  </r>
  <r>
    <x v="243"/>
    <x v="4"/>
    <s v="네이버 브랜드검색"/>
    <x v="2"/>
    <x v="1"/>
    <x v="1"/>
    <m/>
    <m/>
    <m/>
    <n v="60000"/>
    <m/>
  </r>
  <r>
    <x v="244"/>
    <x v="1"/>
    <s v="네이버 브랜드검색"/>
    <x v="2"/>
    <x v="1"/>
    <x v="1"/>
    <m/>
    <m/>
    <m/>
    <n v="140000"/>
    <m/>
  </r>
  <r>
    <x v="245"/>
    <x v="2"/>
    <s v="네이버 브랜드검색"/>
    <x v="2"/>
    <x v="1"/>
    <x v="1"/>
    <m/>
    <m/>
    <m/>
    <n v="140000"/>
    <m/>
  </r>
  <r>
    <x v="246"/>
    <x v="5"/>
    <s v="네이버 브랜드검색"/>
    <x v="2"/>
    <x v="1"/>
    <x v="1"/>
    <m/>
    <m/>
    <m/>
    <n v="140000"/>
    <m/>
  </r>
  <r>
    <x v="247"/>
    <x v="6"/>
    <s v="네이버 브랜드검색"/>
    <x v="2"/>
    <x v="1"/>
    <x v="1"/>
    <m/>
    <m/>
    <m/>
    <n v="140000"/>
    <m/>
  </r>
  <r>
    <x v="248"/>
    <x v="0"/>
    <s v="네이버 브랜드검색"/>
    <x v="2"/>
    <x v="1"/>
    <x v="1"/>
    <m/>
    <m/>
    <m/>
    <n v="140000"/>
    <m/>
  </r>
  <r>
    <x v="249"/>
    <x v="3"/>
    <s v="네이버 브랜드검색"/>
    <x v="2"/>
    <x v="1"/>
    <x v="1"/>
    <m/>
    <m/>
    <m/>
    <n v="140000"/>
    <m/>
  </r>
  <r>
    <x v="250"/>
    <x v="4"/>
    <s v="네이버 브랜드검색"/>
    <x v="2"/>
    <x v="1"/>
    <x v="1"/>
    <m/>
    <m/>
    <m/>
    <n v="140000"/>
    <m/>
  </r>
  <r>
    <x v="251"/>
    <x v="1"/>
    <s v="네이버 브랜드검색"/>
    <x v="2"/>
    <x v="1"/>
    <x v="1"/>
    <m/>
    <m/>
    <m/>
    <n v="140000"/>
    <m/>
  </r>
  <r>
    <x v="252"/>
    <x v="2"/>
    <s v="네이버 브랜드검색"/>
    <x v="2"/>
    <x v="1"/>
    <x v="1"/>
    <m/>
    <m/>
    <m/>
    <n v="140000"/>
    <m/>
  </r>
  <r>
    <x v="253"/>
    <x v="5"/>
    <s v="네이버 브랜드검색"/>
    <x v="2"/>
    <x v="1"/>
    <x v="1"/>
    <m/>
    <m/>
    <m/>
    <n v="140000"/>
    <m/>
  </r>
  <r>
    <x v="254"/>
    <x v="6"/>
    <s v="네이버 브랜드검색"/>
    <x v="2"/>
    <x v="1"/>
    <x v="1"/>
    <m/>
    <m/>
    <m/>
    <n v="140000"/>
    <m/>
  </r>
  <r>
    <x v="255"/>
    <x v="0"/>
    <s v="네이버 브랜드검색"/>
    <x v="2"/>
    <x v="1"/>
    <x v="1"/>
    <m/>
    <m/>
    <m/>
    <n v="140000"/>
    <m/>
  </r>
  <r>
    <x v="256"/>
    <x v="3"/>
    <s v="네이버 브랜드검색"/>
    <x v="2"/>
    <x v="1"/>
    <x v="1"/>
    <m/>
    <m/>
    <m/>
    <n v="140000"/>
    <m/>
  </r>
  <r>
    <x v="257"/>
    <x v="4"/>
    <s v="네이버 브랜드검색"/>
    <x v="2"/>
    <x v="1"/>
    <x v="1"/>
    <m/>
    <m/>
    <m/>
    <n v="140000"/>
    <m/>
  </r>
  <r>
    <x v="258"/>
    <x v="1"/>
    <s v="네이버 브랜드검색"/>
    <x v="2"/>
    <x v="1"/>
    <x v="1"/>
    <m/>
    <m/>
    <m/>
    <n v="140000"/>
    <m/>
  </r>
  <r>
    <x v="259"/>
    <x v="2"/>
    <s v="네이버 브랜드검색"/>
    <x v="2"/>
    <x v="1"/>
    <x v="1"/>
    <m/>
    <m/>
    <m/>
    <n v="140000"/>
    <m/>
  </r>
  <r>
    <x v="260"/>
    <x v="5"/>
    <s v="네이버 브랜드검색"/>
    <x v="2"/>
    <x v="1"/>
    <x v="1"/>
    <m/>
    <m/>
    <m/>
    <n v="140000"/>
    <m/>
  </r>
  <r>
    <x v="261"/>
    <x v="6"/>
    <s v="네이버 브랜드검색"/>
    <x v="2"/>
    <x v="1"/>
    <x v="1"/>
    <m/>
    <m/>
    <m/>
    <n v="140000"/>
    <m/>
  </r>
  <r>
    <x v="0"/>
    <x v="0"/>
    <s v="네이버 브랜드검색"/>
    <x v="2"/>
    <x v="1"/>
    <x v="1"/>
    <m/>
    <m/>
    <m/>
    <n v="140000"/>
    <m/>
  </r>
  <r>
    <x v="152"/>
    <x v="4"/>
    <s v="네이버 배너"/>
    <x v="2"/>
    <x v="1"/>
    <x v="1"/>
    <m/>
    <m/>
    <m/>
    <n v="46071.81818181818"/>
    <m/>
  </r>
  <r>
    <x v="153"/>
    <x v="1"/>
    <s v="네이버 배너"/>
    <x v="2"/>
    <x v="1"/>
    <x v="1"/>
    <m/>
    <m/>
    <m/>
    <n v="124204.5454545454"/>
    <m/>
  </r>
  <r>
    <x v="154"/>
    <x v="2"/>
    <s v="네이버 배너"/>
    <x v="2"/>
    <x v="1"/>
    <x v="1"/>
    <m/>
    <m/>
    <m/>
    <n v="135449.0909090909"/>
    <m/>
  </r>
  <r>
    <x v="155"/>
    <x v="5"/>
    <s v="네이버 배너"/>
    <x v="2"/>
    <x v="1"/>
    <x v="1"/>
    <m/>
    <m/>
    <m/>
    <n v="135052.7272727273"/>
    <m/>
  </r>
  <r>
    <x v="156"/>
    <x v="6"/>
    <s v="네이버 배너"/>
    <x v="2"/>
    <x v="1"/>
    <x v="1"/>
    <m/>
    <m/>
    <m/>
    <n v="467830.9090909091"/>
    <m/>
  </r>
  <r>
    <x v="157"/>
    <x v="0"/>
    <s v="네이버 배너"/>
    <x v="2"/>
    <x v="1"/>
    <x v="1"/>
    <m/>
    <m/>
    <m/>
    <n v="338165.4545454545"/>
    <m/>
  </r>
  <r>
    <x v="158"/>
    <x v="3"/>
    <s v="네이버 배너"/>
    <x v="2"/>
    <x v="1"/>
    <x v="1"/>
    <m/>
    <m/>
    <m/>
    <n v="972794.5454545454"/>
    <m/>
  </r>
  <r>
    <x v="159"/>
    <x v="4"/>
    <s v="네이버 배너"/>
    <x v="2"/>
    <x v="1"/>
    <x v="1"/>
    <m/>
    <m/>
    <m/>
    <n v="865468.1818181818"/>
    <m/>
  </r>
  <r>
    <x v="160"/>
    <x v="1"/>
    <s v="네이버 배너"/>
    <x v="2"/>
    <x v="1"/>
    <x v="1"/>
    <m/>
    <m/>
    <m/>
    <n v="855909.0909090908"/>
    <m/>
  </r>
  <r>
    <x v="161"/>
    <x v="2"/>
    <s v="네이버 배너"/>
    <x v="2"/>
    <x v="1"/>
    <x v="1"/>
    <m/>
    <m/>
    <m/>
    <n v="864159.9999999999"/>
    <m/>
  </r>
  <r>
    <x v="162"/>
    <x v="5"/>
    <s v="네이버 배너"/>
    <x v="2"/>
    <x v="1"/>
    <x v="1"/>
    <m/>
    <m/>
    <m/>
    <n v="817959.9999999999"/>
    <m/>
  </r>
  <r>
    <x v="163"/>
    <x v="6"/>
    <s v="네이버 배너"/>
    <x v="2"/>
    <x v="1"/>
    <x v="1"/>
    <m/>
    <m/>
    <m/>
    <n v="818028.1818181818"/>
    <m/>
  </r>
  <r>
    <x v="164"/>
    <x v="0"/>
    <s v="네이버 배너"/>
    <x v="2"/>
    <x v="1"/>
    <x v="1"/>
    <m/>
    <m/>
    <m/>
    <n v="816223.6363636364"/>
    <m/>
  </r>
  <r>
    <x v="165"/>
    <x v="3"/>
    <s v="네이버 배너"/>
    <x v="2"/>
    <x v="1"/>
    <x v="1"/>
    <m/>
    <m/>
    <m/>
    <n v="1357236.363636364"/>
    <m/>
  </r>
  <r>
    <x v="166"/>
    <x v="4"/>
    <s v="네이버 배너"/>
    <x v="2"/>
    <x v="1"/>
    <x v="1"/>
    <m/>
    <m/>
    <m/>
    <n v="1256259.090909091"/>
    <m/>
  </r>
  <r>
    <x v="167"/>
    <x v="1"/>
    <s v="네이버 배너"/>
    <x v="2"/>
    <x v="1"/>
    <x v="1"/>
    <m/>
    <m/>
    <m/>
    <n v="1252728.181818182"/>
    <m/>
  </r>
  <r>
    <x v="168"/>
    <x v="2"/>
    <s v="네이버 배너"/>
    <x v="2"/>
    <x v="1"/>
    <x v="1"/>
    <m/>
    <m/>
    <m/>
    <n v="1256220.909090909"/>
    <m/>
  </r>
  <r>
    <x v="169"/>
    <x v="5"/>
    <s v="네이버 배너"/>
    <x v="2"/>
    <x v="1"/>
    <x v="1"/>
    <m/>
    <m/>
    <m/>
    <n v="1257098.181818182"/>
    <m/>
  </r>
  <r>
    <x v="170"/>
    <x v="6"/>
    <s v="네이버 배너"/>
    <x v="2"/>
    <x v="1"/>
    <x v="1"/>
    <m/>
    <m/>
    <m/>
    <n v="1254760"/>
    <m/>
  </r>
  <r>
    <x v="171"/>
    <x v="0"/>
    <s v="네이버 배너"/>
    <x v="2"/>
    <x v="1"/>
    <x v="1"/>
    <m/>
    <m/>
    <m/>
    <n v="1257852.727272727"/>
    <m/>
  </r>
  <r>
    <x v="172"/>
    <x v="3"/>
    <s v="네이버 배너"/>
    <x v="2"/>
    <x v="1"/>
    <x v="1"/>
    <m/>
    <m/>
    <m/>
    <n v="1459621.818181818"/>
    <m/>
  </r>
  <r>
    <x v="173"/>
    <x v="4"/>
    <s v="네이버 배너"/>
    <x v="2"/>
    <x v="1"/>
    <x v="1"/>
    <m/>
    <m/>
    <m/>
    <n v="1217340"/>
    <m/>
  </r>
  <r>
    <x v="174"/>
    <x v="1"/>
    <s v="네이버 배너"/>
    <x v="2"/>
    <x v="1"/>
    <x v="1"/>
    <m/>
    <m/>
    <m/>
    <n v="1170777.272727273"/>
    <m/>
  </r>
  <r>
    <x v="175"/>
    <x v="2"/>
    <s v="네이버 배너"/>
    <x v="2"/>
    <x v="1"/>
    <x v="1"/>
    <m/>
    <m/>
    <m/>
    <n v="1206080"/>
    <m/>
  </r>
  <r>
    <x v="176"/>
    <x v="5"/>
    <s v="네이버 배너"/>
    <x v="2"/>
    <x v="1"/>
    <x v="1"/>
    <m/>
    <m/>
    <m/>
    <n v="1181056.363636364"/>
    <m/>
  </r>
  <r>
    <x v="177"/>
    <x v="6"/>
    <s v="네이버 배너"/>
    <x v="2"/>
    <x v="1"/>
    <x v="1"/>
    <m/>
    <m/>
    <m/>
    <n v="1300308.181818182"/>
    <m/>
  </r>
  <r>
    <x v="178"/>
    <x v="0"/>
    <s v="네이버 배너"/>
    <x v="2"/>
    <x v="1"/>
    <x v="1"/>
    <m/>
    <m/>
    <m/>
    <n v="1482024.545454545"/>
    <m/>
  </r>
  <r>
    <x v="179"/>
    <x v="3"/>
    <s v="네이버 배너"/>
    <x v="2"/>
    <x v="1"/>
    <x v="1"/>
    <m/>
    <m/>
    <m/>
    <n v="1498553.636363636"/>
    <m/>
  </r>
  <r>
    <x v="180"/>
    <x v="4"/>
    <s v="네이버 배너"/>
    <x v="2"/>
    <x v="1"/>
    <x v="1"/>
    <m/>
    <m/>
    <m/>
    <n v="1512304.545454545"/>
    <m/>
  </r>
  <r>
    <x v="181"/>
    <x v="1"/>
    <s v="네이버 배너"/>
    <x v="2"/>
    <x v="1"/>
    <x v="1"/>
    <m/>
    <m/>
    <m/>
    <n v="1505787.272727273"/>
    <m/>
  </r>
  <r>
    <x v="182"/>
    <x v="2"/>
    <s v="네이버 배너"/>
    <x v="2"/>
    <x v="1"/>
    <x v="1"/>
    <m/>
    <m/>
    <m/>
    <n v="1510983.636363636"/>
    <m/>
  </r>
  <r>
    <x v="183"/>
    <x v="5"/>
    <s v="네이버 배너"/>
    <x v="2"/>
    <x v="1"/>
    <x v="1"/>
    <m/>
    <m/>
    <m/>
    <n v="1500365.454545454"/>
    <m/>
  </r>
  <r>
    <x v="184"/>
    <x v="6"/>
    <s v="네이버 배너"/>
    <x v="2"/>
    <x v="1"/>
    <x v="1"/>
    <m/>
    <m/>
    <m/>
    <n v="1491860"/>
    <m/>
  </r>
  <r>
    <x v="185"/>
    <x v="0"/>
    <s v="네이버 배너"/>
    <x v="2"/>
    <x v="1"/>
    <x v="1"/>
    <m/>
    <m/>
    <m/>
    <n v="1464441.818181818"/>
    <m/>
  </r>
  <r>
    <x v="186"/>
    <x v="3"/>
    <s v="네이버 배너"/>
    <x v="2"/>
    <x v="1"/>
    <x v="1"/>
    <m/>
    <m/>
    <m/>
    <n v="1401514.545454545"/>
    <m/>
  </r>
  <r>
    <x v="187"/>
    <x v="4"/>
    <s v="네이버 배너"/>
    <x v="2"/>
    <x v="1"/>
    <x v="1"/>
    <m/>
    <m/>
    <m/>
    <n v="1377090"/>
    <m/>
  </r>
  <r>
    <x v="188"/>
    <x v="1"/>
    <s v="네이버 배너"/>
    <x v="2"/>
    <x v="1"/>
    <x v="1"/>
    <m/>
    <m/>
    <m/>
    <n v="1393143.636363636"/>
    <m/>
  </r>
  <r>
    <x v="189"/>
    <x v="2"/>
    <s v="네이버 배너"/>
    <x v="2"/>
    <x v="1"/>
    <x v="1"/>
    <m/>
    <m/>
    <m/>
    <n v="1381760.909090909"/>
    <m/>
  </r>
  <r>
    <x v="190"/>
    <x v="5"/>
    <s v="네이버 배너"/>
    <x v="2"/>
    <x v="1"/>
    <x v="1"/>
    <m/>
    <m/>
    <m/>
    <n v="1380419.090909091"/>
    <m/>
  </r>
  <r>
    <x v="191"/>
    <x v="6"/>
    <s v="네이버 배너"/>
    <x v="2"/>
    <x v="1"/>
    <x v="1"/>
    <m/>
    <m/>
    <m/>
    <n v="1415415.454545454"/>
    <m/>
  </r>
  <r>
    <x v="192"/>
    <x v="0"/>
    <s v="네이버 배너"/>
    <x v="2"/>
    <x v="1"/>
    <x v="1"/>
    <m/>
    <m/>
    <m/>
    <n v="1392732.727272727"/>
    <m/>
  </r>
  <r>
    <x v="193"/>
    <x v="3"/>
    <s v="네이버 배너"/>
    <x v="2"/>
    <x v="1"/>
    <x v="1"/>
    <m/>
    <m/>
    <m/>
    <n v="1367434.545454545"/>
    <m/>
  </r>
  <r>
    <x v="194"/>
    <x v="4"/>
    <s v="네이버 배너"/>
    <x v="2"/>
    <x v="1"/>
    <x v="1"/>
    <m/>
    <m/>
    <m/>
    <n v="1380418.181818182"/>
    <m/>
  </r>
  <r>
    <x v="195"/>
    <x v="1"/>
    <s v="네이버 배너"/>
    <x v="2"/>
    <x v="1"/>
    <x v="1"/>
    <m/>
    <m/>
    <m/>
    <n v="1381834.545454545"/>
    <m/>
  </r>
  <r>
    <x v="196"/>
    <x v="2"/>
    <s v="네이버 배너"/>
    <x v="2"/>
    <x v="1"/>
    <x v="1"/>
    <m/>
    <m/>
    <m/>
    <n v="1389560"/>
    <m/>
  </r>
  <r>
    <x v="197"/>
    <x v="5"/>
    <s v="네이버 배너"/>
    <x v="2"/>
    <x v="1"/>
    <x v="1"/>
    <m/>
    <m/>
    <m/>
    <n v="1379080"/>
    <m/>
  </r>
  <r>
    <x v="198"/>
    <x v="6"/>
    <s v="네이버 배너"/>
    <x v="2"/>
    <x v="1"/>
    <x v="1"/>
    <m/>
    <m/>
    <m/>
    <n v="1375696.363636364"/>
    <m/>
  </r>
  <r>
    <x v="199"/>
    <x v="0"/>
    <s v="네이버 배너"/>
    <x v="2"/>
    <x v="1"/>
    <x v="1"/>
    <m/>
    <m/>
    <m/>
    <n v="1390143.636363636"/>
    <m/>
  </r>
  <r>
    <x v="200"/>
    <x v="3"/>
    <s v="네이버 배너"/>
    <x v="2"/>
    <x v="1"/>
    <x v="1"/>
    <m/>
    <m/>
    <m/>
    <n v="1401139.090909091"/>
    <m/>
  </r>
  <r>
    <x v="201"/>
    <x v="4"/>
    <s v="네이버 배너"/>
    <x v="2"/>
    <x v="1"/>
    <x v="1"/>
    <m/>
    <m/>
    <m/>
    <n v="1358562.727272727"/>
    <m/>
  </r>
  <r>
    <x v="202"/>
    <x v="1"/>
    <s v="네이버 배너"/>
    <x v="2"/>
    <x v="1"/>
    <x v="1"/>
    <m/>
    <m/>
    <m/>
    <n v="1360350"/>
    <m/>
  </r>
  <r>
    <x v="203"/>
    <x v="2"/>
    <s v="네이버 배너"/>
    <x v="2"/>
    <x v="1"/>
    <x v="1"/>
    <m/>
    <m/>
    <m/>
    <n v="1364540.909090909"/>
    <m/>
  </r>
  <r>
    <x v="204"/>
    <x v="5"/>
    <s v="네이버 배너"/>
    <x v="2"/>
    <x v="1"/>
    <x v="1"/>
    <m/>
    <m/>
    <m/>
    <n v="1364198.181818182"/>
    <m/>
  </r>
  <r>
    <x v="205"/>
    <x v="6"/>
    <s v="네이버 배너"/>
    <x v="2"/>
    <x v="1"/>
    <x v="1"/>
    <m/>
    <m/>
    <m/>
    <n v="1367009.090909091"/>
    <m/>
  </r>
  <r>
    <x v="206"/>
    <x v="0"/>
    <s v="네이버 배너"/>
    <x v="2"/>
    <x v="1"/>
    <x v="1"/>
    <m/>
    <m/>
    <m/>
    <n v="1328887.272727273"/>
    <m/>
  </r>
  <r>
    <x v="207"/>
    <x v="3"/>
    <s v="네이버 배너"/>
    <x v="2"/>
    <x v="1"/>
    <x v="1"/>
    <m/>
    <m/>
    <m/>
    <n v="1212376.363636364"/>
    <m/>
  </r>
  <r>
    <x v="208"/>
    <x v="4"/>
    <s v="네이버 배너"/>
    <x v="2"/>
    <x v="1"/>
    <x v="1"/>
    <m/>
    <m/>
    <m/>
    <n v="1141926.363636364"/>
    <m/>
  </r>
  <r>
    <x v="209"/>
    <x v="1"/>
    <s v="네이버 배너"/>
    <x v="2"/>
    <x v="1"/>
    <x v="1"/>
    <m/>
    <m/>
    <m/>
    <n v="1138772.727272727"/>
    <m/>
  </r>
  <r>
    <x v="210"/>
    <x v="2"/>
    <s v="네이버 배너"/>
    <x v="2"/>
    <x v="1"/>
    <x v="1"/>
    <m/>
    <m/>
    <m/>
    <n v="1136382.727272727"/>
    <m/>
  </r>
  <r>
    <x v="211"/>
    <x v="5"/>
    <s v="네이버 배너"/>
    <x v="2"/>
    <x v="1"/>
    <x v="1"/>
    <m/>
    <m/>
    <m/>
    <n v="1140537.272727273"/>
    <m/>
  </r>
  <r>
    <x v="212"/>
    <x v="6"/>
    <s v="네이버 배너"/>
    <x v="2"/>
    <x v="1"/>
    <x v="1"/>
    <m/>
    <m/>
    <m/>
    <n v="1090622.727272727"/>
    <m/>
  </r>
  <r>
    <x v="213"/>
    <x v="0"/>
    <s v="네이버 배너"/>
    <x v="2"/>
    <x v="1"/>
    <x v="1"/>
    <m/>
    <m/>
    <m/>
    <n v="1135307.272727273"/>
    <m/>
  </r>
  <r>
    <x v="214"/>
    <x v="3"/>
    <s v="네이버 배너"/>
    <x v="2"/>
    <x v="1"/>
    <x v="1"/>
    <m/>
    <m/>
    <m/>
    <n v="4143191.818181818"/>
    <m/>
  </r>
  <r>
    <x v="215"/>
    <x v="4"/>
    <s v="네이버 배너"/>
    <x v="2"/>
    <x v="1"/>
    <x v="1"/>
    <m/>
    <m/>
    <m/>
    <n v="4675119.090909091"/>
    <m/>
  </r>
  <r>
    <x v="216"/>
    <x v="1"/>
    <s v="네이버 배너"/>
    <x v="2"/>
    <x v="1"/>
    <x v="1"/>
    <m/>
    <m/>
    <m/>
    <n v="6496051.818181817"/>
    <m/>
  </r>
  <r>
    <x v="217"/>
    <x v="2"/>
    <s v="네이버 배너"/>
    <x v="2"/>
    <x v="1"/>
    <x v="1"/>
    <m/>
    <m/>
    <m/>
    <n v="8076000.909090908"/>
    <m/>
  </r>
  <r>
    <x v="218"/>
    <x v="5"/>
    <s v="네이버 배너"/>
    <x v="2"/>
    <x v="1"/>
    <x v="1"/>
    <m/>
    <m/>
    <m/>
    <n v="5552757.272727272"/>
    <m/>
  </r>
  <r>
    <x v="219"/>
    <x v="6"/>
    <s v="네이버 배너"/>
    <x v="2"/>
    <x v="1"/>
    <x v="1"/>
    <m/>
    <m/>
    <m/>
    <n v="4546693.636363636"/>
    <m/>
  </r>
  <r>
    <x v="220"/>
    <x v="0"/>
    <s v="네이버 배너"/>
    <x v="2"/>
    <x v="1"/>
    <x v="1"/>
    <m/>
    <m/>
    <m/>
    <n v="4359613.636363636"/>
    <m/>
  </r>
  <r>
    <x v="221"/>
    <x v="3"/>
    <s v="네이버 배너"/>
    <x v="2"/>
    <x v="1"/>
    <x v="1"/>
    <m/>
    <m/>
    <m/>
    <n v="3842123.636363636"/>
    <m/>
  </r>
  <r>
    <x v="222"/>
    <x v="4"/>
    <s v="네이버 배너"/>
    <x v="2"/>
    <x v="1"/>
    <x v="1"/>
    <m/>
    <m/>
    <m/>
    <n v="3439220.909090909"/>
    <m/>
  </r>
  <r>
    <x v="223"/>
    <x v="1"/>
    <s v="네이버 배너"/>
    <x v="2"/>
    <x v="1"/>
    <x v="1"/>
    <m/>
    <m/>
    <m/>
    <n v="7429473.636363636"/>
    <m/>
  </r>
  <r>
    <x v="224"/>
    <x v="2"/>
    <s v="네이버 배너"/>
    <x v="2"/>
    <x v="1"/>
    <x v="1"/>
    <m/>
    <m/>
    <m/>
    <n v="8201367.272727272"/>
    <m/>
  </r>
  <r>
    <x v="225"/>
    <x v="5"/>
    <s v="네이버 배너"/>
    <x v="2"/>
    <x v="1"/>
    <x v="1"/>
    <m/>
    <m/>
    <m/>
    <n v="8205887.272727272"/>
    <m/>
  </r>
  <r>
    <x v="226"/>
    <x v="6"/>
    <s v="네이버 배너"/>
    <x v="2"/>
    <x v="1"/>
    <x v="1"/>
    <m/>
    <m/>
    <m/>
    <n v="6025441.818181817"/>
    <m/>
  </r>
  <r>
    <x v="227"/>
    <x v="0"/>
    <s v="네이버 배너"/>
    <x v="2"/>
    <x v="1"/>
    <x v="1"/>
    <m/>
    <m/>
    <m/>
    <n v="6130987.272727272"/>
    <m/>
  </r>
  <r>
    <x v="228"/>
    <x v="3"/>
    <s v="네이버 배너"/>
    <x v="2"/>
    <x v="1"/>
    <x v="1"/>
    <m/>
    <m/>
    <m/>
    <n v="5308044.545454545"/>
    <m/>
  </r>
  <r>
    <x v="229"/>
    <x v="4"/>
    <s v="네이버 배너"/>
    <x v="2"/>
    <x v="1"/>
    <x v="1"/>
    <m/>
    <m/>
    <m/>
    <n v="5905059.090909091"/>
    <m/>
  </r>
  <r>
    <x v="230"/>
    <x v="1"/>
    <s v="네이버 배너"/>
    <x v="2"/>
    <x v="1"/>
    <x v="1"/>
    <m/>
    <m/>
    <m/>
    <n v="4897754.545454545"/>
    <m/>
  </r>
  <r>
    <x v="231"/>
    <x v="2"/>
    <s v="네이버 배너"/>
    <x v="2"/>
    <x v="1"/>
    <x v="1"/>
    <m/>
    <m/>
    <m/>
    <n v="5393946.363636363"/>
    <m/>
  </r>
  <r>
    <x v="232"/>
    <x v="5"/>
    <s v="네이버 배너"/>
    <x v="2"/>
    <x v="1"/>
    <x v="1"/>
    <m/>
    <m/>
    <m/>
    <n v="6045879.999999999"/>
    <m/>
  </r>
  <r>
    <x v="233"/>
    <x v="6"/>
    <s v="네이버 배너"/>
    <x v="2"/>
    <x v="1"/>
    <x v="1"/>
    <m/>
    <m/>
    <m/>
    <n v="5026806.363636363"/>
    <m/>
  </r>
  <r>
    <x v="234"/>
    <x v="0"/>
    <s v="네이버 배너"/>
    <x v="2"/>
    <x v="1"/>
    <x v="1"/>
    <m/>
    <m/>
    <m/>
    <n v="4275248.181818182"/>
    <m/>
  </r>
  <r>
    <x v="235"/>
    <x v="3"/>
    <s v="네이버 배너"/>
    <x v="2"/>
    <x v="1"/>
    <x v="1"/>
    <m/>
    <m/>
    <m/>
    <n v="4536168.181818182"/>
    <m/>
  </r>
  <r>
    <x v="236"/>
    <x v="4"/>
    <s v="네이버 배너"/>
    <x v="2"/>
    <x v="1"/>
    <x v="1"/>
    <m/>
    <m/>
    <m/>
    <n v="3959370.909090909"/>
    <m/>
  </r>
  <r>
    <x v="237"/>
    <x v="1"/>
    <s v="네이버 배너"/>
    <x v="2"/>
    <x v="1"/>
    <x v="1"/>
    <m/>
    <m/>
    <m/>
    <n v="3839001.818181818"/>
    <m/>
  </r>
  <r>
    <x v="238"/>
    <x v="2"/>
    <s v="네이버 배너"/>
    <x v="2"/>
    <x v="1"/>
    <x v="1"/>
    <m/>
    <m/>
    <m/>
    <n v="4360284.545454545"/>
    <m/>
  </r>
  <r>
    <x v="239"/>
    <x v="5"/>
    <s v="네이버 배너"/>
    <x v="2"/>
    <x v="1"/>
    <x v="1"/>
    <m/>
    <m/>
    <m/>
    <n v="5118948.181818182"/>
    <m/>
  </r>
  <r>
    <x v="240"/>
    <x v="6"/>
    <s v="네이버 배너"/>
    <x v="2"/>
    <x v="1"/>
    <x v="1"/>
    <m/>
    <m/>
    <m/>
    <n v="3859507.272727272"/>
    <m/>
  </r>
  <r>
    <x v="241"/>
    <x v="0"/>
    <s v="네이버 배너"/>
    <x v="2"/>
    <x v="1"/>
    <x v="1"/>
    <m/>
    <m/>
    <m/>
    <n v="3073750.909090909"/>
    <m/>
  </r>
  <r>
    <x v="242"/>
    <x v="3"/>
    <s v="네이버 배너"/>
    <x v="2"/>
    <x v="1"/>
    <x v="1"/>
    <m/>
    <m/>
    <m/>
    <n v="3501659"/>
    <m/>
  </r>
  <r>
    <x v="243"/>
    <x v="4"/>
    <s v="네이버 배너"/>
    <x v="2"/>
    <x v="1"/>
    <x v="1"/>
    <m/>
    <m/>
    <m/>
    <n v="3065715.454545454"/>
    <m/>
  </r>
  <r>
    <x v="244"/>
    <x v="1"/>
    <s v="네이버 배너"/>
    <x v="2"/>
    <x v="1"/>
    <x v="1"/>
    <m/>
    <m/>
    <m/>
    <n v="3363036.363636363"/>
    <m/>
  </r>
  <r>
    <x v="245"/>
    <x v="2"/>
    <s v="네이버 배너"/>
    <x v="2"/>
    <x v="1"/>
    <x v="1"/>
    <m/>
    <m/>
    <m/>
    <n v="3341995.454545454"/>
    <m/>
  </r>
  <r>
    <x v="246"/>
    <x v="5"/>
    <s v="네이버 배너"/>
    <x v="2"/>
    <x v="1"/>
    <x v="1"/>
    <m/>
    <m/>
    <m/>
    <n v="3710585.454545454"/>
    <m/>
  </r>
  <r>
    <x v="247"/>
    <x v="6"/>
    <s v="네이버 배너"/>
    <x v="2"/>
    <x v="1"/>
    <x v="1"/>
    <m/>
    <m/>
    <m/>
    <n v="3245853.636363636"/>
    <m/>
  </r>
  <r>
    <x v="248"/>
    <x v="0"/>
    <s v="네이버 배너"/>
    <x v="2"/>
    <x v="1"/>
    <x v="1"/>
    <m/>
    <m/>
    <m/>
    <n v="2694652.727272727"/>
    <m/>
  </r>
  <r>
    <x v="249"/>
    <x v="3"/>
    <s v="네이버 배너"/>
    <x v="2"/>
    <x v="1"/>
    <x v="1"/>
    <m/>
    <m/>
    <m/>
    <n v="2360042.727272727"/>
    <m/>
  </r>
  <r>
    <x v="250"/>
    <x v="4"/>
    <s v="네이버 배너"/>
    <x v="2"/>
    <x v="1"/>
    <x v="1"/>
    <m/>
    <m/>
    <m/>
    <n v="2204744.545454545"/>
    <m/>
  </r>
  <r>
    <x v="251"/>
    <x v="1"/>
    <s v="네이버 배너"/>
    <x v="2"/>
    <x v="1"/>
    <x v="1"/>
    <m/>
    <m/>
    <m/>
    <n v="2188312.727272727"/>
    <m/>
  </r>
  <r>
    <x v="252"/>
    <x v="2"/>
    <s v="네이버 배너"/>
    <x v="2"/>
    <x v="1"/>
    <x v="1"/>
    <m/>
    <m/>
    <m/>
    <n v="2187204.545454545"/>
    <m/>
  </r>
  <r>
    <x v="253"/>
    <x v="5"/>
    <s v="네이버 배너"/>
    <x v="2"/>
    <x v="1"/>
    <x v="1"/>
    <m/>
    <m/>
    <m/>
    <n v="2212292.727272727"/>
    <m/>
  </r>
  <r>
    <x v="254"/>
    <x v="6"/>
    <s v="네이버 배너"/>
    <x v="2"/>
    <x v="1"/>
    <x v="1"/>
    <m/>
    <m/>
    <m/>
    <n v="2198214.545454545"/>
    <m/>
  </r>
  <r>
    <x v="255"/>
    <x v="0"/>
    <s v="네이버 배너"/>
    <x v="2"/>
    <x v="1"/>
    <x v="1"/>
    <m/>
    <m/>
    <m/>
    <n v="2150310"/>
    <m/>
  </r>
  <r>
    <x v="256"/>
    <x v="3"/>
    <s v="네이버 배너"/>
    <x v="2"/>
    <x v="1"/>
    <x v="1"/>
    <m/>
    <m/>
    <m/>
    <n v="2079590.909090909"/>
    <m/>
  </r>
  <r>
    <x v="257"/>
    <x v="4"/>
    <s v="네이버 배너"/>
    <x v="2"/>
    <x v="1"/>
    <x v="1"/>
    <m/>
    <m/>
    <m/>
    <n v="1127602.727272727"/>
    <m/>
  </r>
  <r>
    <x v="258"/>
    <x v="1"/>
    <s v="네이버 배너"/>
    <x v="2"/>
    <x v="1"/>
    <x v="1"/>
    <m/>
    <m/>
    <m/>
    <n v="1084431.818181818"/>
    <m/>
  </r>
  <r>
    <x v="259"/>
    <x v="2"/>
    <s v="네이버 배너"/>
    <x v="2"/>
    <x v="1"/>
    <x v="1"/>
    <m/>
    <m/>
    <m/>
    <n v="1127510.909090909"/>
    <m/>
  </r>
  <r>
    <x v="260"/>
    <x v="5"/>
    <s v="네이버 배너"/>
    <x v="2"/>
    <x v="1"/>
    <x v="1"/>
    <m/>
    <m/>
    <m/>
    <n v="1120517.272727273"/>
    <m/>
  </r>
  <r>
    <x v="261"/>
    <x v="6"/>
    <s v="네이버 배너"/>
    <x v="2"/>
    <x v="1"/>
    <x v="1"/>
    <m/>
    <m/>
    <m/>
    <n v="1078006.363636364"/>
    <m/>
  </r>
  <r>
    <x v="0"/>
    <x v="0"/>
    <s v="네이버 배너"/>
    <x v="2"/>
    <x v="1"/>
    <x v="1"/>
    <m/>
    <m/>
    <m/>
    <n v="1091459.090909091"/>
    <m/>
  </r>
  <r>
    <x v="166"/>
    <x v="4"/>
    <s v="카카오 배너"/>
    <x v="2"/>
    <x v="1"/>
    <x v="1"/>
    <m/>
    <m/>
    <m/>
    <n v="228430"/>
    <m/>
  </r>
  <r>
    <x v="167"/>
    <x v="1"/>
    <s v="카카오 배너"/>
    <x v="2"/>
    <x v="1"/>
    <x v="1"/>
    <m/>
    <m/>
    <m/>
    <n v="392649.9999999999"/>
    <m/>
  </r>
  <r>
    <x v="168"/>
    <x v="2"/>
    <s v="카카오 배너"/>
    <x v="2"/>
    <x v="1"/>
    <x v="1"/>
    <m/>
    <m/>
    <m/>
    <n v="43180"/>
    <m/>
  </r>
  <r>
    <x v="169"/>
    <x v="5"/>
    <s v="카카오 배너"/>
    <x v="2"/>
    <x v="1"/>
    <x v="1"/>
    <m/>
    <m/>
    <m/>
    <n v="0"/>
    <m/>
  </r>
  <r>
    <x v="170"/>
    <x v="6"/>
    <s v="카카오 배너"/>
    <x v="2"/>
    <x v="1"/>
    <x v="1"/>
    <m/>
    <m/>
    <m/>
    <n v="392199.9999999999"/>
    <m/>
  </r>
  <r>
    <x v="171"/>
    <x v="0"/>
    <s v="카카오 배너"/>
    <x v="2"/>
    <x v="1"/>
    <x v="1"/>
    <m/>
    <m/>
    <m/>
    <n v="391309.9999999999"/>
    <m/>
  </r>
  <r>
    <x v="172"/>
    <x v="3"/>
    <s v="카카오 배너"/>
    <x v="2"/>
    <x v="1"/>
    <x v="1"/>
    <m/>
    <m/>
    <m/>
    <n v="576840"/>
    <m/>
  </r>
  <r>
    <x v="173"/>
    <x v="4"/>
    <s v="카카오 배너"/>
    <x v="2"/>
    <x v="1"/>
    <x v="1"/>
    <m/>
    <m/>
    <m/>
    <n v="919619.9999999999"/>
    <m/>
  </r>
  <r>
    <x v="174"/>
    <x v="1"/>
    <s v="카카오 배너"/>
    <x v="2"/>
    <x v="1"/>
    <x v="1"/>
    <m/>
    <m/>
    <m/>
    <n v="910879.9999999999"/>
    <m/>
  </r>
  <r>
    <x v="175"/>
    <x v="2"/>
    <s v="카카오 배너"/>
    <x v="2"/>
    <x v="1"/>
    <x v="1"/>
    <m/>
    <m/>
    <m/>
    <n v="911119.9999999999"/>
    <m/>
  </r>
  <r>
    <x v="176"/>
    <x v="5"/>
    <s v="카카오 배너"/>
    <x v="2"/>
    <x v="1"/>
    <x v="1"/>
    <m/>
    <m/>
    <m/>
    <n v="910869.9999999999"/>
    <m/>
  </r>
  <r>
    <x v="177"/>
    <x v="6"/>
    <s v="카카오 배너"/>
    <x v="2"/>
    <x v="1"/>
    <x v="1"/>
    <m/>
    <m/>
    <m/>
    <n v="2114110"/>
    <m/>
  </r>
  <r>
    <x v="178"/>
    <x v="0"/>
    <s v="카카오 배너"/>
    <x v="2"/>
    <x v="1"/>
    <x v="1"/>
    <m/>
    <m/>
    <m/>
    <n v="2229090"/>
    <m/>
  </r>
  <r>
    <x v="179"/>
    <x v="3"/>
    <s v="카카오 배너"/>
    <x v="2"/>
    <x v="1"/>
    <x v="1"/>
    <m/>
    <m/>
    <m/>
    <n v="1956140"/>
    <m/>
  </r>
  <r>
    <x v="180"/>
    <x v="4"/>
    <s v="카카오 배너"/>
    <x v="2"/>
    <x v="1"/>
    <x v="1"/>
    <m/>
    <m/>
    <m/>
    <n v="2052330"/>
    <m/>
  </r>
  <r>
    <x v="181"/>
    <x v="1"/>
    <s v="카카오 배너"/>
    <x v="2"/>
    <x v="1"/>
    <x v="1"/>
    <m/>
    <m/>
    <m/>
    <n v="2231190"/>
    <m/>
  </r>
  <r>
    <x v="182"/>
    <x v="2"/>
    <s v="카카오 배너"/>
    <x v="2"/>
    <x v="1"/>
    <x v="1"/>
    <m/>
    <m/>
    <m/>
    <n v="2242650"/>
    <m/>
  </r>
  <r>
    <x v="183"/>
    <x v="5"/>
    <s v="카카오 배너"/>
    <x v="2"/>
    <x v="1"/>
    <x v="1"/>
    <m/>
    <m/>
    <m/>
    <n v="2238500"/>
    <m/>
  </r>
  <r>
    <x v="184"/>
    <x v="6"/>
    <s v="카카오 배너"/>
    <x v="2"/>
    <x v="1"/>
    <x v="1"/>
    <m/>
    <m/>
    <m/>
    <n v="2062510"/>
    <m/>
  </r>
  <r>
    <x v="185"/>
    <x v="0"/>
    <s v="카카오 배너"/>
    <x v="2"/>
    <x v="1"/>
    <x v="1"/>
    <m/>
    <m/>
    <m/>
    <n v="1926690"/>
    <m/>
  </r>
  <r>
    <x v="186"/>
    <x v="3"/>
    <s v="카카오 배너"/>
    <x v="2"/>
    <x v="1"/>
    <x v="1"/>
    <m/>
    <m/>
    <m/>
    <n v="1469790"/>
    <m/>
  </r>
  <r>
    <x v="187"/>
    <x v="4"/>
    <s v="카카오 배너"/>
    <x v="2"/>
    <x v="1"/>
    <x v="1"/>
    <m/>
    <m/>
    <m/>
    <n v="1959190"/>
    <m/>
  </r>
  <r>
    <x v="188"/>
    <x v="1"/>
    <s v="카카오 배너"/>
    <x v="2"/>
    <x v="1"/>
    <x v="1"/>
    <m/>
    <m/>
    <m/>
    <n v="1949540"/>
    <m/>
  </r>
  <r>
    <x v="189"/>
    <x v="2"/>
    <s v="카카오 배너"/>
    <x v="2"/>
    <x v="1"/>
    <x v="1"/>
    <m/>
    <m/>
    <m/>
    <n v="2041350"/>
    <m/>
  </r>
  <r>
    <x v="190"/>
    <x v="5"/>
    <s v="카카오 배너"/>
    <x v="2"/>
    <x v="1"/>
    <x v="1"/>
    <m/>
    <m/>
    <m/>
    <n v="2039640"/>
    <m/>
  </r>
  <r>
    <x v="191"/>
    <x v="6"/>
    <s v="카카오 배너"/>
    <x v="2"/>
    <x v="1"/>
    <x v="1"/>
    <m/>
    <m/>
    <m/>
    <n v="1580360"/>
    <m/>
  </r>
  <r>
    <x v="192"/>
    <x v="0"/>
    <s v="카카오 배너"/>
    <x v="2"/>
    <x v="1"/>
    <x v="1"/>
    <m/>
    <m/>
    <m/>
    <n v="1597780"/>
    <m/>
  </r>
  <r>
    <x v="193"/>
    <x v="3"/>
    <s v="카카오 배너"/>
    <x v="2"/>
    <x v="1"/>
    <x v="1"/>
    <m/>
    <m/>
    <m/>
    <n v="2040610"/>
    <m/>
  </r>
  <r>
    <x v="194"/>
    <x v="4"/>
    <s v="카카오 배너"/>
    <x v="2"/>
    <x v="1"/>
    <x v="1"/>
    <m/>
    <m/>
    <m/>
    <n v="2037680"/>
    <m/>
  </r>
  <r>
    <x v="195"/>
    <x v="1"/>
    <s v="카카오 배너"/>
    <x v="2"/>
    <x v="1"/>
    <x v="1"/>
    <m/>
    <m/>
    <m/>
    <n v="2039920"/>
    <m/>
  </r>
  <r>
    <x v="196"/>
    <x v="2"/>
    <s v="카카오 배너"/>
    <x v="2"/>
    <x v="1"/>
    <x v="1"/>
    <m/>
    <m/>
    <m/>
    <n v="2041460"/>
    <m/>
  </r>
  <r>
    <x v="197"/>
    <x v="5"/>
    <s v="카카오 배너"/>
    <x v="2"/>
    <x v="1"/>
    <x v="1"/>
    <m/>
    <m/>
    <m/>
    <n v="2040480"/>
    <m/>
  </r>
  <r>
    <x v="198"/>
    <x v="6"/>
    <s v="카카오 배너"/>
    <x v="2"/>
    <x v="1"/>
    <x v="1"/>
    <m/>
    <m/>
    <m/>
    <n v="2040320"/>
    <m/>
  </r>
  <r>
    <x v="199"/>
    <x v="0"/>
    <s v="카카오 배너"/>
    <x v="2"/>
    <x v="1"/>
    <x v="1"/>
    <m/>
    <m/>
    <m/>
    <n v="2047680"/>
    <m/>
  </r>
  <r>
    <x v="200"/>
    <x v="3"/>
    <s v="카카오 배너"/>
    <x v="2"/>
    <x v="1"/>
    <x v="1"/>
    <m/>
    <m/>
    <m/>
    <n v="2042210"/>
    <m/>
  </r>
  <r>
    <x v="201"/>
    <x v="4"/>
    <s v="카카오 배너"/>
    <x v="2"/>
    <x v="1"/>
    <x v="1"/>
    <m/>
    <m/>
    <m/>
    <n v="2005170"/>
    <m/>
  </r>
  <r>
    <x v="202"/>
    <x v="1"/>
    <s v="카카오 배너"/>
    <x v="2"/>
    <x v="1"/>
    <x v="1"/>
    <m/>
    <m/>
    <m/>
    <n v="2086380"/>
    <m/>
  </r>
  <r>
    <x v="203"/>
    <x v="2"/>
    <s v="카카오 배너"/>
    <x v="2"/>
    <x v="1"/>
    <x v="1"/>
    <m/>
    <m/>
    <m/>
    <n v="2083390"/>
    <m/>
  </r>
  <r>
    <x v="204"/>
    <x v="5"/>
    <s v="카카오 배너"/>
    <x v="2"/>
    <x v="1"/>
    <x v="1"/>
    <m/>
    <m/>
    <m/>
    <n v="2086780"/>
    <m/>
  </r>
  <r>
    <x v="205"/>
    <x v="6"/>
    <s v="카카오 배너"/>
    <x v="2"/>
    <x v="1"/>
    <x v="1"/>
    <m/>
    <m/>
    <m/>
    <n v="2175120"/>
    <m/>
  </r>
  <r>
    <x v="206"/>
    <x v="0"/>
    <s v="카카오 배너"/>
    <x v="2"/>
    <x v="1"/>
    <x v="1"/>
    <m/>
    <m/>
    <m/>
    <n v="2175950"/>
    <m/>
  </r>
  <r>
    <x v="207"/>
    <x v="3"/>
    <s v="카카오 배너"/>
    <x v="2"/>
    <x v="1"/>
    <x v="1"/>
    <m/>
    <m/>
    <m/>
    <n v="2083460"/>
    <m/>
  </r>
  <r>
    <x v="208"/>
    <x v="4"/>
    <s v="카카오 배너"/>
    <x v="2"/>
    <x v="1"/>
    <x v="1"/>
    <m/>
    <m/>
    <m/>
    <n v="4118060"/>
    <m/>
  </r>
  <r>
    <x v="209"/>
    <x v="1"/>
    <s v="카카오 배너"/>
    <x v="2"/>
    <x v="1"/>
    <x v="1"/>
    <m/>
    <m/>
    <m/>
    <n v="4163790"/>
    <m/>
  </r>
  <r>
    <x v="210"/>
    <x v="2"/>
    <s v="카카오 배너"/>
    <x v="2"/>
    <x v="1"/>
    <x v="1"/>
    <m/>
    <m/>
    <m/>
    <n v="4190098.181818182"/>
    <m/>
  </r>
  <r>
    <x v="211"/>
    <x v="5"/>
    <s v="카카오 배너"/>
    <x v="2"/>
    <x v="1"/>
    <x v="1"/>
    <m/>
    <m/>
    <m/>
    <n v="4105110"/>
    <m/>
  </r>
  <r>
    <x v="212"/>
    <x v="6"/>
    <s v="카카오 배너"/>
    <x v="2"/>
    <x v="1"/>
    <x v="1"/>
    <m/>
    <m/>
    <m/>
    <n v="3474710"/>
    <m/>
  </r>
  <r>
    <x v="213"/>
    <x v="0"/>
    <s v="카카오 배너"/>
    <x v="2"/>
    <x v="1"/>
    <x v="1"/>
    <m/>
    <m/>
    <m/>
    <n v="2794690"/>
    <m/>
  </r>
  <r>
    <x v="214"/>
    <x v="3"/>
    <s v="카카오 배너"/>
    <x v="2"/>
    <x v="1"/>
    <x v="1"/>
    <m/>
    <m/>
    <m/>
    <n v="1618200"/>
    <m/>
  </r>
  <r>
    <x v="215"/>
    <x v="4"/>
    <s v="카카오 배너"/>
    <x v="2"/>
    <x v="1"/>
    <x v="1"/>
    <m/>
    <m/>
    <m/>
    <n v="2722350"/>
    <m/>
  </r>
  <r>
    <x v="216"/>
    <x v="1"/>
    <s v="카카오 배너"/>
    <x v="2"/>
    <x v="1"/>
    <x v="1"/>
    <m/>
    <m/>
    <m/>
    <n v="3851100"/>
    <m/>
  </r>
  <r>
    <x v="217"/>
    <x v="2"/>
    <s v="카카오 배너"/>
    <x v="2"/>
    <x v="1"/>
    <x v="1"/>
    <m/>
    <m/>
    <m/>
    <n v="4020590"/>
    <m/>
  </r>
  <r>
    <x v="218"/>
    <x v="5"/>
    <s v="카카오 배너"/>
    <x v="2"/>
    <x v="1"/>
    <x v="1"/>
    <m/>
    <m/>
    <m/>
    <n v="3835830"/>
    <m/>
  </r>
  <r>
    <x v="219"/>
    <x v="6"/>
    <s v="카카오 배너"/>
    <x v="2"/>
    <x v="1"/>
    <x v="1"/>
    <m/>
    <m/>
    <m/>
    <n v="1966780"/>
    <m/>
  </r>
  <r>
    <x v="220"/>
    <x v="0"/>
    <s v="카카오 배너"/>
    <x v="2"/>
    <x v="1"/>
    <x v="1"/>
    <m/>
    <m/>
    <m/>
    <n v="1896820"/>
    <m/>
  </r>
  <r>
    <x v="221"/>
    <x v="3"/>
    <s v="카카오 배너"/>
    <x v="2"/>
    <x v="1"/>
    <x v="1"/>
    <m/>
    <m/>
    <m/>
    <n v="1805100"/>
    <m/>
  </r>
  <r>
    <x v="222"/>
    <x v="4"/>
    <s v="카카오 배너"/>
    <x v="2"/>
    <x v="1"/>
    <x v="1"/>
    <m/>
    <m/>
    <m/>
    <n v="2034870"/>
    <m/>
  </r>
  <r>
    <x v="223"/>
    <x v="1"/>
    <s v="카카오 배너"/>
    <x v="2"/>
    <x v="1"/>
    <x v="1"/>
    <m/>
    <m/>
    <m/>
    <n v="4853150"/>
    <m/>
  </r>
  <r>
    <x v="224"/>
    <x v="2"/>
    <s v="카카오 배너"/>
    <x v="2"/>
    <x v="1"/>
    <x v="1"/>
    <m/>
    <m/>
    <m/>
    <n v="4437110"/>
    <m/>
  </r>
  <r>
    <x v="225"/>
    <x v="5"/>
    <s v="카카오 배너"/>
    <x v="2"/>
    <x v="1"/>
    <x v="1"/>
    <m/>
    <m/>
    <m/>
    <n v="4097370"/>
    <m/>
  </r>
  <r>
    <x v="226"/>
    <x v="6"/>
    <s v="카카오 배너"/>
    <x v="2"/>
    <x v="1"/>
    <x v="1"/>
    <m/>
    <m/>
    <m/>
    <n v="2379120"/>
    <m/>
  </r>
  <r>
    <x v="227"/>
    <x v="0"/>
    <s v="카카오 배너"/>
    <x v="2"/>
    <x v="1"/>
    <x v="1"/>
    <m/>
    <m/>
    <m/>
    <n v="2135660"/>
    <m/>
  </r>
  <r>
    <x v="228"/>
    <x v="3"/>
    <s v="카카오 배너"/>
    <x v="2"/>
    <x v="1"/>
    <x v="1"/>
    <m/>
    <m/>
    <m/>
    <n v="1781840"/>
    <m/>
  </r>
  <r>
    <x v="229"/>
    <x v="4"/>
    <s v="카카오 배너"/>
    <x v="2"/>
    <x v="1"/>
    <x v="1"/>
    <m/>
    <m/>
    <m/>
    <n v="1514350"/>
    <m/>
  </r>
  <r>
    <x v="230"/>
    <x v="1"/>
    <s v="카카오 배너"/>
    <x v="2"/>
    <x v="1"/>
    <x v="1"/>
    <m/>
    <m/>
    <m/>
    <n v="1531150"/>
    <m/>
  </r>
  <r>
    <x v="231"/>
    <x v="2"/>
    <s v="카카오 배너"/>
    <x v="2"/>
    <x v="1"/>
    <x v="1"/>
    <m/>
    <m/>
    <m/>
    <n v="1957660"/>
    <m/>
  </r>
  <r>
    <x v="232"/>
    <x v="5"/>
    <s v="카카오 배너"/>
    <x v="2"/>
    <x v="1"/>
    <x v="1"/>
    <m/>
    <m/>
    <m/>
    <n v="1966950"/>
    <m/>
  </r>
  <r>
    <x v="233"/>
    <x v="6"/>
    <s v="카카오 배너"/>
    <x v="2"/>
    <x v="1"/>
    <x v="1"/>
    <m/>
    <m/>
    <m/>
    <n v="1579290"/>
    <m/>
  </r>
  <r>
    <x v="234"/>
    <x v="0"/>
    <s v="카카오 배너"/>
    <x v="2"/>
    <x v="1"/>
    <x v="1"/>
    <m/>
    <m/>
    <m/>
    <n v="1184970"/>
    <m/>
  </r>
  <r>
    <x v="235"/>
    <x v="3"/>
    <s v="카카오 배너"/>
    <x v="2"/>
    <x v="1"/>
    <x v="1"/>
    <m/>
    <m/>
    <m/>
    <n v="2486190"/>
    <m/>
  </r>
  <r>
    <x v="236"/>
    <x v="4"/>
    <s v="카카오 배너"/>
    <x v="2"/>
    <x v="1"/>
    <x v="1"/>
    <m/>
    <m/>
    <m/>
    <n v="1792250"/>
    <m/>
  </r>
  <r>
    <x v="237"/>
    <x v="1"/>
    <s v="카카오 배너"/>
    <x v="2"/>
    <x v="1"/>
    <x v="1"/>
    <m/>
    <m/>
    <m/>
    <n v="1777150"/>
    <m/>
  </r>
  <r>
    <x v="238"/>
    <x v="2"/>
    <s v="카카오 배너"/>
    <x v="2"/>
    <x v="1"/>
    <x v="1"/>
    <m/>
    <m/>
    <m/>
    <n v="1667510"/>
    <m/>
  </r>
  <r>
    <x v="239"/>
    <x v="5"/>
    <s v="카카오 배너"/>
    <x v="2"/>
    <x v="1"/>
    <x v="1"/>
    <m/>
    <m/>
    <m/>
    <n v="2299070"/>
    <m/>
  </r>
  <r>
    <x v="240"/>
    <x v="6"/>
    <s v="카카오 배너"/>
    <x v="2"/>
    <x v="1"/>
    <x v="1"/>
    <m/>
    <m/>
    <m/>
    <n v="1479260"/>
    <m/>
  </r>
  <r>
    <x v="241"/>
    <x v="0"/>
    <s v="카카오 배너"/>
    <x v="2"/>
    <x v="1"/>
    <x v="1"/>
    <m/>
    <m/>
    <m/>
    <n v="1259040"/>
    <m/>
  </r>
  <r>
    <x v="242"/>
    <x v="3"/>
    <s v="카카오 배너"/>
    <x v="2"/>
    <x v="1"/>
    <x v="1"/>
    <m/>
    <m/>
    <m/>
    <n v="1384460"/>
    <m/>
  </r>
  <r>
    <x v="243"/>
    <x v="4"/>
    <s v="카카오 배너"/>
    <x v="2"/>
    <x v="1"/>
    <x v="1"/>
    <m/>
    <m/>
    <m/>
    <n v="1597130"/>
    <m/>
  </r>
  <r>
    <x v="244"/>
    <x v="1"/>
    <s v="카카오 배너"/>
    <x v="2"/>
    <x v="1"/>
    <x v="1"/>
    <m/>
    <m/>
    <m/>
    <n v="1238020"/>
    <m/>
  </r>
  <r>
    <x v="245"/>
    <x v="2"/>
    <s v="카카오 배너"/>
    <x v="2"/>
    <x v="1"/>
    <x v="1"/>
    <m/>
    <m/>
    <m/>
    <n v="1593000"/>
    <m/>
  </r>
  <r>
    <x v="246"/>
    <x v="5"/>
    <s v="카카오 배너"/>
    <x v="2"/>
    <x v="1"/>
    <x v="1"/>
    <m/>
    <m/>
    <m/>
    <n v="1636920"/>
    <m/>
  </r>
  <r>
    <x v="247"/>
    <x v="6"/>
    <s v="카카오 배너"/>
    <x v="2"/>
    <x v="1"/>
    <x v="1"/>
    <m/>
    <m/>
    <m/>
    <n v="882589.9999999999"/>
    <m/>
  </r>
  <r>
    <x v="248"/>
    <x v="0"/>
    <s v="카카오 배너"/>
    <x v="2"/>
    <x v="1"/>
    <x v="1"/>
    <m/>
    <m/>
    <m/>
    <n v="880169.9999999999"/>
    <m/>
  </r>
  <r>
    <x v="249"/>
    <x v="3"/>
    <s v="카카오 배너"/>
    <x v="2"/>
    <x v="1"/>
    <x v="1"/>
    <m/>
    <m/>
    <m/>
    <n v="976299.9999999999"/>
    <m/>
  </r>
  <r>
    <x v="250"/>
    <x v="4"/>
    <s v="카카오 배너"/>
    <x v="2"/>
    <x v="1"/>
    <x v="1"/>
    <m/>
    <m/>
    <m/>
    <n v="1027860"/>
    <m/>
  </r>
  <r>
    <x v="251"/>
    <x v="1"/>
    <s v="카카오 배너"/>
    <x v="2"/>
    <x v="1"/>
    <x v="1"/>
    <m/>
    <m/>
    <m/>
    <n v="777819.9999999999"/>
    <m/>
  </r>
  <r>
    <x v="252"/>
    <x v="2"/>
    <s v="카카오 배너"/>
    <x v="2"/>
    <x v="1"/>
    <x v="1"/>
    <m/>
    <m/>
    <m/>
    <n v="830279.9999999999"/>
    <m/>
  </r>
  <r>
    <x v="253"/>
    <x v="5"/>
    <s v="카카오 배너"/>
    <x v="2"/>
    <x v="1"/>
    <x v="1"/>
    <m/>
    <m/>
    <m/>
    <n v="1085320"/>
    <m/>
  </r>
  <r>
    <x v="254"/>
    <x v="6"/>
    <s v="카카오 배너"/>
    <x v="2"/>
    <x v="1"/>
    <x v="1"/>
    <m/>
    <m/>
    <m/>
    <n v="882739.9999999999"/>
    <m/>
  </r>
  <r>
    <x v="255"/>
    <x v="0"/>
    <s v="카카오 배너"/>
    <x v="2"/>
    <x v="1"/>
    <x v="1"/>
    <m/>
    <m/>
    <m/>
    <n v="935359.9999999999"/>
    <m/>
  </r>
  <r>
    <x v="256"/>
    <x v="3"/>
    <s v="카카오 배너"/>
    <x v="2"/>
    <x v="1"/>
    <x v="1"/>
    <m/>
    <m/>
    <m/>
    <n v="652380"/>
    <m/>
  </r>
  <r>
    <x v="257"/>
    <x v="4"/>
    <s v="카카오 배너"/>
    <x v="2"/>
    <x v="1"/>
    <x v="1"/>
    <m/>
    <m/>
    <m/>
    <n v="788969.9999999999"/>
    <m/>
  </r>
  <r>
    <x v="258"/>
    <x v="1"/>
    <s v="카카오 배너"/>
    <x v="2"/>
    <x v="1"/>
    <x v="1"/>
    <m/>
    <m/>
    <m/>
    <n v="660140"/>
    <m/>
  </r>
  <r>
    <x v="259"/>
    <x v="2"/>
    <s v="카카오 배너"/>
    <x v="2"/>
    <x v="1"/>
    <x v="1"/>
    <m/>
    <m/>
    <m/>
    <n v="1000310"/>
    <m/>
  </r>
  <r>
    <x v="260"/>
    <x v="5"/>
    <s v="카카오 배너"/>
    <x v="2"/>
    <x v="1"/>
    <x v="1"/>
    <m/>
    <m/>
    <m/>
    <n v="1109200"/>
    <m/>
  </r>
  <r>
    <x v="261"/>
    <x v="6"/>
    <s v="카카오 배너"/>
    <x v="2"/>
    <x v="1"/>
    <x v="1"/>
    <m/>
    <m/>
    <m/>
    <n v="611590"/>
    <m/>
  </r>
  <r>
    <x v="0"/>
    <x v="0"/>
    <s v="카카오 배너"/>
    <x v="2"/>
    <x v="1"/>
    <x v="1"/>
    <m/>
    <m/>
    <m/>
    <n v="719600"/>
    <m/>
  </r>
  <r>
    <x v="206"/>
    <x v="0"/>
    <s v="카카오 메시지"/>
    <x v="2"/>
    <x v="1"/>
    <x v="1"/>
    <m/>
    <m/>
    <m/>
    <n v="371369.9999999999"/>
    <m/>
  </r>
  <r>
    <x v="207"/>
    <x v="3"/>
    <s v="카카오 메시지"/>
    <x v="2"/>
    <x v="1"/>
    <x v="1"/>
    <m/>
    <m/>
    <m/>
    <n v="556680"/>
    <m/>
  </r>
  <r>
    <x v="256"/>
    <x v="3"/>
    <s v="카카오 메시지"/>
    <x v="2"/>
    <x v="1"/>
    <x v="1"/>
    <m/>
    <m/>
    <m/>
    <n v="658860"/>
    <m/>
  </r>
  <r>
    <x v="228"/>
    <x v="3"/>
    <s v="유튜브 광고"/>
    <x v="2"/>
    <x v="1"/>
    <x v="1"/>
    <m/>
    <m/>
    <m/>
    <n v="103000"/>
    <m/>
  </r>
  <r>
    <x v="229"/>
    <x v="4"/>
    <s v="유튜브 광고"/>
    <x v="2"/>
    <x v="1"/>
    <x v="1"/>
    <m/>
    <m/>
    <m/>
    <n v="153214"/>
    <m/>
  </r>
  <r>
    <x v="230"/>
    <x v="1"/>
    <s v="유튜브 광고"/>
    <x v="2"/>
    <x v="1"/>
    <x v="1"/>
    <m/>
    <m/>
    <m/>
    <n v="176357"/>
    <m/>
  </r>
  <r>
    <x v="231"/>
    <x v="2"/>
    <s v="유튜브 광고"/>
    <x v="2"/>
    <x v="1"/>
    <x v="1"/>
    <m/>
    <m/>
    <m/>
    <n v="391660"/>
    <m/>
  </r>
  <r>
    <x v="232"/>
    <x v="5"/>
    <s v="유튜브 광고"/>
    <x v="2"/>
    <x v="1"/>
    <x v="1"/>
    <m/>
    <m/>
    <m/>
    <n v="254181"/>
    <m/>
  </r>
  <r>
    <x v="233"/>
    <x v="6"/>
    <s v="유튜브 광고"/>
    <x v="2"/>
    <x v="1"/>
    <x v="1"/>
    <m/>
    <m/>
    <m/>
    <n v="425895"/>
    <m/>
  </r>
  <r>
    <x v="234"/>
    <x v="0"/>
    <s v="유튜브 광고"/>
    <x v="2"/>
    <x v="1"/>
    <x v="1"/>
    <m/>
    <m/>
    <m/>
    <n v="241159"/>
    <m/>
  </r>
  <r>
    <x v="235"/>
    <x v="3"/>
    <s v="유튜브 광고"/>
    <x v="2"/>
    <x v="1"/>
    <x v="1"/>
    <m/>
    <m/>
    <m/>
    <n v="2250454"/>
    <m/>
  </r>
  <r>
    <x v="236"/>
    <x v="4"/>
    <s v="유튜브 광고"/>
    <x v="2"/>
    <x v="1"/>
    <x v="1"/>
    <m/>
    <m/>
    <m/>
    <n v="634289"/>
    <m/>
  </r>
  <r>
    <x v="237"/>
    <x v="1"/>
    <s v="유튜브 광고"/>
    <x v="2"/>
    <x v="1"/>
    <x v="1"/>
    <m/>
    <m/>
    <m/>
    <n v="711620"/>
    <m/>
  </r>
  <r>
    <x v="238"/>
    <x v="2"/>
    <s v="유튜브 광고"/>
    <x v="2"/>
    <x v="1"/>
    <x v="1"/>
    <m/>
    <m/>
    <m/>
    <n v="1040116"/>
    <m/>
  </r>
  <r>
    <x v="239"/>
    <x v="5"/>
    <s v="유튜브 광고"/>
    <x v="2"/>
    <x v="1"/>
    <x v="1"/>
    <m/>
    <m/>
    <m/>
    <n v="1039757"/>
    <m/>
  </r>
  <r>
    <x v="240"/>
    <x v="6"/>
    <s v="유튜브 광고"/>
    <x v="2"/>
    <x v="1"/>
    <x v="1"/>
    <m/>
    <m/>
    <m/>
    <n v="995070"/>
    <m/>
  </r>
  <r>
    <x v="241"/>
    <x v="0"/>
    <s v="유튜브 광고"/>
    <x v="2"/>
    <x v="1"/>
    <x v="1"/>
    <m/>
    <m/>
    <m/>
    <n v="1184823"/>
    <m/>
  </r>
  <r>
    <x v="242"/>
    <x v="3"/>
    <s v="유튜브 광고"/>
    <x v="2"/>
    <x v="1"/>
    <x v="1"/>
    <m/>
    <m/>
    <m/>
    <n v="1124987"/>
    <m/>
  </r>
  <r>
    <x v="243"/>
    <x v="4"/>
    <s v="유튜브 광고"/>
    <x v="2"/>
    <x v="1"/>
    <x v="1"/>
    <m/>
    <m/>
    <m/>
    <n v="998487"/>
    <m/>
  </r>
  <r>
    <x v="244"/>
    <x v="1"/>
    <s v="유튜브 광고"/>
    <x v="2"/>
    <x v="1"/>
    <x v="1"/>
    <m/>
    <m/>
    <m/>
    <n v="1090925"/>
    <m/>
  </r>
  <r>
    <x v="245"/>
    <x v="2"/>
    <s v="유튜브 광고"/>
    <x v="2"/>
    <x v="1"/>
    <x v="1"/>
    <m/>
    <m/>
    <m/>
    <n v="2721234"/>
    <m/>
  </r>
  <r>
    <x v="246"/>
    <x v="5"/>
    <s v="유튜브 광고"/>
    <x v="2"/>
    <x v="1"/>
    <x v="1"/>
    <m/>
    <m/>
    <m/>
    <n v="2278917"/>
    <m/>
  </r>
  <r>
    <x v="247"/>
    <x v="6"/>
    <s v="유튜브 광고"/>
    <x v="2"/>
    <x v="1"/>
    <x v="1"/>
    <m/>
    <m/>
    <m/>
    <n v="1545447"/>
    <m/>
  </r>
  <r>
    <x v="248"/>
    <x v="0"/>
    <s v="유튜브 광고"/>
    <x v="2"/>
    <x v="1"/>
    <x v="1"/>
    <m/>
    <m/>
    <m/>
    <n v="1490986"/>
    <m/>
  </r>
  <r>
    <x v="249"/>
    <x v="3"/>
    <s v="유튜브 광고"/>
    <x v="2"/>
    <x v="1"/>
    <x v="1"/>
    <m/>
    <m/>
    <m/>
    <n v="1554382"/>
    <m/>
  </r>
  <r>
    <x v="250"/>
    <x v="4"/>
    <s v="유튜브 광고"/>
    <x v="2"/>
    <x v="1"/>
    <x v="1"/>
    <m/>
    <m/>
    <m/>
    <n v="1611620"/>
    <m/>
  </r>
  <r>
    <x v="251"/>
    <x v="1"/>
    <s v="유튜브 광고"/>
    <x v="2"/>
    <x v="1"/>
    <x v="1"/>
    <m/>
    <m/>
    <m/>
    <n v="1517415"/>
    <m/>
  </r>
  <r>
    <x v="252"/>
    <x v="2"/>
    <s v="유튜브 광고"/>
    <x v="2"/>
    <x v="1"/>
    <x v="1"/>
    <m/>
    <m/>
    <m/>
    <n v="2105413"/>
    <m/>
  </r>
  <r>
    <x v="253"/>
    <x v="5"/>
    <s v="유튜브 광고"/>
    <x v="2"/>
    <x v="1"/>
    <x v="1"/>
    <m/>
    <m/>
    <m/>
    <n v="2267119"/>
    <m/>
  </r>
  <r>
    <x v="254"/>
    <x v="6"/>
    <s v="유튜브 광고"/>
    <x v="2"/>
    <x v="1"/>
    <x v="1"/>
    <m/>
    <m/>
    <m/>
    <n v="1839049"/>
    <m/>
  </r>
  <r>
    <x v="255"/>
    <x v="0"/>
    <s v="유튜브 광고"/>
    <x v="2"/>
    <x v="1"/>
    <x v="1"/>
    <m/>
    <m/>
    <m/>
    <n v="2112342"/>
    <m/>
  </r>
  <r>
    <x v="256"/>
    <x v="3"/>
    <s v="유튜브 광고"/>
    <x v="2"/>
    <x v="1"/>
    <x v="1"/>
    <m/>
    <m/>
    <m/>
    <n v="2251847"/>
    <m/>
  </r>
  <r>
    <x v="257"/>
    <x v="4"/>
    <s v="유튜브 광고"/>
    <x v="2"/>
    <x v="1"/>
    <x v="1"/>
    <m/>
    <m/>
    <m/>
    <n v="2137117"/>
    <m/>
  </r>
  <r>
    <x v="258"/>
    <x v="1"/>
    <s v="유튜브 광고"/>
    <x v="2"/>
    <x v="1"/>
    <x v="1"/>
    <m/>
    <m/>
    <m/>
    <n v="1917100"/>
    <m/>
  </r>
  <r>
    <x v="259"/>
    <x v="2"/>
    <s v="유튜브 광고"/>
    <x v="2"/>
    <x v="1"/>
    <x v="1"/>
    <m/>
    <m/>
    <m/>
    <n v="1957793"/>
    <m/>
  </r>
  <r>
    <x v="260"/>
    <x v="5"/>
    <s v="유튜브 광고"/>
    <x v="2"/>
    <x v="1"/>
    <x v="1"/>
    <m/>
    <m/>
    <m/>
    <n v="2237102"/>
    <m/>
  </r>
  <r>
    <x v="261"/>
    <x v="6"/>
    <s v="유튜브 광고"/>
    <x v="2"/>
    <x v="1"/>
    <x v="1"/>
    <m/>
    <m/>
    <m/>
    <n v="2052221"/>
    <m/>
  </r>
  <r>
    <x v="0"/>
    <x v="0"/>
    <s v="유튜브 광고"/>
    <x v="2"/>
    <x v="1"/>
    <x v="1"/>
    <m/>
    <m/>
    <m/>
    <n v="2208020"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1"/>
    <x v="1"/>
    <m/>
    <x v="1"/>
    <x v="0"/>
    <x v="1"/>
    <n v="2"/>
    <s v="이그나이트"/>
    <n v="200520"/>
    <m/>
    <n v="76000"/>
  </r>
  <r>
    <x v="2"/>
    <x v="2"/>
    <m/>
    <x v="1"/>
    <x v="0"/>
    <x v="1"/>
    <n v="1"/>
    <s v="스테이포에버"/>
    <n v="200520"/>
    <m/>
    <n v="38000"/>
  </r>
  <r>
    <x v="3"/>
    <x v="0"/>
    <m/>
    <x v="1"/>
    <x v="0"/>
    <x v="1"/>
    <n v="1"/>
    <s v="이그나이트"/>
    <n v="200520"/>
    <m/>
    <n v="38000"/>
  </r>
  <r>
    <x v="3"/>
    <x v="0"/>
    <m/>
    <x v="1"/>
    <x v="0"/>
    <x v="1"/>
    <n v="4"/>
    <s v="스테이포에버"/>
    <n v="200520"/>
    <m/>
    <n v="152000"/>
  </r>
  <r>
    <x v="3"/>
    <x v="0"/>
    <m/>
    <x v="1"/>
    <x v="0"/>
    <x v="1"/>
    <n v="1"/>
    <s v="이그나이트 + 스테이포에버"/>
    <n v="200520"/>
    <m/>
    <n v="69000"/>
  </r>
  <r>
    <x v="4"/>
    <x v="3"/>
    <m/>
    <x v="1"/>
    <x v="0"/>
    <x v="1"/>
    <n v="2"/>
    <s v="이그나이트 + 스테이포에버"/>
    <n v="200520"/>
    <m/>
    <n v="138000"/>
  </r>
  <r>
    <x v="4"/>
    <x v="3"/>
    <m/>
    <x v="1"/>
    <x v="0"/>
    <x v="1"/>
    <n v="2"/>
    <s v="이그나이트"/>
    <n v="200520"/>
    <m/>
    <n v="76000"/>
  </r>
  <r>
    <x v="4"/>
    <x v="3"/>
    <m/>
    <x v="1"/>
    <x v="0"/>
    <x v="1"/>
    <n v="7"/>
    <s v="스테이포에버"/>
    <n v="200520"/>
    <m/>
    <n v="266000"/>
  </r>
  <r>
    <x v="5"/>
    <x v="4"/>
    <m/>
    <x v="1"/>
    <x v="0"/>
    <x v="1"/>
    <n v="1"/>
    <s v="이그나이트"/>
    <n v="200520"/>
    <m/>
    <n v="38000"/>
  </r>
  <r>
    <x v="5"/>
    <x v="4"/>
    <m/>
    <x v="1"/>
    <x v="0"/>
    <x v="1"/>
    <n v="5"/>
    <s v="스테이포에버"/>
    <n v="200520"/>
    <m/>
    <n v="190000"/>
  </r>
  <r>
    <x v="6"/>
    <x v="1"/>
    <m/>
    <x v="1"/>
    <x v="0"/>
    <x v="1"/>
    <n v="1"/>
    <s v="이그나이트 + 스테이포에버"/>
    <n v="200520"/>
    <m/>
    <n v="69000"/>
  </r>
  <r>
    <x v="6"/>
    <x v="1"/>
    <m/>
    <x v="1"/>
    <x v="0"/>
    <x v="1"/>
    <n v="1"/>
    <s v="스테이포에버"/>
    <n v="200520"/>
    <m/>
    <n v="38000"/>
  </r>
  <r>
    <x v="7"/>
    <x v="2"/>
    <m/>
    <x v="1"/>
    <x v="0"/>
    <x v="1"/>
    <n v="1"/>
    <s v="이그나이트"/>
    <n v="200520"/>
    <m/>
    <n v="38000"/>
  </r>
  <r>
    <x v="7"/>
    <x v="2"/>
    <m/>
    <x v="1"/>
    <x v="0"/>
    <x v="1"/>
    <n v="4"/>
    <s v="스테이포에버"/>
    <n v="200520"/>
    <m/>
    <n v="152000"/>
  </r>
  <r>
    <x v="8"/>
    <x v="5"/>
    <m/>
    <x v="1"/>
    <x v="0"/>
    <x v="1"/>
    <n v="1"/>
    <s v="이그나이트 + 스테이포에버"/>
    <n v="200520"/>
    <m/>
    <n v="69000"/>
  </r>
  <r>
    <x v="8"/>
    <x v="5"/>
    <m/>
    <x v="1"/>
    <x v="0"/>
    <x v="1"/>
    <n v="2"/>
    <s v="이그나이트"/>
    <n v="200520"/>
    <m/>
    <n v="76000"/>
  </r>
  <r>
    <x v="8"/>
    <x v="5"/>
    <m/>
    <x v="1"/>
    <x v="0"/>
    <x v="1"/>
    <n v="1"/>
    <s v="스테이포에버"/>
    <n v="200520"/>
    <m/>
    <n v="38000"/>
  </r>
  <r>
    <x v="9"/>
    <x v="6"/>
    <m/>
    <x v="1"/>
    <x v="0"/>
    <x v="1"/>
    <n v="2"/>
    <s v="스테이포에버"/>
    <n v="200520"/>
    <m/>
    <n v="76000"/>
  </r>
  <r>
    <x v="10"/>
    <x v="0"/>
    <m/>
    <x v="1"/>
    <x v="0"/>
    <x v="1"/>
    <n v="1"/>
    <s v="이그나이트 + 스테이포에버"/>
    <n v="200520"/>
    <m/>
    <n v="69000"/>
  </r>
  <r>
    <x v="10"/>
    <x v="0"/>
    <m/>
    <x v="1"/>
    <x v="0"/>
    <x v="1"/>
    <n v="2"/>
    <s v="스테이포에버"/>
    <n v="200520"/>
    <m/>
    <n v="76000"/>
  </r>
  <r>
    <x v="10"/>
    <x v="0"/>
    <m/>
    <x v="0"/>
    <x v="0"/>
    <x v="1"/>
    <n v="1"/>
    <s v="유즈쇼핑백"/>
    <n v="200520"/>
    <m/>
    <n v="2000"/>
  </r>
  <r>
    <x v="11"/>
    <x v="3"/>
    <m/>
    <x v="1"/>
    <x v="2"/>
    <x v="1"/>
    <n v="1"/>
    <s v="이그나이트 + 스테이포에버"/>
    <n v="200520"/>
    <m/>
    <n v="0"/>
  </r>
  <r>
    <x v="11"/>
    <x v="3"/>
    <m/>
    <x v="1"/>
    <x v="0"/>
    <x v="1"/>
    <n v="2"/>
    <s v="스테이포에버"/>
    <n v="200520"/>
    <m/>
    <n v="76000"/>
  </r>
  <r>
    <x v="11"/>
    <x v="3"/>
    <m/>
    <x v="1"/>
    <x v="0"/>
    <x v="1"/>
    <n v="1"/>
    <s v="이그나이트"/>
    <n v="200520"/>
    <m/>
    <n v="38000"/>
  </r>
  <r>
    <x v="12"/>
    <x v="4"/>
    <m/>
    <x v="1"/>
    <x v="0"/>
    <x v="1"/>
    <n v="1"/>
    <s v="이그나이트 + 스테이포에버"/>
    <n v="200520"/>
    <m/>
    <n v="69000"/>
  </r>
  <r>
    <x v="12"/>
    <x v="4"/>
    <m/>
    <x v="1"/>
    <x v="0"/>
    <x v="1"/>
    <n v="25"/>
    <s v="스테이포에버"/>
    <n v="200520"/>
    <m/>
    <n v="950000"/>
  </r>
  <r>
    <x v="13"/>
    <x v="1"/>
    <m/>
    <x v="1"/>
    <x v="0"/>
    <x v="1"/>
    <n v="12"/>
    <s v="스테이포에버"/>
    <n v="200520"/>
    <m/>
    <n v="456000"/>
  </r>
  <r>
    <x v="13"/>
    <x v="1"/>
    <m/>
    <x v="1"/>
    <x v="2"/>
    <x v="1"/>
    <n v="12"/>
    <s v="스테이포에버"/>
    <n v="200520"/>
    <m/>
    <n v="0"/>
  </r>
  <r>
    <x v="13"/>
    <x v="1"/>
    <m/>
    <x v="1"/>
    <x v="2"/>
    <x v="1"/>
    <n v="11"/>
    <s v="이그나이트"/>
    <n v="200520"/>
    <m/>
    <n v="0"/>
  </r>
  <r>
    <x v="13"/>
    <x v="1"/>
    <m/>
    <x v="0"/>
    <x v="2"/>
    <x v="1"/>
    <n v="1"/>
    <s v="유즈쇼핑백"/>
    <n v="200520"/>
    <m/>
    <n v="0"/>
  </r>
  <r>
    <x v="14"/>
    <x v="2"/>
    <m/>
    <x v="1"/>
    <x v="0"/>
    <x v="1"/>
    <n v="1"/>
    <s v="이그나이트 + 스테이포에버"/>
    <n v="200520"/>
    <m/>
    <n v="69000"/>
  </r>
  <r>
    <x v="14"/>
    <x v="2"/>
    <m/>
    <x v="1"/>
    <x v="0"/>
    <x v="1"/>
    <n v="9"/>
    <s v="스테이포에버"/>
    <n v="200520"/>
    <m/>
    <n v="342000"/>
  </r>
  <r>
    <x v="15"/>
    <x v="5"/>
    <m/>
    <x v="1"/>
    <x v="0"/>
    <x v="1"/>
    <n v="12"/>
    <s v="스테이포에버"/>
    <n v="200520"/>
    <m/>
    <n v="456000"/>
  </r>
  <r>
    <x v="15"/>
    <x v="5"/>
    <m/>
    <x v="1"/>
    <x v="0"/>
    <x v="1"/>
    <n v="1"/>
    <s v="이그나이트"/>
    <n v="200520"/>
    <m/>
    <n v="38000"/>
  </r>
  <r>
    <x v="16"/>
    <x v="6"/>
    <m/>
    <x v="1"/>
    <x v="0"/>
    <x v="1"/>
    <n v="22"/>
    <s v="스테이포에버"/>
    <n v="200520"/>
    <m/>
    <n v="836000"/>
  </r>
  <r>
    <x v="16"/>
    <x v="6"/>
    <m/>
    <x v="1"/>
    <x v="0"/>
    <x v="1"/>
    <n v="1"/>
    <s v="이그나이트"/>
    <n v="200520"/>
    <m/>
    <n v="38000"/>
  </r>
  <r>
    <x v="17"/>
    <x v="0"/>
    <m/>
    <x v="1"/>
    <x v="0"/>
    <x v="1"/>
    <n v="1"/>
    <s v="이그나이트"/>
    <n v="200520"/>
    <m/>
    <n v="38000"/>
  </r>
  <r>
    <x v="17"/>
    <x v="0"/>
    <m/>
    <x v="1"/>
    <x v="0"/>
    <x v="1"/>
    <n v="20"/>
    <s v="스테이포에버"/>
    <n v="200520"/>
    <m/>
    <n v="760000"/>
  </r>
  <r>
    <x v="18"/>
    <x v="3"/>
    <m/>
    <x v="1"/>
    <x v="0"/>
    <x v="1"/>
    <n v="1"/>
    <s v="이그나이트 + 스테이포에버 + 쇼핑백2개"/>
    <n v="200520"/>
    <m/>
    <n v="50000"/>
  </r>
  <r>
    <x v="18"/>
    <x v="3"/>
    <m/>
    <x v="1"/>
    <x v="0"/>
    <x v="1"/>
    <n v="1"/>
    <s v="이그나이트 + 쇼핑백"/>
    <n v="200520"/>
    <m/>
    <n v="28800"/>
  </r>
  <r>
    <x v="18"/>
    <x v="3"/>
    <m/>
    <x v="1"/>
    <x v="0"/>
    <x v="1"/>
    <n v="24"/>
    <s v="스테이포에버 + 쇼핑백"/>
    <n v="200520"/>
    <m/>
    <n v="691200"/>
  </r>
  <r>
    <x v="18"/>
    <x v="3"/>
    <m/>
    <x v="1"/>
    <x v="0"/>
    <x v="1"/>
    <n v="5"/>
    <s v="스테이포에버"/>
    <n v="200520"/>
    <m/>
    <n v="190000"/>
  </r>
  <r>
    <x v="18"/>
    <x v="3"/>
    <m/>
    <x v="1"/>
    <x v="2"/>
    <x v="1"/>
    <n v="31"/>
    <s v="스테이포에버"/>
    <n v="200520"/>
    <m/>
    <n v="0"/>
  </r>
  <r>
    <x v="18"/>
    <x v="3"/>
    <m/>
    <x v="1"/>
    <x v="2"/>
    <x v="1"/>
    <n v="31"/>
    <s v="이그나이트"/>
    <n v="200520"/>
    <m/>
    <n v="0"/>
  </r>
  <r>
    <x v="18"/>
    <x v="3"/>
    <m/>
    <x v="0"/>
    <x v="2"/>
    <x v="1"/>
    <n v="1"/>
    <s v="유즈쇼핑백"/>
    <n v="200520"/>
    <m/>
    <n v="0"/>
  </r>
  <r>
    <x v="19"/>
    <x v="4"/>
    <m/>
    <x v="1"/>
    <x v="0"/>
    <x v="1"/>
    <n v="1"/>
    <s v="이그나이트 + 스테이포에버 + 쇼핑백2개"/>
    <n v="200520"/>
    <m/>
    <n v="50000"/>
  </r>
  <r>
    <x v="19"/>
    <x v="4"/>
    <m/>
    <x v="1"/>
    <x v="0"/>
    <x v="1"/>
    <n v="19"/>
    <s v="스테이포에버 + 쇼핑백"/>
    <n v="200520"/>
    <m/>
    <n v="547200"/>
  </r>
  <r>
    <x v="19"/>
    <x v="4"/>
    <m/>
    <x v="1"/>
    <x v="2"/>
    <x v="1"/>
    <n v="1"/>
    <s v="스테이포에버"/>
    <n v="200520"/>
    <m/>
    <n v="0"/>
  </r>
  <r>
    <x v="19"/>
    <x v="4"/>
    <m/>
    <x v="1"/>
    <x v="2"/>
    <x v="1"/>
    <n v="1"/>
    <s v="이그나이트"/>
    <n v="200520"/>
    <m/>
    <n v="0"/>
  </r>
  <r>
    <x v="20"/>
    <x v="1"/>
    <m/>
    <x v="1"/>
    <x v="0"/>
    <x v="1"/>
    <n v="3"/>
    <s v="스테이포에버 + 쇼핑백"/>
    <n v="200520"/>
    <m/>
    <n v="86400"/>
  </r>
  <r>
    <x v="20"/>
    <x v="1"/>
    <m/>
    <x v="1"/>
    <x v="0"/>
    <x v="1"/>
    <n v="14"/>
    <s v="스테이포에버 + 쇼핑백"/>
    <n v="200520"/>
    <m/>
    <n v="403200"/>
  </r>
  <r>
    <x v="21"/>
    <x v="2"/>
    <m/>
    <x v="1"/>
    <x v="0"/>
    <x v="1"/>
    <n v="1"/>
    <s v="이그나이트 + 스테이포에버 + 쇼핑백2개"/>
    <n v="200520"/>
    <m/>
    <n v="50000"/>
  </r>
  <r>
    <x v="21"/>
    <x v="2"/>
    <m/>
    <x v="1"/>
    <x v="0"/>
    <x v="1"/>
    <n v="1"/>
    <s v="스테이포에버 + 쇼핑백"/>
    <n v="200520"/>
    <m/>
    <n v="28800"/>
  </r>
  <r>
    <x v="21"/>
    <x v="2"/>
    <m/>
    <x v="1"/>
    <x v="0"/>
    <x v="1"/>
    <n v="32"/>
    <s v="스테이포에버 + 쇼핑백"/>
    <n v="200520"/>
    <m/>
    <n v="921600"/>
  </r>
  <r>
    <x v="21"/>
    <x v="2"/>
    <m/>
    <x v="1"/>
    <x v="0"/>
    <x v="1"/>
    <n v="3"/>
    <s v="이그나이트 + 쇼핑백"/>
    <n v="200520"/>
    <m/>
    <n v="86400"/>
  </r>
  <r>
    <x v="22"/>
    <x v="5"/>
    <m/>
    <x v="1"/>
    <x v="0"/>
    <x v="1"/>
    <n v="1"/>
    <s v="이그나이트 + 스테이포에버 + 쇼핑백2개"/>
    <n v="200520"/>
    <m/>
    <n v="50000"/>
  </r>
  <r>
    <x v="22"/>
    <x v="5"/>
    <m/>
    <x v="1"/>
    <x v="0"/>
    <x v="1"/>
    <n v="25"/>
    <s v="스테이포에버 + 쇼핑백"/>
    <n v="200520"/>
    <m/>
    <n v="720000"/>
  </r>
  <r>
    <x v="23"/>
    <x v="6"/>
    <m/>
    <x v="1"/>
    <x v="0"/>
    <x v="1"/>
    <n v="1"/>
    <s v="이그나이트 + 스테이포에버 + 쇼핑백2개"/>
    <n v="200520"/>
    <m/>
    <n v="50000"/>
  </r>
  <r>
    <x v="23"/>
    <x v="6"/>
    <m/>
    <x v="1"/>
    <x v="0"/>
    <x v="1"/>
    <n v="24"/>
    <s v="스테이포에버 + 쇼핑백"/>
    <n v="200520"/>
    <m/>
    <n v="691200"/>
  </r>
  <r>
    <x v="23"/>
    <x v="6"/>
    <m/>
    <x v="1"/>
    <x v="2"/>
    <x v="1"/>
    <n v="1"/>
    <s v="이그나이트"/>
    <n v="200520"/>
    <m/>
    <n v="0"/>
  </r>
  <r>
    <x v="23"/>
    <x v="6"/>
    <m/>
    <x v="1"/>
    <x v="2"/>
    <x v="1"/>
    <n v="1"/>
    <s v="스테이포에버"/>
    <n v="200520"/>
    <m/>
    <n v="0"/>
  </r>
  <r>
    <x v="24"/>
    <x v="0"/>
    <m/>
    <x v="1"/>
    <x v="0"/>
    <x v="1"/>
    <n v="1"/>
    <s v="이그나이트 + 스테이포에버 + 쇼핑백2개"/>
    <n v="200520"/>
    <m/>
    <n v="50000"/>
  </r>
  <r>
    <x v="24"/>
    <x v="0"/>
    <m/>
    <x v="1"/>
    <x v="0"/>
    <x v="1"/>
    <n v="23"/>
    <s v="스테이포에버 + 쇼핑백"/>
    <n v="200520"/>
    <m/>
    <n v="662400"/>
  </r>
  <r>
    <x v="25"/>
    <x v="3"/>
    <m/>
    <x v="1"/>
    <x v="0"/>
    <x v="1"/>
    <n v="3"/>
    <s v="이그나이트 + 스테이포에버 + 쇼핑백2개"/>
    <n v="200520"/>
    <m/>
    <n v="150000"/>
  </r>
  <r>
    <x v="25"/>
    <x v="3"/>
    <m/>
    <x v="1"/>
    <x v="0"/>
    <x v="1"/>
    <n v="24"/>
    <s v="스테이포에버 + 쇼핑백"/>
    <n v="200520"/>
    <m/>
    <n v="691200"/>
  </r>
  <r>
    <x v="25"/>
    <x v="3"/>
    <m/>
    <x v="1"/>
    <x v="0"/>
    <x v="1"/>
    <n v="3"/>
    <s v="이그나이트 + 쇼핑백"/>
    <n v="200520"/>
    <m/>
    <n v="86400"/>
  </r>
  <r>
    <x v="26"/>
    <x v="4"/>
    <m/>
    <x v="1"/>
    <x v="0"/>
    <x v="1"/>
    <n v="41"/>
    <s v="스테이포에버 + 쇼핑백"/>
    <n v="200520"/>
    <m/>
    <n v="1180800"/>
  </r>
  <r>
    <x v="26"/>
    <x v="4"/>
    <m/>
    <x v="1"/>
    <x v="0"/>
    <x v="1"/>
    <n v="21"/>
    <s v="이그나이트 + 쇼핑백"/>
    <n v="200520"/>
    <m/>
    <n v="604800"/>
  </r>
  <r>
    <x v="27"/>
    <x v="1"/>
    <m/>
    <x v="1"/>
    <x v="0"/>
    <x v="1"/>
    <n v="1"/>
    <s v="이그나이트 + 스테이포에버 + 쇼핑백2개"/>
    <n v="200520"/>
    <m/>
    <n v="50000"/>
  </r>
  <r>
    <x v="27"/>
    <x v="1"/>
    <m/>
    <x v="1"/>
    <x v="0"/>
    <x v="1"/>
    <n v="41"/>
    <s v="스테이포에버 + 쇼핑백"/>
    <n v="200520"/>
    <m/>
    <n v="1180800"/>
  </r>
  <r>
    <x v="27"/>
    <x v="1"/>
    <m/>
    <x v="1"/>
    <x v="0"/>
    <x v="1"/>
    <n v="23"/>
    <s v="이그나이트 + 쇼핑백"/>
    <n v="200520"/>
    <m/>
    <n v="662400"/>
  </r>
  <r>
    <x v="27"/>
    <x v="1"/>
    <m/>
    <x v="1"/>
    <x v="2"/>
    <x v="1"/>
    <n v="1"/>
    <s v="스테이포에버"/>
    <n v="200520"/>
    <m/>
    <n v="0"/>
  </r>
  <r>
    <x v="27"/>
    <x v="1"/>
    <m/>
    <x v="1"/>
    <x v="2"/>
    <x v="1"/>
    <n v="1"/>
    <s v="이그나이트"/>
    <n v="200520"/>
    <m/>
    <n v="0"/>
  </r>
  <r>
    <x v="27"/>
    <x v="1"/>
    <m/>
    <x v="0"/>
    <x v="2"/>
    <x v="1"/>
    <n v="1"/>
    <s v="유즈쇼핑백"/>
    <n v="200520"/>
    <m/>
    <n v="0"/>
  </r>
  <r>
    <x v="28"/>
    <x v="2"/>
    <m/>
    <x v="1"/>
    <x v="0"/>
    <x v="1"/>
    <n v="9"/>
    <s v="이그나이트 + 스테이포에버 + 쇼핑백2개"/>
    <n v="200520"/>
    <m/>
    <n v="450000"/>
  </r>
  <r>
    <x v="28"/>
    <x v="2"/>
    <m/>
    <x v="1"/>
    <x v="0"/>
    <x v="1"/>
    <n v="26"/>
    <s v="이그나이트 + 쇼핑백"/>
    <n v="200520"/>
    <m/>
    <n v="748800"/>
  </r>
  <r>
    <x v="28"/>
    <x v="2"/>
    <m/>
    <x v="1"/>
    <x v="0"/>
    <x v="1"/>
    <n v="57"/>
    <s v="스테이포에버 + 쇼핑백"/>
    <n v="200520"/>
    <m/>
    <n v="1641600"/>
  </r>
  <r>
    <x v="29"/>
    <x v="5"/>
    <m/>
    <x v="1"/>
    <x v="0"/>
    <x v="1"/>
    <n v="24"/>
    <s v="스테이포에버 + 쇼핑백"/>
    <n v="200520"/>
    <m/>
    <n v="691200"/>
  </r>
  <r>
    <x v="29"/>
    <x v="5"/>
    <m/>
    <x v="1"/>
    <x v="0"/>
    <x v="1"/>
    <n v="1"/>
    <s v="이그나이트 + 스테이포에버"/>
    <n v="200520"/>
    <m/>
    <n v="69000"/>
  </r>
  <r>
    <x v="29"/>
    <x v="5"/>
    <m/>
    <x v="1"/>
    <x v="0"/>
    <x v="1"/>
    <n v="17"/>
    <s v="이그나이트"/>
    <n v="200520"/>
    <m/>
    <n v="646000"/>
  </r>
  <r>
    <x v="29"/>
    <x v="5"/>
    <m/>
    <x v="1"/>
    <x v="0"/>
    <x v="1"/>
    <n v="46"/>
    <s v="스테이포에버"/>
    <n v="200520"/>
    <m/>
    <n v="1748000"/>
  </r>
  <r>
    <x v="29"/>
    <x v="5"/>
    <m/>
    <x v="0"/>
    <x v="0"/>
    <x v="1"/>
    <n v="2"/>
    <s v="유즈쇼핑백"/>
    <n v="200520"/>
    <m/>
    <n v="4000"/>
  </r>
  <r>
    <x v="29"/>
    <x v="5"/>
    <m/>
    <x v="1"/>
    <x v="0"/>
    <x v="1"/>
    <n v="7"/>
    <s v="이그나이트 + 쇼핑백"/>
    <n v="200520"/>
    <m/>
    <n v="201600"/>
  </r>
  <r>
    <x v="30"/>
    <x v="6"/>
    <m/>
    <x v="1"/>
    <x v="0"/>
    <x v="1"/>
    <n v="17"/>
    <s v="이그나이트"/>
    <n v="200622"/>
    <m/>
    <n v="578000"/>
  </r>
  <r>
    <x v="30"/>
    <x v="6"/>
    <m/>
    <x v="1"/>
    <x v="0"/>
    <x v="1"/>
    <n v="57"/>
    <s v="스테이포에버"/>
    <n v="200622"/>
    <m/>
    <n v="1938000"/>
  </r>
  <r>
    <x v="30"/>
    <x v="6"/>
    <m/>
    <x v="1"/>
    <x v="0"/>
    <x v="1"/>
    <n v="2"/>
    <s v="이그나이트 + 쇼핑백"/>
    <n v="200520"/>
    <m/>
    <n v="57600"/>
  </r>
  <r>
    <x v="31"/>
    <x v="0"/>
    <m/>
    <x v="1"/>
    <x v="0"/>
    <x v="1"/>
    <n v="1"/>
    <s v="이그나이트 + 스테이포에버"/>
    <n v="200622"/>
    <m/>
    <n v="65000"/>
  </r>
  <r>
    <x v="31"/>
    <x v="0"/>
    <m/>
    <x v="1"/>
    <x v="0"/>
    <x v="1"/>
    <n v="29"/>
    <s v="이그나이트"/>
    <n v="200622"/>
    <m/>
    <n v="986000"/>
  </r>
  <r>
    <x v="31"/>
    <x v="0"/>
    <m/>
    <x v="1"/>
    <x v="0"/>
    <x v="1"/>
    <n v="59"/>
    <s v="스테이포에버"/>
    <n v="200622"/>
    <m/>
    <n v="2006000"/>
  </r>
  <r>
    <x v="31"/>
    <x v="0"/>
    <m/>
    <x v="0"/>
    <x v="0"/>
    <x v="1"/>
    <n v="2"/>
    <s v="유즈쇼핑백"/>
    <n v="200622"/>
    <m/>
    <n v="4000"/>
  </r>
  <r>
    <x v="32"/>
    <x v="3"/>
    <m/>
    <x v="1"/>
    <x v="0"/>
    <x v="1"/>
    <n v="4"/>
    <s v="이그나이트 + 스테이포에버"/>
    <n v="200622"/>
    <m/>
    <n v="260000"/>
  </r>
  <r>
    <x v="32"/>
    <x v="3"/>
    <m/>
    <x v="1"/>
    <x v="0"/>
    <x v="1"/>
    <n v="30"/>
    <s v="이그나이트"/>
    <n v="200622"/>
    <m/>
    <n v="1020000"/>
  </r>
  <r>
    <x v="32"/>
    <x v="3"/>
    <m/>
    <x v="1"/>
    <x v="0"/>
    <x v="1"/>
    <n v="54"/>
    <s v="스테이포에버"/>
    <n v="200622"/>
    <m/>
    <n v="1836000"/>
  </r>
  <r>
    <x v="33"/>
    <x v="4"/>
    <m/>
    <x v="1"/>
    <x v="0"/>
    <x v="1"/>
    <n v="1"/>
    <s v="이그나이트 + 스테이포에버"/>
    <n v="200622"/>
    <m/>
    <n v="65000"/>
  </r>
  <r>
    <x v="33"/>
    <x v="4"/>
    <m/>
    <x v="1"/>
    <x v="0"/>
    <x v="1"/>
    <n v="21"/>
    <s v="이그나이트"/>
    <n v="200622"/>
    <m/>
    <n v="714000"/>
  </r>
  <r>
    <x v="33"/>
    <x v="4"/>
    <m/>
    <x v="1"/>
    <x v="0"/>
    <x v="1"/>
    <n v="71"/>
    <s v="스테이포에버"/>
    <n v="200622"/>
    <m/>
    <n v="2414000"/>
  </r>
  <r>
    <x v="33"/>
    <x v="4"/>
    <m/>
    <x v="0"/>
    <x v="0"/>
    <x v="1"/>
    <n v="1"/>
    <s v="유즈쇼핑백"/>
    <n v="200622"/>
    <m/>
    <n v="2000"/>
  </r>
  <r>
    <x v="34"/>
    <x v="1"/>
    <m/>
    <x v="1"/>
    <x v="0"/>
    <x v="1"/>
    <n v="2"/>
    <s v="이그나이트 + 스테이포에버"/>
    <n v="200622"/>
    <m/>
    <n v="130000"/>
  </r>
  <r>
    <x v="34"/>
    <x v="1"/>
    <m/>
    <x v="1"/>
    <x v="0"/>
    <x v="1"/>
    <n v="20"/>
    <s v="이그나이트"/>
    <n v="200622"/>
    <m/>
    <n v="680000"/>
  </r>
  <r>
    <x v="34"/>
    <x v="1"/>
    <m/>
    <x v="1"/>
    <x v="0"/>
    <x v="1"/>
    <n v="53"/>
    <s v="스테이포에버"/>
    <n v="200622"/>
    <m/>
    <n v="1802000"/>
  </r>
  <r>
    <x v="34"/>
    <x v="1"/>
    <m/>
    <x v="0"/>
    <x v="0"/>
    <x v="1"/>
    <n v="2"/>
    <s v="유즈쇼핑백"/>
    <n v="200622"/>
    <m/>
    <n v="4000"/>
  </r>
  <r>
    <x v="35"/>
    <x v="2"/>
    <m/>
    <x v="1"/>
    <x v="0"/>
    <x v="1"/>
    <n v="21"/>
    <s v="이그나이트"/>
    <n v="200622"/>
    <m/>
    <n v="714000"/>
  </r>
  <r>
    <x v="35"/>
    <x v="2"/>
    <m/>
    <x v="1"/>
    <x v="0"/>
    <x v="1"/>
    <n v="48"/>
    <s v="스테이포에버"/>
    <n v="200622"/>
    <m/>
    <n v="1632000"/>
  </r>
  <r>
    <x v="35"/>
    <x v="2"/>
    <m/>
    <x v="0"/>
    <x v="0"/>
    <x v="1"/>
    <n v="1"/>
    <s v="유즈쇼핑백"/>
    <n v="200622"/>
    <m/>
    <n v="2000"/>
  </r>
  <r>
    <x v="36"/>
    <x v="5"/>
    <m/>
    <x v="1"/>
    <x v="0"/>
    <x v="1"/>
    <n v="2"/>
    <s v="이그나이트 + 스테이포에버"/>
    <n v="200622"/>
    <m/>
    <n v="130000"/>
  </r>
  <r>
    <x v="36"/>
    <x v="5"/>
    <m/>
    <x v="1"/>
    <x v="0"/>
    <x v="1"/>
    <n v="15"/>
    <s v="이그나이트"/>
    <n v="200622"/>
    <m/>
    <n v="510000"/>
  </r>
  <r>
    <x v="36"/>
    <x v="5"/>
    <m/>
    <x v="1"/>
    <x v="0"/>
    <x v="1"/>
    <n v="65"/>
    <s v="스테이포에버"/>
    <n v="200622"/>
    <m/>
    <n v="2210000"/>
  </r>
  <r>
    <x v="36"/>
    <x v="5"/>
    <m/>
    <x v="0"/>
    <x v="0"/>
    <x v="1"/>
    <n v="2"/>
    <s v="유즈쇼핑백"/>
    <n v="200622"/>
    <m/>
    <n v="4000"/>
  </r>
  <r>
    <x v="37"/>
    <x v="6"/>
    <m/>
    <x v="1"/>
    <x v="0"/>
    <x v="1"/>
    <n v="11"/>
    <s v="이그나이트"/>
    <n v="200622"/>
    <m/>
    <n v="374000"/>
  </r>
  <r>
    <x v="37"/>
    <x v="6"/>
    <m/>
    <x v="1"/>
    <x v="0"/>
    <x v="1"/>
    <n v="48"/>
    <s v="스테이포에버"/>
    <n v="200622"/>
    <m/>
    <n v="1632000"/>
  </r>
  <r>
    <x v="37"/>
    <x v="6"/>
    <m/>
    <x v="0"/>
    <x v="0"/>
    <x v="1"/>
    <n v="1"/>
    <s v="유즈쇼핑백"/>
    <n v="200622"/>
    <m/>
    <n v="2000"/>
  </r>
  <r>
    <x v="38"/>
    <x v="0"/>
    <m/>
    <x v="1"/>
    <x v="0"/>
    <x v="1"/>
    <n v="1"/>
    <s v="이그나이트 + 스테이포에버"/>
    <n v="200622"/>
    <m/>
    <n v="65000"/>
  </r>
  <r>
    <x v="38"/>
    <x v="0"/>
    <m/>
    <x v="1"/>
    <x v="0"/>
    <x v="1"/>
    <n v="13"/>
    <s v="이그나이트"/>
    <n v="200622"/>
    <m/>
    <n v="442000"/>
  </r>
  <r>
    <x v="38"/>
    <x v="0"/>
    <m/>
    <x v="1"/>
    <x v="0"/>
    <x v="1"/>
    <n v="49"/>
    <s v="스테이포에버"/>
    <n v="200622"/>
    <m/>
    <n v="1666000"/>
  </r>
  <r>
    <x v="38"/>
    <x v="0"/>
    <m/>
    <x v="0"/>
    <x v="0"/>
    <x v="1"/>
    <n v="1"/>
    <s v="유즈쇼핑백"/>
    <n v="200622"/>
    <m/>
    <n v="2000"/>
  </r>
  <r>
    <x v="39"/>
    <x v="3"/>
    <m/>
    <x v="1"/>
    <x v="0"/>
    <x v="1"/>
    <n v="36"/>
    <s v="스테이포에버"/>
    <n v="200622"/>
    <m/>
    <n v="1224000"/>
  </r>
  <r>
    <x v="39"/>
    <x v="3"/>
    <m/>
    <x v="1"/>
    <x v="0"/>
    <x v="1"/>
    <n v="21"/>
    <s v="이그나이트"/>
    <n v="200622"/>
    <m/>
    <n v="714000"/>
  </r>
  <r>
    <x v="40"/>
    <x v="4"/>
    <m/>
    <x v="1"/>
    <x v="0"/>
    <x v="1"/>
    <n v="24"/>
    <s v="스테이포에버"/>
    <n v="200622"/>
    <m/>
    <n v="816000"/>
  </r>
  <r>
    <x v="40"/>
    <x v="4"/>
    <m/>
    <x v="1"/>
    <x v="0"/>
    <x v="1"/>
    <n v="11"/>
    <s v="이그나이트"/>
    <n v="200622"/>
    <m/>
    <n v="374000"/>
  </r>
  <r>
    <x v="40"/>
    <x v="4"/>
    <m/>
    <x v="0"/>
    <x v="0"/>
    <x v="1"/>
    <n v="1"/>
    <s v="유즈쇼핑백"/>
    <n v="200622"/>
    <m/>
    <n v="2000"/>
  </r>
  <r>
    <x v="41"/>
    <x v="1"/>
    <m/>
    <x v="1"/>
    <x v="0"/>
    <x v="1"/>
    <n v="19"/>
    <s v="스테이포에버"/>
    <n v="200622"/>
    <m/>
    <n v="646000"/>
  </r>
  <r>
    <x v="41"/>
    <x v="1"/>
    <m/>
    <x v="0"/>
    <x v="0"/>
    <x v="1"/>
    <n v="1"/>
    <s v="유즈쇼핑백"/>
    <n v="200622"/>
    <m/>
    <n v="2000"/>
  </r>
  <r>
    <x v="41"/>
    <x v="1"/>
    <m/>
    <x v="1"/>
    <x v="0"/>
    <x v="1"/>
    <n v="2"/>
    <s v="이그나이트"/>
    <n v="200622"/>
    <m/>
    <n v="68000"/>
  </r>
  <r>
    <x v="42"/>
    <x v="2"/>
    <m/>
    <x v="1"/>
    <x v="0"/>
    <x v="1"/>
    <n v="7"/>
    <s v="스테이포에버"/>
    <n v="200622"/>
    <m/>
    <n v="238000"/>
  </r>
  <r>
    <x v="43"/>
    <x v="5"/>
    <m/>
    <x v="1"/>
    <x v="0"/>
    <x v="1"/>
    <n v="2"/>
    <s v="이그나이트"/>
    <n v="200622"/>
    <m/>
    <n v="68000"/>
  </r>
  <r>
    <x v="43"/>
    <x v="5"/>
    <m/>
    <x v="1"/>
    <x v="0"/>
    <x v="1"/>
    <n v="13"/>
    <s v="스테이포에버"/>
    <n v="200622"/>
    <m/>
    <n v="442000"/>
  </r>
  <r>
    <x v="43"/>
    <x v="5"/>
    <m/>
    <x v="0"/>
    <x v="0"/>
    <x v="1"/>
    <n v="1"/>
    <s v="유즈쇼핑백"/>
    <n v="200622"/>
    <m/>
    <n v="2000"/>
  </r>
  <r>
    <x v="44"/>
    <x v="6"/>
    <m/>
    <x v="1"/>
    <x v="0"/>
    <x v="1"/>
    <n v="24"/>
    <s v="스테이포에버"/>
    <n v="200622"/>
    <m/>
    <n v="816000"/>
  </r>
  <r>
    <x v="44"/>
    <x v="6"/>
    <m/>
    <x v="1"/>
    <x v="0"/>
    <x v="1"/>
    <n v="7"/>
    <s v="이그나이트"/>
    <n v="200622"/>
    <m/>
    <n v="238000"/>
  </r>
  <r>
    <x v="45"/>
    <x v="0"/>
    <m/>
    <x v="1"/>
    <x v="0"/>
    <x v="1"/>
    <n v="3"/>
    <s v="이그나이트 + 스테이포에버"/>
    <n v="200622"/>
    <m/>
    <n v="195000"/>
  </r>
  <r>
    <x v="45"/>
    <x v="0"/>
    <m/>
    <x v="1"/>
    <x v="0"/>
    <x v="1"/>
    <n v="36"/>
    <s v="스테이포에버"/>
    <n v="200622"/>
    <m/>
    <n v="1224000"/>
  </r>
  <r>
    <x v="45"/>
    <x v="0"/>
    <m/>
    <x v="1"/>
    <x v="0"/>
    <x v="1"/>
    <n v="5"/>
    <s v="이그나이트"/>
    <n v="200622"/>
    <m/>
    <n v="170000"/>
  </r>
  <r>
    <x v="46"/>
    <x v="3"/>
    <m/>
    <x v="1"/>
    <x v="0"/>
    <x v="1"/>
    <n v="1"/>
    <s v="이그나이트 + 스테이포에버"/>
    <n v="200622"/>
    <m/>
    <n v="65000"/>
  </r>
  <r>
    <x v="46"/>
    <x v="3"/>
    <m/>
    <x v="1"/>
    <x v="0"/>
    <x v="1"/>
    <n v="27"/>
    <s v="스테이포에버"/>
    <n v="200622"/>
    <m/>
    <n v="918000"/>
  </r>
  <r>
    <x v="46"/>
    <x v="3"/>
    <m/>
    <x v="1"/>
    <x v="0"/>
    <x v="1"/>
    <n v="3"/>
    <s v="이그나이트"/>
    <n v="200622"/>
    <m/>
    <n v="102000"/>
  </r>
  <r>
    <x v="46"/>
    <x v="3"/>
    <m/>
    <x v="0"/>
    <x v="0"/>
    <x v="1"/>
    <n v="1"/>
    <s v="유즈쇼핑백"/>
    <n v="200622"/>
    <m/>
    <n v="2000"/>
  </r>
  <r>
    <x v="47"/>
    <x v="4"/>
    <m/>
    <x v="1"/>
    <x v="0"/>
    <x v="1"/>
    <n v="1"/>
    <s v="이그나이트 + 스테이포에버"/>
    <n v="200622"/>
    <m/>
    <n v="65000"/>
  </r>
  <r>
    <x v="47"/>
    <x v="4"/>
    <m/>
    <x v="1"/>
    <x v="0"/>
    <x v="1"/>
    <n v="41"/>
    <s v="스테이포에버"/>
    <n v="200622"/>
    <m/>
    <n v="1394000"/>
  </r>
  <r>
    <x v="48"/>
    <x v="1"/>
    <m/>
    <x v="1"/>
    <x v="0"/>
    <x v="1"/>
    <n v="29"/>
    <s v="스테이포에버"/>
    <n v="200622"/>
    <m/>
    <n v="986000"/>
  </r>
  <r>
    <x v="48"/>
    <x v="1"/>
    <m/>
    <x v="0"/>
    <x v="0"/>
    <x v="1"/>
    <n v="1"/>
    <s v="유즈쇼핑백"/>
    <n v="200622"/>
    <m/>
    <n v="2000"/>
  </r>
  <r>
    <x v="48"/>
    <x v="1"/>
    <m/>
    <x v="1"/>
    <x v="0"/>
    <x v="1"/>
    <n v="1"/>
    <s v="이그나이트"/>
    <n v="200622"/>
    <m/>
    <n v="34000"/>
  </r>
  <r>
    <x v="49"/>
    <x v="2"/>
    <m/>
    <x v="1"/>
    <x v="0"/>
    <x v="1"/>
    <n v="29"/>
    <s v="스테이포에버"/>
    <n v="200622"/>
    <m/>
    <n v="986000"/>
  </r>
  <r>
    <x v="49"/>
    <x v="2"/>
    <m/>
    <x v="0"/>
    <x v="0"/>
    <x v="1"/>
    <n v="1"/>
    <s v="유즈쇼핑백"/>
    <n v="200622"/>
    <m/>
    <n v="2000"/>
  </r>
  <r>
    <x v="49"/>
    <x v="2"/>
    <m/>
    <x v="1"/>
    <x v="0"/>
    <x v="1"/>
    <n v="7"/>
    <s v="이그나이트"/>
    <n v="200622"/>
    <m/>
    <n v="238000"/>
  </r>
  <r>
    <x v="50"/>
    <x v="5"/>
    <m/>
    <x v="1"/>
    <x v="0"/>
    <x v="1"/>
    <n v="3"/>
    <s v="이그나이트"/>
    <n v="200622"/>
    <m/>
    <n v="102000"/>
  </r>
  <r>
    <x v="50"/>
    <x v="5"/>
    <m/>
    <x v="1"/>
    <x v="0"/>
    <x v="1"/>
    <n v="65"/>
    <s v="스테이포에버"/>
    <n v="200622"/>
    <m/>
    <n v="2210000"/>
  </r>
  <r>
    <x v="51"/>
    <x v="6"/>
    <m/>
    <x v="1"/>
    <x v="0"/>
    <x v="1"/>
    <n v="2"/>
    <s v="이그나이트 + 스테이포에버"/>
    <n v="200622"/>
    <m/>
    <n v="130000"/>
  </r>
  <r>
    <x v="51"/>
    <x v="6"/>
    <m/>
    <x v="1"/>
    <x v="0"/>
    <x v="1"/>
    <n v="2"/>
    <s v="이그나이트"/>
    <n v="200622"/>
    <m/>
    <n v="68000"/>
  </r>
  <r>
    <x v="51"/>
    <x v="6"/>
    <m/>
    <x v="1"/>
    <x v="0"/>
    <x v="1"/>
    <n v="46"/>
    <s v="스테이포에버"/>
    <n v="200622"/>
    <m/>
    <n v="1564000"/>
  </r>
  <r>
    <x v="52"/>
    <x v="0"/>
    <m/>
    <x v="1"/>
    <x v="0"/>
    <x v="1"/>
    <n v="3"/>
    <s v="이그나이트 + 스테이포에버"/>
    <n v="200622"/>
    <m/>
    <n v="195000"/>
  </r>
  <r>
    <x v="52"/>
    <x v="0"/>
    <m/>
    <x v="1"/>
    <x v="0"/>
    <x v="1"/>
    <n v="77"/>
    <s v="스테이포에버"/>
    <n v="200622"/>
    <m/>
    <n v="2618000"/>
  </r>
  <r>
    <x v="52"/>
    <x v="0"/>
    <m/>
    <x v="0"/>
    <x v="0"/>
    <x v="1"/>
    <n v="3"/>
    <s v="유즈쇼핑백"/>
    <n v="200622"/>
    <m/>
    <n v="6000"/>
  </r>
  <r>
    <x v="52"/>
    <x v="0"/>
    <m/>
    <x v="1"/>
    <x v="0"/>
    <x v="1"/>
    <n v="2"/>
    <s v="이그나이트"/>
    <n v="200622"/>
    <m/>
    <n v="68000"/>
  </r>
  <r>
    <x v="53"/>
    <x v="3"/>
    <m/>
    <x v="1"/>
    <x v="0"/>
    <x v="1"/>
    <n v="1"/>
    <s v="이그나이트 + 스테이포에버"/>
    <n v="200622"/>
    <m/>
    <n v="65000"/>
  </r>
  <r>
    <x v="53"/>
    <x v="3"/>
    <m/>
    <x v="1"/>
    <x v="0"/>
    <x v="1"/>
    <n v="112"/>
    <s v="스테이포에버"/>
    <n v="200622"/>
    <m/>
    <n v="3808000"/>
  </r>
  <r>
    <x v="53"/>
    <x v="3"/>
    <m/>
    <x v="0"/>
    <x v="0"/>
    <x v="1"/>
    <n v="1"/>
    <s v="유즈쇼핑백"/>
    <n v="200622"/>
    <m/>
    <n v="2000"/>
  </r>
  <r>
    <x v="53"/>
    <x v="3"/>
    <m/>
    <x v="1"/>
    <x v="0"/>
    <x v="1"/>
    <n v="3"/>
    <s v="이그나이트"/>
    <n v="200622"/>
    <m/>
    <n v="102000"/>
  </r>
  <r>
    <x v="54"/>
    <x v="4"/>
    <m/>
    <x v="1"/>
    <x v="2"/>
    <x v="1"/>
    <n v="1"/>
    <s v="이그나이트"/>
    <n v="200520"/>
    <m/>
    <n v="0"/>
  </r>
  <r>
    <x v="54"/>
    <x v="4"/>
    <m/>
    <x v="0"/>
    <x v="2"/>
    <x v="1"/>
    <n v="1"/>
    <s v="유즈쇼핑백"/>
    <n v="200520"/>
    <m/>
    <n v="0"/>
  </r>
  <r>
    <x v="54"/>
    <x v="4"/>
    <m/>
    <x v="1"/>
    <x v="0"/>
    <x v="1"/>
    <n v="51"/>
    <s v="스테이포에버"/>
    <n v="200622"/>
    <m/>
    <n v="1734000"/>
  </r>
  <r>
    <x v="55"/>
    <x v="1"/>
    <m/>
    <x v="1"/>
    <x v="0"/>
    <x v="1"/>
    <n v="86"/>
    <s v="스테이포에버"/>
    <n v="200622"/>
    <m/>
    <n v="2924000"/>
  </r>
  <r>
    <x v="55"/>
    <x v="1"/>
    <m/>
    <x v="0"/>
    <x v="0"/>
    <x v="1"/>
    <n v="2"/>
    <s v="유즈쇼핑백"/>
    <n v="200622"/>
    <m/>
    <n v="4000"/>
  </r>
  <r>
    <x v="55"/>
    <x v="1"/>
    <m/>
    <x v="1"/>
    <x v="0"/>
    <x v="1"/>
    <n v="3"/>
    <s v="이그나이트"/>
    <n v="200622"/>
    <m/>
    <n v="102000"/>
  </r>
  <r>
    <x v="56"/>
    <x v="2"/>
    <m/>
    <x v="1"/>
    <x v="0"/>
    <x v="1"/>
    <n v="41"/>
    <s v="스테이포에버"/>
    <n v="200622"/>
    <m/>
    <n v="1394000"/>
  </r>
  <r>
    <x v="56"/>
    <x v="2"/>
    <m/>
    <x v="1"/>
    <x v="0"/>
    <x v="1"/>
    <n v="1"/>
    <s v="이그나이트"/>
    <n v="200622"/>
    <m/>
    <n v="34000"/>
  </r>
  <r>
    <x v="57"/>
    <x v="5"/>
    <m/>
    <x v="1"/>
    <x v="0"/>
    <x v="1"/>
    <n v="46"/>
    <s v="스테이포에버"/>
    <n v="200622"/>
    <m/>
    <n v="1564000"/>
  </r>
  <r>
    <x v="57"/>
    <x v="5"/>
    <m/>
    <x v="0"/>
    <x v="0"/>
    <x v="1"/>
    <n v="1"/>
    <s v="유즈쇼핑백"/>
    <n v="200622"/>
    <m/>
    <n v="2000"/>
  </r>
  <r>
    <x v="58"/>
    <x v="6"/>
    <m/>
    <x v="1"/>
    <x v="0"/>
    <x v="1"/>
    <n v="1"/>
    <s v="이그나이트 + 스테이포에버"/>
    <n v="200622"/>
    <m/>
    <n v="65000"/>
  </r>
  <r>
    <x v="58"/>
    <x v="6"/>
    <m/>
    <x v="1"/>
    <x v="0"/>
    <x v="1"/>
    <n v="3"/>
    <s v="이그나이트"/>
    <n v="200622"/>
    <m/>
    <n v="102000"/>
  </r>
  <r>
    <x v="58"/>
    <x v="6"/>
    <m/>
    <x v="1"/>
    <x v="0"/>
    <x v="1"/>
    <n v="59"/>
    <s v="스테이포에버"/>
    <n v="200622"/>
    <m/>
    <n v="2006000"/>
  </r>
  <r>
    <x v="58"/>
    <x v="6"/>
    <m/>
    <x v="1"/>
    <x v="0"/>
    <x v="1"/>
    <n v="4"/>
    <s v="스테이포에버 2set"/>
    <n v="200622"/>
    <m/>
    <n v="235200"/>
  </r>
  <r>
    <x v="59"/>
    <x v="0"/>
    <m/>
    <x v="1"/>
    <x v="0"/>
    <x v="1"/>
    <n v="2"/>
    <s v="이그나이트 + 스테이포에버"/>
    <n v="200622"/>
    <m/>
    <n v="130000"/>
  </r>
  <r>
    <x v="59"/>
    <x v="0"/>
    <m/>
    <x v="1"/>
    <x v="0"/>
    <x v="1"/>
    <n v="9"/>
    <s v="이그나이트"/>
    <n v="200622"/>
    <m/>
    <n v="306000"/>
  </r>
  <r>
    <x v="59"/>
    <x v="0"/>
    <m/>
    <x v="1"/>
    <x v="0"/>
    <x v="1"/>
    <n v="77"/>
    <s v="스테이포에버"/>
    <n v="200622"/>
    <m/>
    <n v="2618000"/>
  </r>
  <r>
    <x v="59"/>
    <x v="0"/>
    <m/>
    <x v="1"/>
    <x v="0"/>
    <x v="1"/>
    <n v="8"/>
    <s v="스테이포에버 2set"/>
    <n v="200622"/>
    <m/>
    <n v="470400"/>
  </r>
  <r>
    <x v="59"/>
    <x v="0"/>
    <m/>
    <x v="1"/>
    <x v="0"/>
    <x v="1"/>
    <n v="2"/>
    <s v="이그나이트 2set"/>
    <n v="200622"/>
    <m/>
    <n v="117600"/>
  </r>
  <r>
    <x v="59"/>
    <x v="0"/>
    <m/>
    <x v="0"/>
    <x v="0"/>
    <x v="1"/>
    <n v="1"/>
    <s v="유즈쇼핑백"/>
    <n v="200622"/>
    <m/>
    <n v="2000"/>
  </r>
  <r>
    <x v="60"/>
    <x v="3"/>
    <m/>
    <x v="1"/>
    <x v="0"/>
    <x v="1"/>
    <n v="4"/>
    <s v="이그나이트 + 스테이포에버"/>
    <n v="200622"/>
    <m/>
    <n v="260000"/>
  </r>
  <r>
    <x v="60"/>
    <x v="3"/>
    <m/>
    <x v="1"/>
    <x v="0"/>
    <x v="1"/>
    <n v="90"/>
    <s v="스테이포에버"/>
    <n v="200622"/>
    <m/>
    <n v="3060000"/>
  </r>
  <r>
    <x v="60"/>
    <x v="3"/>
    <m/>
    <x v="1"/>
    <x v="0"/>
    <x v="1"/>
    <n v="10"/>
    <s v="스테이포에버 2set"/>
    <n v="200622"/>
    <m/>
    <n v="588000"/>
  </r>
  <r>
    <x v="60"/>
    <x v="3"/>
    <m/>
    <x v="0"/>
    <x v="0"/>
    <x v="1"/>
    <n v="1"/>
    <s v="유즈쇼핑백"/>
    <n v="200622"/>
    <m/>
    <n v="2000"/>
  </r>
  <r>
    <x v="60"/>
    <x v="3"/>
    <m/>
    <x v="1"/>
    <x v="0"/>
    <x v="1"/>
    <n v="1"/>
    <s v="이그나이트"/>
    <n v="200622"/>
    <m/>
    <n v="34000"/>
  </r>
  <r>
    <x v="61"/>
    <x v="4"/>
    <m/>
    <x v="1"/>
    <x v="0"/>
    <x v="1"/>
    <n v="1"/>
    <s v="이그나이트 + 스테이포에버"/>
    <n v="200622"/>
    <m/>
    <n v="65000"/>
  </r>
  <r>
    <x v="61"/>
    <x v="4"/>
    <m/>
    <x v="1"/>
    <x v="0"/>
    <x v="1"/>
    <n v="2"/>
    <s v="이그나이트"/>
    <n v="200622"/>
    <m/>
    <n v="68000"/>
  </r>
  <r>
    <x v="61"/>
    <x v="4"/>
    <m/>
    <x v="1"/>
    <x v="0"/>
    <x v="1"/>
    <n v="16"/>
    <s v="스테이포에버 2set"/>
    <n v="200622"/>
    <m/>
    <n v="940800"/>
  </r>
  <r>
    <x v="61"/>
    <x v="4"/>
    <m/>
    <x v="1"/>
    <x v="0"/>
    <x v="1"/>
    <n v="97"/>
    <s v="스테이포에버"/>
    <n v="200622"/>
    <m/>
    <n v="3298000"/>
  </r>
  <r>
    <x v="61"/>
    <x v="4"/>
    <m/>
    <x v="0"/>
    <x v="0"/>
    <x v="1"/>
    <n v="3"/>
    <s v="유즈쇼핑백"/>
    <n v="200622"/>
    <m/>
    <n v="6000"/>
  </r>
  <r>
    <x v="62"/>
    <x v="1"/>
    <m/>
    <x v="1"/>
    <x v="0"/>
    <x v="1"/>
    <n v="2"/>
    <s v="이그나이트 + 스테이포에버"/>
    <n v="200622"/>
    <m/>
    <n v="130000"/>
  </r>
  <r>
    <x v="62"/>
    <x v="1"/>
    <m/>
    <x v="1"/>
    <x v="0"/>
    <x v="1"/>
    <n v="108"/>
    <s v="스테이포에버"/>
    <n v="200622"/>
    <m/>
    <n v="3672000"/>
  </r>
  <r>
    <x v="62"/>
    <x v="1"/>
    <m/>
    <x v="1"/>
    <x v="0"/>
    <x v="1"/>
    <n v="12"/>
    <s v="스테이포에버 2set"/>
    <n v="200622"/>
    <m/>
    <n v="705600"/>
  </r>
  <r>
    <x v="62"/>
    <x v="1"/>
    <m/>
    <x v="0"/>
    <x v="0"/>
    <x v="1"/>
    <n v="2"/>
    <s v="유즈쇼핑백"/>
    <n v="200622"/>
    <m/>
    <n v="4000"/>
  </r>
  <r>
    <x v="62"/>
    <x v="1"/>
    <m/>
    <x v="1"/>
    <x v="0"/>
    <x v="1"/>
    <n v="5"/>
    <s v="이그나이트"/>
    <n v="200622"/>
    <m/>
    <n v="170000"/>
  </r>
  <r>
    <x v="63"/>
    <x v="2"/>
    <m/>
    <x v="1"/>
    <x v="0"/>
    <x v="1"/>
    <n v="3"/>
    <s v="이그나이트 + 스테이포에버"/>
    <n v="200622"/>
    <m/>
    <n v="195000"/>
  </r>
  <r>
    <x v="63"/>
    <x v="2"/>
    <m/>
    <x v="1"/>
    <x v="0"/>
    <x v="1"/>
    <n v="88"/>
    <s v="스테이포에버"/>
    <n v="200622"/>
    <m/>
    <n v="2992000"/>
  </r>
  <r>
    <x v="63"/>
    <x v="2"/>
    <m/>
    <x v="1"/>
    <x v="0"/>
    <x v="1"/>
    <n v="15"/>
    <s v="스테이포에버 2set"/>
    <n v="200622"/>
    <m/>
    <n v="882000"/>
  </r>
  <r>
    <x v="63"/>
    <x v="2"/>
    <m/>
    <x v="0"/>
    <x v="0"/>
    <x v="1"/>
    <n v="2"/>
    <s v="유즈쇼핑백"/>
    <n v="200622"/>
    <m/>
    <n v="4000"/>
  </r>
  <r>
    <x v="63"/>
    <x v="2"/>
    <m/>
    <x v="1"/>
    <x v="0"/>
    <x v="1"/>
    <n v="1"/>
    <s v="이그나이트"/>
    <n v="200622"/>
    <m/>
    <n v="34000"/>
  </r>
  <r>
    <x v="64"/>
    <x v="5"/>
    <m/>
    <x v="1"/>
    <x v="0"/>
    <x v="1"/>
    <n v="3"/>
    <s v="이그나이트 + 스테이포에버"/>
    <n v="200622"/>
    <m/>
    <n v="195000"/>
  </r>
  <r>
    <x v="64"/>
    <x v="5"/>
    <m/>
    <x v="1"/>
    <x v="0"/>
    <x v="1"/>
    <n v="124"/>
    <s v="스테이포에버"/>
    <n v="200622"/>
    <m/>
    <n v="4216000"/>
  </r>
  <r>
    <x v="64"/>
    <x v="5"/>
    <m/>
    <x v="1"/>
    <x v="0"/>
    <x v="1"/>
    <n v="21"/>
    <s v="스테이포에버 2set"/>
    <n v="200622"/>
    <m/>
    <n v="1234800"/>
  </r>
  <r>
    <x v="64"/>
    <x v="5"/>
    <m/>
    <x v="0"/>
    <x v="0"/>
    <x v="1"/>
    <n v="1"/>
    <s v="유즈쇼핑백"/>
    <n v="200622"/>
    <m/>
    <n v="2000"/>
  </r>
  <r>
    <x v="64"/>
    <x v="5"/>
    <m/>
    <x v="1"/>
    <x v="0"/>
    <x v="1"/>
    <n v="4"/>
    <s v="이그나이트"/>
    <n v="200622"/>
    <m/>
    <n v="136000"/>
  </r>
  <r>
    <x v="65"/>
    <x v="6"/>
    <m/>
    <x v="1"/>
    <x v="0"/>
    <x v="1"/>
    <n v="3"/>
    <s v="이그나이트 + 스테이포에버"/>
    <n v="200622"/>
    <m/>
    <n v="195000"/>
  </r>
  <r>
    <x v="65"/>
    <x v="6"/>
    <m/>
    <x v="1"/>
    <x v="0"/>
    <x v="1"/>
    <n v="84"/>
    <s v="스테이포에버"/>
    <n v="200622"/>
    <m/>
    <n v="2856000"/>
  </r>
  <r>
    <x v="65"/>
    <x v="6"/>
    <m/>
    <x v="1"/>
    <x v="0"/>
    <x v="1"/>
    <n v="17"/>
    <s v="스테이포에버 2set"/>
    <n v="200622"/>
    <m/>
    <n v="999600"/>
  </r>
  <r>
    <x v="65"/>
    <x v="6"/>
    <m/>
    <x v="0"/>
    <x v="0"/>
    <x v="1"/>
    <n v="1"/>
    <s v="유즈쇼핑백"/>
    <n v="200622"/>
    <m/>
    <n v="2000"/>
  </r>
  <r>
    <x v="65"/>
    <x v="6"/>
    <m/>
    <x v="1"/>
    <x v="0"/>
    <x v="1"/>
    <n v="6"/>
    <s v="이그나이트"/>
    <n v="200622"/>
    <m/>
    <n v="204000"/>
  </r>
  <r>
    <x v="66"/>
    <x v="0"/>
    <m/>
    <x v="1"/>
    <x v="0"/>
    <x v="1"/>
    <n v="103"/>
    <s v="스테이포에버"/>
    <n v="200622"/>
    <m/>
    <n v="3502000"/>
  </r>
  <r>
    <x v="66"/>
    <x v="0"/>
    <m/>
    <x v="1"/>
    <x v="0"/>
    <x v="1"/>
    <n v="17"/>
    <s v="스테이포에버 2set"/>
    <n v="200622"/>
    <m/>
    <n v="999600"/>
  </r>
  <r>
    <x v="66"/>
    <x v="0"/>
    <m/>
    <x v="1"/>
    <x v="0"/>
    <x v="1"/>
    <n v="5"/>
    <s v="이그나이트"/>
    <n v="200622"/>
    <m/>
    <n v="170000"/>
  </r>
  <r>
    <x v="66"/>
    <x v="0"/>
    <m/>
    <x v="1"/>
    <x v="0"/>
    <x v="1"/>
    <n v="1"/>
    <s v="이그나이트 2set"/>
    <n v="200622"/>
    <m/>
    <n v="58800"/>
  </r>
  <r>
    <x v="66"/>
    <x v="0"/>
    <m/>
    <x v="0"/>
    <x v="0"/>
    <x v="1"/>
    <n v="2"/>
    <s v="유즈쇼핑백"/>
    <n v="200622"/>
    <m/>
    <n v="4000"/>
  </r>
  <r>
    <x v="67"/>
    <x v="3"/>
    <m/>
    <x v="1"/>
    <x v="0"/>
    <x v="1"/>
    <n v="3"/>
    <s v="이그나이트 + 스테이포에버"/>
    <n v="200622"/>
    <m/>
    <n v="195000"/>
  </r>
  <r>
    <x v="67"/>
    <x v="3"/>
    <m/>
    <x v="1"/>
    <x v="0"/>
    <x v="1"/>
    <n v="85"/>
    <s v="스테이포에버"/>
    <n v="200622"/>
    <m/>
    <n v="2890000"/>
  </r>
  <r>
    <x v="67"/>
    <x v="3"/>
    <m/>
    <x v="1"/>
    <x v="0"/>
    <x v="1"/>
    <n v="11"/>
    <s v="스테이포에버 2set"/>
    <n v="200622"/>
    <m/>
    <n v="646800"/>
  </r>
  <r>
    <x v="67"/>
    <x v="3"/>
    <m/>
    <x v="1"/>
    <x v="0"/>
    <x v="1"/>
    <n v="4"/>
    <s v="이그나이트"/>
    <n v="200622"/>
    <m/>
    <n v="136000"/>
  </r>
  <r>
    <x v="67"/>
    <x v="3"/>
    <m/>
    <x v="0"/>
    <x v="0"/>
    <x v="1"/>
    <n v="1"/>
    <s v="유즈쇼핑백"/>
    <n v="200622"/>
    <m/>
    <n v="2000"/>
  </r>
  <r>
    <x v="68"/>
    <x v="4"/>
    <m/>
    <x v="1"/>
    <x v="0"/>
    <x v="1"/>
    <n v="2"/>
    <s v="이그나이트 + 스테이포에버"/>
    <n v="200622"/>
    <m/>
    <n v="130000"/>
  </r>
  <r>
    <x v="68"/>
    <x v="4"/>
    <m/>
    <x v="1"/>
    <x v="0"/>
    <x v="1"/>
    <n v="49"/>
    <s v="스테이포에버"/>
    <n v="200622"/>
    <m/>
    <n v="1666000"/>
  </r>
  <r>
    <x v="68"/>
    <x v="4"/>
    <m/>
    <x v="1"/>
    <x v="0"/>
    <x v="1"/>
    <n v="9"/>
    <s v="스테이포에버 2set"/>
    <n v="200622"/>
    <m/>
    <n v="529200"/>
  </r>
  <r>
    <x v="68"/>
    <x v="4"/>
    <m/>
    <x v="1"/>
    <x v="0"/>
    <x v="1"/>
    <n v="5"/>
    <s v="이그나이트"/>
    <n v="200622"/>
    <m/>
    <n v="170000"/>
  </r>
  <r>
    <x v="68"/>
    <x v="4"/>
    <m/>
    <x v="1"/>
    <x v="0"/>
    <x v="1"/>
    <n v="1"/>
    <s v="이그나이트 2set"/>
    <n v="200622"/>
    <m/>
    <n v="58800"/>
  </r>
  <r>
    <x v="69"/>
    <x v="1"/>
    <m/>
    <x v="1"/>
    <x v="0"/>
    <x v="1"/>
    <n v="52"/>
    <s v="스테이포에버"/>
    <n v="200622"/>
    <m/>
    <n v="1768000"/>
  </r>
  <r>
    <x v="69"/>
    <x v="1"/>
    <m/>
    <x v="1"/>
    <x v="0"/>
    <x v="1"/>
    <n v="8"/>
    <s v="스테이포에버 2set"/>
    <n v="200622"/>
    <m/>
    <n v="470400"/>
  </r>
  <r>
    <x v="69"/>
    <x v="1"/>
    <m/>
    <x v="1"/>
    <x v="0"/>
    <x v="1"/>
    <n v="3"/>
    <s v="이그나이트"/>
    <n v="200622"/>
    <m/>
    <n v="102000"/>
  </r>
  <r>
    <x v="70"/>
    <x v="2"/>
    <m/>
    <x v="1"/>
    <x v="0"/>
    <x v="1"/>
    <n v="50"/>
    <s v="스테이포에버"/>
    <n v="200720"/>
    <m/>
    <n v="1700000"/>
  </r>
  <r>
    <x v="70"/>
    <x v="2"/>
    <m/>
    <x v="1"/>
    <x v="0"/>
    <x v="1"/>
    <n v="11"/>
    <s v="스테이포에버 2set"/>
    <n v="200720"/>
    <m/>
    <n v="646800"/>
  </r>
  <r>
    <x v="70"/>
    <x v="2"/>
    <m/>
    <x v="1"/>
    <x v="0"/>
    <x v="1"/>
    <n v="2"/>
    <s v="이그나이트"/>
    <n v="200720"/>
    <m/>
    <n v="68000"/>
  </r>
  <r>
    <x v="70"/>
    <x v="2"/>
    <m/>
    <x v="1"/>
    <x v="0"/>
    <x v="1"/>
    <n v="2"/>
    <s v="이그나이트 2set"/>
    <n v="200720"/>
    <m/>
    <n v="117600"/>
  </r>
  <r>
    <x v="71"/>
    <x v="5"/>
    <m/>
    <x v="1"/>
    <x v="0"/>
    <x v="1"/>
    <n v="55"/>
    <s v="스테이포에버"/>
    <n v="200720"/>
    <m/>
    <n v="1870000"/>
  </r>
  <r>
    <x v="71"/>
    <x v="5"/>
    <m/>
    <x v="1"/>
    <x v="0"/>
    <x v="1"/>
    <n v="9"/>
    <s v="스테이포에버 2set"/>
    <n v="200720"/>
    <m/>
    <n v="529200"/>
  </r>
  <r>
    <x v="71"/>
    <x v="5"/>
    <m/>
    <x v="1"/>
    <x v="0"/>
    <x v="1"/>
    <n v="2"/>
    <s v="이그나이트"/>
    <n v="200720"/>
    <m/>
    <n v="68000"/>
  </r>
  <r>
    <x v="71"/>
    <x v="5"/>
    <m/>
    <x v="0"/>
    <x v="0"/>
    <x v="1"/>
    <n v="1"/>
    <s v="유즈쇼핑백"/>
    <n v="200720"/>
    <m/>
    <n v="2000"/>
  </r>
  <r>
    <x v="72"/>
    <x v="6"/>
    <m/>
    <x v="1"/>
    <x v="0"/>
    <x v="1"/>
    <n v="2"/>
    <s v="이그나이트 + 스테이포에버"/>
    <n v="200720"/>
    <m/>
    <n v="117600"/>
  </r>
  <r>
    <x v="72"/>
    <x v="6"/>
    <m/>
    <x v="1"/>
    <x v="0"/>
    <x v="1"/>
    <n v="61"/>
    <s v="스테이포에버"/>
    <n v="200720"/>
    <m/>
    <n v="2074000"/>
  </r>
  <r>
    <x v="72"/>
    <x v="6"/>
    <m/>
    <x v="1"/>
    <x v="0"/>
    <x v="1"/>
    <n v="14"/>
    <s v="스테이포에버 2set"/>
    <n v="200720"/>
    <m/>
    <n v="823200"/>
  </r>
  <r>
    <x v="72"/>
    <x v="6"/>
    <m/>
    <x v="1"/>
    <x v="0"/>
    <x v="1"/>
    <n v="5"/>
    <s v="이그나이트"/>
    <n v="200720"/>
    <m/>
    <n v="170000"/>
  </r>
  <r>
    <x v="73"/>
    <x v="0"/>
    <m/>
    <x v="1"/>
    <x v="0"/>
    <x v="1"/>
    <n v="4"/>
    <s v="이그나이트 + 스테이포에버"/>
    <n v="200720"/>
    <m/>
    <n v="235200"/>
  </r>
  <r>
    <x v="73"/>
    <x v="0"/>
    <m/>
    <x v="1"/>
    <x v="0"/>
    <x v="1"/>
    <n v="69"/>
    <s v="스테이포에버"/>
    <n v="200720"/>
    <m/>
    <n v="2346000"/>
  </r>
  <r>
    <x v="73"/>
    <x v="0"/>
    <m/>
    <x v="1"/>
    <x v="0"/>
    <x v="1"/>
    <n v="12"/>
    <s v="스테이포에버 2set"/>
    <n v="200720"/>
    <m/>
    <n v="705600"/>
  </r>
  <r>
    <x v="73"/>
    <x v="0"/>
    <m/>
    <x v="1"/>
    <x v="0"/>
    <x v="1"/>
    <n v="1"/>
    <s v="이그나이트"/>
    <n v="200720"/>
    <m/>
    <n v="34000"/>
  </r>
  <r>
    <x v="73"/>
    <x v="0"/>
    <m/>
    <x v="0"/>
    <x v="0"/>
    <x v="1"/>
    <n v="1"/>
    <s v="유즈쇼핑백"/>
    <n v="200720"/>
    <m/>
    <n v="2000"/>
  </r>
  <r>
    <x v="74"/>
    <x v="3"/>
    <m/>
    <x v="1"/>
    <x v="0"/>
    <x v="1"/>
    <n v="2"/>
    <s v="이그나이트 + 스테이포에버"/>
    <n v="200720"/>
    <m/>
    <n v="117600"/>
  </r>
  <r>
    <x v="74"/>
    <x v="3"/>
    <m/>
    <x v="1"/>
    <x v="0"/>
    <x v="1"/>
    <n v="70"/>
    <s v="스테이포에버"/>
    <n v="200720"/>
    <m/>
    <n v="2380000"/>
  </r>
  <r>
    <x v="74"/>
    <x v="3"/>
    <m/>
    <x v="1"/>
    <x v="0"/>
    <x v="1"/>
    <n v="6"/>
    <s v="스테이포에버 2set"/>
    <n v="200720"/>
    <m/>
    <n v="352800"/>
  </r>
  <r>
    <x v="74"/>
    <x v="3"/>
    <m/>
    <x v="1"/>
    <x v="0"/>
    <x v="1"/>
    <n v="2"/>
    <s v="이그나이트"/>
    <n v="200720"/>
    <m/>
    <n v="68000"/>
  </r>
  <r>
    <x v="74"/>
    <x v="3"/>
    <m/>
    <x v="0"/>
    <x v="0"/>
    <x v="1"/>
    <n v="3"/>
    <s v="유즈쇼핑백"/>
    <n v="200720"/>
    <m/>
    <n v="6000"/>
  </r>
  <r>
    <x v="75"/>
    <x v="4"/>
    <m/>
    <x v="1"/>
    <x v="0"/>
    <x v="1"/>
    <n v="2"/>
    <s v="이그나이트 + 스테이포에버"/>
    <n v="200720"/>
    <m/>
    <n v="117600"/>
  </r>
  <r>
    <x v="75"/>
    <x v="4"/>
    <m/>
    <x v="1"/>
    <x v="0"/>
    <x v="1"/>
    <n v="54"/>
    <s v="스테이포에버"/>
    <n v="200720"/>
    <m/>
    <n v="1836000"/>
  </r>
  <r>
    <x v="75"/>
    <x v="4"/>
    <m/>
    <x v="1"/>
    <x v="0"/>
    <x v="1"/>
    <n v="11"/>
    <s v="스테이포에버 2set"/>
    <n v="200720"/>
    <m/>
    <n v="646800"/>
  </r>
  <r>
    <x v="75"/>
    <x v="4"/>
    <m/>
    <x v="0"/>
    <x v="0"/>
    <x v="1"/>
    <n v="2"/>
    <s v="유즈쇼핑백"/>
    <n v="200720"/>
    <m/>
    <n v="4000"/>
  </r>
  <r>
    <x v="76"/>
    <x v="1"/>
    <m/>
    <x v="1"/>
    <x v="0"/>
    <x v="1"/>
    <n v="2"/>
    <s v="이그나이트 + 스테이포에버"/>
    <n v="200720"/>
    <m/>
    <n v="117600"/>
  </r>
  <r>
    <x v="76"/>
    <x v="1"/>
    <m/>
    <x v="1"/>
    <x v="0"/>
    <x v="1"/>
    <n v="68"/>
    <s v="스테이포에버"/>
    <n v="200720"/>
    <m/>
    <n v="2312000"/>
  </r>
  <r>
    <x v="76"/>
    <x v="1"/>
    <m/>
    <x v="1"/>
    <x v="0"/>
    <x v="1"/>
    <n v="8"/>
    <s v="스테이포에버 2set"/>
    <n v="200720"/>
    <m/>
    <n v="470400"/>
  </r>
  <r>
    <x v="76"/>
    <x v="1"/>
    <m/>
    <x v="1"/>
    <x v="0"/>
    <x v="1"/>
    <n v="1"/>
    <s v="이그나이트"/>
    <n v="200720"/>
    <m/>
    <n v="34000"/>
  </r>
  <r>
    <x v="76"/>
    <x v="1"/>
    <m/>
    <x v="0"/>
    <x v="0"/>
    <x v="1"/>
    <n v="1"/>
    <s v="유즈쇼핑백"/>
    <n v="200720"/>
    <m/>
    <n v="2000"/>
  </r>
  <r>
    <x v="77"/>
    <x v="2"/>
    <m/>
    <x v="1"/>
    <x v="0"/>
    <x v="1"/>
    <n v="2"/>
    <s v="이그나이트 + 스테이포에버"/>
    <n v="200720"/>
    <m/>
    <n v="117600"/>
  </r>
  <r>
    <x v="77"/>
    <x v="2"/>
    <m/>
    <x v="1"/>
    <x v="0"/>
    <x v="1"/>
    <n v="65"/>
    <s v="스테이포에버"/>
    <n v="200720"/>
    <m/>
    <n v="2210000"/>
  </r>
  <r>
    <x v="77"/>
    <x v="2"/>
    <m/>
    <x v="1"/>
    <x v="0"/>
    <x v="1"/>
    <n v="8"/>
    <s v="스테이포에버 2set"/>
    <n v="200720"/>
    <m/>
    <n v="470400"/>
  </r>
  <r>
    <x v="77"/>
    <x v="2"/>
    <m/>
    <x v="1"/>
    <x v="0"/>
    <x v="1"/>
    <n v="1"/>
    <s v="이그나이트"/>
    <n v="200720"/>
    <m/>
    <n v="34000"/>
  </r>
  <r>
    <x v="78"/>
    <x v="5"/>
    <m/>
    <x v="1"/>
    <x v="0"/>
    <x v="1"/>
    <n v="2"/>
    <s v="이그나이트 + 스테이포에버"/>
    <n v="200720"/>
    <m/>
    <n v="117600"/>
  </r>
  <r>
    <x v="78"/>
    <x v="5"/>
    <m/>
    <x v="1"/>
    <x v="0"/>
    <x v="1"/>
    <n v="76"/>
    <s v="스테이포에버"/>
    <n v="200720"/>
    <m/>
    <n v="2584000"/>
  </r>
  <r>
    <x v="78"/>
    <x v="5"/>
    <m/>
    <x v="1"/>
    <x v="0"/>
    <x v="1"/>
    <n v="12"/>
    <s v="스테이포에버 2set"/>
    <n v="200720"/>
    <m/>
    <n v="705600"/>
  </r>
  <r>
    <x v="78"/>
    <x v="5"/>
    <m/>
    <x v="1"/>
    <x v="0"/>
    <x v="1"/>
    <n v="1"/>
    <s v="이그나이트"/>
    <n v="200720"/>
    <m/>
    <n v="34000"/>
  </r>
  <r>
    <x v="79"/>
    <x v="6"/>
    <m/>
    <x v="1"/>
    <x v="0"/>
    <x v="1"/>
    <n v="2"/>
    <s v="이그나이트 + 스테이포에버"/>
    <n v="200720"/>
    <m/>
    <n v="117600"/>
  </r>
  <r>
    <x v="79"/>
    <x v="6"/>
    <m/>
    <x v="1"/>
    <x v="0"/>
    <x v="1"/>
    <n v="69"/>
    <s v="스테이포에버"/>
    <n v="200720"/>
    <m/>
    <n v="2346000"/>
  </r>
  <r>
    <x v="79"/>
    <x v="6"/>
    <m/>
    <x v="1"/>
    <x v="0"/>
    <x v="1"/>
    <n v="14"/>
    <s v="스테이포에버 2set"/>
    <n v="200720"/>
    <m/>
    <n v="823200"/>
  </r>
  <r>
    <x v="79"/>
    <x v="6"/>
    <m/>
    <x v="1"/>
    <x v="0"/>
    <x v="1"/>
    <n v="1"/>
    <s v="이그나이트"/>
    <n v="200720"/>
    <m/>
    <n v="34000"/>
  </r>
  <r>
    <x v="79"/>
    <x v="6"/>
    <m/>
    <x v="0"/>
    <x v="0"/>
    <x v="1"/>
    <n v="1"/>
    <s v="유즈쇼핑백"/>
    <n v="200720"/>
    <m/>
    <n v="2000"/>
  </r>
  <r>
    <x v="80"/>
    <x v="0"/>
    <m/>
    <x v="1"/>
    <x v="2"/>
    <x v="1"/>
    <n v="1"/>
    <s v="이그나이트"/>
    <n v="200520"/>
    <m/>
    <n v="0"/>
  </r>
  <r>
    <x v="80"/>
    <x v="0"/>
    <m/>
    <x v="1"/>
    <x v="0"/>
    <x v="1"/>
    <n v="2"/>
    <s v="이그나이트 + 스테이포에버"/>
    <n v="200720"/>
    <m/>
    <n v="117600"/>
  </r>
  <r>
    <x v="80"/>
    <x v="0"/>
    <m/>
    <x v="1"/>
    <x v="0"/>
    <x v="1"/>
    <n v="64"/>
    <s v="스테이포에버"/>
    <n v="200720"/>
    <m/>
    <n v="2176000"/>
  </r>
  <r>
    <x v="80"/>
    <x v="0"/>
    <m/>
    <x v="1"/>
    <x v="0"/>
    <x v="1"/>
    <n v="7"/>
    <s v="스테이포에버 2set"/>
    <n v="200720"/>
    <m/>
    <n v="411600"/>
  </r>
  <r>
    <x v="80"/>
    <x v="0"/>
    <m/>
    <x v="0"/>
    <x v="0"/>
    <x v="1"/>
    <n v="2"/>
    <s v="유즈쇼핑백"/>
    <n v="200720"/>
    <m/>
    <n v="4000"/>
  </r>
  <r>
    <x v="81"/>
    <x v="3"/>
    <m/>
    <x v="1"/>
    <x v="0"/>
    <x v="1"/>
    <n v="7"/>
    <s v="이그나이트 + 스테이포에버"/>
    <n v="200720"/>
    <m/>
    <n v="411600"/>
  </r>
  <r>
    <x v="81"/>
    <x v="3"/>
    <m/>
    <x v="1"/>
    <x v="0"/>
    <x v="1"/>
    <n v="59"/>
    <s v="스테이포에버"/>
    <n v="200720"/>
    <m/>
    <n v="2006000"/>
  </r>
  <r>
    <x v="81"/>
    <x v="3"/>
    <m/>
    <x v="1"/>
    <x v="0"/>
    <x v="1"/>
    <n v="8"/>
    <s v="스테이포에버 2set"/>
    <n v="200720"/>
    <m/>
    <n v="470400"/>
  </r>
  <r>
    <x v="81"/>
    <x v="3"/>
    <m/>
    <x v="1"/>
    <x v="0"/>
    <x v="1"/>
    <n v="1"/>
    <s v="이그나이트"/>
    <n v="200720"/>
    <m/>
    <n v="34000"/>
  </r>
  <r>
    <x v="81"/>
    <x v="3"/>
    <m/>
    <x v="1"/>
    <x v="0"/>
    <x v="1"/>
    <n v="1"/>
    <s v="이그나이트 2set"/>
    <n v="200720"/>
    <m/>
    <n v="58800"/>
  </r>
  <r>
    <x v="81"/>
    <x v="3"/>
    <m/>
    <x v="0"/>
    <x v="0"/>
    <x v="1"/>
    <n v="2"/>
    <s v="유즈쇼핑백"/>
    <n v="200720"/>
    <m/>
    <n v="4000"/>
  </r>
  <r>
    <x v="82"/>
    <x v="4"/>
    <m/>
    <x v="1"/>
    <x v="0"/>
    <x v="1"/>
    <n v="2"/>
    <s v="이그나이트 + 스테이포에버"/>
    <n v="200720"/>
    <m/>
    <n v="117600"/>
  </r>
  <r>
    <x v="82"/>
    <x v="4"/>
    <m/>
    <x v="1"/>
    <x v="0"/>
    <x v="1"/>
    <n v="49"/>
    <s v="스테이포에버"/>
    <n v="200720"/>
    <m/>
    <n v="1666000"/>
  </r>
  <r>
    <x v="82"/>
    <x v="4"/>
    <m/>
    <x v="1"/>
    <x v="0"/>
    <x v="1"/>
    <n v="10"/>
    <s v="스테이포에버 2set"/>
    <n v="200720"/>
    <m/>
    <n v="588000"/>
  </r>
  <r>
    <x v="82"/>
    <x v="4"/>
    <m/>
    <x v="1"/>
    <x v="0"/>
    <x v="1"/>
    <n v="1"/>
    <s v="이그나이트"/>
    <n v="200720"/>
    <m/>
    <n v="34000"/>
  </r>
  <r>
    <x v="83"/>
    <x v="1"/>
    <m/>
    <x v="1"/>
    <x v="0"/>
    <x v="1"/>
    <n v="3"/>
    <s v="이그나이트 + 스테이포에버"/>
    <n v="200720"/>
    <m/>
    <n v="176400"/>
  </r>
  <r>
    <x v="83"/>
    <x v="1"/>
    <m/>
    <x v="1"/>
    <x v="0"/>
    <x v="1"/>
    <n v="37"/>
    <s v="스테이포에버"/>
    <n v="200720"/>
    <m/>
    <n v="1258000"/>
  </r>
  <r>
    <x v="83"/>
    <x v="1"/>
    <m/>
    <x v="1"/>
    <x v="0"/>
    <x v="1"/>
    <n v="10"/>
    <s v="스테이포에버 2set"/>
    <n v="200720"/>
    <m/>
    <n v="588000"/>
  </r>
  <r>
    <x v="83"/>
    <x v="1"/>
    <m/>
    <x v="1"/>
    <x v="0"/>
    <x v="1"/>
    <n v="1"/>
    <s v="이그나이트"/>
    <n v="200720"/>
    <m/>
    <n v="34000"/>
  </r>
  <r>
    <x v="83"/>
    <x v="1"/>
    <m/>
    <x v="0"/>
    <x v="0"/>
    <x v="1"/>
    <n v="3"/>
    <s v="유즈쇼핑백"/>
    <n v="200720"/>
    <m/>
    <n v="6000"/>
  </r>
  <r>
    <x v="84"/>
    <x v="2"/>
    <m/>
    <x v="1"/>
    <x v="0"/>
    <x v="1"/>
    <n v="6"/>
    <s v="이그나이트 + 스테이포에버"/>
    <n v="200720"/>
    <m/>
    <n v="352800"/>
  </r>
  <r>
    <x v="84"/>
    <x v="2"/>
    <m/>
    <x v="1"/>
    <x v="0"/>
    <x v="1"/>
    <n v="35"/>
    <s v="스테이포에버"/>
    <n v="200720"/>
    <m/>
    <n v="1190000"/>
  </r>
  <r>
    <x v="84"/>
    <x v="2"/>
    <m/>
    <x v="1"/>
    <x v="0"/>
    <x v="1"/>
    <n v="3"/>
    <s v="스테이포에버 2set"/>
    <n v="200720"/>
    <m/>
    <n v="176400"/>
  </r>
  <r>
    <x v="84"/>
    <x v="2"/>
    <m/>
    <x v="0"/>
    <x v="0"/>
    <x v="1"/>
    <n v="2"/>
    <s v="유즈쇼핑백"/>
    <n v="200720"/>
    <m/>
    <n v="4000"/>
  </r>
  <r>
    <x v="85"/>
    <x v="5"/>
    <m/>
    <x v="1"/>
    <x v="0"/>
    <x v="1"/>
    <n v="1"/>
    <s v="이그나이트 + 스테이포에버"/>
    <n v="200720"/>
    <m/>
    <n v="58800"/>
  </r>
  <r>
    <x v="85"/>
    <x v="5"/>
    <m/>
    <x v="1"/>
    <x v="0"/>
    <x v="1"/>
    <n v="38"/>
    <s v="스테이포에버"/>
    <n v="200720"/>
    <m/>
    <n v="1292000"/>
  </r>
  <r>
    <x v="85"/>
    <x v="5"/>
    <m/>
    <x v="1"/>
    <x v="0"/>
    <x v="1"/>
    <n v="7"/>
    <s v="스테이포에버 2set"/>
    <n v="200720"/>
    <m/>
    <n v="411600"/>
  </r>
  <r>
    <x v="85"/>
    <x v="5"/>
    <m/>
    <x v="1"/>
    <x v="0"/>
    <x v="1"/>
    <n v="2"/>
    <s v="이그나이트"/>
    <n v="200720"/>
    <m/>
    <n v="68000"/>
  </r>
  <r>
    <x v="85"/>
    <x v="5"/>
    <m/>
    <x v="0"/>
    <x v="0"/>
    <x v="1"/>
    <n v="2"/>
    <s v="유즈쇼핑백"/>
    <n v="200720"/>
    <m/>
    <n v="4000"/>
  </r>
  <r>
    <x v="86"/>
    <x v="6"/>
    <m/>
    <x v="1"/>
    <x v="0"/>
    <x v="1"/>
    <n v="51"/>
    <s v="스테이포에버"/>
    <n v="200720"/>
    <m/>
    <n v="1734000"/>
  </r>
  <r>
    <x v="86"/>
    <x v="6"/>
    <m/>
    <x v="1"/>
    <x v="0"/>
    <x v="1"/>
    <n v="9"/>
    <s v="스테이포에버 2set"/>
    <n v="200720"/>
    <m/>
    <n v="529200"/>
  </r>
  <r>
    <x v="86"/>
    <x v="6"/>
    <m/>
    <x v="1"/>
    <x v="0"/>
    <x v="1"/>
    <n v="2"/>
    <s v="이그나이트"/>
    <n v="200720"/>
    <m/>
    <n v="68000"/>
  </r>
  <r>
    <x v="86"/>
    <x v="6"/>
    <m/>
    <x v="0"/>
    <x v="0"/>
    <x v="1"/>
    <n v="5"/>
    <s v="유즈쇼핑백"/>
    <n v="200720"/>
    <m/>
    <n v="10000"/>
  </r>
  <r>
    <x v="87"/>
    <x v="0"/>
    <m/>
    <x v="1"/>
    <x v="0"/>
    <x v="1"/>
    <n v="60"/>
    <s v="스테이포에버"/>
    <n v="200720"/>
    <m/>
    <n v="2040000"/>
  </r>
  <r>
    <x v="87"/>
    <x v="0"/>
    <m/>
    <x v="1"/>
    <x v="0"/>
    <x v="1"/>
    <n v="13"/>
    <s v="스테이포에버 2set"/>
    <n v="200720"/>
    <m/>
    <n v="764400"/>
  </r>
  <r>
    <x v="87"/>
    <x v="0"/>
    <m/>
    <x v="1"/>
    <x v="0"/>
    <x v="1"/>
    <n v="2"/>
    <s v="이그나이트"/>
    <n v="200720"/>
    <m/>
    <n v="68000"/>
  </r>
  <r>
    <x v="87"/>
    <x v="0"/>
    <m/>
    <x v="0"/>
    <x v="0"/>
    <x v="1"/>
    <n v="1"/>
    <s v="유즈쇼핑백"/>
    <n v="200720"/>
    <m/>
    <n v="2000"/>
  </r>
  <r>
    <x v="88"/>
    <x v="3"/>
    <m/>
    <x v="1"/>
    <x v="0"/>
    <x v="1"/>
    <n v="3"/>
    <s v="이그나이트 + 스테이포에버"/>
    <n v="200720"/>
    <m/>
    <n v="176400"/>
  </r>
  <r>
    <x v="88"/>
    <x v="3"/>
    <m/>
    <x v="1"/>
    <x v="0"/>
    <x v="1"/>
    <n v="65"/>
    <s v="스테이포에버"/>
    <n v="200720"/>
    <m/>
    <n v="2210000"/>
  </r>
  <r>
    <x v="88"/>
    <x v="3"/>
    <m/>
    <x v="1"/>
    <x v="0"/>
    <x v="1"/>
    <n v="14"/>
    <s v="스테이포에버 2set"/>
    <n v="200720"/>
    <m/>
    <n v="823200"/>
  </r>
  <r>
    <x v="88"/>
    <x v="3"/>
    <m/>
    <x v="1"/>
    <x v="0"/>
    <x v="1"/>
    <n v="4"/>
    <s v="이그나이트"/>
    <n v="200720"/>
    <m/>
    <n v="136000"/>
  </r>
  <r>
    <x v="88"/>
    <x v="3"/>
    <m/>
    <x v="0"/>
    <x v="0"/>
    <x v="1"/>
    <n v="1"/>
    <s v="유즈쇼핑백"/>
    <n v="200720"/>
    <m/>
    <n v="2000"/>
  </r>
  <r>
    <x v="89"/>
    <x v="4"/>
    <m/>
    <x v="1"/>
    <x v="0"/>
    <x v="1"/>
    <n v="2"/>
    <s v="이그나이트 + 스테이포에버"/>
    <n v="200720"/>
    <m/>
    <n v="117600"/>
  </r>
  <r>
    <x v="89"/>
    <x v="4"/>
    <m/>
    <x v="1"/>
    <x v="0"/>
    <x v="1"/>
    <n v="69"/>
    <s v="스테이포에버"/>
    <n v="200720"/>
    <m/>
    <n v="2346000"/>
  </r>
  <r>
    <x v="89"/>
    <x v="4"/>
    <m/>
    <x v="1"/>
    <x v="0"/>
    <x v="1"/>
    <n v="11"/>
    <s v="스테이포에버 2set"/>
    <n v="200720"/>
    <m/>
    <n v="646800"/>
  </r>
  <r>
    <x v="89"/>
    <x v="4"/>
    <m/>
    <x v="1"/>
    <x v="0"/>
    <x v="1"/>
    <n v="1"/>
    <s v="이그나이트"/>
    <n v="200720"/>
    <m/>
    <n v="34000"/>
  </r>
  <r>
    <x v="89"/>
    <x v="4"/>
    <m/>
    <x v="0"/>
    <x v="0"/>
    <x v="1"/>
    <n v="1"/>
    <s v="유즈쇼핑백"/>
    <n v="200720"/>
    <m/>
    <n v="2000"/>
  </r>
  <r>
    <x v="90"/>
    <x v="1"/>
    <m/>
    <x v="1"/>
    <x v="0"/>
    <x v="1"/>
    <n v="1"/>
    <s v="이그나이트 + 스테이포에버"/>
    <n v="200720"/>
    <m/>
    <n v="58800"/>
  </r>
  <r>
    <x v="90"/>
    <x v="1"/>
    <m/>
    <x v="1"/>
    <x v="0"/>
    <x v="1"/>
    <n v="54"/>
    <s v="스테이포에버"/>
    <n v="200720"/>
    <m/>
    <n v="1836000"/>
  </r>
  <r>
    <x v="90"/>
    <x v="1"/>
    <m/>
    <x v="1"/>
    <x v="0"/>
    <x v="1"/>
    <n v="10"/>
    <s v="스테이포에버 2set"/>
    <n v="200720"/>
    <m/>
    <n v="588000"/>
  </r>
  <r>
    <x v="90"/>
    <x v="1"/>
    <m/>
    <x v="1"/>
    <x v="0"/>
    <x v="1"/>
    <n v="1"/>
    <s v="이그나이트 2set"/>
    <n v="200720"/>
    <m/>
    <n v="58800"/>
  </r>
  <r>
    <x v="90"/>
    <x v="1"/>
    <m/>
    <x v="0"/>
    <x v="0"/>
    <x v="1"/>
    <n v="3"/>
    <s v="유즈쇼핑백"/>
    <n v="200720"/>
    <m/>
    <n v="6000"/>
  </r>
  <r>
    <x v="91"/>
    <x v="2"/>
    <m/>
    <x v="1"/>
    <x v="0"/>
    <x v="1"/>
    <n v="2"/>
    <s v="이그나이트 + 스테이포에버"/>
    <n v="200720"/>
    <m/>
    <n v="117600"/>
  </r>
  <r>
    <x v="91"/>
    <x v="2"/>
    <m/>
    <x v="1"/>
    <x v="0"/>
    <x v="1"/>
    <n v="49"/>
    <s v="스테이포에버"/>
    <n v="200720"/>
    <m/>
    <n v="1666000"/>
  </r>
  <r>
    <x v="91"/>
    <x v="2"/>
    <m/>
    <x v="1"/>
    <x v="0"/>
    <x v="1"/>
    <n v="13"/>
    <s v="스테이포에버 2set"/>
    <n v="200720"/>
    <m/>
    <n v="764400"/>
  </r>
  <r>
    <x v="91"/>
    <x v="2"/>
    <m/>
    <x v="1"/>
    <x v="0"/>
    <x v="1"/>
    <n v="3"/>
    <s v="이그나이트"/>
    <n v="200720"/>
    <m/>
    <n v="102000"/>
  </r>
  <r>
    <x v="91"/>
    <x v="2"/>
    <m/>
    <x v="1"/>
    <x v="0"/>
    <x v="1"/>
    <n v="1"/>
    <s v="이그나이트 2set"/>
    <n v="200720"/>
    <m/>
    <n v="58800"/>
  </r>
  <r>
    <x v="91"/>
    <x v="2"/>
    <m/>
    <x v="0"/>
    <x v="0"/>
    <x v="1"/>
    <n v="2"/>
    <s v="유즈쇼핑백"/>
    <n v="200720"/>
    <m/>
    <n v="4000"/>
  </r>
  <r>
    <x v="92"/>
    <x v="5"/>
    <m/>
    <x v="1"/>
    <x v="0"/>
    <x v="1"/>
    <n v="1"/>
    <s v="이그나이트 + 스테이포에버"/>
    <n v="200720"/>
    <m/>
    <n v="58800"/>
  </r>
  <r>
    <x v="92"/>
    <x v="5"/>
    <m/>
    <x v="1"/>
    <x v="0"/>
    <x v="1"/>
    <n v="68"/>
    <s v="스테이포에버"/>
    <n v="200720"/>
    <m/>
    <n v="2312000"/>
  </r>
  <r>
    <x v="92"/>
    <x v="5"/>
    <m/>
    <x v="1"/>
    <x v="0"/>
    <x v="1"/>
    <n v="21"/>
    <s v="스테이포에버 2set"/>
    <n v="200720"/>
    <m/>
    <n v="1234800"/>
  </r>
  <r>
    <x v="92"/>
    <x v="5"/>
    <m/>
    <x v="1"/>
    <x v="0"/>
    <x v="1"/>
    <n v="2"/>
    <s v="이그나이트"/>
    <n v="200720"/>
    <m/>
    <n v="68000"/>
  </r>
  <r>
    <x v="92"/>
    <x v="5"/>
    <m/>
    <x v="0"/>
    <x v="0"/>
    <x v="1"/>
    <n v="1"/>
    <s v="유즈쇼핑백"/>
    <n v="200720"/>
    <m/>
    <n v="2000"/>
  </r>
  <r>
    <x v="93"/>
    <x v="6"/>
    <m/>
    <x v="1"/>
    <x v="0"/>
    <x v="1"/>
    <n v="4"/>
    <s v="이그나이트 + 스테이포에버"/>
    <n v="200720"/>
    <m/>
    <n v="235200"/>
  </r>
  <r>
    <x v="93"/>
    <x v="6"/>
    <m/>
    <x v="1"/>
    <x v="0"/>
    <x v="1"/>
    <n v="58"/>
    <s v="스테이포에버"/>
    <n v="200720"/>
    <m/>
    <n v="1972000"/>
  </r>
  <r>
    <x v="93"/>
    <x v="6"/>
    <m/>
    <x v="1"/>
    <x v="0"/>
    <x v="1"/>
    <n v="13"/>
    <s v="스테이포에버 2set"/>
    <n v="200720"/>
    <m/>
    <n v="764400"/>
  </r>
  <r>
    <x v="93"/>
    <x v="6"/>
    <m/>
    <x v="1"/>
    <x v="0"/>
    <x v="1"/>
    <n v="1"/>
    <s v="이그나이트"/>
    <n v="200720"/>
    <m/>
    <n v="34000"/>
  </r>
  <r>
    <x v="93"/>
    <x v="6"/>
    <m/>
    <x v="0"/>
    <x v="0"/>
    <x v="1"/>
    <n v="2"/>
    <s v="유즈쇼핑백"/>
    <n v="200720"/>
    <m/>
    <n v="4000"/>
  </r>
  <r>
    <x v="94"/>
    <x v="0"/>
    <m/>
    <x v="1"/>
    <x v="0"/>
    <x v="1"/>
    <n v="1"/>
    <s v="이그나이트 + 스테이포에버"/>
    <n v="200720"/>
    <m/>
    <n v="58800"/>
  </r>
  <r>
    <x v="94"/>
    <x v="0"/>
    <m/>
    <x v="1"/>
    <x v="0"/>
    <x v="1"/>
    <n v="66"/>
    <s v="스테이포에버"/>
    <n v="200720"/>
    <m/>
    <n v="2244000"/>
  </r>
  <r>
    <x v="94"/>
    <x v="0"/>
    <m/>
    <x v="1"/>
    <x v="0"/>
    <x v="1"/>
    <n v="7"/>
    <s v="스테이포에버 2set"/>
    <n v="200720"/>
    <m/>
    <n v="411600"/>
  </r>
  <r>
    <x v="94"/>
    <x v="0"/>
    <m/>
    <x v="0"/>
    <x v="0"/>
    <x v="1"/>
    <n v="3"/>
    <s v="유즈쇼핑백"/>
    <n v="200720"/>
    <m/>
    <n v="6000"/>
  </r>
  <r>
    <x v="95"/>
    <x v="3"/>
    <m/>
    <x v="1"/>
    <x v="0"/>
    <x v="1"/>
    <n v="3"/>
    <s v="이그나이트 + 스테이포에버"/>
    <n v="200720"/>
    <m/>
    <n v="176400"/>
  </r>
  <r>
    <x v="95"/>
    <x v="3"/>
    <m/>
    <x v="1"/>
    <x v="0"/>
    <x v="1"/>
    <n v="71"/>
    <s v="스테이포에버"/>
    <n v="200720"/>
    <m/>
    <n v="2414000"/>
  </r>
  <r>
    <x v="95"/>
    <x v="3"/>
    <m/>
    <x v="1"/>
    <x v="0"/>
    <x v="1"/>
    <n v="13"/>
    <s v="스테이포에버 2set"/>
    <n v="200720"/>
    <m/>
    <n v="764400"/>
  </r>
  <r>
    <x v="95"/>
    <x v="3"/>
    <m/>
    <x v="1"/>
    <x v="0"/>
    <x v="1"/>
    <n v="2"/>
    <s v="이그나이트"/>
    <n v="200720"/>
    <m/>
    <n v="68000"/>
  </r>
  <r>
    <x v="95"/>
    <x v="3"/>
    <m/>
    <x v="0"/>
    <x v="0"/>
    <x v="1"/>
    <n v="1"/>
    <s v="유즈쇼핑백"/>
    <n v="200720"/>
    <m/>
    <n v="2000"/>
  </r>
  <r>
    <x v="96"/>
    <x v="4"/>
    <m/>
    <x v="1"/>
    <x v="0"/>
    <x v="1"/>
    <n v="75"/>
    <s v="스테이포에버"/>
    <n v="200720"/>
    <m/>
    <n v="2550000"/>
  </r>
  <r>
    <x v="96"/>
    <x v="4"/>
    <m/>
    <x v="1"/>
    <x v="0"/>
    <x v="1"/>
    <n v="18"/>
    <s v="스테이포에버 2set"/>
    <n v="200720"/>
    <m/>
    <n v="1058400"/>
  </r>
  <r>
    <x v="96"/>
    <x v="4"/>
    <m/>
    <x v="1"/>
    <x v="0"/>
    <x v="1"/>
    <n v="1"/>
    <s v="이그나이트"/>
    <n v="200720"/>
    <m/>
    <n v="34000"/>
  </r>
  <r>
    <x v="96"/>
    <x v="4"/>
    <m/>
    <x v="0"/>
    <x v="0"/>
    <x v="1"/>
    <n v="1"/>
    <s v="유즈쇼핑백"/>
    <n v="200720"/>
    <m/>
    <n v="2000"/>
  </r>
  <r>
    <x v="97"/>
    <x v="1"/>
    <m/>
    <x v="0"/>
    <x v="2"/>
    <x v="1"/>
    <n v="50"/>
    <s v="유즈쇼핑백"/>
    <n v="200520"/>
    <m/>
    <n v="0"/>
  </r>
  <r>
    <x v="97"/>
    <x v="1"/>
    <m/>
    <x v="1"/>
    <x v="0"/>
    <x v="1"/>
    <n v="1"/>
    <s v="이그나이트 + 스테이포에버"/>
    <n v="200720"/>
    <m/>
    <n v="58800"/>
  </r>
  <r>
    <x v="97"/>
    <x v="1"/>
    <m/>
    <x v="1"/>
    <x v="0"/>
    <x v="1"/>
    <n v="62"/>
    <s v="스테이포에버"/>
    <n v="200720"/>
    <m/>
    <n v="2108000"/>
  </r>
  <r>
    <x v="97"/>
    <x v="1"/>
    <m/>
    <x v="1"/>
    <x v="0"/>
    <x v="1"/>
    <n v="16"/>
    <s v="스테이포에버 2set"/>
    <n v="200720"/>
    <m/>
    <n v="940800"/>
  </r>
  <r>
    <x v="97"/>
    <x v="1"/>
    <m/>
    <x v="1"/>
    <x v="0"/>
    <x v="1"/>
    <n v="1"/>
    <s v="이그나이트 2set"/>
    <n v="200720"/>
    <m/>
    <n v="58800"/>
  </r>
  <r>
    <x v="98"/>
    <x v="2"/>
    <m/>
    <x v="1"/>
    <x v="0"/>
    <x v="1"/>
    <n v="1"/>
    <s v="이그나이트 + 스테이포에버"/>
    <n v="200720"/>
    <m/>
    <n v="58800"/>
  </r>
  <r>
    <x v="98"/>
    <x v="2"/>
    <m/>
    <x v="1"/>
    <x v="0"/>
    <x v="1"/>
    <n v="68"/>
    <s v="스테이포에버"/>
    <n v="200720"/>
    <m/>
    <n v="2312000"/>
  </r>
  <r>
    <x v="98"/>
    <x v="2"/>
    <m/>
    <x v="1"/>
    <x v="0"/>
    <x v="1"/>
    <n v="11"/>
    <s v="스테이포에버 2set"/>
    <n v="200720"/>
    <m/>
    <n v="646800"/>
  </r>
  <r>
    <x v="98"/>
    <x v="2"/>
    <m/>
    <x v="0"/>
    <x v="0"/>
    <x v="1"/>
    <n v="1"/>
    <s v="유즈쇼핑백"/>
    <n v="200720"/>
    <m/>
    <n v="2000"/>
  </r>
  <r>
    <x v="99"/>
    <x v="5"/>
    <m/>
    <x v="1"/>
    <x v="0"/>
    <x v="1"/>
    <n v="4"/>
    <s v="이그나이트 + 스테이포에버"/>
    <n v="200720"/>
    <m/>
    <n v="235200"/>
  </r>
  <r>
    <x v="99"/>
    <x v="5"/>
    <m/>
    <x v="1"/>
    <x v="0"/>
    <x v="1"/>
    <n v="74"/>
    <s v="스테이포에버"/>
    <n v="200720"/>
    <m/>
    <n v="2516000"/>
  </r>
  <r>
    <x v="99"/>
    <x v="5"/>
    <m/>
    <x v="1"/>
    <x v="0"/>
    <x v="1"/>
    <n v="15"/>
    <s v="스테이포에버 2set"/>
    <n v="200720"/>
    <m/>
    <n v="882000"/>
  </r>
  <r>
    <x v="99"/>
    <x v="5"/>
    <m/>
    <x v="1"/>
    <x v="0"/>
    <x v="1"/>
    <n v="2"/>
    <s v="이그나이트"/>
    <n v="200720"/>
    <m/>
    <n v="68000"/>
  </r>
  <r>
    <x v="99"/>
    <x v="5"/>
    <m/>
    <x v="1"/>
    <x v="0"/>
    <x v="1"/>
    <n v="1"/>
    <s v="이그나이트 2set"/>
    <n v="200720"/>
    <m/>
    <n v="58800"/>
  </r>
  <r>
    <x v="99"/>
    <x v="5"/>
    <m/>
    <x v="0"/>
    <x v="0"/>
    <x v="1"/>
    <n v="2"/>
    <s v="유즈쇼핑백"/>
    <n v="200720"/>
    <m/>
    <n v="4000"/>
  </r>
  <r>
    <x v="100"/>
    <x v="6"/>
    <m/>
    <x v="1"/>
    <x v="0"/>
    <x v="1"/>
    <n v="2"/>
    <s v="이그나이트 + 스테이포에버"/>
    <n v="200720"/>
    <m/>
    <n v="117600"/>
  </r>
  <r>
    <x v="100"/>
    <x v="6"/>
    <m/>
    <x v="1"/>
    <x v="0"/>
    <x v="1"/>
    <n v="83"/>
    <s v="스테이포에버"/>
    <n v="200720"/>
    <m/>
    <n v="2822000"/>
  </r>
  <r>
    <x v="100"/>
    <x v="6"/>
    <m/>
    <x v="1"/>
    <x v="0"/>
    <x v="1"/>
    <n v="10"/>
    <s v="스테이포에버 2set"/>
    <n v="200720"/>
    <m/>
    <n v="588000"/>
  </r>
  <r>
    <x v="100"/>
    <x v="6"/>
    <m/>
    <x v="1"/>
    <x v="0"/>
    <x v="1"/>
    <n v="1"/>
    <s v="이그나이트"/>
    <n v="200720"/>
    <m/>
    <n v="34000"/>
  </r>
  <r>
    <x v="100"/>
    <x v="6"/>
    <m/>
    <x v="1"/>
    <x v="0"/>
    <x v="1"/>
    <n v="1"/>
    <s v="이그나이트 2set"/>
    <n v="200720"/>
    <m/>
    <n v="58800"/>
  </r>
  <r>
    <x v="100"/>
    <x v="6"/>
    <m/>
    <x v="0"/>
    <x v="0"/>
    <x v="1"/>
    <n v="1"/>
    <s v="유즈쇼핑백"/>
    <n v="200720"/>
    <m/>
    <n v="2000"/>
  </r>
  <r>
    <x v="101"/>
    <x v="0"/>
    <m/>
    <x v="1"/>
    <x v="0"/>
    <x v="1"/>
    <n v="1"/>
    <s v="이그나이트 + 스테이포에버"/>
    <n v="200720"/>
    <m/>
    <n v="58800"/>
  </r>
  <r>
    <x v="101"/>
    <x v="0"/>
    <m/>
    <x v="1"/>
    <x v="0"/>
    <x v="1"/>
    <n v="85"/>
    <s v="스테이포에버"/>
    <n v="200720"/>
    <m/>
    <n v="2890000"/>
  </r>
  <r>
    <x v="101"/>
    <x v="0"/>
    <m/>
    <x v="1"/>
    <x v="0"/>
    <x v="1"/>
    <n v="17"/>
    <s v="스테이포에버 2set"/>
    <n v="200720"/>
    <m/>
    <n v="999600"/>
  </r>
  <r>
    <x v="101"/>
    <x v="0"/>
    <m/>
    <x v="1"/>
    <x v="0"/>
    <x v="1"/>
    <n v="5"/>
    <s v="이그나이트"/>
    <n v="200720"/>
    <m/>
    <n v="170000"/>
  </r>
  <r>
    <x v="101"/>
    <x v="0"/>
    <m/>
    <x v="1"/>
    <x v="0"/>
    <x v="1"/>
    <n v="1"/>
    <s v="이그나이트 2set"/>
    <n v="200720"/>
    <m/>
    <n v="58800"/>
  </r>
  <r>
    <x v="101"/>
    <x v="0"/>
    <m/>
    <x v="0"/>
    <x v="0"/>
    <x v="1"/>
    <n v="2"/>
    <s v="유즈쇼핑백"/>
    <n v="200720"/>
    <m/>
    <n v="4000"/>
  </r>
  <r>
    <x v="102"/>
    <x v="3"/>
    <m/>
    <x v="1"/>
    <x v="0"/>
    <x v="1"/>
    <n v="3"/>
    <s v="이그나이트 + 스테이포에버"/>
    <n v="200720"/>
    <m/>
    <n v="176400"/>
  </r>
  <r>
    <x v="102"/>
    <x v="3"/>
    <m/>
    <x v="1"/>
    <x v="0"/>
    <x v="1"/>
    <n v="88"/>
    <s v="스테이포에버"/>
    <n v="200720"/>
    <m/>
    <n v="2992000"/>
  </r>
  <r>
    <x v="102"/>
    <x v="3"/>
    <m/>
    <x v="1"/>
    <x v="0"/>
    <x v="1"/>
    <n v="10"/>
    <s v="스테이포에버 2set"/>
    <n v="200720"/>
    <m/>
    <n v="588000"/>
  </r>
  <r>
    <x v="102"/>
    <x v="3"/>
    <m/>
    <x v="1"/>
    <x v="0"/>
    <x v="1"/>
    <n v="2"/>
    <s v="이그나이트"/>
    <n v="200720"/>
    <m/>
    <n v="68000"/>
  </r>
  <r>
    <x v="102"/>
    <x v="3"/>
    <m/>
    <x v="1"/>
    <x v="0"/>
    <x v="1"/>
    <n v="3"/>
    <s v="이그나이트 2set"/>
    <n v="200720"/>
    <m/>
    <n v="176400"/>
  </r>
  <r>
    <x v="102"/>
    <x v="3"/>
    <m/>
    <x v="0"/>
    <x v="0"/>
    <x v="1"/>
    <n v="3"/>
    <s v="유즈쇼핑백"/>
    <n v="200720"/>
    <m/>
    <n v="6000"/>
  </r>
  <r>
    <x v="103"/>
    <x v="4"/>
    <m/>
    <x v="1"/>
    <x v="0"/>
    <x v="1"/>
    <n v="3"/>
    <s v="이그나이트 + 스테이포에버"/>
    <n v="200720"/>
    <m/>
    <n v="176400"/>
  </r>
  <r>
    <x v="103"/>
    <x v="4"/>
    <m/>
    <x v="1"/>
    <x v="0"/>
    <x v="1"/>
    <n v="66"/>
    <s v="스테이포에버"/>
    <n v="200720"/>
    <m/>
    <n v="2244000"/>
  </r>
  <r>
    <x v="103"/>
    <x v="4"/>
    <m/>
    <x v="1"/>
    <x v="0"/>
    <x v="1"/>
    <n v="16"/>
    <s v="스테이포에버 2set"/>
    <n v="200720"/>
    <m/>
    <n v="940800"/>
  </r>
  <r>
    <x v="103"/>
    <x v="4"/>
    <m/>
    <x v="1"/>
    <x v="0"/>
    <x v="1"/>
    <n v="1"/>
    <s v="이그나이트"/>
    <n v="200720"/>
    <m/>
    <n v="34000"/>
  </r>
  <r>
    <x v="103"/>
    <x v="4"/>
    <m/>
    <x v="1"/>
    <x v="0"/>
    <x v="1"/>
    <n v="1"/>
    <s v="이그나이트 2set"/>
    <n v="200720"/>
    <m/>
    <n v="58800"/>
  </r>
  <r>
    <x v="103"/>
    <x v="4"/>
    <m/>
    <x v="0"/>
    <x v="0"/>
    <x v="1"/>
    <n v="2"/>
    <s v="유즈쇼핑백"/>
    <n v="200720"/>
    <m/>
    <n v="4000"/>
  </r>
  <r>
    <x v="104"/>
    <x v="1"/>
    <m/>
    <x v="1"/>
    <x v="0"/>
    <x v="1"/>
    <n v="4"/>
    <s v="이그나이트 + 스테이포에버"/>
    <n v="200720"/>
    <m/>
    <n v="235200"/>
  </r>
  <r>
    <x v="104"/>
    <x v="1"/>
    <m/>
    <x v="1"/>
    <x v="0"/>
    <x v="1"/>
    <n v="79"/>
    <s v="스테이포에버"/>
    <n v="200720"/>
    <m/>
    <n v="2686000"/>
  </r>
  <r>
    <x v="104"/>
    <x v="1"/>
    <m/>
    <x v="1"/>
    <x v="0"/>
    <x v="1"/>
    <n v="13"/>
    <s v="스테이포에버 2set"/>
    <n v="200720"/>
    <m/>
    <n v="764400"/>
  </r>
  <r>
    <x v="104"/>
    <x v="1"/>
    <m/>
    <x v="1"/>
    <x v="0"/>
    <x v="1"/>
    <n v="1"/>
    <s v="이그나이트 2set"/>
    <n v="200720"/>
    <m/>
    <n v="58800"/>
  </r>
  <r>
    <x v="105"/>
    <x v="2"/>
    <m/>
    <x v="1"/>
    <x v="0"/>
    <x v="1"/>
    <n v="4"/>
    <s v="이그나이트 + 스테이포에버"/>
    <n v="200720"/>
    <m/>
    <n v="235200"/>
  </r>
  <r>
    <x v="105"/>
    <x v="2"/>
    <m/>
    <x v="1"/>
    <x v="0"/>
    <x v="1"/>
    <n v="67"/>
    <s v="스테이포에버"/>
    <n v="200720"/>
    <m/>
    <n v="2278000"/>
  </r>
  <r>
    <x v="105"/>
    <x v="2"/>
    <m/>
    <x v="1"/>
    <x v="0"/>
    <x v="1"/>
    <n v="9"/>
    <s v="스테이포에버 2set"/>
    <n v="200720"/>
    <m/>
    <n v="529200"/>
  </r>
  <r>
    <x v="105"/>
    <x v="2"/>
    <m/>
    <x v="0"/>
    <x v="0"/>
    <x v="1"/>
    <n v="2"/>
    <s v="유즈쇼핑백"/>
    <n v="200720"/>
    <m/>
    <n v="4000"/>
  </r>
  <r>
    <x v="106"/>
    <x v="5"/>
    <m/>
    <x v="1"/>
    <x v="0"/>
    <x v="1"/>
    <n v="3"/>
    <s v="이그나이트 + 스테이포에버"/>
    <n v="200720"/>
    <m/>
    <n v="176400"/>
  </r>
  <r>
    <x v="106"/>
    <x v="5"/>
    <m/>
    <x v="1"/>
    <x v="0"/>
    <x v="1"/>
    <n v="1"/>
    <s v="이그나이트 + 스테이포에버 2set"/>
    <n v="200720"/>
    <m/>
    <n v="94800"/>
  </r>
  <r>
    <x v="106"/>
    <x v="5"/>
    <m/>
    <x v="1"/>
    <x v="0"/>
    <x v="1"/>
    <n v="72"/>
    <s v="스테이포에버"/>
    <n v="200720"/>
    <m/>
    <n v="2448000"/>
  </r>
  <r>
    <x v="106"/>
    <x v="5"/>
    <m/>
    <x v="1"/>
    <x v="0"/>
    <x v="1"/>
    <n v="7"/>
    <s v="스테이포에버 2set"/>
    <n v="200720"/>
    <m/>
    <n v="411600"/>
  </r>
  <r>
    <x v="106"/>
    <x v="5"/>
    <m/>
    <x v="0"/>
    <x v="0"/>
    <x v="1"/>
    <n v="1"/>
    <s v="유즈쇼핑백"/>
    <n v="200720"/>
    <m/>
    <n v="2000"/>
  </r>
  <r>
    <x v="107"/>
    <x v="6"/>
    <m/>
    <x v="1"/>
    <x v="2"/>
    <x v="1"/>
    <n v="1"/>
    <s v="스테이포에버"/>
    <n v="200520"/>
    <m/>
    <n v="0"/>
  </r>
  <r>
    <x v="107"/>
    <x v="6"/>
    <m/>
    <x v="1"/>
    <x v="0"/>
    <x v="1"/>
    <n v="3"/>
    <s v="이그나이트 + 스테이포에버"/>
    <n v="200720"/>
    <m/>
    <n v="176400"/>
  </r>
  <r>
    <x v="107"/>
    <x v="6"/>
    <m/>
    <x v="1"/>
    <x v="0"/>
    <x v="1"/>
    <n v="71"/>
    <s v="스테이포에버"/>
    <n v="200720"/>
    <m/>
    <n v="2414000"/>
  </r>
  <r>
    <x v="107"/>
    <x v="6"/>
    <m/>
    <x v="1"/>
    <x v="0"/>
    <x v="1"/>
    <n v="8"/>
    <s v="스테이포에버 2set"/>
    <n v="200720"/>
    <m/>
    <n v="470400"/>
  </r>
  <r>
    <x v="107"/>
    <x v="6"/>
    <m/>
    <x v="1"/>
    <x v="0"/>
    <x v="1"/>
    <n v="1"/>
    <s v="이그나이트"/>
    <n v="200720"/>
    <m/>
    <n v="34000"/>
  </r>
  <r>
    <x v="107"/>
    <x v="6"/>
    <m/>
    <x v="0"/>
    <x v="0"/>
    <x v="1"/>
    <n v="4"/>
    <s v="유즈쇼핑백"/>
    <n v="200720"/>
    <m/>
    <n v="8000"/>
  </r>
  <r>
    <x v="108"/>
    <x v="0"/>
    <m/>
    <x v="1"/>
    <x v="2"/>
    <x v="1"/>
    <n v="3"/>
    <s v="스테이포에버"/>
    <n v="200520"/>
    <m/>
    <n v="0"/>
  </r>
  <r>
    <x v="108"/>
    <x v="0"/>
    <m/>
    <x v="1"/>
    <x v="2"/>
    <x v="1"/>
    <n v="3"/>
    <s v="이그나이트"/>
    <n v="200520"/>
    <m/>
    <n v="0"/>
  </r>
  <r>
    <x v="108"/>
    <x v="0"/>
    <m/>
    <x v="1"/>
    <x v="0"/>
    <x v="1"/>
    <n v="9"/>
    <s v="이그나이트 + 스테이포에버"/>
    <n v="200720"/>
    <m/>
    <n v="529200"/>
  </r>
  <r>
    <x v="108"/>
    <x v="0"/>
    <m/>
    <x v="1"/>
    <x v="0"/>
    <x v="1"/>
    <n v="60"/>
    <s v="스테이포에버"/>
    <n v="200720"/>
    <m/>
    <n v="2040000"/>
  </r>
  <r>
    <x v="108"/>
    <x v="0"/>
    <m/>
    <x v="1"/>
    <x v="0"/>
    <x v="1"/>
    <n v="8"/>
    <s v="스테이포에버 2set"/>
    <n v="200720"/>
    <m/>
    <n v="470400"/>
  </r>
  <r>
    <x v="108"/>
    <x v="0"/>
    <m/>
    <x v="1"/>
    <x v="0"/>
    <x v="1"/>
    <n v="1"/>
    <s v="이그나이트 2set"/>
    <n v="200720"/>
    <m/>
    <n v="58800"/>
  </r>
  <r>
    <x v="108"/>
    <x v="0"/>
    <m/>
    <x v="0"/>
    <x v="0"/>
    <x v="1"/>
    <n v="7"/>
    <s v="유즈쇼핑백"/>
    <n v="200720"/>
    <m/>
    <n v="14000"/>
  </r>
  <r>
    <x v="109"/>
    <x v="3"/>
    <m/>
    <x v="1"/>
    <x v="2"/>
    <x v="1"/>
    <n v="11"/>
    <s v="스테이포에버"/>
    <n v="200520"/>
    <m/>
    <n v="0"/>
  </r>
  <r>
    <x v="109"/>
    <x v="3"/>
    <m/>
    <x v="1"/>
    <x v="2"/>
    <x v="1"/>
    <n v="1"/>
    <s v="이그나이트"/>
    <n v="200520"/>
    <m/>
    <n v="0"/>
  </r>
  <r>
    <x v="109"/>
    <x v="3"/>
    <m/>
    <x v="1"/>
    <x v="0"/>
    <x v="1"/>
    <n v="6"/>
    <s v="이그나이트 + 스테이포에버"/>
    <n v="200720"/>
    <m/>
    <n v="352800"/>
  </r>
  <r>
    <x v="109"/>
    <x v="3"/>
    <m/>
    <x v="1"/>
    <x v="0"/>
    <x v="1"/>
    <n v="69"/>
    <s v="스테이포에버"/>
    <n v="200720"/>
    <m/>
    <n v="2346000"/>
  </r>
  <r>
    <x v="109"/>
    <x v="3"/>
    <m/>
    <x v="1"/>
    <x v="0"/>
    <x v="1"/>
    <n v="13"/>
    <s v="스테이포에버 2set"/>
    <n v="200720"/>
    <m/>
    <n v="764400"/>
  </r>
  <r>
    <x v="109"/>
    <x v="3"/>
    <m/>
    <x v="1"/>
    <x v="0"/>
    <x v="1"/>
    <n v="1"/>
    <s v="이그나이트"/>
    <n v="200720"/>
    <m/>
    <n v="34000"/>
  </r>
  <r>
    <x v="109"/>
    <x v="3"/>
    <m/>
    <x v="0"/>
    <x v="0"/>
    <x v="1"/>
    <n v="2"/>
    <s v="유즈쇼핑백"/>
    <n v="200720"/>
    <m/>
    <n v="4000"/>
  </r>
  <r>
    <x v="110"/>
    <x v="4"/>
    <m/>
    <x v="1"/>
    <x v="2"/>
    <x v="1"/>
    <n v="9"/>
    <s v="스테이포에버"/>
    <n v="200520"/>
    <m/>
    <n v="0"/>
  </r>
  <r>
    <x v="110"/>
    <x v="4"/>
    <m/>
    <x v="1"/>
    <x v="2"/>
    <x v="1"/>
    <n v="1"/>
    <s v="이그나이트"/>
    <n v="200520"/>
    <m/>
    <n v="0"/>
  </r>
  <r>
    <x v="110"/>
    <x v="4"/>
    <m/>
    <x v="1"/>
    <x v="0"/>
    <x v="1"/>
    <n v="3"/>
    <s v="이그나이트 + 스테이포에버"/>
    <n v="200720"/>
    <m/>
    <n v="176400"/>
  </r>
  <r>
    <x v="110"/>
    <x v="4"/>
    <m/>
    <x v="1"/>
    <x v="0"/>
    <x v="1"/>
    <n v="66"/>
    <s v="스테이포에버"/>
    <n v="200720"/>
    <m/>
    <n v="2244000"/>
  </r>
  <r>
    <x v="110"/>
    <x v="4"/>
    <m/>
    <x v="1"/>
    <x v="0"/>
    <x v="1"/>
    <n v="8"/>
    <s v="스테이포에버 2set"/>
    <n v="200720"/>
    <m/>
    <n v="470400"/>
  </r>
  <r>
    <x v="110"/>
    <x v="4"/>
    <m/>
    <x v="1"/>
    <x v="0"/>
    <x v="1"/>
    <n v="3"/>
    <s v="이그나이트"/>
    <n v="200720"/>
    <m/>
    <n v="102000"/>
  </r>
  <r>
    <x v="110"/>
    <x v="4"/>
    <m/>
    <x v="0"/>
    <x v="0"/>
    <x v="1"/>
    <n v="1"/>
    <s v="유즈쇼핑백"/>
    <n v="200720"/>
    <m/>
    <n v="2000"/>
  </r>
  <r>
    <x v="111"/>
    <x v="1"/>
    <m/>
    <x v="1"/>
    <x v="0"/>
    <x v="1"/>
    <n v="5"/>
    <s v="이그나이트 + 스테이포에버"/>
    <n v="200720"/>
    <m/>
    <n v="294000"/>
  </r>
  <r>
    <x v="111"/>
    <x v="1"/>
    <m/>
    <x v="1"/>
    <x v="0"/>
    <x v="1"/>
    <n v="66"/>
    <s v="스테이포에버"/>
    <n v="200720"/>
    <m/>
    <n v="2244000"/>
  </r>
  <r>
    <x v="111"/>
    <x v="1"/>
    <m/>
    <x v="1"/>
    <x v="0"/>
    <x v="1"/>
    <n v="15"/>
    <s v="스테이포에버 2set"/>
    <n v="200720"/>
    <m/>
    <n v="882000"/>
  </r>
  <r>
    <x v="111"/>
    <x v="1"/>
    <m/>
    <x v="1"/>
    <x v="0"/>
    <x v="1"/>
    <n v="1"/>
    <s v="이그나이트"/>
    <n v="200720"/>
    <m/>
    <n v="34000"/>
  </r>
  <r>
    <x v="111"/>
    <x v="1"/>
    <m/>
    <x v="0"/>
    <x v="0"/>
    <x v="1"/>
    <n v="3"/>
    <s v="유즈쇼핑백"/>
    <n v="200720"/>
    <m/>
    <n v="6000"/>
  </r>
  <r>
    <x v="112"/>
    <x v="2"/>
    <m/>
    <x v="1"/>
    <x v="0"/>
    <x v="1"/>
    <n v="5"/>
    <s v="이그나이트 + 스테이포에버"/>
    <n v="200720"/>
    <m/>
    <n v="294000"/>
  </r>
  <r>
    <x v="112"/>
    <x v="2"/>
    <m/>
    <x v="1"/>
    <x v="0"/>
    <x v="1"/>
    <n v="64"/>
    <s v="스테이포에버"/>
    <n v="200720"/>
    <m/>
    <n v="2176000"/>
  </r>
  <r>
    <x v="112"/>
    <x v="2"/>
    <m/>
    <x v="1"/>
    <x v="0"/>
    <x v="1"/>
    <n v="8"/>
    <s v="스테이포에버 2set"/>
    <n v="200720"/>
    <m/>
    <n v="470400"/>
  </r>
  <r>
    <x v="112"/>
    <x v="2"/>
    <m/>
    <x v="0"/>
    <x v="0"/>
    <x v="1"/>
    <n v="2"/>
    <s v="유즈쇼핑백"/>
    <n v="200720"/>
    <m/>
    <n v="4000"/>
  </r>
  <r>
    <x v="113"/>
    <x v="5"/>
    <m/>
    <x v="1"/>
    <x v="0"/>
    <x v="1"/>
    <n v="4"/>
    <s v="이그나이트 + 스테이포에버"/>
    <n v="200720"/>
    <m/>
    <n v="235200"/>
  </r>
  <r>
    <x v="113"/>
    <x v="5"/>
    <m/>
    <x v="1"/>
    <x v="0"/>
    <x v="1"/>
    <n v="59"/>
    <s v="스테이포에버"/>
    <n v="200720"/>
    <m/>
    <n v="2006000"/>
  </r>
  <r>
    <x v="113"/>
    <x v="5"/>
    <m/>
    <x v="1"/>
    <x v="0"/>
    <x v="1"/>
    <n v="16"/>
    <s v="스테이포에버 2set"/>
    <n v="200720"/>
    <m/>
    <n v="940800"/>
  </r>
  <r>
    <x v="113"/>
    <x v="5"/>
    <m/>
    <x v="1"/>
    <x v="0"/>
    <x v="1"/>
    <n v="3"/>
    <s v="이그나이트"/>
    <n v="200720"/>
    <m/>
    <n v="102000"/>
  </r>
  <r>
    <x v="113"/>
    <x v="5"/>
    <m/>
    <x v="0"/>
    <x v="0"/>
    <x v="1"/>
    <n v="3"/>
    <s v="유즈쇼핑백"/>
    <n v="200720"/>
    <m/>
    <n v="6000"/>
  </r>
  <r>
    <x v="114"/>
    <x v="6"/>
    <m/>
    <x v="1"/>
    <x v="2"/>
    <x v="1"/>
    <n v="4"/>
    <s v="스테이포에버"/>
    <n v="200520"/>
    <m/>
    <n v="0"/>
  </r>
  <r>
    <x v="114"/>
    <x v="6"/>
    <m/>
    <x v="1"/>
    <x v="0"/>
    <x v="1"/>
    <n v="4"/>
    <s v="이그나이트 + 스테이포에버"/>
    <n v="200720"/>
    <m/>
    <n v="235200"/>
  </r>
  <r>
    <x v="114"/>
    <x v="6"/>
    <m/>
    <x v="1"/>
    <x v="0"/>
    <x v="1"/>
    <n v="1"/>
    <s v="이그나이트 + 스테이포에버 2set"/>
    <n v="200720"/>
    <m/>
    <n v="94800"/>
  </r>
  <r>
    <x v="114"/>
    <x v="6"/>
    <m/>
    <x v="1"/>
    <x v="0"/>
    <x v="1"/>
    <n v="73"/>
    <s v="스테이포에버"/>
    <n v="200720"/>
    <m/>
    <n v="2482000"/>
  </r>
  <r>
    <x v="114"/>
    <x v="6"/>
    <m/>
    <x v="1"/>
    <x v="0"/>
    <x v="1"/>
    <n v="13"/>
    <s v="스테이포에버 2set"/>
    <n v="200720"/>
    <m/>
    <n v="764400"/>
  </r>
  <r>
    <x v="114"/>
    <x v="6"/>
    <m/>
    <x v="1"/>
    <x v="0"/>
    <x v="1"/>
    <n v="1"/>
    <s v="이그나이트"/>
    <n v="200720"/>
    <m/>
    <n v="34000"/>
  </r>
  <r>
    <x v="114"/>
    <x v="6"/>
    <m/>
    <x v="0"/>
    <x v="0"/>
    <x v="1"/>
    <n v="3"/>
    <s v="유즈쇼핑백"/>
    <n v="200720"/>
    <m/>
    <n v="6000"/>
  </r>
  <r>
    <x v="115"/>
    <x v="0"/>
    <m/>
    <x v="1"/>
    <x v="0"/>
    <x v="1"/>
    <n v="5"/>
    <s v="이그나이트 + 스테이포에버"/>
    <n v="200720"/>
    <m/>
    <n v="294000"/>
  </r>
  <r>
    <x v="115"/>
    <x v="0"/>
    <m/>
    <x v="1"/>
    <x v="0"/>
    <x v="1"/>
    <n v="72"/>
    <s v="스테이포에버"/>
    <n v="200720"/>
    <m/>
    <n v="2448000"/>
  </r>
  <r>
    <x v="115"/>
    <x v="0"/>
    <m/>
    <x v="1"/>
    <x v="0"/>
    <x v="1"/>
    <n v="18"/>
    <s v="스테이포에버 2set"/>
    <n v="200720"/>
    <m/>
    <n v="1058400"/>
  </r>
  <r>
    <x v="115"/>
    <x v="0"/>
    <m/>
    <x v="1"/>
    <x v="0"/>
    <x v="1"/>
    <n v="3"/>
    <s v="이그나이트"/>
    <n v="200720"/>
    <m/>
    <n v="102000"/>
  </r>
  <r>
    <x v="115"/>
    <x v="0"/>
    <m/>
    <x v="0"/>
    <x v="0"/>
    <x v="1"/>
    <n v="1"/>
    <s v="유즈쇼핑백"/>
    <n v="200720"/>
    <m/>
    <n v="2000"/>
  </r>
  <r>
    <x v="116"/>
    <x v="3"/>
    <m/>
    <x v="1"/>
    <x v="0"/>
    <x v="1"/>
    <n v="1"/>
    <s v="이그나이트 + 스테이포에버"/>
    <n v="200720"/>
    <m/>
    <n v="58800"/>
  </r>
  <r>
    <x v="116"/>
    <x v="3"/>
    <m/>
    <x v="1"/>
    <x v="0"/>
    <x v="1"/>
    <n v="63"/>
    <s v="스테이포에버"/>
    <n v="200720"/>
    <m/>
    <n v="2142000"/>
  </r>
  <r>
    <x v="116"/>
    <x v="3"/>
    <m/>
    <x v="1"/>
    <x v="0"/>
    <x v="1"/>
    <n v="12"/>
    <s v="스테이포에버 2set"/>
    <n v="200720"/>
    <m/>
    <n v="705600"/>
  </r>
  <r>
    <x v="116"/>
    <x v="3"/>
    <m/>
    <x v="1"/>
    <x v="0"/>
    <x v="1"/>
    <n v="1"/>
    <s v="이그나이트 2set"/>
    <n v="200720"/>
    <m/>
    <n v="58800"/>
  </r>
  <r>
    <x v="116"/>
    <x v="3"/>
    <m/>
    <x v="0"/>
    <x v="0"/>
    <x v="1"/>
    <n v="1"/>
    <s v="유즈쇼핑백"/>
    <n v="200720"/>
    <m/>
    <n v="2000"/>
  </r>
  <r>
    <x v="117"/>
    <x v="4"/>
    <m/>
    <x v="1"/>
    <x v="0"/>
    <x v="1"/>
    <n v="5"/>
    <s v="이그나이트 + 스테이포에버"/>
    <n v="200720"/>
    <m/>
    <n v="294000"/>
  </r>
  <r>
    <x v="117"/>
    <x v="4"/>
    <m/>
    <x v="1"/>
    <x v="0"/>
    <x v="1"/>
    <n v="69"/>
    <s v="스테이포에버"/>
    <n v="200720"/>
    <m/>
    <n v="2346000"/>
  </r>
  <r>
    <x v="117"/>
    <x v="4"/>
    <m/>
    <x v="1"/>
    <x v="0"/>
    <x v="1"/>
    <n v="13"/>
    <s v="스테이포에버 2set"/>
    <n v="200720"/>
    <m/>
    <n v="764400"/>
  </r>
  <r>
    <x v="117"/>
    <x v="4"/>
    <m/>
    <x v="1"/>
    <x v="0"/>
    <x v="1"/>
    <n v="1"/>
    <s v="이그나이트 2set"/>
    <n v="200720"/>
    <m/>
    <n v="58800"/>
  </r>
  <r>
    <x v="117"/>
    <x v="4"/>
    <m/>
    <x v="0"/>
    <x v="0"/>
    <x v="1"/>
    <n v="1"/>
    <s v="유즈쇼핑백"/>
    <n v="200720"/>
    <m/>
    <n v="2000"/>
  </r>
  <r>
    <x v="118"/>
    <x v="1"/>
    <m/>
    <x v="1"/>
    <x v="0"/>
    <x v="1"/>
    <n v="3"/>
    <s v="이그나이트 + 스테이포에버"/>
    <n v="200720"/>
    <m/>
    <n v="176400"/>
  </r>
  <r>
    <x v="118"/>
    <x v="1"/>
    <m/>
    <x v="1"/>
    <x v="0"/>
    <x v="1"/>
    <n v="57"/>
    <s v="스테이포에버"/>
    <n v="200720"/>
    <m/>
    <n v="1938000"/>
  </r>
  <r>
    <x v="118"/>
    <x v="1"/>
    <m/>
    <x v="1"/>
    <x v="0"/>
    <x v="1"/>
    <n v="23"/>
    <s v="스테이포에버 2set"/>
    <n v="200720"/>
    <m/>
    <n v="1352400"/>
  </r>
  <r>
    <x v="118"/>
    <x v="1"/>
    <m/>
    <x v="1"/>
    <x v="0"/>
    <x v="1"/>
    <n v="3"/>
    <s v="이그나이트"/>
    <n v="200720"/>
    <m/>
    <n v="102000"/>
  </r>
  <r>
    <x v="119"/>
    <x v="2"/>
    <m/>
    <x v="1"/>
    <x v="0"/>
    <x v="1"/>
    <n v="6"/>
    <s v="이그나이트 + 스테이포에버"/>
    <n v="200720"/>
    <m/>
    <n v="352800"/>
  </r>
  <r>
    <x v="119"/>
    <x v="2"/>
    <m/>
    <x v="1"/>
    <x v="0"/>
    <x v="1"/>
    <n v="60"/>
    <s v="스테이포에버"/>
    <n v="200720"/>
    <m/>
    <n v="2040000"/>
  </r>
  <r>
    <x v="119"/>
    <x v="2"/>
    <m/>
    <x v="1"/>
    <x v="0"/>
    <x v="1"/>
    <n v="17"/>
    <s v="스테이포에버 2set"/>
    <n v="200720"/>
    <m/>
    <n v="999600"/>
  </r>
  <r>
    <x v="119"/>
    <x v="2"/>
    <m/>
    <x v="1"/>
    <x v="0"/>
    <x v="1"/>
    <n v="1"/>
    <s v="이그나이트"/>
    <n v="200720"/>
    <m/>
    <n v="34000"/>
  </r>
  <r>
    <x v="119"/>
    <x v="2"/>
    <m/>
    <x v="0"/>
    <x v="0"/>
    <x v="1"/>
    <n v="4"/>
    <s v="유즈쇼핑백"/>
    <n v="200720"/>
    <m/>
    <n v="8000"/>
  </r>
  <r>
    <x v="120"/>
    <x v="5"/>
    <m/>
    <x v="1"/>
    <x v="0"/>
    <x v="1"/>
    <n v="5"/>
    <s v="이그나이트 + 스테이포에버"/>
    <n v="200720"/>
    <m/>
    <n v="294000"/>
  </r>
  <r>
    <x v="120"/>
    <x v="5"/>
    <m/>
    <x v="1"/>
    <x v="0"/>
    <x v="1"/>
    <n v="81"/>
    <s v="스테이포에버"/>
    <n v="200720"/>
    <m/>
    <n v="2754000"/>
  </r>
  <r>
    <x v="120"/>
    <x v="5"/>
    <m/>
    <x v="1"/>
    <x v="0"/>
    <x v="1"/>
    <n v="13"/>
    <s v="스테이포에버 2set"/>
    <n v="200720"/>
    <m/>
    <n v="764400"/>
  </r>
  <r>
    <x v="120"/>
    <x v="5"/>
    <m/>
    <x v="1"/>
    <x v="0"/>
    <x v="1"/>
    <n v="2"/>
    <s v="이그나이트"/>
    <n v="200720"/>
    <m/>
    <n v="68000"/>
  </r>
  <r>
    <x v="120"/>
    <x v="5"/>
    <m/>
    <x v="0"/>
    <x v="0"/>
    <x v="1"/>
    <n v="2"/>
    <s v="유즈쇼핑백"/>
    <n v="200720"/>
    <m/>
    <n v="4000"/>
  </r>
  <r>
    <x v="121"/>
    <x v="6"/>
    <m/>
    <x v="1"/>
    <x v="0"/>
    <x v="1"/>
    <n v="9"/>
    <s v="이그나이트 + 스테이포에버"/>
    <n v="200720"/>
    <m/>
    <n v="529200"/>
  </r>
  <r>
    <x v="121"/>
    <x v="6"/>
    <m/>
    <x v="1"/>
    <x v="0"/>
    <x v="1"/>
    <n v="63"/>
    <s v="스테이포에버"/>
    <n v="200720"/>
    <m/>
    <n v="2142000"/>
  </r>
  <r>
    <x v="121"/>
    <x v="6"/>
    <m/>
    <x v="1"/>
    <x v="0"/>
    <x v="1"/>
    <n v="12"/>
    <s v="스테이포에버 2set"/>
    <n v="200720"/>
    <m/>
    <n v="705600"/>
  </r>
  <r>
    <x v="121"/>
    <x v="6"/>
    <m/>
    <x v="1"/>
    <x v="0"/>
    <x v="1"/>
    <n v="5"/>
    <s v="이그나이트"/>
    <n v="200720"/>
    <m/>
    <n v="170000"/>
  </r>
  <r>
    <x v="121"/>
    <x v="6"/>
    <m/>
    <x v="0"/>
    <x v="0"/>
    <x v="1"/>
    <n v="2"/>
    <s v="유즈쇼핑백"/>
    <n v="200720"/>
    <m/>
    <n v="4000"/>
  </r>
  <r>
    <x v="121"/>
    <x v="6"/>
    <m/>
    <x v="1"/>
    <x v="2"/>
    <x v="1"/>
    <n v="1"/>
    <s v="스테이포에버"/>
    <n v="200520"/>
    <m/>
    <n v="0"/>
  </r>
  <r>
    <x v="122"/>
    <x v="0"/>
    <m/>
    <x v="1"/>
    <x v="0"/>
    <x v="1"/>
    <n v="5"/>
    <s v="이그나이트 + 스테이포에버"/>
    <n v="200720"/>
    <m/>
    <n v="294000"/>
  </r>
  <r>
    <x v="122"/>
    <x v="0"/>
    <m/>
    <x v="1"/>
    <x v="0"/>
    <x v="1"/>
    <n v="76"/>
    <s v="스테이포에버"/>
    <n v="200720"/>
    <m/>
    <n v="2584000"/>
  </r>
  <r>
    <x v="122"/>
    <x v="0"/>
    <m/>
    <x v="1"/>
    <x v="0"/>
    <x v="1"/>
    <n v="15"/>
    <s v="스테이포에버 2set"/>
    <n v="200720"/>
    <m/>
    <n v="882000"/>
  </r>
  <r>
    <x v="122"/>
    <x v="0"/>
    <m/>
    <x v="1"/>
    <x v="0"/>
    <x v="1"/>
    <n v="1"/>
    <s v="이그나이트"/>
    <n v="200720"/>
    <m/>
    <n v="34000"/>
  </r>
  <r>
    <x v="122"/>
    <x v="0"/>
    <m/>
    <x v="0"/>
    <x v="0"/>
    <x v="1"/>
    <n v="1"/>
    <s v="유즈쇼핑백"/>
    <n v="200720"/>
    <m/>
    <n v="2000"/>
  </r>
  <r>
    <x v="123"/>
    <x v="3"/>
    <m/>
    <x v="1"/>
    <x v="0"/>
    <x v="1"/>
    <n v="4"/>
    <s v="이그나이트 + 스테이포에버"/>
    <n v="200720"/>
    <m/>
    <n v="235200"/>
  </r>
  <r>
    <x v="123"/>
    <x v="3"/>
    <m/>
    <x v="1"/>
    <x v="0"/>
    <x v="1"/>
    <n v="77"/>
    <s v="스테이포에버"/>
    <n v="200720"/>
    <m/>
    <n v="2618000"/>
  </r>
  <r>
    <x v="123"/>
    <x v="3"/>
    <m/>
    <x v="1"/>
    <x v="0"/>
    <x v="1"/>
    <n v="21"/>
    <s v="스테이포에버 2set"/>
    <n v="200720"/>
    <m/>
    <n v="1234800"/>
  </r>
  <r>
    <x v="123"/>
    <x v="3"/>
    <m/>
    <x v="1"/>
    <x v="0"/>
    <x v="1"/>
    <n v="1"/>
    <s v="이그나이트"/>
    <n v="200720"/>
    <m/>
    <n v="34000"/>
  </r>
  <r>
    <x v="123"/>
    <x v="3"/>
    <m/>
    <x v="0"/>
    <x v="0"/>
    <x v="1"/>
    <n v="2"/>
    <s v="유즈쇼핑백"/>
    <n v="200720"/>
    <m/>
    <n v="4000"/>
  </r>
  <r>
    <x v="124"/>
    <x v="4"/>
    <m/>
    <x v="1"/>
    <x v="0"/>
    <x v="1"/>
    <n v="3"/>
    <s v="이그나이트 + 스테이포에버"/>
    <n v="200720"/>
    <m/>
    <n v="176400"/>
  </r>
  <r>
    <x v="124"/>
    <x v="4"/>
    <m/>
    <x v="1"/>
    <x v="0"/>
    <x v="1"/>
    <n v="83"/>
    <s v="스테이포에버"/>
    <n v="200720"/>
    <m/>
    <n v="2822000"/>
  </r>
  <r>
    <x v="124"/>
    <x v="4"/>
    <m/>
    <x v="1"/>
    <x v="0"/>
    <x v="1"/>
    <n v="19"/>
    <s v="스테이포에버 2set"/>
    <n v="200720"/>
    <m/>
    <n v="1117200"/>
  </r>
  <r>
    <x v="124"/>
    <x v="4"/>
    <m/>
    <x v="1"/>
    <x v="0"/>
    <x v="1"/>
    <n v="1"/>
    <s v="이그나이트 2set"/>
    <n v="200720"/>
    <m/>
    <n v="58800"/>
  </r>
  <r>
    <x v="124"/>
    <x v="4"/>
    <m/>
    <x v="0"/>
    <x v="0"/>
    <x v="1"/>
    <n v="4"/>
    <s v="유즈쇼핑백"/>
    <n v="200720"/>
    <m/>
    <n v="8000"/>
  </r>
  <r>
    <x v="125"/>
    <x v="1"/>
    <m/>
    <x v="1"/>
    <x v="0"/>
    <x v="1"/>
    <n v="6"/>
    <s v="이그나이트 + 스테이포에버"/>
    <n v="200720"/>
    <m/>
    <n v="352800"/>
  </r>
  <r>
    <x v="125"/>
    <x v="1"/>
    <m/>
    <x v="1"/>
    <x v="0"/>
    <x v="1"/>
    <n v="85"/>
    <s v="스테이포에버"/>
    <n v="200720"/>
    <m/>
    <n v="2890000"/>
  </r>
  <r>
    <x v="125"/>
    <x v="1"/>
    <m/>
    <x v="1"/>
    <x v="0"/>
    <x v="1"/>
    <n v="15"/>
    <s v="스테이포에버 2set"/>
    <n v="200720"/>
    <m/>
    <n v="882000"/>
  </r>
  <r>
    <x v="125"/>
    <x v="1"/>
    <m/>
    <x v="1"/>
    <x v="0"/>
    <x v="1"/>
    <n v="1"/>
    <s v="이그나이트"/>
    <n v="200720"/>
    <m/>
    <n v="34000"/>
  </r>
  <r>
    <x v="125"/>
    <x v="1"/>
    <m/>
    <x v="0"/>
    <x v="0"/>
    <x v="1"/>
    <n v="1"/>
    <s v="유즈쇼핑백"/>
    <n v="200720"/>
    <m/>
    <n v="2000"/>
  </r>
  <r>
    <x v="126"/>
    <x v="2"/>
    <m/>
    <x v="1"/>
    <x v="0"/>
    <x v="1"/>
    <n v="9"/>
    <s v="이그나이트 + 스테이포에버"/>
    <n v="200720"/>
    <m/>
    <n v="529200"/>
  </r>
  <r>
    <x v="126"/>
    <x v="2"/>
    <m/>
    <x v="1"/>
    <x v="0"/>
    <x v="1"/>
    <n v="108"/>
    <s v="스테이포에버"/>
    <n v="200720"/>
    <m/>
    <n v="3672000"/>
  </r>
  <r>
    <x v="126"/>
    <x v="2"/>
    <m/>
    <x v="1"/>
    <x v="0"/>
    <x v="1"/>
    <n v="18"/>
    <s v="스테이포에버 2set"/>
    <n v="200720"/>
    <m/>
    <n v="1058400"/>
  </r>
  <r>
    <x v="126"/>
    <x v="2"/>
    <m/>
    <x v="1"/>
    <x v="0"/>
    <x v="1"/>
    <n v="4"/>
    <s v="이그나이트"/>
    <n v="200720"/>
    <m/>
    <n v="136000"/>
  </r>
  <r>
    <x v="126"/>
    <x v="2"/>
    <m/>
    <x v="1"/>
    <x v="0"/>
    <x v="1"/>
    <n v="1"/>
    <s v="이그나이트 2set"/>
    <n v="200720"/>
    <m/>
    <n v="58800"/>
  </r>
  <r>
    <x v="126"/>
    <x v="2"/>
    <m/>
    <x v="0"/>
    <x v="0"/>
    <x v="1"/>
    <n v="2"/>
    <s v="유즈쇼핑백"/>
    <n v="200720"/>
    <m/>
    <n v="4000"/>
  </r>
  <r>
    <x v="127"/>
    <x v="5"/>
    <m/>
    <x v="1"/>
    <x v="0"/>
    <x v="1"/>
    <n v="13"/>
    <s v="이그나이트 + 스테이포에버"/>
    <n v="200720"/>
    <m/>
    <n v="764400"/>
  </r>
  <r>
    <x v="127"/>
    <x v="5"/>
    <m/>
    <x v="1"/>
    <x v="0"/>
    <x v="1"/>
    <n v="131"/>
    <s v="스테이포에버"/>
    <n v="200720"/>
    <m/>
    <n v="4454000"/>
  </r>
  <r>
    <x v="127"/>
    <x v="5"/>
    <m/>
    <x v="1"/>
    <x v="0"/>
    <x v="1"/>
    <n v="29"/>
    <s v="스테이포에버 2set"/>
    <n v="200720"/>
    <m/>
    <n v="1705200"/>
  </r>
  <r>
    <x v="127"/>
    <x v="5"/>
    <m/>
    <x v="1"/>
    <x v="0"/>
    <x v="1"/>
    <n v="2"/>
    <s v="이그나이트"/>
    <n v="200720"/>
    <m/>
    <n v="68000"/>
  </r>
  <r>
    <x v="127"/>
    <x v="5"/>
    <m/>
    <x v="1"/>
    <x v="0"/>
    <x v="1"/>
    <n v="2"/>
    <s v="이그나이트 2set"/>
    <n v="200720"/>
    <m/>
    <n v="117600"/>
  </r>
  <r>
    <x v="127"/>
    <x v="5"/>
    <m/>
    <x v="0"/>
    <x v="0"/>
    <x v="1"/>
    <n v="5"/>
    <s v="유즈쇼핑백"/>
    <n v="200720"/>
    <m/>
    <n v="10000"/>
  </r>
  <r>
    <x v="128"/>
    <x v="6"/>
    <m/>
    <x v="1"/>
    <x v="0"/>
    <x v="1"/>
    <n v="13"/>
    <s v="이그나이트 + 스테이포에버"/>
    <n v="200720"/>
    <m/>
    <n v="764400"/>
  </r>
  <r>
    <x v="128"/>
    <x v="6"/>
    <m/>
    <x v="1"/>
    <x v="0"/>
    <x v="1"/>
    <n v="126"/>
    <s v="스테이포에버"/>
    <n v="200720"/>
    <m/>
    <n v="4284000"/>
  </r>
  <r>
    <x v="128"/>
    <x v="6"/>
    <m/>
    <x v="1"/>
    <x v="0"/>
    <x v="1"/>
    <n v="26"/>
    <s v="스테이포에버 2set"/>
    <n v="200720"/>
    <m/>
    <n v="1528800"/>
  </r>
  <r>
    <x v="128"/>
    <x v="6"/>
    <m/>
    <x v="0"/>
    <x v="0"/>
    <x v="1"/>
    <n v="1"/>
    <s v="유즈쇼핑백"/>
    <n v="200720"/>
    <m/>
    <n v="2000"/>
  </r>
  <r>
    <x v="129"/>
    <x v="0"/>
    <m/>
    <x v="1"/>
    <x v="0"/>
    <x v="1"/>
    <n v="12"/>
    <s v="이그나이트 + 스테이포에버"/>
    <n v="200720"/>
    <m/>
    <n v="705600"/>
  </r>
  <r>
    <x v="129"/>
    <x v="0"/>
    <m/>
    <x v="1"/>
    <x v="0"/>
    <x v="1"/>
    <n v="2"/>
    <s v="이그나이트 + 스테이포에버 2set"/>
    <n v="200720"/>
    <m/>
    <n v="189600"/>
  </r>
  <r>
    <x v="129"/>
    <x v="0"/>
    <m/>
    <x v="1"/>
    <x v="0"/>
    <x v="1"/>
    <n v="164"/>
    <s v="스테이포에버"/>
    <n v="200720"/>
    <m/>
    <n v="5576000"/>
  </r>
  <r>
    <x v="129"/>
    <x v="0"/>
    <m/>
    <x v="1"/>
    <x v="0"/>
    <x v="1"/>
    <n v="45"/>
    <s v="스테이포에버 2set"/>
    <n v="200720"/>
    <m/>
    <n v="2646000"/>
  </r>
  <r>
    <x v="129"/>
    <x v="0"/>
    <m/>
    <x v="0"/>
    <x v="0"/>
    <x v="1"/>
    <n v="2"/>
    <s v="유즈쇼핑백"/>
    <n v="200720"/>
    <m/>
    <n v="4000"/>
  </r>
  <r>
    <x v="130"/>
    <x v="3"/>
    <m/>
    <x v="1"/>
    <x v="0"/>
    <x v="1"/>
    <n v="15"/>
    <s v="이그나이트 + 스테이포에버"/>
    <n v="200720"/>
    <m/>
    <n v="882000"/>
  </r>
  <r>
    <x v="130"/>
    <x v="3"/>
    <m/>
    <x v="1"/>
    <x v="0"/>
    <x v="1"/>
    <n v="245"/>
    <s v="스테이포에버"/>
    <n v="200720"/>
    <m/>
    <n v="8330000"/>
  </r>
  <r>
    <x v="130"/>
    <x v="3"/>
    <m/>
    <x v="1"/>
    <x v="0"/>
    <x v="1"/>
    <n v="67"/>
    <s v="스테이포에버 2set"/>
    <n v="200720"/>
    <m/>
    <n v="3939600"/>
  </r>
  <r>
    <x v="130"/>
    <x v="3"/>
    <m/>
    <x v="0"/>
    <x v="0"/>
    <x v="1"/>
    <n v="3"/>
    <s v="유즈쇼핑백"/>
    <n v="200720"/>
    <m/>
    <n v="6000"/>
  </r>
  <r>
    <x v="131"/>
    <x v="4"/>
    <m/>
    <x v="1"/>
    <x v="0"/>
    <x v="1"/>
    <n v="24"/>
    <s v="이그나이트 + 스테이포에버"/>
    <n v="200720"/>
    <m/>
    <n v="1411200"/>
  </r>
  <r>
    <x v="131"/>
    <x v="4"/>
    <m/>
    <x v="1"/>
    <x v="0"/>
    <x v="1"/>
    <n v="259"/>
    <s v="스테이포에버"/>
    <n v="200720"/>
    <m/>
    <n v="8806000"/>
  </r>
  <r>
    <x v="131"/>
    <x v="4"/>
    <m/>
    <x v="1"/>
    <x v="0"/>
    <x v="1"/>
    <n v="57"/>
    <s v="스테이포에버 2set"/>
    <n v="200720"/>
    <m/>
    <n v="3351600"/>
  </r>
  <r>
    <x v="131"/>
    <x v="4"/>
    <m/>
    <x v="1"/>
    <x v="0"/>
    <x v="1"/>
    <n v="3"/>
    <s v="이그나이트"/>
    <n v="200720"/>
    <m/>
    <n v="102000"/>
  </r>
  <r>
    <x v="131"/>
    <x v="4"/>
    <m/>
    <x v="0"/>
    <x v="0"/>
    <x v="1"/>
    <n v="4"/>
    <s v="유즈쇼핑백"/>
    <n v="200720"/>
    <m/>
    <n v="8000"/>
  </r>
  <r>
    <x v="132"/>
    <x v="1"/>
    <m/>
    <x v="1"/>
    <x v="0"/>
    <x v="1"/>
    <n v="16"/>
    <s v="이그나이트 + 스테이포에버"/>
    <n v="200720"/>
    <m/>
    <n v="940800"/>
  </r>
  <r>
    <x v="132"/>
    <x v="1"/>
    <m/>
    <x v="1"/>
    <x v="0"/>
    <x v="1"/>
    <n v="1"/>
    <s v="이그나이트 + 스테이포에버 2set"/>
    <n v="200720"/>
    <m/>
    <n v="94800"/>
  </r>
  <r>
    <x v="132"/>
    <x v="1"/>
    <m/>
    <x v="1"/>
    <x v="0"/>
    <x v="1"/>
    <n v="243"/>
    <s v="스테이포에버"/>
    <n v="200720"/>
    <m/>
    <n v="8262000"/>
  </r>
  <r>
    <x v="132"/>
    <x v="1"/>
    <m/>
    <x v="1"/>
    <x v="0"/>
    <x v="1"/>
    <n v="58"/>
    <s v="스테이포에버 2set"/>
    <n v="200720"/>
    <m/>
    <n v="3410400"/>
  </r>
  <r>
    <x v="132"/>
    <x v="1"/>
    <m/>
    <x v="1"/>
    <x v="0"/>
    <x v="1"/>
    <n v="2"/>
    <s v="이그나이트"/>
    <n v="200720"/>
    <m/>
    <n v="68000"/>
  </r>
  <r>
    <x v="132"/>
    <x v="1"/>
    <m/>
    <x v="0"/>
    <x v="0"/>
    <x v="1"/>
    <n v="7"/>
    <s v="유즈쇼핑백"/>
    <n v="200720"/>
    <m/>
    <n v="14000"/>
  </r>
  <r>
    <x v="133"/>
    <x v="2"/>
    <m/>
    <x v="1"/>
    <x v="0"/>
    <x v="1"/>
    <n v="17"/>
    <s v="이그나이트 + 스테이포에버"/>
    <n v="200720"/>
    <m/>
    <n v="999600"/>
  </r>
  <r>
    <x v="133"/>
    <x v="2"/>
    <m/>
    <x v="1"/>
    <x v="0"/>
    <x v="1"/>
    <n v="272"/>
    <s v="스테이포에버"/>
    <n v="200720"/>
    <m/>
    <n v="9248000"/>
  </r>
  <r>
    <x v="133"/>
    <x v="2"/>
    <m/>
    <x v="1"/>
    <x v="0"/>
    <x v="1"/>
    <n v="51"/>
    <s v="스테이포에버 2set"/>
    <n v="200720"/>
    <m/>
    <n v="2998800"/>
  </r>
  <r>
    <x v="133"/>
    <x v="2"/>
    <m/>
    <x v="1"/>
    <x v="0"/>
    <x v="1"/>
    <n v="2"/>
    <s v="이그나이트"/>
    <n v="200720"/>
    <m/>
    <n v="68000"/>
  </r>
  <r>
    <x v="133"/>
    <x v="2"/>
    <m/>
    <x v="0"/>
    <x v="0"/>
    <x v="1"/>
    <n v="9"/>
    <s v="유즈쇼핑백"/>
    <n v="200720"/>
    <m/>
    <n v="18000"/>
  </r>
  <r>
    <x v="134"/>
    <x v="5"/>
    <m/>
    <x v="1"/>
    <x v="0"/>
    <x v="1"/>
    <n v="19"/>
    <s v="이그나이트 + 스테이포에버"/>
    <n v="200720"/>
    <m/>
    <n v="1117200"/>
  </r>
  <r>
    <x v="134"/>
    <x v="5"/>
    <m/>
    <x v="1"/>
    <x v="0"/>
    <x v="1"/>
    <n v="236"/>
    <s v="스테이포에버"/>
    <n v="200720"/>
    <m/>
    <n v="8024000"/>
  </r>
  <r>
    <x v="134"/>
    <x v="5"/>
    <m/>
    <x v="1"/>
    <x v="0"/>
    <x v="1"/>
    <n v="54"/>
    <s v="스테이포에버 2set"/>
    <n v="200720"/>
    <m/>
    <n v="3175200"/>
  </r>
  <r>
    <x v="134"/>
    <x v="5"/>
    <m/>
    <x v="1"/>
    <x v="0"/>
    <x v="1"/>
    <n v="1"/>
    <s v="이그나이트"/>
    <n v="200720"/>
    <m/>
    <n v="34000"/>
  </r>
  <r>
    <x v="134"/>
    <x v="5"/>
    <m/>
    <x v="1"/>
    <x v="0"/>
    <x v="1"/>
    <n v="1"/>
    <s v="이그나이트 2set"/>
    <n v="200720"/>
    <m/>
    <n v="58800"/>
  </r>
  <r>
    <x v="134"/>
    <x v="5"/>
    <m/>
    <x v="0"/>
    <x v="0"/>
    <x v="1"/>
    <n v="4"/>
    <s v="유즈쇼핑백"/>
    <n v="200720"/>
    <m/>
    <n v="8000"/>
  </r>
  <r>
    <x v="135"/>
    <x v="6"/>
    <m/>
    <x v="1"/>
    <x v="0"/>
    <x v="1"/>
    <n v="17"/>
    <s v="이그나이트 + 스테이포에버"/>
    <n v="200720"/>
    <m/>
    <n v="999600"/>
  </r>
  <r>
    <x v="135"/>
    <x v="6"/>
    <m/>
    <x v="1"/>
    <x v="0"/>
    <x v="1"/>
    <n v="200"/>
    <s v="스테이포에버"/>
    <n v="200720"/>
    <m/>
    <n v="6800000"/>
  </r>
  <r>
    <x v="135"/>
    <x v="6"/>
    <m/>
    <x v="1"/>
    <x v="0"/>
    <x v="1"/>
    <n v="54"/>
    <s v="스테이포에버 2set"/>
    <n v="200720"/>
    <m/>
    <n v="3175200"/>
  </r>
  <r>
    <x v="135"/>
    <x v="6"/>
    <m/>
    <x v="1"/>
    <x v="0"/>
    <x v="1"/>
    <n v="1"/>
    <s v="이그나이트"/>
    <n v="200720"/>
    <m/>
    <n v="34000"/>
  </r>
  <r>
    <x v="135"/>
    <x v="6"/>
    <m/>
    <x v="0"/>
    <x v="0"/>
    <x v="1"/>
    <n v="6"/>
    <s v="유즈쇼핑백"/>
    <n v="200720"/>
    <m/>
    <n v="12000"/>
  </r>
  <r>
    <x v="136"/>
    <x v="0"/>
    <m/>
    <x v="1"/>
    <x v="0"/>
    <x v="1"/>
    <n v="22"/>
    <s v="이그나이트 + 스테이포에버"/>
    <n v="200720"/>
    <m/>
    <n v="1293600"/>
  </r>
  <r>
    <x v="136"/>
    <x v="0"/>
    <m/>
    <x v="1"/>
    <x v="0"/>
    <x v="1"/>
    <n v="181"/>
    <s v="스테이포에버"/>
    <n v="200720"/>
    <m/>
    <n v="6154000"/>
  </r>
  <r>
    <x v="136"/>
    <x v="0"/>
    <m/>
    <x v="1"/>
    <x v="0"/>
    <x v="1"/>
    <n v="54"/>
    <s v="스테이포에버 2set"/>
    <n v="200720"/>
    <m/>
    <n v="3175200"/>
  </r>
  <r>
    <x v="136"/>
    <x v="0"/>
    <m/>
    <x v="1"/>
    <x v="0"/>
    <x v="1"/>
    <n v="2"/>
    <s v="이그나이트 2set"/>
    <n v="200720"/>
    <m/>
    <n v="117600"/>
  </r>
  <r>
    <x v="136"/>
    <x v="0"/>
    <m/>
    <x v="0"/>
    <x v="0"/>
    <x v="1"/>
    <n v="6"/>
    <s v="유즈쇼핑백"/>
    <n v="200720"/>
    <m/>
    <n v="12000"/>
  </r>
  <r>
    <x v="137"/>
    <x v="3"/>
    <m/>
    <x v="1"/>
    <x v="2"/>
    <x v="1"/>
    <n v="1"/>
    <s v="스테이포에버"/>
    <n v="200520"/>
    <m/>
    <n v="0"/>
  </r>
  <r>
    <x v="137"/>
    <x v="3"/>
    <m/>
    <x v="1"/>
    <x v="0"/>
    <x v="1"/>
    <n v="10"/>
    <s v="이그나이트 + 스테이포에버"/>
    <n v="200720"/>
    <m/>
    <n v="588000"/>
  </r>
  <r>
    <x v="137"/>
    <x v="3"/>
    <m/>
    <x v="1"/>
    <x v="0"/>
    <x v="1"/>
    <n v="1"/>
    <s v="이그나이트 + 스테이포에버 2set"/>
    <n v="200720"/>
    <m/>
    <n v="94800"/>
  </r>
  <r>
    <x v="137"/>
    <x v="3"/>
    <m/>
    <x v="1"/>
    <x v="0"/>
    <x v="1"/>
    <n v="189"/>
    <s v="스테이포에버"/>
    <n v="200720"/>
    <m/>
    <n v="6426000"/>
  </r>
  <r>
    <x v="137"/>
    <x v="3"/>
    <m/>
    <x v="1"/>
    <x v="0"/>
    <x v="1"/>
    <n v="63"/>
    <s v="스테이포에버 2set"/>
    <n v="200720"/>
    <m/>
    <n v="3704400"/>
  </r>
  <r>
    <x v="137"/>
    <x v="3"/>
    <m/>
    <x v="1"/>
    <x v="0"/>
    <x v="1"/>
    <n v="2"/>
    <s v="이그나이트"/>
    <n v="200720"/>
    <m/>
    <n v="68000"/>
  </r>
  <r>
    <x v="137"/>
    <x v="3"/>
    <m/>
    <x v="1"/>
    <x v="0"/>
    <x v="1"/>
    <n v="1"/>
    <s v="이그나이트 2set"/>
    <n v="200720"/>
    <m/>
    <n v="58800"/>
  </r>
  <r>
    <x v="137"/>
    <x v="3"/>
    <m/>
    <x v="0"/>
    <x v="0"/>
    <x v="1"/>
    <n v="4"/>
    <s v="유즈쇼핑백"/>
    <n v="200720"/>
    <m/>
    <n v="8000"/>
  </r>
  <r>
    <x v="138"/>
    <x v="4"/>
    <m/>
    <x v="1"/>
    <x v="0"/>
    <x v="1"/>
    <n v="15"/>
    <s v="이그나이트 + 스테이포에버"/>
    <n v="200720"/>
    <m/>
    <n v="882000"/>
  </r>
  <r>
    <x v="138"/>
    <x v="4"/>
    <m/>
    <x v="1"/>
    <x v="0"/>
    <x v="1"/>
    <n v="143"/>
    <s v="스테이포에버"/>
    <n v="200720"/>
    <m/>
    <n v="4862000"/>
  </r>
  <r>
    <x v="138"/>
    <x v="4"/>
    <m/>
    <x v="1"/>
    <x v="0"/>
    <x v="1"/>
    <n v="36"/>
    <s v="스테이포에버 2set"/>
    <n v="200720"/>
    <m/>
    <n v="2116800"/>
  </r>
  <r>
    <x v="138"/>
    <x v="4"/>
    <m/>
    <x v="0"/>
    <x v="0"/>
    <x v="1"/>
    <n v="4"/>
    <s v="유즈쇼핑백"/>
    <n v="200720"/>
    <m/>
    <n v="8000"/>
  </r>
  <r>
    <x v="139"/>
    <x v="1"/>
    <m/>
    <x v="1"/>
    <x v="0"/>
    <x v="1"/>
    <n v="20"/>
    <s v="이그나이트 + 스테이포에버"/>
    <n v="200720"/>
    <m/>
    <n v="1176000"/>
  </r>
  <r>
    <x v="139"/>
    <x v="1"/>
    <m/>
    <x v="1"/>
    <x v="0"/>
    <x v="1"/>
    <n v="201"/>
    <s v="스테이포에버"/>
    <n v="200720"/>
    <m/>
    <n v="6834000"/>
  </r>
  <r>
    <x v="139"/>
    <x v="1"/>
    <m/>
    <x v="1"/>
    <x v="0"/>
    <x v="1"/>
    <n v="49"/>
    <s v="스테이포에버 2set"/>
    <n v="200720"/>
    <m/>
    <n v="2881200"/>
  </r>
  <r>
    <x v="139"/>
    <x v="1"/>
    <m/>
    <x v="1"/>
    <x v="0"/>
    <x v="1"/>
    <n v="2"/>
    <s v="이그나이트"/>
    <n v="200720"/>
    <m/>
    <n v="68000"/>
  </r>
  <r>
    <x v="139"/>
    <x v="1"/>
    <m/>
    <x v="1"/>
    <x v="0"/>
    <x v="1"/>
    <n v="1"/>
    <s v="이그나이트 2set"/>
    <n v="200720"/>
    <m/>
    <n v="58800"/>
  </r>
  <r>
    <x v="139"/>
    <x v="1"/>
    <m/>
    <x v="0"/>
    <x v="0"/>
    <x v="1"/>
    <n v="5"/>
    <s v="유즈쇼핑백"/>
    <n v="200720"/>
    <m/>
    <n v="10000"/>
  </r>
  <r>
    <x v="140"/>
    <x v="2"/>
    <m/>
    <x v="1"/>
    <x v="0"/>
    <x v="1"/>
    <n v="11"/>
    <s v="이그나이트 + 스테이포에버"/>
    <n v="200720"/>
    <m/>
    <n v="646800"/>
  </r>
  <r>
    <x v="140"/>
    <x v="2"/>
    <m/>
    <x v="1"/>
    <x v="0"/>
    <x v="1"/>
    <n v="212"/>
    <s v="스테이포에버"/>
    <n v="200720"/>
    <m/>
    <n v="7208000"/>
  </r>
  <r>
    <x v="140"/>
    <x v="2"/>
    <m/>
    <x v="1"/>
    <x v="0"/>
    <x v="1"/>
    <n v="54"/>
    <s v="스테이포에버 2set"/>
    <n v="200720"/>
    <m/>
    <n v="3175200"/>
  </r>
  <r>
    <x v="140"/>
    <x v="2"/>
    <m/>
    <x v="1"/>
    <x v="0"/>
    <x v="1"/>
    <n v="1"/>
    <s v="이그나이트"/>
    <n v="200720"/>
    <m/>
    <n v="34000"/>
  </r>
  <r>
    <x v="140"/>
    <x v="2"/>
    <m/>
    <x v="1"/>
    <x v="0"/>
    <x v="1"/>
    <n v="1"/>
    <s v="이그나이트 2set"/>
    <n v="200720"/>
    <m/>
    <n v="58800"/>
  </r>
  <r>
    <x v="140"/>
    <x v="2"/>
    <m/>
    <x v="0"/>
    <x v="0"/>
    <x v="1"/>
    <n v="4"/>
    <s v="유즈쇼핑백"/>
    <n v="200720"/>
    <m/>
    <n v="8000"/>
  </r>
  <r>
    <x v="141"/>
    <x v="5"/>
    <m/>
    <x v="1"/>
    <x v="0"/>
    <x v="1"/>
    <n v="19"/>
    <s v="이그나이트 + 스테이포에버"/>
    <n v="200720"/>
    <m/>
    <n v="1117200"/>
  </r>
  <r>
    <x v="141"/>
    <x v="5"/>
    <m/>
    <x v="1"/>
    <x v="0"/>
    <x v="1"/>
    <n v="257"/>
    <s v="스테이포에버"/>
    <n v="200720"/>
    <m/>
    <n v="8738000"/>
  </r>
  <r>
    <x v="141"/>
    <x v="5"/>
    <m/>
    <x v="1"/>
    <x v="0"/>
    <x v="1"/>
    <n v="52"/>
    <s v="스테이포에버 2set"/>
    <n v="200720"/>
    <m/>
    <n v="3057600"/>
  </r>
  <r>
    <x v="141"/>
    <x v="5"/>
    <m/>
    <x v="1"/>
    <x v="0"/>
    <x v="1"/>
    <n v="3"/>
    <s v="이그나이트"/>
    <n v="200720"/>
    <m/>
    <n v="102000"/>
  </r>
  <r>
    <x v="141"/>
    <x v="5"/>
    <m/>
    <x v="0"/>
    <x v="0"/>
    <x v="1"/>
    <n v="10"/>
    <s v="유즈쇼핑백"/>
    <n v="200720"/>
    <m/>
    <n v="20000"/>
  </r>
  <r>
    <x v="142"/>
    <x v="6"/>
    <m/>
    <x v="1"/>
    <x v="0"/>
    <x v="1"/>
    <n v="17"/>
    <s v="이그나이트 + 스테이포에버"/>
    <n v="200720"/>
    <m/>
    <n v="999600"/>
  </r>
  <r>
    <x v="142"/>
    <x v="6"/>
    <m/>
    <x v="1"/>
    <x v="0"/>
    <x v="1"/>
    <n v="205"/>
    <s v="스테이포에버"/>
    <n v="200720"/>
    <m/>
    <n v="6970000"/>
  </r>
  <r>
    <x v="142"/>
    <x v="6"/>
    <m/>
    <x v="1"/>
    <x v="0"/>
    <x v="1"/>
    <n v="49"/>
    <s v="스테이포에버 2set"/>
    <n v="200720"/>
    <m/>
    <n v="2881200"/>
  </r>
  <r>
    <x v="142"/>
    <x v="6"/>
    <m/>
    <x v="0"/>
    <x v="0"/>
    <x v="1"/>
    <n v="5"/>
    <s v="유즈쇼핑백"/>
    <n v="200720"/>
    <m/>
    <n v="10000"/>
  </r>
  <r>
    <x v="143"/>
    <x v="0"/>
    <m/>
    <x v="1"/>
    <x v="0"/>
    <x v="1"/>
    <n v="13"/>
    <s v="이그나이트 + 스테이포에버"/>
    <n v="200720"/>
    <m/>
    <n v="764400"/>
  </r>
  <r>
    <x v="143"/>
    <x v="0"/>
    <m/>
    <x v="1"/>
    <x v="0"/>
    <x v="1"/>
    <n v="220"/>
    <s v="스테이포에버"/>
    <n v="200720"/>
    <m/>
    <n v="7480000"/>
  </r>
  <r>
    <x v="143"/>
    <x v="0"/>
    <m/>
    <x v="1"/>
    <x v="0"/>
    <x v="1"/>
    <n v="54"/>
    <s v="스테이포에버 2set"/>
    <n v="200720"/>
    <m/>
    <n v="3175200"/>
  </r>
  <r>
    <x v="143"/>
    <x v="0"/>
    <m/>
    <x v="1"/>
    <x v="0"/>
    <x v="1"/>
    <n v="2"/>
    <s v="이그나이트"/>
    <n v="200720"/>
    <m/>
    <n v="68000"/>
  </r>
  <r>
    <x v="143"/>
    <x v="0"/>
    <m/>
    <x v="0"/>
    <x v="0"/>
    <x v="1"/>
    <n v="8"/>
    <s v="유즈쇼핑백"/>
    <n v="200720"/>
    <m/>
    <n v="16000"/>
  </r>
  <r>
    <x v="144"/>
    <x v="3"/>
    <m/>
    <x v="1"/>
    <x v="0"/>
    <x v="1"/>
    <n v="21"/>
    <s v="이그나이트 + 스테이포에버"/>
    <n v="200720"/>
    <m/>
    <n v="1234800"/>
  </r>
  <r>
    <x v="144"/>
    <x v="3"/>
    <m/>
    <x v="1"/>
    <x v="0"/>
    <x v="1"/>
    <n v="247"/>
    <s v="스테이포에버"/>
    <n v="200720"/>
    <m/>
    <n v="8398000"/>
  </r>
  <r>
    <x v="144"/>
    <x v="3"/>
    <m/>
    <x v="1"/>
    <x v="0"/>
    <x v="1"/>
    <n v="48"/>
    <s v="스테이포에버 2set"/>
    <n v="200720"/>
    <m/>
    <n v="2822400"/>
  </r>
  <r>
    <x v="144"/>
    <x v="3"/>
    <m/>
    <x v="1"/>
    <x v="0"/>
    <x v="1"/>
    <n v="2"/>
    <s v="이그나이트"/>
    <n v="200720"/>
    <m/>
    <n v="68000"/>
  </r>
  <r>
    <x v="144"/>
    <x v="3"/>
    <m/>
    <x v="0"/>
    <x v="0"/>
    <x v="1"/>
    <n v="4"/>
    <s v="유즈쇼핑백"/>
    <n v="200720"/>
    <m/>
    <n v="8000"/>
  </r>
  <r>
    <x v="145"/>
    <x v="4"/>
    <m/>
    <x v="1"/>
    <x v="0"/>
    <x v="1"/>
    <n v="19"/>
    <s v="이그나이트 + 스테이포에버"/>
    <n v="200720"/>
    <m/>
    <n v="1117200"/>
  </r>
  <r>
    <x v="145"/>
    <x v="4"/>
    <m/>
    <x v="1"/>
    <x v="0"/>
    <x v="1"/>
    <n v="2"/>
    <s v="이그나이트 + 스테이포에버 2set"/>
    <n v="200720"/>
    <m/>
    <n v="189600"/>
  </r>
  <r>
    <x v="145"/>
    <x v="4"/>
    <m/>
    <x v="1"/>
    <x v="0"/>
    <x v="1"/>
    <n v="197"/>
    <s v="스테이포에버"/>
    <n v="200720"/>
    <m/>
    <n v="6698000"/>
  </r>
  <r>
    <x v="145"/>
    <x v="4"/>
    <m/>
    <x v="1"/>
    <x v="0"/>
    <x v="1"/>
    <n v="56"/>
    <s v="스테이포에버 2set"/>
    <n v="200720"/>
    <m/>
    <n v="3292800"/>
  </r>
  <r>
    <x v="145"/>
    <x v="4"/>
    <m/>
    <x v="1"/>
    <x v="0"/>
    <x v="1"/>
    <n v="5"/>
    <s v="이그나이트"/>
    <n v="200720"/>
    <m/>
    <n v="170000"/>
  </r>
  <r>
    <x v="145"/>
    <x v="4"/>
    <m/>
    <x v="0"/>
    <x v="0"/>
    <x v="1"/>
    <n v="6"/>
    <s v="유즈쇼핑백"/>
    <n v="200720"/>
    <m/>
    <n v="12000"/>
  </r>
  <r>
    <x v="146"/>
    <x v="1"/>
    <m/>
    <x v="1"/>
    <x v="0"/>
    <x v="1"/>
    <n v="17"/>
    <s v="이그나이트 + 스테이포에버"/>
    <n v="200720"/>
    <m/>
    <n v="999600"/>
  </r>
  <r>
    <x v="146"/>
    <x v="1"/>
    <m/>
    <x v="1"/>
    <x v="0"/>
    <x v="1"/>
    <n v="188"/>
    <s v="스테이포에버"/>
    <n v="200720"/>
    <m/>
    <n v="6392000"/>
  </r>
  <r>
    <x v="146"/>
    <x v="1"/>
    <m/>
    <x v="1"/>
    <x v="0"/>
    <x v="1"/>
    <n v="56"/>
    <s v="스테이포에버 2set"/>
    <n v="200720"/>
    <m/>
    <n v="3292800"/>
  </r>
  <r>
    <x v="146"/>
    <x v="1"/>
    <m/>
    <x v="1"/>
    <x v="0"/>
    <x v="1"/>
    <n v="3"/>
    <s v="이그나이트"/>
    <n v="200720"/>
    <m/>
    <n v="102000"/>
  </r>
  <r>
    <x v="146"/>
    <x v="1"/>
    <m/>
    <x v="0"/>
    <x v="0"/>
    <x v="1"/>
    <n v="6"/>
    <s v="유즈쇼핑백"/>
    <n v="200720"/>
    <m/>
    <n v="12000"/>
  </r>
  <r>
    <x v="147"/>
    <x v="2"/>
    <m/>
    <x v="1"/>
    <x v="0"/>
    <x v="1"/>
    <n v="19"/>
    <s v="이그나이트 + 스테이포에버"/>
    <n v="200720"/>
    <m/>
    <n v="1117200"/>
  </r>
  <r>
    <x v="147"/>
    <x v="2"/>
    <m/>
    <x v="1"/>
    <x v="0"/>
    <x v="1"/>
    <n v="241"/>
    <s v="스테이포에버"/>
    <n v="200720"/>
    <m/>
    <n v="8194000"/>
  </r>
  <r>
    <x v="147"/>
    <x v="2"/>
    <m/>
    <x v="1"/>
    <x v="0"/>
    <x v="1"/>
    <n v="64"/>
    <s v="스테이포에버 2set"/>
    <n v="200720"/>
    <m/>
    <n v="3763200"/>
  </r>
  <r>
    <x v="147"/>
    <x v="2"/>
    <m/>
    <x v="1"/>
    <x v="0"/>
    <x v="1"/>
    <n v="1"/>
    <s v="이그나이트 2set"/>
    <n v="200720"/>
    <m/>
    <n v="58800"/>
  </r>
  <r>
    <x v="147"/>
    <x v="2"/>
    <m/>
    <x v="0"/>
    <x v="0"/>
    <x v="1"/>
    <n v="4"/>
    <s v="유즈쇼핑백"/>
    <n v="200720"/>
    <m/>
    <n v="8000"/>
  </r>
  <r>
    <x v="148"/>
    <x v="5"/>
    <m/>
    <x v="1"/>
    <x v="0"/>
    <x v="1"/>
    <n v="16"/>
    <s v="이그나이트 + 스테이포에버"/>
    <n v="200720"/>
    <m/>
    <n v="940800"/>
  </r>
  <r>
    <x v="148"/>
    <x v="5"/>
    <m/>
    <x v="1"/>
    <x v="0"/>
    <x v="1"/>
    <n v="220"/>
    <s v="스테이포에버"/>
    <n v="200720"/>
    <m/>
    <n v="7480000"/>
  </r>
  <r>
    <x v="148"/>
    <x v="5"/>
    <m/>
    <x v="1"/>
    <x v="0"/>
    <x v="1"/>
    <n v="66"/>
    <s v="스테이포에버 2set"/>
    <n v="200720"/>
    <m/>
    <n v="3880800"/>
  </r>
  <r>
    <x v="148"/>
    <x v="5"/>
    <m/>
    <x v="1"/>
    <x v="0"/>
    <x v="1"/>
    <n v="2"/>
    <s v="이그나이트"/>
    <n v="200720"/>
    <m/>
    <n v="68000"/>
  </r>
  <r>
    <x v="148"/>
    <x v="5"/>
    <m/>
    <x v="0"/>
    <x v="0"/>
    <x v="1"/>
    <n v="7"/>
    <s v="유즈쇼핑백"/>
    <n v="200720"/>
    <m/>
    <n v="14000"/>
  </r>
  <r>
    <x v="149"/>
    <x v="6"/>
    <m/>
    <x v="1"/>
    <x v="0"/>
    <x v="1"/>
    <n v="14"/>
    <s v="이그나이트 + 스테이포에버"/>
    <n v="200720"/>
    <m/>
    <n v="823200"/>
  </r>
  <r>
    <x v="149"/>
    <x v="6"/>
    <m/>
    <x v="1"/>
    <x v="0"/>
    <x v="1"/>
    <n v="226"/>
    <s v="스테이포에버"/>
    <n v="200720"/>
    <m/>
    <n v="7684000"/>
  </r>
  <r>
    <x v="149"/>
    <x v="6"/>
    <m/>
    <x v="1"/>
    <x v="0"/>
    <x v="1"/>
    <n v="52"/>
    <s v="스테이포에버 2set"/>
    <n v="200720"/>
    <m/>
    <n v="3057600"/>
  </r>
  <r>
    <x v="149"/>
    <x v="6"/>
    <m/>
    <x v="1"/>
    <x v="0"/>
    <x v="1"/>
    <n v="3"/>
    <s v="이그나이트"/>
    <n v="200720"/>
    <m/>
    <n v="102000"/>
  </r>
  <r>
    <x v="149"/>
    <x v="6"/>
    <m/>
    <x v="0"/>
    <x v="0"/>
    <x v="1"/>
    <n v="5"/>
    <s v="유즈쇼핑백"/>
    <n v="200720"/>
    <m/>
    <n v="10000"/>
  </r>
  <r>
    <x v="150"/>
    <x v="0"/>
    <m/>
    <x v="1"/>
    <x v="0"/>
    <x v="1"/>
    <n v="16"/>
    <s v="이그나이트 + 스테이포에버"/>
    <n v="200720"/>
    <m/>
    <n v="940800"/>
  </r>
  <r>
    <x v="150"/>
    <x v="0"/>
    <m/>
    <x v="1"/>
    <x v="0"/>
    <x v="1"/>
    <n v="224"/>
    <s v="스테이포에버"/>
    <n v="200720"/>
    <m/>
    <n v="7616000"/>
  </r>
  <r>
    <x v="150"/>
    <x v="0"/>
    <m/>
    <x v="1"/>
    <x v="0"/>
    <x v="1"/>
    <n v="55"/>
    <s v="스테이포에버 2set"/>
    <n v="200720"/>
    <m/>
    <n v="3234000"/>
  </r>
  <r>
    <x v="150"/>
    <x v="0"/>
    <m/>
    <x v="1"/>
    <x v="0"/>
    <x v="1"/>
    <n v="4"/>
    <s v="이그나이트"/>
    <n v="200720"/>
    <m/>
    <n v="136000"/>
  </r>
  <r>
    <x v="150"/>
    <x v="0"/>
    <m/>
    <x v="0"/>
    <x v="0"/>
    <x v="1"/>
    <n v="7"/>
    <s v="유즈쇼핑백"/>
    <n v="200720"/>
    <m/>
    <n v="14000"/>
  </r>
  <r>
    <x v="151"/>
    <x v="3"/>
    <m/>
    <x v="1"/>
    <x v="0"/>
    <x v="1"/>
    <n v="16"/>
    <s v="이그나이트 + 스테이포에버"/>
    <n v="200720"/>
    <m/>
    <n v="940800"/>
  </r>
  <r>
    <x v="151"/>
    <x v="3"/>
    <m/>
    <x v="1"/>
    <x v="0"/>
    <x v="1"/>
    <n v="203"/>
    <s v="스테이포에버"/>
    <n v="200720"/>
    <m/>
    <n v="6902000"/>
  </r>
  <r>
    <x v="151"/>
    <x v="3"/>
    <m/>
    <x v="1"/>
    <x v="0"/>
    <x v="1"/>
    <n v="61"/>
    <s v="스테이포에버 2set"/>
    <n v="200720"/>
    <m/>
    <n v="3586800"/>
  </r>
  <r>
    <x v="151"/>
    <x v="3"/>
    <m/>
    <x v="1"/>
    <x v="0"/>
    <x v="1"/>
    <n v="1"/>
    <s v="이그나이트"/>
    <n v="200720"/>
    <m/>
    <n v="34000"/>
  </r>
  <r>
    <x v="151"/>
    <x v="3"/>
    <m/>
    <x v="0"/>
    <x v="0"/>
    <x v="1"/>
    <n v="5"/>
    <s v="유즈쇼핑백"/>
    <n v="200720"/>
    <m/>
    <n v="10000"/>
  </r>
  <r>
    <x v="152"/>
    <x v="4"/>
    <m/>
    <x v="1"/>
    <x v="0"/>
    <x v="1"/>
    <n v="14"/>
    <s v="이그나이트 + 스테이포에버"/>
    <n v="200720"/>
    <m/>
    <n v="823200"/>
  </r>
  <r>
    <x v="152"/>
    <x v="4"/>
    <m/>
    <x v="1"/>
    <x v="0"/>
    <x v="1"/>
    <n v="218"/>
    <s v="스테이포에버"/>
    <n v="200720"/>
    <m/>
    <n v="7412000"/>
  </r>
  <r>
    <x v="152"/>
    <x v="4"/>
    <m/>
    <x v="1"/>
    <x v="0"/>
    <x v="1"/>
    <n v="73"/>
    <s v="스테이포에버 2set"/>
    <n v="200720"/>
    <m/>
    <n v="4292400"/>
  </r>
  <r>
    <x v="152"/>
    <x v="4"/>
    <m/>
    <x v="1"/>
    <x v="0"/>
    <x v="1"/>
    <n v="1"/>
    <s v="이그나이트"/>
    <n v="200720"/>
    <m/>
    <n v="34000"/>
  </r>
  <r>
    <x v="152"/>
    <x v="4"/>
    <m/>
    <x v="1"/>
    <x v="0"/>
    <x v="1"/>
    <n v="2"/>
    <s v="이그나이트 2set"/>
    <n v="200720"/>
    <m/>
    <n v="117600"/>
  </r>
  <r>
    <x v="152"/>
    <x v="4"/>
    <m/>
    <x v="0"/>
    <x v="0"/>
    <x v="1"/>
    <n v="3"/>
    <s v="유즈쇼핑백"/>
    <n v="200720"/>
    <m/>
    <n v="6000"/>
  </r>
  <r>
    <x v="153"/>
    <x v="1"/>
    <m/>
    <x v="1"/>
    <x v="0"/>
    <x v="1"/>
    <n v="21"/>
    <s v="이그나이트 + 스테이포에버"/>
    <n v="200720"/>
    <m/>
    <n v="1234800"/>
  </r>
  <r>
    <x v="153"/>
    <x v="1"/>
    <m/>
    <x v="1"/>
    <x v="0"/>
    <x v="1"/>
    <n v="219"/>
    <s v="스테이포에버"/>
    <n v="200720"/>
    <m/>
    <n v="7446000"/>
  </r>
  <r>
    <x v="153"/>
    <x v="1"/>
    <m/>
    <x v="1"/>
    <x v="0"/>
    <x v="1"/>
    <n v="55"/>
    <s v="스테이포에버 2set"/>
    <n v="200720"/>
    <m/>
    <n v="3234000"/>
  </r>
  <r>
    <x v="153"/>
    <x v="1"/>
    <m/>
    <x v="1"/>
    <x v="0"/>
    <x v="1"/>
    <n v="7"/>
    <s v="이그나이트"/>
    <n v="200720"/>
    <m/>
    <n v="238000"/>
  </r>
  <r>
    <x v="153"/>
    <x v="1"/>
    <m/>
    <x v="0"/>
    <x v="0"/>
    <x v="1"/>
    <n v="9"/>
    <s v="유즈쇼핑백"/>
    <n v="200720"/>
    <m/>
    <n v="18000"/>
  </r>
  <r>
    <x v="154"/>
    <x v="2"/>
    <m/>
    <x v="1"/>
    <x v="0"/>
    <x v="1"/>
    <n v="15"/>
    <s v="이그나이트 + 스테이포에버"/>
    <n v="200720"/>
    <m/>
    <n v="882000"/>
  </r>
  <r>
    <x v="154"/>
    <x v="2"/>
    <m/>
    <x v="1"/>
    <x v="0"/>
    <x v="1"/>
    <n v="224"/>
    <s v="스테이포에버"/>
    <n v="200720"/>
    <m/>
    <n v="7616000"/>
  </r>
  <r>
    <x v="154"/>
    <x v="2"/>
    <m/>
    <x v="1"/>
    <x v="0"/>
    <x v="1"/>
    <n v="66"/>
    <s v="스테이포에버 2set"/>
    <n v="200720"/>
    <m/>
    <n v="3880800"/>
  </r>
  <r>
    <x v="154"/>
    <x v="2"/>
    <m/>
    <x v="1"/>
    <x v="0"/>
    <x v="1"/>
    <n v="4"/>
    <s v="이그나이트"/>
    <n v="200720"/>
    <m/>
    <n v="136000"/>
  </r>
  <r>
    <x v="154"/>
    <x v="2"/>
    <m/>
    <x v="1"/>
    <x v="0"/>
    <x v="1"/>
    <n v="2"/>
    <s v="이그나이트 2set"/>
    <n v="200720"/>
    <m/>
    <n v="117600"/>
  </r>
  <r>
    <x v="154"/>
    <x v="2"/>
    <m/>
    <x v="0"/>
    <x v="0"/>
    <x v="1"/>
    <n v="10"/>
    <s v="유즈쇼핑백"/>
    <n v="200720"/>
    <m/>
    <n v="20000"/>
  </r>
  <r>
    <x v="155"/>
    <x v="5"/>
    <m/>
    <x v="1"/>
    <x v="0"/>
    <x v="1"/>
    <n v="10"/>
    <s v="이그나이트 + 스테이포에버"/>
    <n v="200720"/>
    <m/>
    <n v="588000"/>
  </r>
  <r>
    <x v="155"/>
    <x v="5"/>
    <m/>
    <x v="1"/>
    <x v="0"/>
    <x v="1"/>
    <n v="236"/>
    <s v="스테이포에버"/>
    <n v="200720"/>
    <m/>
    <n v="8024000"/>
  </r>
  <r>
    <x v="155"/>
    <x v="5"/>
    <m/>
    <x v="1"/>
    <x v="0"/>
    <x v="1"/>
    <n v="67"/>
    <s v="스테이포에버 2set"/>
    <n v="200720"/>
    <m/>
    <n v="3939600"/>
  </r>
  <r>
    <x v="155"/>
    <x v="5"/>
    <m/>
    <x v="1"/>
    <x v="0"/>
    <x v="1"/>
    <n v="2"/>
    <s v="이그나이트"/>
    <n v="200720"/>
    <m/>
    <n v="68000"/>
  </r>
  <r>
    <x v="155"/>
    <x v="5"/>
    <m/>
    <x v="0"/>
    <x v="0"/>
    <x v="1"/>
    <n v="9"/>
    <s v="유즈쇼핑백"/>
    <n v="200720"/>
    <m/>
    <n v="18000"/>
  </r>
  <r>
    <x v="156"/>
    <x v="6"/>
    <m/>
    <x v="1"/>
    <x v="0"/>
    <x v="1"/>
    <n v="20"/>
    <s v="이그나이트 + 스테이포에버"/>
    <n v="200720"/>
    <m/>
    <n v="1176000"/>
  </r>
  <r>
    <x v="156"/>
    <x v="6"/>
    <m/>
    <x v="1"/>
    <x v="0"/>
    <x v="1"/>
    <n v="228"/>
    <s v="스테이포에버"/>
    <n v="200720"/>
    <m/>
    <n v="7752000"/>
  </r>
  <r>
    <x v="156"/>
    <x v="6"/>
    <m/>
    <x v="1"/>
    <x v="0"/>
    <x v="1"/>
    <n v="59"/>
    <s v="스테이포에버 2set"/>
    <n v="200720"/>
    <m/>
    <n v="3469200"/>
  </r>
  <r>
    <x v="156"/>
    <x v="6"/>
    <m/>
    <x v="1"/>
    <x v="0"/>
    <x v="1"/>
    <n v="3"/>
    <s v="이그나이트"/>
    <n v="200720"/>
    <m/>
    <n v="102000"/>
  </r>
  <r>
    <x v="156"/>
    <x v="6"/>
    <m/>
    <x v="1"/>
    <x v="0"/>
    <x v="1"/>
    <n v="1"/>
    <s v="이그나이트 2set"/>
    <n v="200720"/>
    <m/>
    <n v="58800"/>
  </r>
  <r>
    <x v="156"/>
    <x v="6"/>
    <m/>
    <x v="0"/>
    <x v="0"/>
    <x v="1"/>
    <n v="7"/>
    <s v="유즈쇼핑백"/>
    <n v="200720"/>
    <m/>
    <n v="14000"/>
  </r>
  <r>
    <x v="157"/>
    <x v="0"/>
    <m/>
    <x v="1"/>
    <x v="0"/>
    <x v="1"/>
    <n v="17"/>
    <s v="이그나이트 + 스테이포에버"/>
    <n v="200720"/>
    <m/>
    <n v="999600"/>
  </r>
  <r>
    <x v="157"/>
    <x v="0"/>
    <m/>
    <x v="1"/>
    <x v="0"/>
    <x v="1"/>
    <n v="216"/>
    <s v="스테이포에버"/>
    <n v="200720"/>
    <m/>
    <n v="7344000"/>
  </r>
  <r>
    <x v="157"/>
    <x v="0"/>
    <m/>
    <x v="1"/>
    <x v="0"/>
    <x v="1"/>
    <n v="56"/>
    <s v="스테이포에버 2set"/>
    <n v="200720"/>
    <m/>
    <n v="3292800"/>
  </r>
  <r>
    <x v="157"/>
    <x v="0"/>
    <m/>
    <x v="1"/>
    <x v="0"/>
    <x v="1"/>
    <n v="4"/>
    <s v="이그나이트"/>
    <n v="200720"/>
    <m/>
    <n v="136000"/>
  </r>
  <r>
    <x v="157"/>
    <x v="0"/>
    <m/>
    <x v="0"/>
    <x v="0"/>
    <x v="1"/>
    <n v="3"/>
    <s v="유즈쇼핑백"/>
    <n v="200720"/>
    <m/>
    <n v="6000"/>
  </r>
  <r>
    <x v="158"/>
    <x v="3"/>
    <m/>
    <x v="1"/>
    <x v="2"/>
    <x v="1"/>
    <n v="5"/>
    <s v="스테이포에버"/>
    <n v="200520"/>
    <m/>
    <n v="0"/>
  </r>
  <r>
    <x v="158"/>
    <x v="3"/>
    <m/>
    <x v="1"/>
    <x v="2"/>
    <x v="1"/>
    <n v="5"/>
    <s v="이그나이트"/>
    <n v="200520"/>
    <m/>
    <n v="0"/>
  </r>
  <r>
    <x v="158"/>
    <x v="3"/>
    <m/>
    <x v="0"/>
    <x v="2"/>
    <x v="1"/>
    <n v="5"/>
    <s v="유즈쇼핑백"/>
    <n v="200520"/>
    <m/>
    <n v="0"/>
  </r>
  <r>
    <x v="158"/>
    <x v="3"/>
    <m/>
    <x v="1"/>
    <x v="0"/>
    <x v="1"/>
    <n v="25"/>
    <s v="이그나이트 + 스테이포에버"/>
    <n v="200720"/>
    <m/>
    <n v="1470000"/>
  </r>
  <r>
    <x v="158"/>
    <x v="3"/>
    <m/>
    <x v="1"/>
    <x v="0"/>
    <x v="1"/>
    <n v="1"/>
    <s v="이그나이트 + 스테이포에버 2set"/>
    <n v="200720"/>
    <m/>
    <n v="94800"/>
  </r>
  <r>
    <x v="158"/>
    <x v="3"/>
    <m/>
    <x v="1"/>
    <x v="0"/>
    <x v="1"/>
    <n v="253"/>
    <s v="스테이포에버"/>
    <n v="200720"/>
    <m/>
    <n v="8602000"/>
  </r>
  <r>
    <x v="158"/>
    <x v="3"/>
    <m/>
    <x v="1"/>
    <x v="0"/>
    <x v="1"/>
    <n v="59"/>
    <s v="스테이포에버 2set"/>
    <n v="200720"/>
    <m/>
    <n v="3469200"/>
  </r>
  <r>
    <x v="158"/>
    <x v="3"/>
    <m/>
    <x v="1"/>
    <x v="0"/>
    <x v="1"/>
    <n v="1"/>
    <s v="이그나이트"/>
    <n v="200720"/>
    <m/>
    <n v="34000"/>
  </r>
  <r>
    <x v="158"/>
    <x v="3"/>
    <m/>
    <x v="0"/>
    <x v="0"/>
    <x v="1"/>
    <n v="6"/>
    <s v="유즈쇼핑백"/>
    <n v="200720"/>
    <m/>
    <n v="12000"/>
  </r>
  <r>
    <x v="159"/>
    <x v="4"/>
    <m/>
    <x v="1"/>
    <x v="0"/>
    <x v="1"/>
    <n v="10"/>
    <s v="이그나이트 + 스테이포에버"/>
    <n v="200720"/>
    <m/>
    <n v="588000"/>
  </r>
  <r>
    <x v="159"/>
    <x v="4"/>
    <m/>
    <x v="1"/>
    <x v="0"/>
    <x v="1"/>
    <n v="1"/>
    <s v="이그나이트 + 스테이포에버 2set"/>
    <n v="200720"/>
    <m/>
    <n v="94800"/>
  </r>
  <r>
    <x v="159"/>
    <x v="4"/>
    <m/>
    <x v="1"/>
    <x v="0"/>
    <x v="1"/>
    <n v="214"/>
    <s v="스테이포에버"/>
    <n v="200720"/>
    <m/>
    <n v="7276000"/>
  </r>
  <r>
    <x v="159"/>
    <x v="4"/>
    <m/>
    <x v="1"/>
    <x v="0"/>
    <x v="1"/>
    <n v="65"/>
    <s v="스테이포에버 2set"/>
    <n v="200720"/>
    <m/>
    <n v="3822000"/>
  </r>
  <r>
    <x v="159"/>
    <x v="4"/>
    <m/>
    <x v="1"/>
    <x v="0"/>
    <x v="1"/>
    <n v="4"/>
    <s v="이그나이트"/>
    <n v="200720"/>
    <m/>
    <n v="136000"/>
  </r>
  <r>
    <x v="159"/>
    <x v="4"/>
    <m/>
    <x v="0"/>
    <x v="0"/>
    <x v="1"/>
    <n v="7"/>
    <s v="유즈쇼핑백"/>
    <n v="200720"/>
    <m/>
    <n v="14000"/>
  </r>
  <r>
    <x v="160"/>
    <x v="1"/>
    <m/>
    <x v="1"/>
    <x v="2"/>
    <x v="1"/>
    <n v="2"/>
    <s v="스테이포에버"/>
    <n v="200520"/>
    <m/>
    <n v="0"/>
  </r>
  <r>
    <x v="160"/>
    <x v="1"/>
    <m/>
    <x v="1"/>
    <x v="0"/>
    <x v="1"/>
    <n v="13"/>
    <s v="이그나이트 + 스테이포에버"/>
    <n v="200720"/>
    <m/>
    <n v="764400"/>
  </r>
  <r>
    <x v="160"/>
    <x v="1"/>
    <m/>
    <x v="1"/>
    <x v="0"/>
    <x v="1"/>
    <n v="206"/>
    <s v="스테이포에버"/>
    <n v="200720"/>
    <m/>
    <n v="7004000"/>
  </r>
  <r>
    <x v="160"/>
    <x v="1"/>
    <m/>
    <x v="1"/>
    <x v="0"/>
    <x v="1"/>
    <n v="54"/>
    <s v="스테이포에버 2set"/>
    <n v="200720"/>
    <m/>
    <n v="3175200"/>
  </r>
  <r>
    <x v="160"/>
    <x v="1"/>
    <m/>
    <x v="0"/>
    <x v="0"/>
    <x v="1"/>
    <n v="1"/>
    <s v="유즈쇼핑백"/>
    <n v="200720"/>
    <m/>
    <n v="2000"/>
  </r>
  <r>
    <x v="161"/>
    <x v="2"/>
    <m/>
    <x v="1"/>
    <x v="0"/>
    <x v="1"/>
    <n v="17"/>
    <s v="이그나이트 + 스테이포에버"/>
    <n v="200720"/>
    <m/>
    <n v="999600"/>
  </r>
  <r>
    <x v="161"/>
    <x v="2"/>
    <m/>
    <x v="1"/>
    <x v="0"/>
    <x v="1"/>
    <n v="243"/>
    <s v="스테이포에버"/>
    <n v="200720"/>
    <m/>
    <n v="8262000"/>
  </r>
  <r>
    <x v="161"/>
    <x v="2"/>
    <m/>
    <x v="1"/>
    <x v="0"/>
    <x v="1"/>
    <n v="59"/>
    <s v="스테이포에버 2set"/>
    <n v="200720"/>
    <m/>
    <n v="3469200"/>
  </r>
  <r>
    <x v="161"/>
    <x v="2"/>
    <m/>
    <x v="1"/>
    <x v="0"/>
    <x v="1"/>
    <n v="2"/>
    <s v="이그나이트"/>
    <n v="200720"/>
    <m/>
    <n v="68000"/>
  </r>
  <r>
    <x v="161"/>
    <x v="2"/>
    <m/>
    <x v="1"/>
    <x v="0"/>
    <x v="1"/>
    <n v="1"/>
    <s v="이그나이트 2set"/>
    <n v="200720"/>
    <m/>
    <n v="58800"/>
  </r>
  <r>
    <x v="161"/>
    <x v="2"/>
    <m/>
    <x v="0"/>
    <x v="0"/>
    <x v="1"/>
    <n v="8"/>
    <s v="유즈쇼핑백"/>
    <n v="200720"/>
    <m/>
    <n v="16000"/>
  </r>
  <r>
    <x v="162"/>
    <x v="5"/>
    <m/>
    <x v="1"/>
    <x v="0"/>
    <x v="1"/>
    <n v="14"/>
    <s v="이그나이트 + 스테이포에버"/>
    <n v="200720"/>
    <m/>
    <n v="823200"/>
  </r>
  <r>
    <x v="162"/>
    <x v="5"/>
    <m/>
    <x v="1"/>
    <x v="0"/>
    <x v="1"/>
    <n v="291"/>
    <s v="스테이포에버"/>
    <n v="200720"/>
    <m/>
    <n v="9894000"/>
  </r>
  <r>
    <x v="162"/>
    <x v="5"/>
    <m/>
    <x v="1"/>
    <x v="0"/>
    <x v="1"/>
    <n v="71"/>
    <s v="스테이포에버 2set"/>
    <n v="200720"/>
    <m/>
    <n v="4174800"/>
  </r>
  <r>
    <x v="162"/>
    <x v="5"/>
    <m/>
    <x v="1"/>
    <x v="0"/>
    <x v="1"/>
    <n v="1"/>
    <s v="이그나이트"/>
    <n v="200720"/>
    <m/>
    <n v="34000"/>
  </r>
  <r>
    <x v="162"/>
    <x v="5"/>
    <m/>
    <x v="0"/>
    <x v="0"/>
    <x v="1"/>
    <n v="7"/>
    <s v="유즈쇼핑백"/>
    <n v="200720"/>
    <m/>
    <n v="14000"/>
  </r>
  <r>
    <x v="163"/>
    <x v="6"/>
    <m/>
    <x v="1"/>
    <x v="0"/>
    <x v="1"/>
    <n v="17"/>
    <s v="이그나이트 + 스테이포에버"/>
    <n v="200720"/>
    <m/>
    <n v="999600"/>
  </r>
  <r>
    <x v="163"/>
    <x v="6"/>
    <m/>
    <x v="1"/>
    <x v="0"/>
    <x v="1"/>
    <n v="267"/>
    <s v="스테이포에버"/>
    <n v="200720"/>
    <m/>
    <n v="9078000"/>
  </r>
  <r>
    <x v="163"/>
    <x v="6"/>
    <m/>
    <x v="1"/>
    <x v="0"/>
    <x v="1"/>
    <n v="66"/>
    <s v="스테이포에버 2set"/>
    <n v="200720"/>
    <m/>
    <n v="3880800"/>
  </r>
  <r>
    <x v="163"/>
    <x v="6"/>
    <m/>
    <x v="1"/>
    <x v="0"/>
    <x v="1"/>
    <n v="3"/>
    <s v="이그나이트"/>
    <n v="200720"/>
    <m/>
    <n v="102000"/>
  </r>
  <r>
    <x v="163"/>
    <x v="6"/>
    <m/>
    <x v="1"/>
    <x v="0"/>
    <x v="1"/>
    <n v="1"/>
    <s v="이그나이트 2set"/>
    <n v="200720"/>
    <m/>
    <n v="58800"/>
  </r>
  <r>
    <x v="163"/>
    <x v="6"/>
    <m/>
    <x v="0"/>
    <x v="0"/>
    <x v="1"/>
    <n v="10"/>
    <s v="유즈쇼핑백"/>
    <n v="200720"/>
    <m/>
    <n v="20000"/>
  </r>
  <r>
    <x v="164"/>
    <x v="0"/>
    <m/>
    <x v="1"/>
    <x v="0"/>
    <x v="1"/>
    <n v="25"/>
    <s v="이그나이트 + 스테이포에버"/>
    <n v="200720"/>
    <m/>
    <n v="1470000"/>
  </r>
  <r>
    <x v="164"/>
    <x v="0"/>
    <m/>
    <x v="1"/>
    <x v="0"/>
    <x v="1"/>
    <n v="270"/>
    <s v="스테이포에버"/>
    <n v="200720"/>
    <m/>
    <n v="9180000"/>
  </r>
  <r>
    <x v="164"/>
    <x v="0"/>
    <m/>
    <x v="1"/>
    <x v="0"/>
    <x v="1"/>
    <n v="83"/>
    <s v="스테이포에버 2set"/>
    <n v="200720"/>
    <m/>
    <n v="4880400"/>
  </r>
  <r>
    <x v="164"/>
    <x v="0"/>
    <m/>
    <x v="1"/>
    <x v="0"/>
    <x v="1"/>
    <n v="3"/>
    <s v="이그나이트"/>
    <n v="200720"/>
    <m/>
    <n v="102000"/>
  </r>
  <r>
    <x v="164"/>
    <x v="0"/>
    <m/>
    <x v="1"/>
    <x v="0"/>
    <x v="1"/>
    <n v="1"/>
    <s v="이그나이트 2set"/>
    <n v="200720"/>
    <m/>
    <n v="58800"/>
  </r>
  <r>
    <x v="164"/>
    <x v="0"/>
    <m/>
    <x v="0"/>
    <x v="0"/>
    <x v="1"/>
    <n v="6"/>
    <s v="유즈쇼핑백"/>
    <n v="200720"/>
    <m/>
    <n v="12000"/>
  </r>
  <r>
    <x v="165"/>
    <x v="3"/>
    <m/>
    <x v="1"/>
    <x v="0"/>
    <x v="1"/>
    <n v="19"/>
    <s v="이그나이트 + 스테이포에버"/>
    <n v="200720"/>
    <m/>
    <n v="1117200"/>
  </r>
  <r>
    <x v="165"/>
    <x v="3"/>
    <m/>
    <x v="1"/>
    <x v="0"/>
    <x v="1"/>
    <n v="260"/>
    <s v="스테이포에버"/>
    <n v="200720"/>
    <m/>
    <n v="8840000"/>
  </r>
  <r>
    <x v="165"/>
    <x v="3"/>
    <m/>
    <x v="1"/>
    <x v="0"/>
    <x v="1"/>
    <n v="70"/>
    <s v="스테이포에버 2set"/>
    <n v="200720"/>
    <m/>
    <n v="4116000"/>
  </r>
  <r>
    <x v="165"/>
    <x v="3"/>
    <m/>
    <x v="1"/>
    <x v="0"/>
    <x v="1"/>
    <n v="3"/>
    <s v="이그나이트"/>
    <n v="200720"/>
    <m/>
    <n v="102000"/>
  </r>
  <r>
    <x v="165"/>
    <x v="3"/>
    <m/>
    <x v="1"/>
    <x v="0"/>
    <x v="1"/>
    <n v="2"/>
    <s v="이그나이트 2set"/>
    <n v="200720"/>
    <m/>
    <n v="117600"/>
  </r>
  <r>
    <x v="165"/>
    <x v="3"/>
    <m/>
    <x v="0"/>
    <x v="0"/>
    <x v="1"/>
    <n v="9"/>
    <s v="유즈쇼핑백"/>
    <n v="200720"/>
    <m/>
    <n v="18000"/>
  </r>
  <r>
    <x v="166"/>
    <x v="4"/>
    <m/>
    <x v="1"/>
    <x v="0"/>
    <x v="1"/>
    <n v="15"/>
    <s v="이그나이트 + 스테이포에버"/>
    <n v="200720"/>
    <m/>
    <n v="882000"/>
  </r>
  <r>
    <x v="166"/>
    <x v="4"/>
    <m/>
    <x v="1"/>
    <x v="0"/>
    <x v="1"/>
    <n v="258"/>
    <s v="스테이포에버"/>
    <n v="200720"/>
    <m/>
    <n v="8772000"/>
  </r>
  <r>
    <x v="166"/>
    <x v="4"/>
    <m/>
    <x v="1"/>
    <x v="0"/>
    <x v="1"/>
    <n v="61"/>
    <s v="스테이포에버 2set"/>
    <n v="200720"/>
    <m/>
    <n v="3586800"/>
  </r>
  <r>
    <x v="166"/>
    <x v="4"/>
    <m/>
    <x v="1"/>
    <x v="0"/>
    <x v="1"/>
    <n v="1"/>
    <s v="이그나이트"/>
    <n v="200720"/>
    <m/>
    <n v="34000"/>
  </r>
  <r>
    <x v="166"/>
    <x v="4"/>
    <m/>
    <x v="1"/>
    <x v="0"/>
    <x v="1"/>
    <n v="2"/>
    <s v="이그나이트 2set"/>
    <n v="200720"/>
    <m/>
    <n v="117600"/>
  </r>
  <r>
    <x v="166"/>
    <x v="4"/>
    <m/>
    <x v="0"/>
    <x v="0"/>
    <x v="1"/>
    <n v="2"/>
    <s v="유즈쇼핑백"/>
    <n v="200720"/>
    <m/>
    <n v="4000"/>
  </r>
  <r>
    <x v="167"/>
    <x v="1"/>
    <m/>
    <x v="1"/>
    <x v="0"/>
    <x v="1"/>
    <n v="19"/>
    <s v="이그나이트 + 스테이포에버"/>
    <n v="200720"/>
    <m/>
    <n v="1117200"/>
  </r>
  <r>
    <x v="167"/>
    <x v="1"/>
    <m/>
    <x v="1"/>
    <x v="0"/>
    <x v="1"/>
    <n v="230"/>
    <s v="스테이포에버"/>
    <n v="200720"/>
    <m/>
    <n v="7820000"/>
  </r>
  <r>
    <x v="167"/>
    <x v="1"/>
    <m/>
    <x v="1"/>
    <x v="0"/>
    <x v="1"/>
    <n v="77"/>
    <s v="스테이포에버 2set"/>
    <n v="200720"/>
    <m/>
    <n v="4527600"/>
  </r>
  <r>
    <x v="167"/>
    <x v="1"/>
    <m/>
    <x v="1"/>
    <x v="0"/>
    <x v="1"/>
    <n v="2"/>
    <s v="이그나이트"/>
    <n v="200720"/>
    <m/>
    <n v="68000"/>
  </r>
  <r>
    <x v="167"/>
    <x v="1"/>
    <m/>
    <x v="1"/>
    <x v="0"/>
    <x v="1"/>
    <n v="1"/>
    <s v="이그나이트 2set"/>
    <n v="200720"/>
    <m/>
    <n v="58800"/>
  </r>
  <r>
    <x v="167"/>
    <x v="1"/>
    <m/>
    <x v="0"/>
    <x v="0"/>
    <x v="1"/>
    <n v="7"/>
    <s v="유즈쇼핑백"/>
    <n v="200720"/>
    <m/>
    <n v="14000"/>
  </r>
  <r>
    <x v="168"/>
    <x v="2"/>
    <m/>
    <x v="1"/>
    <x v="0"/>
    <x v="1"/>
    <n v="23"/>
    <s v="이그나이트 + 스테이포에버"/>
    <n v="200720"/>
    <m/>
    <n v="1352400"/>
  </r>
  <r>
    <x v="168"/>
    <x v="2"/>
    <m/>
    <x v="1"/>
    <x v="0"/>
    <x v="1"/>
    <n v="280"/>
    <s v="스테이포에버"/>
    <n v="200720"/>
    <m/>
    <n v="9520000"/>
  </r>
  <r>
    <x v="168"/>
    <x v="2"/>
    <m/>
    <x v="1"/>
    <x v="0"/>
    <x v="1"/>
    <n v="75"/>
    <s v="스테이포에버 2set"/>
    <n v="200720"/>
    <m/>
    <n v="4410000"/>
  </r>
  <r>
    <x v="168"/>
    <x v="2"/>
    <m/>
    <x v="1"/>
    <x v="0"/>
    <x v="1"/>
    <n v="4"/>
    <s v="이그나이트 2set"/>
    <n v="200720"/>
    <m/>
    <n v="235200"/>
  </r>
  <r>
    <x v="168"/>
    <x v="2"/>
    <m/>
    <x v="0"/>
    <x v="0"/>
    <x v="1"/>
    <n v="8"/>
    <s v="유즈쇼핑백"/>
    <n v="200720"/>
    <m/>
    <n v="16000"/>
  </r>
  <r>
    <x v="169"/>
    <x v="5"/>
    <m/>
    <x v="1"/>
    <x v="0"/>
    <x v="1"/>
    <n v="19"/>
    <s v="이그나이트 + 스테이포에버"/>
    <n v="200720"/>
    <m/>
    <n v="1117200"/>
  </r>
  <r>
    <x v="169"/>
    <x v="5"/>
    <m/>
    <x v="1"/>
    <x v="0"/>
    <x v="1"/>
    <n v="1"/>
    <s v="이그나이트 + 스테이포에버 2set"/>
    <n v="200720"/>
    <m/>
    <n v="94800"/>
  </r>
  <r>
    <x v="169"/>
    <x v="5"/>
    <m/>
    <x v="1"/>
    <x v="0"/>
    <x v="1"/>
    <n v="255"/>
    <s v="스테이포에버"/>
    <n v="200720"/>
    <m/>
    <n v="8670000"/>
  </r>
  <r>
    <x v="169"/>
    <x v="5"/>
    <m/>
    <x v="1"/>
    <x v="0"/>
    <x v="1"/>
    <n v="76"/>
    <s v="스테이포에버 2set"/>
    <n v="200720"/>
    <m/>
    <n v="4468800"/>
  </r>
  <r>
    <x v="169"/>
    <x v="5"/>
    <m/>
    <x v="1"/>
    <x v="0"/>
    <x v="1"/>
    <n v="2"/>
    <s v="이그나이트"/>
    <n v="200720"/>
    <m/>
    <n v="68000"/>
  </r>
  <r>
    <x v="169"/>
    <x v="5"/>
    <m/>
    <x v="1"/>
    <x v="0"/>
    <x v="1"/>
    <n v="1"/>
    <s v="이그나이트 2set"/>
    <n v="200720"/>
    <m/>
    <n v="58800"/>
  </r>
  <r>
    <x v="169"/>
    <x v="5"/>
    <m/>
    <x v="0"/>
    <x v="0"/>
    <x v="1"/>
    <n v="9"/>
    <s v="유즈쇼핑백"/>
    <n v="200720"/>
    <m/>
    <n v="18000"/>
  </r>
  <r>
    <x v="170"/>
    <x v="6"/>
    <m/>
    <x v="1"/>
    <x v="0"/>
    <x v="1"/>
    <n v="22"/>
    <s v="이그나이트 + 스테이포에버"/>
    <n v="200720"/>
    <m/>
    <n v="1293600"/>
  </r>
  <r>
    <x v="170"/>
    <x v="6"/>
    <m/>
    <x v="1"/>
    <x v="0"/>
    <x v="1"/>
    <n v="237"/>
    <s v="스테이포에버"/>
    <n v="200720"/>
    <m/>
    <n v="8058000"/>
  </r>
  <r>
    <x v="170"/>
    <x v="6"/>
    <m/>
    <x v="1"/>
    <x v="0"/>
    <x v="1"/>
    <n v="47"/>
    <s v="스테이포에버 2set"/>
    <n v="200720"/>
    <m/>
    <n v="2763600"/>
  </r>
  <r>
    <x v="170"/>
    <x v="6"/>
    <m/>
    <x v="1"/>
    <x v="0"/>
    <x v="1"/>
    <n v="1"/>
    <s v="이그나이트 2set"/>
    <n v="200720"/>
    <m/>
    <n v="58800"/>
  </r>
  <r>
    <x v="170"/>
    <x v="6"/>
    <m/>
    <x v="0"/>
    <x v="0"/>
    <x v="1"/>
    <n v="3"/>
    <s v="유즈쇼핑백"/>
    <n v="200720"/>
    <m/>
    <n v="6000"/>
  </r>
  <r>
    <x v="171"/>
    <x v="0"/>
    <m/>
    <x v="1"/>
    <x v="0"/>
    <x v="1"/>
    <n v="27"/>
    <s v="이그나이트 + 스테이포에버"/>
    <n v="200720"/>
    <m/>
    <n v="1587600"/>
  </r>
  <r>
    <x v="171"/>
    <x v="0"/>
    <m/>
    <x v="1"/>
    <x v="0"/>
    <x v="1"/>
    <n v="1"/>
    <s v="이그나이트 + 스테이포에버 2set"/>
    <n v="200720"/>
    <m/>
    <n v="94800"/>
  </r>
  <r>
    <x v="171"/>
    <x v="0"/>
    <m/>
    <x v="1"/>
    <x v="0"/>
    <x v="1"/>
    <n v="250"/>
    <s v="스테이포에버"/>
    <n v="200720"/>
    <m/>
    <n v="8500000"/>
  </r>
  <r>
    <x v="171"/>
    <x v="0"/>
    <m/>
    <x v="1"/>
    <x v="0"/>
    <x v="1"/>
    <n v="68"/>
    <s v="스테이포에버 2set"/>
    <n v="200720"/>
    <m/>
    <n v="3998400"/>
  </r>
  <r>
    <x v="171"/>
    <x v="0"/>
    <m/>
    <x v="1"/>
    <x v="0"/>
    <x v="1"/>
    <n v="1"/>
    <s v="이그나이트"/>
    <n v="200720"/>
    <m/>
    <n v="34000"/>
  </r>
  <r>
    <x v="171"/>
    <x v="0"/>
    <m/>
    <x v="0"/>
    <x v="0"/>
    <x v="1"/>
    <n v="12"/>
    <s v="유즈쇼핑백"/>
    <n v="200720"/>
    <m/>
    <n v="24000"/>
  </r>
  <r>
    <x v="172"/>
    <x v="3"/>
    <m/>
    <x v="1"/>
    <x v="0"/>
    <x v="1"/>
    <n v="35"/>
    <s v="이그나이트 + 스테이포에버"/>
    <n v="200720"/>
    <m/>
    <n v="2058000"/>
  </r>
  <r>
    <x v="172"/>
    <x v="3"/>
    <m/>
    <x v="1"/>
    <x v="0"/>
    <x v="1"/>
    <n v="294"/>
    <s v="스테이포에버"/>
    <n v="200720"/>
    <m/>
    <n v="9996000"/>
  </r>
  <r>
    <x v="172"/>
    <x v="3"/>
    <m/>
    <x v="1"/>
    <x v="0"/>
    <x v="1"/>
    <n v="83"/>
    <s v="스테이포에버 2set"/>
    <n v="200720"/>
    <m/>
    <n v="4880400"/>
  </r>
  <r>
    <x v="172"/>
    <x v="3"/>
    <m/>
    <x v="1"/>
    <x v="0"/>
    <x v="1"/>
    <n v="1"/>
    <s v="이그나이트"/>
    <n v="200720"/>
    <m/>
    <n v="34000"/>
  </r>
  <r>
    <x v="172"/>
    <x v="3"/>
    <m/>
    <x v="0"/>
    <x v="0"/>
    <x v="1"/>
    <n v="7"/>
    <s v="유즈쇼핑백"/>
    <n v="200720"/>
    <m/>
    <n v="14000"/>
  </r>
  <r>
    <x v="173"/>
    <x v="4"/>
    <m/>
    <x v="1"/>
    <x v="0"/>
    <x v="1"/>
    <n v="22"/>
    <s v="이그나이트 + 스테이포에버"/>
    <n v="200720"/>
    <m/>
    <n v="1293600"/>
  </r>
  <r>
    <x v="173"/>
    <x v="4"/>
    <m/>
    <x v="1"/>
    <x v="0"/>
    <x v="1"/>
    <n v="264"/>
    <s v="스테이포에버"/>
    <n v="200720"/>
    <m/>
    <n v="8976000"/>
  </r>
  <r>
    <x v="173"/>
    <x v="4"/>
    <m/>
    <x v="1"/>
    <x v="0"/>
    <x v="1"/>
    <n v="75"/>
    <s v="스테이포에버 2set"/>
    <n v="200720"/>
    <m/>
    <n v="4410000"/>
  </r>
  <r>
    <x v="173"/>
    <x v="4"/>
    <m/>
    <x v="1"/>
    <x v="0"/>
    <x v="1"/>
    <n v="3"/>
    <s v="이그나이트"/>
    <n v="200720"/>
    <m/>
    <n v="102000"/>
  </r>
  <r>
    <x v="173"/>
    <x v="4"/>
    <m/>
    <x v="0"/>
    <x v="0"/>
    <x v="1"/>
    <n v="8"/>
    <s v="유즈쇼핑백"/>
    <n v="200720"/>
    <m/>
    <n v="16000"/>
  </r>
  <r>
    <x v="173"/>
    <x v="4"/>
    <m/>
    <x v="1"/>
    <x v="2"/>
    <x v="1"/>
    <n v="3"/>
    <s v="이그나이트"/>
    <n v="200520"/>
    <m/>
    <n v="0"/>
  </r>
  <r>
    <x v="174"/>
    <x v="1"/>
    <m/>
    <x v="1"/>
    <x v="2"/>
    <x v="1"/>
    <n v="3"/>
    <s v="스테이포에버"/>
    <n v="200520"/>
    <m/>
    <n v="0"/>
  </r>
  <r>
    <x v="174"/>
    <x v="1"/>
    <m/>
    <x v="1"/>
    <x v="0"/>
    <x v="1"/>
    <n v="20"/>
    <s v="이그나이트 + 스테이포에버"/>
    <n v="200720"/>
    <m/>
    <n v="1176000"/>
  </r>
  <r>
    <x v="174"/>
    <x v="1"/>
    <m/>
    <x v="1"/>
    <x v="0"/>
    <x v="1"/>
    <n v="1"/>
    <s v="이그나이트 + 스테이포에버 2set"/>
    <n v="200720"/>
    <m/>
    <n v="94800"/>
  </r>
  <r>
    <x v="174"/>
    <x v="1"/>
    <m/>
    <x v="1"/>
    <x v="0"/>
    <x v="1"/>
    <n v="227"/>
    <s v="스테이포에버"/>
    <n v="200720"/>
    <m/>
    <n v="7718000"/>
  </r>
  <r>
    <x v="174"/>
    <x v="1"/>
    <m/>
    <x v="1"/>
    <x v="0"/>
    <x v="1"/>
    <n v="83"/>
    <s v="스테이포에버 2set"/>
    <n v="200720"/>
    <m/>
    <n v="4880400"/>
  </r>
  <r>
    <x v="174"/>
    <x v="1"/>
    <m/>
    <x v="1"/>
    <x v="0"/>
    <x v="1"/>
    <n v="1"/>
    <s v="이그나이트"/>
    <n v="200720"/>
    <m/>
    <n v="34000"/>
  </r>
  <r>
    <x v="174"/>
    <x v="1"/>
    <m/>
    <x v="1"/>
    <x v="0"/>
    <x v="1"/>
    <n v="1"/>
    <s v="이그나이트 2set"/>
    <n v="200720"/>
    <m/>
    <n v="58800"/>
  </r>
  <r>
    <x v="174"/>
    <x v="1"/>
    <m/>
    <x v="0"/>
    <x v="0"/>
    <x v="1"/>
    <n v="1"/>
    <s v="유즈쇼핑백"/>
    <n v="200720"/>
    <m/>
    <n v="2000"/>
  </r>
  <r>
    <x v="175"/>
    <x v="2"/>
    <m/>
    <x v="1"/>
    <x v="0"/>
    <x v="1"/>
    <n v="28"/>
    <s v="이그나이트 + 스테이포에버"/>
    <n v="200720"/>
    <m/>
    <n v="1646400"/>
  </r>
  <r>
    <x v="175"/>
    <x v="2"/>
    <m/>
    <x v="1"/>
    <x v="0"/>
    <x v="1"/>
    <n v="293"/>
    <s v="스테이포에버"/>
    <n v="200720"/>
    <m/>
    <n v="9962000"/>
  </r>
  <r>
    <x v="175"/>
    <x v="2"/>
    <m/>
    <x v="1"/>
    <x v="0"/>
    <x v="1"/>
    <n v="81"/>
    <s v="스테이포에버 2set"/>
    <n v="200720"/>
    <m/>
    <n v="4762800"/>
  </r>
  <r>
    <x v="175"/>
    <x v="2"/>
    <m/>
    <x v="1"/>
    <x v="0"/>
    <x v="1"/>
    <n v="10"/>
    <s v="이그나이트"/>
    <n v="200720"/>
    <m/>
    <n v="340000"/>
  </r>
  <r>
    <x v="175"/>
    <x v="2"/>
    <m/>
    <x v="1"/>
    <x v="0"/>
    <x v="1"/>
    <n v="1"/>
    <s v="이그나이트 2set"/>
    <n v="200720"/>
    <m/>
    <n v="58800"/>
  </r>
  <r>
    <x v="175"/>
    <x v="2"/>
    <m/>
    <x v="0"/>
    <x v="0"/>
    <x v="1"/>
    <n v="10"/>
    <s v="유즈쇼핑백"/>
    <n v="200720"/>
    <m/>
    <n v="20000"/>
  </r>
  <r>
    <x v="176"/>
    <x v="5"/>
    <m/>
    <x v="1"/>
    <x v="0"/>
    <x v="1"/>
    <n v="18"/>
    <s v="이그나이트 + 스테이포에버"/>
    <n v="200720"/>
    <m/>
    <n v="1058400"/>
  </r>
  <r>
    <x v="176"/>
    <x v="5"/>
    <m/>
    <x v="1"/>
    <x v="0"/>
    <x v="1"/>
    <n v="1"/>
    <s v="이그나이트 + 스테이포에버 2set"/>
    <n v="200720"/>
    <m/>
    <n v="94800"/>
  </r>
  <r>
    <x v="176"/>
    <x v="5"/>
    <m/>
    <x v="1"/>
    <x v="0"/>
    <x v="1"/>
    <n v="211"/>
    <s v="스테이포에버"/>
    <n v="200720"/>
    <m/>
    <n v="7174000"/>
  </r>
  <r>
    <x v="176"/>
    <x v="5"/>
    <m/>
    <x v="1"/>
    <x v="0"/>
    <x v="1"/>
    <n v="52"/>
    <s v="스테이포에버 2set"/>
    <n v="200720"/>
    <m/>
    <n v="3057600"/>
  </r>
  <r>
    <x v="176"/>
    <x v="5"/>
    <m/>
    <x v="1"/>
    <x v="0"/>
    <x v="1"/>
    <n v="6"/>
    <s v="이그나이트"/>
    <n v="200720"/>
    <m/>
    <n v="204000"/>
  </r>
  <r>
    <x v="176"/>
    <x v="5"/>
    <m/>
    <x v="0"/>
    <x v="0"/>
    <x v="1"/>
    <n v="6"/>
    <s v="유즈쇼핑백"/>
    <n v="200720"/>
    <m/>
    <n v="12000"/>
  </r>
  <r>
    <x v="177"/>
    <x v="6"/>
    <m/>
    <x v="1"/>
    <x v="2"/>
    <x v="1"/>
    <n v="1"/>
    <s v="스테이포에버"/>
    <n v="200520"/>
    <m/>
    <n v="0"/>
  </r>
  <r>
    <x v="177"/>
    <x v="6"/>
    <m/>
    <x v="1"/>
    <x v="0"/>
    <x v="1"/>
    <n v="18"/>
    <s v="이그나이트 + 스테이포에버"/>
    <n v="200720"/>
    <m/>
    <n v="1058400"/>
  </r>
  <r>
    <x v="177"/>
    <x v="6"/>
    <m/>
    <x v="1"/>
    <x v="0"/>
    <x v="1"/>
    <n v="152"/>
    <s v="스테이포에버"/>
    <n v="200720"/>
    <m/>
    <n v="5168000"/>
  </r>
  <r>
    <x v="177"/>
    <x v="6"/>
    <m/>
    <x v="1"/>
    <x v="0"/>
    <x v="1"/>
    <n v="56"/>
    <s v="스테이포에버 2set"/>
    <n v="200720"/>
    <m/>
    <n v="3292800"/>
  </r>
  <r>
    <x v="177"/>
    <x v="6"/>
    <m/>
    <x v="1"/>
    <x v="0"/>
    <x v="1"/>
    <n v="1"/>
    <s v="이그나이트"/>
    <n v="200720"/>
    <m/>
    <n v="34000"/>
  </r>
  <r>
    <x v="177"/>
    <x v="6"/>
    <m/>
    <x v="1"/>
    <x v="0"/>
    <x v="1"/>
    <n v="4"/>
    <s v="이그나이트 2set"/>
    <n v="200720"/>
    <m/>
    <n v="235200"/>
  </r>
  <r>
    <x v="177"/>
    <x v="6"/>
    <m/>
    <x v="0"/>
    <x v="0"/>
    <x v="1"/>
    <n v="7"/>
    <s v="유즈쇼핑백"/>
    <n v="200720"/>
    <m/>
    <n v="14000"/>
  </r>
  <r>
    <x v="178"/>
    <x v="0"/>
    <m/>
    <x v="1"/>
    <x v="0"/>
    <x v="1"/>
    <n v="20"/>
    <s v="이그나이트 + 스테이포에버"/>
    <n v="200720"/>
    <m/>
    <n v="1176000"/>
  </r>
  <r>
    <x v="178"/>
    <x v="0"/>
    <m/>
    <x v="1"/>
    <x v="0"/>
    <x v="1"/>
    <n v="1"/>
    <s v="이그나이트 + 스테이포에버 2set"/>
    <n v="200720"/>
    <m/>
    <n v="94800"/>
  </r>
  <r>
    <x v="178"/>
    <x v="0"/>
    <m/>
    <x v="1"/>
    <x v="0"/>
    <x v="1"/>
    <n v="198"/>
    <s v="스테이포에버"/>
    <n v="200720"/>
    <m/>
    <n v="6732000"/>
  </r>
  <r>
    <x v="178"/>
    <x v="0"/>
    <m/>
    <x v="1"/>
    <x v="0"/>
    <x v="1"/>
    <n v="82"/>
    <s v="스테이포에버 2set"/>
    <n v="200720"/>
    <m/>
    <n v="4821600"/>
  </r>
  <r>
    <x v="178"/>
    <x v="0"/>
    <m/>
    <x v="1"/>
    <x v="0"/>
    <x v="1"/>
    <n v="5"/>
    <s v="이그나이트"/>
    <n v="200720"/>
    <m/>
    <n v="170000"/>
  </r>
  <r>
    <x v="178"/>
    <x v="0"/>
    <m/>
    <x v="0"/>
    <x v="0"/>
    <x v="1"/>
    <n v="6"/>
    <s v="유즈쇼핑백"/>
    <n v="200720"/>
    <m/>
    <n v="12000"/>
  </r>
  <r>
    <x v="179"/>
    <x v="3"/>
    <m/>
    <x v="1"/>
    <x v="0"/>
    <x v="1"/>
    <n v="15"/>
    <s v="이그나이트 + 스테이포에버"/>
    <n v="200720"/>
    <m/>
    <n v="882000"/>
  </r>
  <r>
    <x v="179"/>
    <x v="3"/>
    <m/>
    <x v="1"/>
    <x v="0"/>
    <x v="1"/>
    <n v="1"/>
    <s v="이그나이트 + 스테이포에버 2set"/>
    <n v="200720"/>
    <m/>
    <n v="94800"/>
  </r>
  <r>
    <x v="179"/>
    <x v="3"/>
    <m/>
    <x v="1"/>
    <x v="0"/>
    <x v="1"/>
    <n v="161"/>
    <s v="스테이포에버"/>
    <n v="200720"/>
    <m/>
    <n v="5474000"/>
  </r>
  <r>
    <x v="179"/>
    <x v="3"/>
    <m/>
    <x v="1"/>
    <x v="0"/>
    <x v="1"/>
    <n v="76"/>
    <s v="스테이포에버 2set"/>
    <n v="200720"/>
    <m/>
    <n v="4468800"/>
  </r>
  <r>
    <x v="179"/>
    <x v="3"/>
    <m/>
    <x v="1"/>
    <x v="0"/>
    <x v="1"/>
    <n v="6"/>
    <s v="이그나이트"/>
    <n v="200720"/>
    <m/>
    <n v="204000"/>
  </r>
  <r>
    <x v="179"/>
    <x v="3"/>
    <m/>
    <x v="1"/>
    <x v="0"/>
    <x v="1"/>
    <n v="1"/>
    <s v="이그나이트 2set"/>
    <n v="200720"/>
    <m/>
    <n v="58800"/>
  </r>
  <r>
    <x v="179"/>
    <x v="3"/>
    <m/>
    <x v="0"/>
    <x v="0"/>
    <x v="1"/>
    <n v="6"/>
    <s v="유즈쇼핑백"/>
    <n v="200720"/>
    <m/>
    <n v="12000"/>
  </r>
  <r>
    <x v="180"/>
    <x v="4"/>
    <m/>
    <x v="1"/>
    <x v="0"/>
    <x v="1"/>
    <n v="18"/>
    <s v="이그나이트 + 스테이포에버"/>
    <n v="200720"/>
    <m/>
    <n v="1058400"/>
  </r>
  <r>
    <x v="180"/>
    <x v="4"/>
    <m/>
    <x v="1"/>
    <x v="0"/>
    <x v="1"/>
    <n v="1"/>
    <s v="이그나이트 + 스테이포에버 2set"/>
    <n v="200720"/>
    <m/>
    <n v="94800"/>
  </r>
  <r>
    <x v="180"/>
    <x v="4"/>
    <m/>
    <x v="1"/>
    <x v="0"/>
    <x v="1"/>
    <n v="175"/>
    <s v="스테이포에버"/>
    <n v="200720"/>
    <m/>
    <n v="5950000"/>
  </r>
  <r>
    <x v="180"/>
    <x v="4"/>
    <m/>
    <x v="1"/>
    <x v="0"/>
    <x v="1"/>
    <n v="69"/>
    <s v="스테이포에버 2set"/>
    <n v="200720"/>
    <m/>
    <n v="4057200"/>
  </r>
  <r>
    <x v="180"/>
    <x v="4"/>
    <m/>
    <x v="1"/>
    <x v="0"/>
    <x v="1"/>
    <n v="3"/>
    <s v="이그나이트"/>
    <n v="200720"/>
    <m/>
    <n v="102000"/>
  </r>
  <r>
    <x v="180"/>
    <x v="4"/>
    <m/>
    <x v="0"/>
    <x v="0"/>
    <x v="1"/>
    <n v="6"/>
    <s v="유즈쇼핑백"/>
    <n v="200720"/>
    <m/>
    <n v="12000"/>
  </r>
  <r>
    <x v="181"/>
    <x v="1"/>
    <m/>
    <x v="1"/>
    <x v="0"/>
    <x v="1"/>
    <n v="15"/>
    <s v="이그나이트 + 스테이포에버"/>
    <n v="200720"/>
    <m/>
    <n v="882000"/>
  </r>
  <r>
    <x v="181"/>
    <x v="1"/>
    <m/>
    <x v="1"/>
    <x v="0"/>
    <x v="1"/>
    <n v="1"/>
    <s v="이그나이트 + 스테이포에버 2set"/>
    <n v="200720"/>
    <m/>
    <n v="94800"/>
  </r>
  <r>
    <x v="181"/>
    <x v="1"/>
    <m/>
    <x v="1"/>
    <x v="0"/>
    <x v="1"/>
    <n v="168"/>
    <s v="스테이포에버"/>
    <n v="200720"/>
    <m/>
    <n v="5712000"/>
  </r>
  <r>
    <x v="181"/>
    <x v="1"/>
    <m/>
    <x v="1"/>
    <x v="0"/>
    <x v="1"/>
    <n v="87"/>
    <s v="스테이포에버 2set"/>
    <n v="200720"/>
    <m/>
    <n v="5115600"/>
  </r>
  <r>
    <x v="181"/>
    <x v="1"/>
    <m/>
    <x v="1"/>
    <x v="0"/>
    <x v="1"/>
    <n v="3"/>
    <s v="이그나이트 2set"/>
    <n v="200720"/>
    <m/>
    <n v="176400"/>
  </r>
  <r>
    <x v="181"/>
    <x v="1"/>
    <m/>
    <x v="0"/>
    <x v="0"/>
    <x v="1"/>
    <n v="9"/>
    <s v="유즈쇼핑백"/>
    <n v="200720"/>
    <m/>
    <n v="18000"/>
  </r>
  <r>
    <x v="182"/>
    <x v="2"/>
    <m/>
    <x v="1"/>
    <x v="0"/>
    <x v="1"/>
    <n v="15"/>
    <s v="이그나이트 + 스테이포에버"/>
    <n v="200720"/>
    <m/>
    <n v="882000"/>
  </r>
  <r>
    <x v="182"/>
    <x v="2"/>
    <m/>
    <x v="1"/>
    <x v="0"/>
    <x v="1"/>
    <n v="1"/>
    <s v="이그나이트 + 스테이포에버 2set"/>
    <n v="200720"/>
    <m/>
    <n v="94800"/>
  </r>
  <r>
    <x v="182"/>
    <x v="2"/>
    <m/>
    <x v="1"/>
    <x v="0"/>
    <x v="1"/>
    <n v="210"/>
    <s v="스테이포에버"/>
    <n v="200720"/>
    <m/>
    <n v="7140000"/>
  </r>
  <r>
    <x v="182"/>
    <x v="2"/>
    <m/>
    <x v="1"/>
    <x v="0"/>
    <x v="1"/>
    <n v="96"/>
    <s v="스테이포에버 2set"/>
    <n v="200720"/>
    <m/>
    <n v="5644800"/>
  </r>
  <r>
    <x v="182"/>
    <x v="2"/>
    <m/>
    <x v="1"/>
    <x v="0"/>
    <x v="1"/>
    <n v="3"/>
    <s v="이그나이트"/>
    <n v="200720"/>
    <m/>
    <n v="102000"/>
  </r>
  <r>
    <x v="182"/>
    <x v="2"/>
    <m/>
    <x v="1"/>
    <x v="0"/>
    <x v="1"/>
    <n v="1"/>
    <s v="이그나이트 2set"/>
    <n v="200720"/>
    <m/>
    <n v="58800"/>
  </r>
  <r>
    <x v="182"/>
    <x v="2"/>
    <m/>
    <x v="0"/>
    <x v="0"/>
    <x v="1"/>
    <n v="5"/>
    <s v="유즈쇼핑백"/>
    <n v="200720"/>
    <m/>
    <n v="10000"/>
  </r>
  <r>
    <x v="183"/>
    <x v="5"/>
    <m/>
    <x v="1"/>
    <x v="0"/>
    <x v="1"/>
    <n v="24"/>
    <s v="이그나이트 + 스테이포에버"/>
    <n v="200720"/>
    <m/>
    <n v="1411200"/>
  </r>
  <r>
    <x v="183"/>
    <x v="5"/>
    <m/>
    <x v="1"/>
    <x v="0"/>
    <x v="1"/>
    <n v="196"/>
    <s v="스테이포에버"/>
    <n v="200720"/>
    <m/>
    <n v="6664000"/>
  </r>
  <r>
    <x v="183"/>
    <x v="5"/>
    <m/>
    <x v="1"/>
    <x v="0"/>
    <x v="1"/>
    <n v="99"/>
    <s v="스테이포에버 2set"/>
    <n v="200720"/>
    <m/>
    <n v="5821200"/>
  </r>
  <r>
    <x v="183"/>
    <x v="5"/>
    <m/>
    <x v="1"/>
    <x v="0"/>
    <x v="1"/>
    <n v="7"/>
    <s v="이그나이트"/>
    <n v="200720"/>
    <m/>
    <n v="238000"/>
  </r>
  <r>
    <x v="183"/>
    <x v="5"/>
    <m/>
    <x v="0"/>
    <x v="0"/>
    <x v="1"/>
    <n v="7"/>
    <s v="유즈쇼핑백"/>
    <n v="200720"/>
    <m/>
    <n v="14000"/>
  </r>
  <r>
    <x v="184"/>
    <x v="6"/>
    <m/>
    <x v="1"/>
    <x v="0"/>
    <x v="1"/>
    <n v="12"/>
    <s v="이그나이트 + 스테이포에버"/>
    <n v="200720"/>
    <m/>
    <n v="705600"/>
  </r>
  <r>
    <x v="184"/>
    <x v="6"/>
    <m/>
    <x v="1"/>
    <x v="0"/>
    <x v="1"/>
    <n v="128"/>
    <s v="스테이포에버"/>
    <n v="200720"/>
    <m/>
    <n v="4352000"/>
  </r>
  <r>
    <x v="184"/>
    <x v="6"/>
    <m/>
    <x v="1"/>
    <x v="0"/>
    <x v="1"/>
    <n v="62"/>
    <s v="스테이포에버 2set"/>
    <n v="200720"/>
    <m/>
    <n v="3645600"/>
  </r>
  <r>
    <x v="184"/>
    <x v="6"/>
    <m/>
    <x v="1"/>
    <x v="0"/>
    <x v="1"/>
    <n v="1"/>
    <s v="이그나이트"/>
    <n v="200720"/>
    <m/>
    <n v="34000"/>
  </r>
  <r>
    <x v="184"/>
    <x v="6"/>
    <m/>
    <x v="0"/>
    <x v="0"/>
    <x v="1"/>
    <n v="4"/>
    <s v="유즈쇼핑백"/>
    <n v="200720"/>
    <m/>
    <n v="8000"/>
  </r>
  <r>
    <x v="185"/>
    <x v="0"/>
    <m/>
    <x v="1"/>
    <x v="0"/>
    <x v="1"/>
    <n v="11"/>
    <s v="이그나이트 + 스테이포에버"/>
    <n v="200720"/>
    <m/>
    <n v="646800"/>
  </r>
  <r>
    <x v="185"/>
    <x v="0"/>
    <m/>
    <x v="1"/>
    <x v="0"/>
    <x v="1"/>
    <n v="140"/>
    <s v="스테이포에버"/>
    <n v="200720"/>
    <m/>
    <n v="4760000"/>
  </r>
  <r>
    <x v="185"/>
    <x v="0"/>
    <m/>
    <x v="1"/>
    <x v="0"/>
    <x v="1"/>
    <n v="48"/>
    <s v="스테이포에버 2set"/>
    <n v="200720"/>
    <m/>
    <n v="2822400"/>
  </r>
  <r>
    <x v="185"/>
    <x v="0"/>
    <m/>
    <x v="1"/>
    <x v="0"/>
    <x v="1"/>
    <n v="6"/>
    <s v="이그나이트"/>
    <n v="200720"/>
    <m/>
    <n v="204000"/>
  </r>
  <r>
    <x v="185"/>
    <x v="0"/>
    <m/>
    <x v="0"/>
    <x v="0"/>
    <x v="1"/>
    <n v="3"/>
    <s v="유즈쇼핑백"/>
    <n v="200720"/>
    <m/>
    <n v="6000"/>
  </r>
  <r>
    <x v="186"/>
    <x v="3"/>
    <m/>
    <x v="1"/>
    <x v="0"/>
    <x v="1"/>
    <n v="21"/>
    <s v="이그나이트 + 스테이포에버"/>
    <n v="200720"/>
    <m/>
    <n v="1234800"/>
  </r>
  <r>
    <x v="186"/>
    <x v="3"/>
    <m/>
    <x v="1"/>
    <x v="0"/>
    <x v="1"/>
    <n v="119"/>
    <s v="스테이포에버"/>
    <n v="200720"/>
    <m/>
    <n v="4046000"/>
  </r>
  <r>
    <x v="186"/>
    <x v="3"/>
    <m/>
    <x v="1"/>
    <x v="0"/>
    <x v="1"/>
    <n v="51"/>
    <s v="스테이포에버 2set"/>
    <n v="200720"/>
    <m/>
    <n v="2998800"/>
  </r>
  <r>
    <x v="186"/>
    <x v="3"/>
    <m/>
    <x v="1"/>
    <x v="0"/>
    <x v="1"/>
    <n v="3"/>
    <s v="이그나이트"/>
    <n v="200720"/>
    <m/>
    <n v="102000"/>
  </r>
  <r>
    <x v="186"/>
    <x v="3"/>
    <m/>
    <x v="0"/>
    <x v="0"/>
    <x v="1"/>
    <n v="1"/>
    <s v="유즈쇼핑백"/>
    <n v="200720"/>
    <m/>
    <n v="2000"/>
  </r>
  <r>
    <x v="187"/>
    <x v="4"/>
    <m/>
    <x v="1"/>
    <x v="0"/>
    <x v="1"/>
    <n v="11"/>
    <s v="이그나이트 + 스테이포에버"/>
    <n v="200720"/>
    <m/>
    <n v="646800"/>
  </r>
  <r>
    <x v="187"/>
    <x v="4"/>
    <m/>
    <x v="1"/>
    <x v="0"/>
    <x v="1"/>
    <n v="138"/>
    <s v="스테이포에버"/>
    <n v="200720"/>
    <m/>
    <n v="4692000"/>
  </r>
  <r>
    <x v="187"/>
    <x v="4"/>
    <m/>
    <x v="1"/>
    <x v="0"/>
    <x v="1"/>
    <n v="43"/>
    <s v="스테이포에버 2set"/>
    <n v="200720"/>
    <m/>
    <n v="2528400"/>
  </r>
  <r>
    <x v="187"/>
    <x v="4"/>
    <m/>
    <x v="1"/>
    <x v="0"/>
    <x v="1"/>
    <n v="2"/>
    <s v="이그나이트"/>
    <n v="200720"/>
    <m/>
    <n v="68000"/>
  </r>
  <r>
    <x v="187"/>
    <x v="4"/>
    <m/>
    <x v="0"/>
    <x v="0"/>
    <x v="1"/>
    <n v="6"/>
    <s v="유즈쇼핑백"/>
    <n v="200720"/>
    <m/>
    <n v="12000"/>
  </r>
  <r>
    <x v="188"/>
    <x v="1"/>
    <m/>
    <x v="1"/>
    <x v="0"/>
    <x v="1"/>
    <n v="11"/>
    <s v="이그나이트 + 스테이포에버"/>
    <n v="200720"/>
    <m/>
    <n v="646800"/>
  </r>
  <r>
    <x v="188"/>
    <x v="1"/>
    <m/>
    <x v="1"/>
    <x v="0"/>
    <x v="1"/>
    <n v="2"/>
    <s v="이그나이트 + 스테이포에버 2set"/>
    <n v="200720"/>
    <m/>
    <n v="189600"/>
  </r>
  <r>
    <x v="188"/>
    <x v="1"/>
    <m/>
    <x v="1"/>
    <x v="0"/>
    <x v="1"/>
    <n v="140"/>
    <s v="스테이포에버"/>
    <n v="200720"/>
    <m/>
    <n v="4760000"/>
  </r>
  <r>
    <x v="188"/>
    <x v="1"/>
    <m/>
    <x v="1"/>
    <x v="0"/>
    <x v="1"/>
    <n v="54"/>
    <s v="스테이포에버 2set"/>
    <n v="200720"/>
    <m/>
    <n v="3175200"/>
  </r>
  <r>
    <x v="188"/>
    <x v="1"/>
    <m/>
    <x v="1"/>
    <x v="0"/>
    <x v="1"/>
    <n v="2"/>
    <s v="이그나이트"/>
    <n v="200720"/>
    <m/>
    <n v="68000"/>
  </r>
  <r>
    <x v="188"/>
    <x v="1"/>
    <m/>
    <x v="1"/>
    <x v="0"/>
    <x v="1"/>
    <n v="1"/>
    <s v="이그나이트 2set"/>
    <n v="200720"/>
    <m/>
    <n v="58800"/>
  </r>
  <r>
    <x v="188"/>
    <x v="1"/>
    <m/>
    <x v="0"/>
    <x v="0"/>
    <x v="1"/>
    <n v="7"/>
    <s v="유즈쇼핑백"/>
    <n v="200720"/>
    <m/>
    <n v="14000"/>
  </r>
  <r>
    <x v="189"/>
    <x v="2"/>
    <m/>
    <x v="1"/>
    <x v="0"/>
    <x v="1"/>
    <n v="13"/>
    <s v="이그나이트 + 스테이포에버"/>
    <n v="200720"/>
    <m/>
    <n v="764400"/>
  </r>
  <r>
    <x v="189"/>
    <x v="2"/>
    <m/>
    <x v="1"/>
    <x v="0"/>
    <x v="1"/>
    <n v="150"/>
    <s v="스테이포에버"/>
    <n v="200720"/>
    <m/>
    <n v="5100000"/>
  </r>
  <r>
    <x v="189"/>
    <x v="2"/>
    <m/>
    <x v="1"/>
    <x v="0"/>
    <x v="1"/>
    <n v="74"/>
    <s v="스테이포에버 2set"/>
    <n v="200720"/>
    <m/>
    <n v="4351200"/>
  </r>
  <r>
    <x v="189"/>
    <x v="2"/>
    <m/>
    <x v="1"/>
    <x v="0"/>
    <x v="1"/>
    <n v="2"/>
    <s v="이그나이트 2set"/>
    <n v="200720"/>
    <m/>
    <n v="117600"/>
  </r>
  <r>
    <x v="189"/>
    <x v="2"/>
    <m/>
    <x v="0"/>
    <x v="0"/>
    <x v="1"/>
    <n v="9"/>
    <s v="유즈쇼핑백"/>
    <n v="200720"/>
    <m/>
    <n v="18000"/>
  </r>
  <r>
    <x v="190"/>
    <x v="5"/>
    <m/>
    <x v="1"/>
    <x v="0"/>
    <x v="1"/>
    <n v="20"/>
    <s v="이그나이트 + 스테이포에버"/>
    <n v="200720"/>
    <m/>
    <n v="1176000"/>
  </r>
  <r>
    <x v="190"/>
    <x v="5"/>
    <m/>
    <x v="1"/>
    <x v="0"/>
    <x v="1"/>
    <n v="164"/>
    <s v="스테이포에버"/>
    <n v="200720"/>
    <m/>
    <n v="5576000"/>
  </r>
  <r>
    <x v="190"/>
    <x v="5"/>
    <m/>
    <x v="1"/>
    <x v="0"/>
    <x v="1"/>
    <n v="87"/>
    <s v="스테이포에버 2set"/>
    <n v="200720"/>
    <m/>
    <n v="5115600"/>
  </r>
  <r>
    <x v="190"/>
    <x v="5"/>
    <m/>
    <x v="1"/>
    <x v="0"/>
    <x v="1"/>
    <n v="1"/>
    <s v="이그나이트"/>
    <n v="200720"/>
    <m/>
    <n v="34000"/>
  </r>
  <r>
    <x v="190"/>
    <x v="5"/>
    <m/>
    <x v="1"/>
    <x v="0"/>
    <x v="1"/>
    <n v="2"/>
    <s v="이그나이트 2set"/>
    <n v="200720"/>
    <m/>
    <n v="117600"/>
  </r>
  <r>
    <x v="190"/>
    <x v="5"/>
    <m/>
    <x v="0"/>
    <x v="0"/>
    <x v="1"/>
    <n v="7"/>
    <s v="유즈쇼핑백"/>
    <n v="200720"/>
    <m/>
    <n v="14000"/>
  </r>
  <r>
    <x v="191"/>
    <x v="6"/>
    <m/>
    <x v="1"/>
    <x v="0"/>
    <x v="1"/>
    <n v="12"/>
    <s v="이그나이트 + 스테이포에버"/>
    <n v="200720"/>
    <m/>
    <n v="705600"/>
  </r>
  <r>
    <x v="191"/>
    <x v="6"/>
    <m/>
    <x v="1"/>
    <x v="0"/>
    <x v="1"/>
    <n v="133"/>
    <s v="스테이포에버"/>
    <n v="200720"/>
    <m/>
    <n v="4522000"/>
  </r>
  <r>
    <x v="191"/>
    <x v="6"/>
    <m/>
    <x v="1"/>
    <x v="0"/>
    <x v="1"/>
    <n v="63"/>
    <s v="스테이포에버 2set"/>
    <n v="200720"/>
    <m/>
    <n v="3704400"/>
  </r>
  <r>
    <x v="191"/>
    <x v="6"/>
    <m/>
    <x v="1"/>
    <x v="0"/>
    <x v="1"/>
    <n v="4"/>
    <s v="이그나이트"/>
    <n v="200720"/>
    <m/>
    <n v="136000"/>
  </r>
  <r>
    <x v="191"/>
    <x v="6"/>
    <m/>
    <x v="0"/>
    <x v="0"/>
    <x v="1"/>
    <n v="7"/>
    <s v="유즈쇼핑백"/>
    <n v="200720"/>
    <m/>
    <n v="14000"/>
  </r>
  <r>
    <x v="192"/>
    <x v="0"/>
    <m/>
    <x v="1"/>
    <x v="0"/>
    <x v="1"/>
    <n v="25"/>
    <s v="이그나이트 + 스테이포에버"/>
    <n v="200720"/>
    <m/>
    <n v="1470000"/>
  </r>
  <r>
    <x v="192"/>
    <x v="0"/>
    <m/>
    <x v="1"/>
    <x v="0"/>
    <x v="1"/>
    <n v="1"/>
    <s v="이그나이트 + 스테이포에버 2set"/>
    <n v="200720"/>
    <m/>
    <n v="94800"/>
  </r>
  <r>
    <x v="192"/>
    <x v="0"/>
    <m/>
    <x v="1"/>
    <x v="0"/>
    <x v="1"/>
    <n v="191"/>
    <s v="스테이포에버"/>
    <n v="200720"/>
    <m/>
    <n v="6494000"/>
  </r>
  <r>
    <x v="192"/>
    <x v="0"/>
    <m/>
    <x v="1"/>
    <x v="0"/>
    <x v="1"/>
    <n v="74"/>
    <s v="스테이포에버 2set"/>
    <n v="200720"/>
    <m/>
    <n v="4351200"/>
  </r>
  <r>
    <x v="192"/>
    <x v="0"/>
    <m/>
    <x v="1"/>
    <x v="0"/>
    <x v="1"/>
    <n v="1"/>
    <s v="이그나이트 2set"/>
    <n v="200720"/>
    <m/>
    <n v="58800"/>
  </r>
  <r>
    <x v="192"/>
    <x v="0"/>
    <m/>
    <x v="0"/>
    <x v="0"/>
    <x v="1"/>
    <n v="7"/>
    <s v="유즈쇼핑백"/>
    <n v="200720"/>
    <m/>
    <n v="14000"/>
  </r>
  <r>
    <x v="194"/>
    <x v="4"/>
    <m/>
    <x v="1"/>
    <x v="0"/>
    <x v="2"/>
    <n v="2"/>
    <s v="이그나이트"/>
    <n v="201210"/>
    <m/>
    <n v="76000"/>
  </r>
  <r>
    <x v="193"/>
    <x v="3"/>
    <m/>
    <x v="1"/>
    <x v="0"/>
    <x v="3"/>
    <n v="6"/>
    <s v="스테이포에버"/>
    <n v="201210"/>
    <m/>
    <n v="228000"/>
  </r>
  <r>
    <x v="194"/>
    <x v="4"/>
    <m/>
    <x v="1"/>
    <x v="0"/>
    <x v="4"/>
    <n v="2"/>
    <s v="스테이포에버 2set"/>
    <n v="201210"/>
    <m/>
    <n v="117600"/>
  </r>
  <r>
    <x v="193"/>
    <x v="3"/>
    <m/>
    <x v="1"/>
    <x v="0"/>
    <x v="5"/>
    <n v="7"/>
    <s v="이그나이트 + 스테이포에버"/>
    <n v="201210"/>
    <m/>
    <n v="483000"/>
  </r>
  <r>
    <x v="196"/>
    <x v="2"/>
    <m/>
    <x v="1"/>
    <x v="0"/>
    <x v="6"/>
    <n v="2"/>
    <s v="이그나이트"/>
    <n v="201210"/>
    <m/>
    <n v="76000"/>
  </r>
  <r>
    <x v="196"/>
    <x v="2"/>
    <m/>
    <x v="1"/>
    <x v="0"/>
    <x v="7"/>
    <n v="9"/>
    <s v="스테이포에버"/>
    <n v="201210"/>
    <m/>
    <n v="342000"/>
  </r>
  <r>
    <x v="196"/>
    <x v="2"/>
    <m/>
    <x v="1"/>
    <x v="0"/>
    <x v="8"/>
    <n v="8"/>
    <s v="스테이포에버 2set"/>
    <n v="201210"/>
    <m/>
    <n v="470400"/>
  </r>
  <r>
    <x v="196"/>
    <x v="2"/>
    <m/>
    <x v="1"/>
    <x v="0"/>
    <x v="9"/>
    <n v="6"/>
    <s v="이그나이트 + 스테이포에버"/>
    <n v="201210"/>
    <m/>
    <n v="414000"/>
  </r>
  <r>
    <x v="196"/>
    <x v="2"/>
    <m/>
    <x v="1"/>
    <x v="0"/>
    <x v="10"/>
    <n v="1"/>
    <s v="이그나이트 + 스테이포에버 2set"/>
    <n v="201210"/>
    <m/>
    <n v="94800"/>
  </r>
  <r>
    <x v="196"/>
    <x v="2"/>
    <m/>
    <x v="1"/>
    <x v="0"/>
    <x v="11"/>
    <n v="175"/>
    <s v="스테이포에버"/>
    <n v="201210"/>
    <m/>
    <n v="6650000"/>
  </r>
  <r>
    <x v="196"/>
    <x v="2"/>
    <m/>
    <x v="1"/>
    <x v="0"/>
    <x v="12"/>
    <n v="64"/>
    <s v="스테이포에버 2set"/>
    <n v="201210"/>
    <m/>
    <n v="3763200"/>
  </r>
  <r>
    <x v="196"/>
    <x v="2"/>
    <m/>
    <x v="1"/>
    <x v="0"/>
    <x v="13"/>
    <n v="19"/>
    <s v="이그나이트 + 스테이포에버"/>
    <n v="201210"/>
    <m/>
    <n v="1311000"/>
  </r>
  <r>
    <x v="196"/>
    <x v="2"/>
    <m/>
    <x v="0"/>
    <x v="0"/>
    <x v="14"/>
    <n v="6"/>
    <s v="쇼핑백"/>
    <n v="201210"/>
    <m/>
    <n v="12000"/>
  </r>
  <r>
    <x v="196"/>
    <x v="2"/>
    <m/>
    <x v="1"/>
    <x v="0"/>
    <x v="15"/>
    <n v="2"/>
    <s v="이그나이트"/>
    <n v="201210"/>
    <m/>
    <n v="76000"/>
  </r>
  <r>
    <x v="194"/>
    <x v="4"/>
    <m/>
    <x v="1"/>
    <x v="0"/>
    <x v="7"/>
    <n v="49"/>
    <s v="스테이포에버"/>
    <n v="201210"/>
    <m/>
    <n v="1862000"/>
  </r>
  <r>
    <x v="194"/>
    <x v="4"/>
    <m/>
    <x v="1"/>
    <x v="0"/>
    <x v="8"/>
    <n v="16"/>
    <s v="스테이포에버 2set"/>
    <n v="201210"/>
    <m/>
    <n v="940800"/>
  </r>
  <r>
    <x v="194"/>
    <x v="4"/>
    <m/>
    <x v="1"/>
    <x v="0"/>
    <x v="9"/>
    <n v="23"/>
    <s v="이그나이트 + 스테이포에버"/>
    <n v="201210"/>
    <m/>
    <n v="1587000"/>
  </r>
  <r>
    <x v="194"/>
    <x v="4"/>
    <m/>
    <x v="1"/>
    <x v="0"/>
    <x v="10"/>
    <n v="3"/>
    <s v="이그나이트 + 스테이포에버 2set"/>
    <n v="201210"/>
    <m/>
    <n v="284400"/>
  </r>
  <r>
    <x v="198"/>
    <x v="6"/>
    <m/>
    <x v="1"/>
    <x v="0"/>
    <x v="16"/>
    <n v="1"/>
    <s v="이그나이트"/>
    <n v="201210"/>
    <m/>
    <n v="38000"/>
  </r>
  <r>
    <x v="198"/>
    <x v="6"/>
    <m/>
    <x v="1"/>
    <x v="0"/>
    <x v="17"/>
    <n v="24"/>
    <s v="스테이포에버"/>
    <n v="201210"/>
    <m/>
    <n v="912000"/>
  </r>
  <r>
    <x v="198"/>
    <x v="6"/>
    <m/>
    <x v="1"/>
    <x v="0"/>
    <x v="18"/>
    <n v="9"/>
    <s v="스테이포에버 2set"/>
    <n v="201210"/>
    <m/>
    <n v="529200"/>
  </r>
  <r>
    <x v="198"/>
    <x v="6"/>
    <m/>
    <x v="1"/>
    <x v="0"/>
    <x v="19"/>
    <n v="10"/>
    <s v="이그나이트 + 스테이포에버"/>
    <n v="201210"/>
    <m/>
    <n v="690000"/>
  </r>
  <r>
    <x v="193"/>
    <x v="3"/>
    <m/>
    <x v="1"/>
    <x v="0"/>
    <x v="20"/>
    <n v="6"/>
    <s v="스테이포에버"/>
    <n v="201210"/>
    <m/>
    <n v="228000"/>
  </r>
  <r>
    <x v="193"/>
    <x v="3"/>
    <m/>
    <x v="1"/>
    <x v="0"/>
    <x v="21"/>
    <n v="3"/>
    <s v="이그나이트 + 스테이포에버"/>
    <n v="201210"/>
    <m/>
    <n v="207000"/>
  </r>
  <r>
    <x v="198"/>
    <x v="6"/>
    <m/>
    <x v="1"/>
    <x v="0"/>
    <x v="22"/>
    <n v="1"/>
    <s v="스테이포에버"/>
    <n v="201210"/>
    <m/>
    <n v="38000"/>
  </r>
  <r>
    <x v="193"/>
    <x v="3"/>
    <m/>
    <x v="1"/>
    <x v="0"/>
    <x v="23"/>
    <n v="127"/>
    <s v="스테이포에버"/>
    <n v="201210"/>
    <m/>
    <n v="4826000"/>
  </r>
  <r>
    <x v="193"/>
    <x v="3"/>
    <m/>
    <x v="1"/>
    <x v="0"/>
    <x v="24"/>
    <n v="54"/>
    <s v="스테이포에버 2set"/>
    <n v="201210"/>
    <m/>
    <n v="3175200"/>
  </r>
  <r>
    <x v="193"/>
    <x v="3"/>
    <m/>
    <x v="1"/>
    <x v="0"/>
    <x v="25"/>
    <n v="12"/>
    <s v="이그나이트 + 스테이포에버"/>
    <n v="201210"/>
    <m/>
    <n v="828000"/>
  </r>
  <r>
    <x v="193"/>
    <x v="3"/>
    <m/>
    <x v="0"/>
    <x v="0"/>
    <x v="26"/>
    <n v="5"/>
    <s v="쇼핑백"/>
    <n v="201210"/>
    <m/>
    <n v="10000"/>
  </r>
  <r>
    <x v="194"/>
    <x v="4"/>
    <m/>
    <x v="1"/>
    <x v="0"/>
    <x v="27"/>
    <n v="2"/>
    <s v="스테이포에버"/>
    <n v="201210"/>
    <m/>
    <n v="76000"/>
  </r>
  <r>
    <x v="194"/>
    <x v="4"/>
    <m/>
    <x v="1"/>
    <x v="0"/>
    <x v="28"/>
    <n v="3"/>
    <s v="스테이포에버 2set"/>
    <n v="201210"/>
    <m/>
    <n v="176400"/>
  </r>
  <r>
    <x v="194"/>
    <x v="4"/>
    <m/>
    <x v="0"/>
    <x v="0"/>
    <x v="29"/>
    <n v="1"/>
    <s v="쇼핑백"/>
    <n v="201210"/>
    <m/>
    <n v="2000"/>
  </r>
  <r>
    <x v="193"/>
    <x v="3"/>
    <m/>
    <x v="0"/>
    <x v="0"/>
    <x v="30"/>
    <n v="7"/>
    <s v="쇼핑백"/>
    <n v="201210"/>
    <m/>
    <n v="14000"/>
  </r>
  <r>
    <x v="194"/>
    <x v="4"/>
    <m/>
    <x v="0"/>
    <x v="0"/>
    <x v="14"/>
    <n v="31"/>
    <s v="쇼핑백"/>
    <n v="201210"/>
    <m/>
    <n v="62000"/>
  </r>
  <r>
    <x v="194"/>
    <x v="4"/>
    <m/>
    <x v="1"/>
    <x v="0"/>
    <x v="31"/>
    <n v="2"/>
    <s v="스테이포에버"/>
    <n v="201210"/>
    <m/>
    <n v="76000"/>
  </r>
  <r>
    <x v="193"/>
    <x v="3"/>
    <m/>
    <x v="1"/>
    <x v="0"/>
    <x v="32"/>
    <n v="83"/>
    <s v="스테이포에버"/>
    <n v="201210"/>
    <m/>
    <n v="3154000"/>
  </r>
  <r>
    <x v="193"/>
    <x v="3"/>
    <m/>
    <x v="1"/>
    <x v="0"/>
    <x v="33"/>
    <n v="25"/>
    <s v="스테이포에버 2set"/>
    <n v="201210"/>
    <m/>
    <n v="1470000"/>
  </r>
  <r>
    <x v="193"/>
    <x v="3"/>
    <m/>
    <x v="1"/>
    <x v="0"/>
    <x v="34"/>
    <n v="6"/>
    <s v="이그나이트 + 스테이포에버"/>
    <n v="201210"/>
    <m/>
    <n v="414000"/>
  </r>
  <r>
    <x v="194"/>
    <x v="4"/>
    <m/>
    <x v="1"/>
    <x v="0"/>
    <x v="11"/>
    <n v="712"/>
    <s v="스테이포에버"/>
    <n v="201210"/>
    <m/>
    <n v="27056000"/>
  </r>
  <r>
    <x v="194"/>
    <x v="4"/>
    <m/>
    <x v="1"/>
    <x v="0"/>
    <x v="12"/>
    <n v="260"/>
    <s v="스테이포에버 2set"/>
    <n v="201210"/>
    <m/>
    <n v="15288000"/>
  </r>
  <r>
    <x v="194"/>
    <x v="4"/>
    <m/>
    <x v="1"/>
    <x v="0"/>
    <x v="13"/>
    <n v="57"/>
    <s v="이그나이트 + 스테이포에버"/>
    <n v="201210"/>
    <m/>
    <n v="3933000"/>
  </r>
  <r>
    <x v="198"/>
    <x v="6"/>
    <m/>
    <x v="1"/>
    <x v="0"/>
    <x v="35"/>
    <n v="322"/>
    <s v="스테이포에버"/>
    <n v="201210"/>
    <m/>
    <n v="12236000"/>
  </r>
  <r>
    <x v="198"/>
    <x v="6"/>
    <m/>
    <x v="1"/>
    <x v="0"/>
    <x v="36"/>
    <n v="120"/>
    <s v="스테이포에버 2set"/>
    <n v="201210"/>
    <m/>
    <n v="7056000"/>
  </r>
  <r>
    <x v="198"/>
    <x v="6"/>
    <m/>
    <x v="1"/>
    <x v="0"/>
    <x v="37"/>
    <n v="18"/>
    <s v="이그나이트 + 스테이포에버"/>
    <n v="201210"/>
    <m/>
    <n v="1242000"/>
  </r>
  <r>
    <x v="198"/>
    <x v="6"/>
    <m/>
    <x v="0"/>
    <x v="0"/>
    <x v="38"/>
    <n v="10"/>
    <s v="쇼핑백"/>
    <n v="201210"/>
    <m/>
    <n v="20000"/>
  </r>
  <r>
    <x v="194"/>
    <x v="4"/>
    <m/>
    <x v="1"/>
    <x v="0"/>
    <x v="15"/>
    <n v="17"/>
    <s v="이그나이트"/>
    <n v="201210"/>
    <m/>
    <n v="646000"/>
  </r>
  <r>
    <x v="194"/>
    <x v="4"/>
    <m/>
    <x v="1"/>
    <x v="0"/>
    <x v="39"/>
    <n v="5"/>
    <s v="이그나이트 2set"/>
    <n v="201210"/>
    <m/>
    <n v="294000"/>
  </r>
  <r>
    <x v="195"/>
    <x v="1"/>
    <m/>
    <x v="1"/>
    <x v="2"/>
    <x v="7"/>
    <n v="1"/>
    <s v="스테이포에버"/>
    <n v="201210"/>
    <m/>
    <n v="0"/>
  </r>
  <r>
    <x v="195"/>
    <x v="1"/>
    <m/>
    <x v="1"/>
    <x v="2"/>
    <x v="11"/>
    <n v="1"/>
    <s v="스테이포에버"/>
    <n v="201210"/>
    <m/>
    <n v="0"/>
  </r>
  <r>
    <x v="195"/>
    <x v="1"/>
    <m/>
    <x v="1"/>
    <x v="0"/>
    <x v="7"/>
    <n v="14"/>
    <s v="스테이포에버"/>
    <n v="201210"/>
    <m/>
    <n v="532000"/>
  </r>
  <r>
    <x v="195"/>
    <x v="1"/>
    <m/>
    <x v="1"/>
    <x v="0"/>
    <x v="8"/>
    <n v="1"/>
    <s v="스테이포에버 2set"/>
    <n v="201210"/>
    <m/>
    <n v="58800"/>
  </r>
  <r>
    <x v="195"/>
    <x v="1"/>
    <m/>
    <x v="1"/>
    <x v="0"/>
    <x v="9"/>
    <n v="4"/>
    <s v="이그나이트 + 스테이포에버"/>
    <n v="201210"/>
    <m/>
    <n v="276000"/>
  </r>
  <r>
    <x v="195"/>
    <x v="1"/>
    <m/>
    <x v="1"/>
    <x v="0"/>
    <x v="32"/>
    <n v="1"/>
    <s v="스테이포에버"/>
    <n v="201210"/>
    <m/>
    <n v="38000"/>
  </r>
  <r>
    <x v="195"/>
    <x v="1"/>
    <m/>
    <x v="1"/>
    <x v="0"/>
    <x v="11"/>
    <n v="166"/>
    <s v="스테이포에버"/>
    <n v="201210"/>
    <m/>
    <n v="6308000"/>
  </r>
  <r>
    <x v="195"/>
    <x v="1"/>
    <m/>
    <x v="1"/>
    <x v="0"/>
    <x v="12"/>
    <n v="47"/>
    <s v="스테이포에버 2set"/>
    <n v="201210"/>
    <m/>
    <n v="2763600"/>
  </r>
  <r>
    <x v="195"/>
    <x v="1"/>
    <m/>
    <x v="1"/>
    <x v="0"/>
    <x v="13"/>
    <n v="12"/>
    <s v="이그나이트 + 스테이포에버"/>
    <n v="201210"/>
    <m/>
    <n v="828000"/>
  </r>
  <r>
    <x v="195"/>
    <x v="1"/>
    <m/>
    <x v="0"/>
    <x v="0"/>
    <x v="14"/>
    <n v="5"/>
    <s v="쇼핑백"/>
    <n v="201210"/>
    <m/>
    <n v="10000"/>
  </r>
  <r>
    <x v="195"/>
    <x v="1"/>
    <m/>
    <x v="1"/>
    <x v="0"/>
    <x v="15"/>
    <n v="2"/>
    <s v="이그나이트"/>
    <n v="201210"/>
    <m/>
    <n v="76000"/>
  </r>
  <r>
    <x v="197"/>
    <x v="5"/>
    <m/>
    <x v="1"/>
    <x v="0"/>
    <x v="3"/>
    <n v="1"/>
    <s v="스테이포에버"/>
    <n v="201210"/>
    <m/>
    <n v="38000"/>
  </r>
  <r>
    <x v="197"/>
    <x v="5"/>
    <m/>
    <x v="1"/>
    <x v="0"/>
    <x v="6"/>
    <n v="1"/>
    <s v="이그나이트"/>
    <n v="201210"/>
    <m/>
    <n v="38000"/>
  </r>
  <r>
    <x v="197"/>
    <x v="5"/>
    <m/>
    <x v="1"/>
    <x v="0"/>
    <x v="7"/>
    <n v="11"/>
    <s v="스테이포에버"/>
    <n v="201210"/>
    <m/>
    <n v="418000"/>
  </r>
  <r>
    <x v="197"/>
    <x v="5"/>
    <m/>
    <x v="1"/>
    <x v="0"/>
    <x v="8"/>
    <n v="3"/>
    <s v="스테이포에버 2set"/>
    <n v="201210"/>
    <m/>
    <n v="176400"/>
  </r>
  <r>
    <x v="197"/>
    <x v="5"/>
    <m/>
    <x v="1"/>
    <x v="0"/>
    <x v="9"/>
    <n v="7"/>
    <s v="이그나이트 + 스테이포에버"/>
    <n v="201210"/>
    <m/>
    <n v="483000"/>
  </r>
  <r>
    <x v="197"/>
    <x v="5"/>
    <m/>
    <x v="1"/>
    <x v="0"/>
    <x v="34"/>
    <n v="1"/>
    <s v="이그나이트 + 스테이포에버"/>
    <n v="201210"/>
    <m/>
    <n v="69000"/>
  </r>
  <r>
    <x v="197"/>
    <x v="5"/>
    <m/>
    <x v="1"/>
    <x v="0"/>
    <x v="11"/>
    <n v="189"/>
    <s v="스테이포에버"/>
    <n v="201210"/>
    <m/>
    <n v="7182000"/>
  </r>
  <r>
    <x v="197"/>
    <x v="5"/>
    <m/>
    <x v="1"/>
    <x v="0"/>
    <x v="12"/>
    <n v="73"/>
    <s v="스테이포에버 2set"/>
    <n v="201210"/>
    <m/>
    <n v="4292400"/>
  </r>
  <r>
    <x v="197"/>
    <x v="5"/>
    <m/>
    <x v="1"/>
    <x v="0"/>
    <x v="13"/>
    <n v="17"/>
    <s v="이그나이트 + 스테이포에버"/>
    <n v="201210"/>
    <m/>
    <n v="1173000"/>
  </r>
  <r>
    <x v="197"/>
    <x v="5"/>
    <m/>
    <x v="0"/>
    <x v="0"/>
    <x v="14"/>
    <n v="8"/>
    <s v="쇼핑백"/>
    <n v="201210"/>
    <m/>
    <n v="16000"/>
  </r>
  <r>
    <x v="197"/>
    <x v="5"/>
    <m/>
    <x v="1"/>
    <x v="0"/>
    <x v="15"/>
    <n v="2"/>
    <s v="이그나이트"/>
    <n v="201210"/>
    <m/>
    <n v="76000"/>
  </r>
  <r>
    <x v="197"/>
    <x v="5"/>
    <m/>
    <x v="1"/>
    <x v="0"/>
    <x v="39"/>
    <n v="2"/>
    <s v="이그나이트 2set"/>
    <n v="201210"/>
    <m/>
    <n v="117600"/>
  </r>
  <r>
    <x v="199"/>
    <x v="0"/>
    <m/>
    <x v="1"/>
    <x v="0"/>
    <x v="17"/>
    <n v="8"/>
    <s v="스테이포에버"/>
    <n v="201210"/>
    <m/>
    <n v="304000"/>
  </r>
  <r>
    <x v="199"/>
    <x v="0"/>
    <m/>
    <x v="1"/>
    <x v="0"/>
    <x v="18"/>
    <n v="4"/>
    <s v="스테이포에버 2set"/>
    <n v="201210"/>
    <m/>
    <n v="235200"/>
  </r>
  <r>
    <x v="199"/>
    <x v="0"/>
    <m/>
    <x v="1"/>
    <x v="0"/>
    <x v="19"/>
    <n v="4"/>
    <s v="이그나이트 + 스테이포에버"/>
    <n v="201210"/>
    <m/>
    <n v="276000"/>
  </r>
  <r>
    <x v="199"/>
    <x v="0"/>
    <m/>
    <x v="1"/>
    <x v="0"/>
    <x v="40"/>
    <n v="1"/>
    <s v="스테이포에버 2set"/>
    <n v="201210"/>
    <m/>
    <n v="58800"/>
  </r>
  <r>
    <x v="199"/>
    <x v="0"/>
    <m/>
    <x v="1"/>
    <x v="0"/>
    <x v="12"/>
    <n v="3"/>
    <s v="스테이포에버 2set"/>
    <n v="201210"/>
    <m/>
    <n v="176400"/>
  </r>
  <r>
    <x v="199"/>
    <x v="0"/>
    <m/>
    <x v="1"/>
    <x v="0"/>
    <x v="35"/>
    <n v="148"/>
    <s v="스테이포에버"/>
    <n v="201210"/>
    <m/>
    <n v="5624000"/>
  </r>
  <r>
    <x v="199"/>
    <x v="0"/>
    <m/>
    <x v="1"/>
    <x v="0"/>
    <x v="36"/>
    <n v="59"/>
    <s v="스테이포에버 2set"/>
    <n v="201210"/>
    <m/>
    <n v="3469200"/>
  </r>
  <r>
    <x v="199"/>
    <x v="0"/>
    <m/>
    <x v="1"/>
    <x v="0"/>
    <x v="37"/>
    <n v="11"/>
    <s v="이그나이트 + 스테이포에버"/>
    <n v="201210"/>
    <m/>
    <n v="759000"/>
  </r>
  <r>
    <x v="199"/>
    <x v="0"/>
    <m/>
    <x v="0"/>
    <x v="0"/>
    <x v="38"/>
    <n v="3"/>
    <s v="쇼핑백"/>
    <n v="201210"/>
    <m/>
    <n v="6000"/>
  </r>
  <r>
    <x v="199"/>
    <x v="0"/>
    <m/>
    <x v="1"/>
    <x v="0"/>
    <x v="15"/>
    <n v="3"/>
    <s v="이그나이트"/>
    <n v="201210"/>
    <m/>
    <n v="114000"/>
  </r>
  <r>
    <x v="200"/>
    <x v="3"/>
    <m/>
    <x v="1"/>
    <x v="0"/>
    <x v="17"/>
    <n v="14"/>
    <s v="스테이포에버"/>
    <n v="201210"/>
    <m/>
    <n v="532000"/>
  </r>
  <r>
    <x v="200"/>
    <x v="3"/>
    <m/>
    <x v="1"/>
    <x v="0"/>
    <x v="18"/>
    <n v="4"/>
    <s v="스테이포에버 2set"/>
    <n v="201210"/>
    <m/>
    <n v="235200"/>
  </r>
  <r>
    <x v="200"/>
    <x v="3"/>
    <m/>
    <x v="1"/>
    <x v="0"/>
    <x v="19"/>
    <n v="3"/>
    <s v="이그나이트 + 스테이포에버"/>
    <n v="201210"/>
    <m/>
    <n v="207000"/>
  </r>
  <r>
    <x v="200"/>
    <x v="3"/>
    <m/>
    <x v="1"/>
    <x v="0"/>
    <x v="40"/>
    <n v="2"/>
    <s v="스테이포에버 2set"/>
    <n v="201210"/>
    <m/>
    <n v="117600"/>
  </r>
  <r>
    <x v="200"/>
    <x v="3"/>
    <m/>
    <x v="1"/>
    <x v="0"/>
    <x v="35"/>
    <n v="150"/>
    <s v="스테이포에버"/>
    <n v="201210"/>
    <m/>
    <n v="5700000"/>
  </r>
  <r>
    <x v="200"/>
    <x v="3"/>
    <m/>
    <x v="1"/>
    <x v="0"/>
    <x v="36"/>
    <n v="51"/>
    <s v="스테이포에버 2set"/>
    <n v="201210"/>
    <m/>
    <n v="2998800"/>
  </r>
  <r>
    <x v="200"/>
    <x v="3"/>
    <m/>
    <x v="1"/>
    <x v="0"/>
    <x v="37"/>
    <n v="7"/>
    <s v="이그나이트 + 스테이포에버"/>
    <n v="201210"/>
    <m/>
    <n v="483000"/>
  </r>
  <r>
    <x v="200"/>
    <x v="3"/>
    <m/>
    <x v="0"/>
    <x v="0"/>
    <x v="38"/>
    <n v="4"/>
    <s v="쇼핑백"/>
    <n v="201210"/>
    <m/>
    <n v="8000"/>
  </r>
  <r>
    <x v="200"/>
    <x v="3"/>
    <m/>
    <x v="1"/>
    <x v="0"/>
    <x v="15"/>
    <n v="1"/>
    <s v="이그나이트"/>
    <n v="201210"/>
    <m/>
    <n v="38000"/>
  </r>
  <r>
    <x v="200"/>
    <x v="3"/>
    <m/>
    <x v="1"/>
    <x v="0"/>
    <x v="39"/>
    <n v="4"/>
    <s v="이그나이트 2set"/>
    <n v="201210"/>
    <m/>
    <n v="235200"/>
  </r>
  <r>
    <x v="201"/>
    <x v="4"/>
    <m/>
    <x v="1"/>
    <x v="2"/>
    <x v="41"/>
    <n v="2"/>
    <s v="스테이포에버"/>
    <n v="201210"/>
    <m/>
    <n v="0"/>
  </r>
  <r>
    <x v="201"/>
    <x v="4"/>
    <m/>
    <x v="1"/>
    <x v="0"/>
    <x v="17"/>
    <n v="12"/>
    <s v="스테이포에버"/>
    <n v="201210"/>
    <m/>
    <n v="456000"/>
  </r>
  <r>
    <x v="201"/>
    <x v="4"/>
    <m/>
    <x v="1"/>
    <x v="0"/>
    <x v="18"/>
    <n v="4"/>
    <s v="스테이포에버 2set"/>
    <n v="201210"/>
    <m/>
    <n v="235200"/>
  </r>
  <r>
    <x v="201"/>
    <x v="4"/>
    <m/>
    <x v="1"/>
    <x v="0"/>
    <x v="19"/>
    <n v="7"/>
    <s v="이그나이트 + 스테이포에버"/>
    <n v="201210"/>
    <m/>
    <n v="483000"/>
  </r>
  <r>
    <x v="201"/>
    <x v="4"/>
    <m/>
    <x v="1"/>
    <x v="0"/>
    <x v="35"/>
    <n v="170"/>
    <s v="스테이포에버"/>
    <n v="201210"/>
    <m/>
    <n v="6460000"/>
  </r>
  <r>
    <x v="201"/>
    <x v="4"/>
    <m/>
    <x v="1"/>
    <x v="0"/>
    <x v="36"/>
    <n v="41"/>
    <s v="스테이포에버 2set"/>
    <n v="201210"/>
    <m/>
    <n v="2410800"/>
  </r>
  <r>
    <x v="201"/>
    <x v="4"/>
    <m/>
    <x v="1"/>
    <x v="0"/>
    <x v="37"/>
    <n v="9"/>
    <s v="이그나이트 + 스테이포에버"/>
    <n v="201210"/>
    <m/>
    <n v="621000"/>
  </r>
  <r>
    <x v="201"/>
    <x v="4"/>
    <m/>
    <x v="0"/>
    <x v="0"/>
    <x v="38"/>
    <n v="5"/>
    <s v="쇼핑백"/>
    <n v="201210"/>
    <m/>
    <n v="10000"/>
  </r>
  <r>
    <x v="201"/>
    <x v="4"/>
    <m/>
    <x v="1"/>
    <x v="0"/>
    <x v="15"/>
    <n v="1"/>
    <s v="이그나이트"/>
    <n v="201210"/>
    <m/>
    <n v="38000"/>
  </r>
  <r>
    <x v="201"/>
    <x v="4"/>
    <m/>
    <x v="1"/>
    <x v="0"/>
    <x v="39"/>
    <n v="1"/>
    <s v="이그나이트 2set"/>
    <n v="201210"/>
    <m/>
    <n v="58800"/>
  </r>
  <r>
    <x v="202"/>
    <x v="1"/>
    <m/>
    <x v="1"/>
    <x v="0"/>
    <x v="41"/>
    <n v="1"/>
    <s v="스테이포에버"/>
    <n v="201210"/>
    <m/>
    <n v="38000"/>
  </r>
  <r>
    <x v="202"/>
    <x v="1"/>
    <m/>
    <x v="1"/>
    <x v="0"/>
    <x v="42"/>
    <n v="1"/>
    <s v="스테이포에버"/>
    <n v="201210"/>
    <m/>
    <n v="38000"/>
  </r>
  <r>
    <x v="202"/>
    <x v="1"/>
    <m/>
    <x v="1"/>
    <x v="0"/>
    <x v="43"/>
    <n v="2"/>
    <s v="스테이포에버"/>
    <n v="201210"/>
    <m/>
    <n v="76000"/>
  </r>
  <r>
    <x v="202"/>
    <x v="1"/>
    <m/>
    <x v="1"/>
    <x v="0"/>
    <x v="17"/>
    <n v="3"/>
    <s v="스테이포에버"/>
    <n v="201210"/>
    <m/>
    <n v="114000"/>
  </r>
  <r>
    <x v="202"/>
    <x v="1"/>
    <m/>
    <x v="1"/>
    <x v="0"/>
    <x v="44"/>
    <n v="2"/>
    <s v="스테이포에버"/>
    <n v="201210"/>
    <m/>
    <n v="76000"/>
  </r>
  <r>
    <x v="202"/>
    <x v="1"/>
    <m/>
    <x v="1"/>
    <x v="0"/>
    <x v="45"/>
    <n v="1"/>
    <s v="스테이포에버 2set"/>
    <n v="201210"/>
    <m/>
    <n v="58800"/>
  </r>
  <r>
    <x v="202"/>
    <x v="1"/>
    <m/>
    <x v="1"/>
    <x v="0"/>
    <x v="18"/>
    <n v="2"/>
    <s v="스테이포에버 2set"/>
    <n v="201210"/>
    <m/>
    <n v="117600"/>
  </r>
  <r>
    <x v="202"/>
    <x v="1"/>
    <m/>
    <x v="1"/>
    <x v="0"/>
    <x v="19"/>
    <n v="1"/>
    <s v="이그나이트 + 스테이포에버"/>
    <n v="201210"/>
    <m/>
    <n v="69000"/>
  </r>
  <r>
    <x v="202"/>
    <x v="1"/>
    <m/>
    <x v="1"/>
    <x v="0"/>
    <x v="46"/>
    <n v="1"/>
    <s v="이그나이트 + 스테이포에버"/>
    <n v="201210"/>
    <m/>
    <n v="69000"/>
  </r>
  <r>
    <x v="202"/>
    <x v="1"/>
    <m/>
    <x v="1"/>
    <x v="0"/>
    <x v="47"/>
    <n v="4"/>
    <s v="이그나이트 + 스테이포에버"/>
    <n v="201210"/>
    <m/>
    <n v="276000"/>
  </r>
  <r>
    <x v="202"/>
    <x v="1"/>
    <m/>
    <x v="1"/>
    <x v="0"/>
    <x v="40"/>
    <n v="1"/>
    <s v="스테이포에버 2set"/>
    <n v="201210"/>
    <m/>
    <n v="58800"/>
  </r>
  <r>
    <x v="202"/>
    <x v="1"/>
    <m/>
    <x v="1"/>
    <x v="0"/>
    <x v="46"/>
    <n v="1"/>
    <s v="이그나이트 + 스테이포에버"/>
    <n v="201210"/>
    <m/>
    <n v="69000"/>
  </r>
  <r>
    <x v="202"/>
    <x v="1"/>
    <m/>
    <x v="1"/>
    <x v="0"/>
    <x v="32"/>
    <n v="1"/>
    <s v="스테이포에버"/>
    <n v="201210"/>
    <m/>
    <n v="38000"/>
  </r>
  <r>
    <x v="202"/>
    <x v="1"/>
    <m/>
    <x v="1"/>
    <x v="0"/>
    <x v="11"/>
    <n v="2"/>
    <s v="스테이포에버"/>
    <n v="201210"/>
    <m/>
    <n v="76000"/>
  </r>
  <r>
    <x v="202"/>
    <x v="1"/>
    <m/>
    <x v="1"/>
    <x v="0"/>
    <x v="48"/>
    <n v="28"/>
    <s v="스테이포에버"/>
    <n v="201210"/>
    <m/>
    <n v="1064000"/>
  </r>
  <r>
    <x v="202"/>
    <x v="1"/>
    <m/>
    <x v="1"/>
    <x v="0"/>
    <x v="49"/>
    <n v="35"/>
    <s v="스테이포에버"/>
    <n v="201210"/>
    <m/>
    <n v="1330000"/>
  </r>
  <r>
    <x v="202"/>
    <x v="1"/>
    <m/>
    <x v="1"/>
    <x v="0"/>
    <x v="50"/>
    <n v="36"/>
    <s v="스테이포에버"/>
    <n v="201210"/>
    <m/>
    <n v="1368000"/>
  </r>
  <r>
    <x v="202"/>
    <x v="1"/>
    <m/>
    <x v="1"/>
    <x v="0"/>
    <x v="35"/>
    <n v="56"/>
    <s v="스테이포에버"/>
    <n v="201210"/>
    <m/>
    <n v="2128000"/>
  </r>
  <r>
    <x v="202"/>
    <x v="1"/>
    <m/>
    <x v="1"/>
    <x v="0"/>
    <x v="51"/>
    <n v="17"/>
    <s v="스테이포에버 2set"/>
    <n v="201210"/>
    <m/>
    <n v="999600"/>
  </r>
  <r>
    <x v="202"/>
    <x v="1"/>
    <m/>
    <x v="1"/>
    <x v="0"/>
    <x v="52"/>
    <n v="30"/>
    <s v="스테이포에버 2set"/>
    <n v="201210"/>
    <m/>
    <n v="1764000"/>
  </r>
  <r>
    <x v="202"/>
    <x v="1"/>
    <m/>
    <x v="1"/>
    <x v="0"/>
    <x v="36"/>
    <n v="22"/>
    <s v="스테이포에버 2set"/>
    <n v="201210"/>
    <m/>
    <n v="1293600"/>
  </r>
  <r>
    <x v="202"/>
    <x v="1"/>
    <m/>
    <x v="1"/>
    <x v="0"/>
    <x v="37"/>
    <n v="2"/>
    <s v="이그나이트 + 스테이포에버"/>
    <n v="201210"/>
    <m/>
    <n v="138000"/>
  </r>
  <r>
    <x v="202"/>
    <x v="1"/>
    <m/>
    <x v="1"/>
    <x v="0"/>
    <x v="53"/>
    <n v="3"/>
    <s v="이그나이트 + 스테이포에버"/>
    <n v="201210"/>
    <m/>
    <n v="207000"/>
  </r>
  <r>
    <x v="202"/>
    <x v="1"/>
    <m/>
    <x v="0"/>
    <x v="0"/>
    <x v="38"/>
    <n v="6"/>
    <s v="쇼핑백"/>
    <n v="201210"/>
    <m/>
    <n v="12000"/>
  </r>
  <r>
    <x v="202"/>
    <x v="1"/>
    <m/>
    <x v="1"/>
    <x v="0"/>
    <x v="15"/>
    <n v="3"/>
    <s v="이그나이트"/>
    <n v="201210"/>
    <m/>
    <n v="114000"/>
  </r>
  <r>
    <x v="202"/>
    <x v="1"/>
    <m/>
    <x v="1"/>
    <x v="0"/>
    <x v="39"/>
    <n v="2"/>
    <s v="이그나이트 2set"/>
    <n v="201210"/>
    <m/>
    <n v="117600"/>
  </r>
  <r>
    <x v="203"/>
    <x v="2"/>
    <m/>
    <x v="1"/>
    <x v="0"/>
    <x v="54"/>
    <n v="1"/>
    <s v="이그나이트"/>
    <n v="201210"/>
    <m/>
    <n v="38000"/>
  </r>
  <r>
    <x v="203"/>
    <x v="2"/>
    <m/>
    <x v="1"/>
    <x v="0"/>
    <x v="42"/>
    <n v="14"/>
    <s v="스테이포에버"/>
    <n v="201210"/>
    <m/>
    <n v="532000"/>
  </r>
  <r>
    <x v="203"/>
    <x v="2"/>
    <m/>
    <x v="1"/>
    <x v="0"/>
    <x v="44"/>
    <n v="5"/>
    <s v="스테이포에버"/>
    <n v="201210"/>
    <m/>
    <n v="190000"/>
  </r>
  <r>
    <x v="203"/>
    <x v="2"/>
    <m/>
    <x v="1"/>
    <x v="0"/>
    <x v="45"/>
    <n v="5"/>
    <s v="스테이포에버 2set"/>
    <n v="201210"/>
    <m/>
    <n v="294000"/>
  </r>
  <r>
    <x v="203"/>
    <x v="2"/>
    <m/>
    <x v="1"/>
    <x v="0"/>
    <x v="46"/>
    <n v="6"/>
    <s v="이그나이트 + 스테이포에버"/>
    <n v="201210"/>
    <m/>
    <n v="414000"/>
  </r>
  <r>
    <x v="203"/>
    <x v="2"/>
    <m/>
    <x v="1"/>
    <x v="0"/>
    <x v="47"/>
    <n v="5"/>
    <s v="이그나이트 + 스테이포에버"/>
    <n v="201210"/>
    <m/>
    <n v="345000"/>
  </r>
  <r>
    <x v="203"/>
    <x v="2"/>
    <m/>
    <x v="1"/>
    <x v="0"/>
    <x v="46"/>
    <n v="1"/>
    <s v="이그나이트 + 스테이포에버"/>
    <n v="201210"/>
    <m/>
    <n v="69000"/>
  </r>
  <r>
    <x v="203"/>
    <x v="2"/>
    <m/>
    <x v="1"/>
    <x v="0"/>
    <x v="55"/>
    <n v="2"/>
    <s v="이그나이트 + 스테이포에버"/>
    <n v="201210"/>
    <m/>
    <n v="138000"/>
  </r>
  <r>
    <x v="203"/>
    <x v="2"/>
    <m/>
    <x v="1"/>
    <x v="0"/>
    <x v="12"/>
    <n v="1"/>
    <s v="스테이포에버 2set"/>
    <n v="201210"/>
    <m/>
    <n v="58800"/>
  </r>
  <r>
    <x v="203"/>
    <x v="2"/>
    <m/>
    <x v="1"/>
    <x v="0"/>
    <x v="48"/>
    <n v="190"/>
    <s v="스테이포에버"/>
    <n v="201210"/>
    <m/>
    <n v="7220000"/>
  </r>
  <r>
    <x v="203"/>
    <x v="2"/>
    <m/>
    <x v="1"/>
    <x v="0"/>
    <x v="50"/>
    <n v="1"/>
    <s v="스테이포에버"/>
    <n v="201210"/>
    <m/>
    <n v="38000"/>
  </r>
  <r>
    <x v="203"/>
    <x v="2"/>
    <m/>
    <x v="1"/>
    <x v="0"/>
    <x v="51"/>
    <n v="45"/>
    <s v="스테이포에버 2set"/>
    <n v="201210"/>
    <m/>
    <n v="2646000"/>
  </r>
  <r>
    <x v="203"/>
    <x v="2"/>
    <m/>
    <x v="1"/>
    <x v="0"/>
    <x v="52"/>
    <n v="55"/>
    <s v="스테이포에버 2set"/>
    <n v="201210"/>
    <m/>
    <n v="3234000"/>
  </r>
  <r>
    <x v="203"/>
    <x v="2"/>
    <m/>
    <x v="1"/>
    <x v="0"/>
    <x v="36"/>
    <n v="1"/>
    <s v="스테이포에버 2set"/>
    <n v="201210"/>
    <m/>
    <n v="58800"/>
  </r>
  <r>
    <x v="203"/>
    <x v="2"/>
    <m/>
    <x v="1"/>
    <x v="0"/>
    <x v="53"/>
    <n v="6"/>
    <s v="이그나이트 + 스테이포에버"/>
    <n v="201210"/>
    <m/>
    <n v="414000"/>
  </r>
  <r>
    <x v="203"/>
    <x v="2"/>
    <m/>
    <x v="1"/>
    <x v="0"/>
    <x v="56"/>
    <n v="7"/>
    <s v="이그나이트 + 스테이포에버"/>
    <n v="201210"/>
    <m/>
    <n v="483000"/>
  </r>
  <r>
    <x v="203"/>
    <x v="2"/>
    <m/>
    <x v="0"/>
    <x v="0"/>
    <x v="38"/>
    <n v="8"/>
    <s v="쇼핑백"/>
    <n v="201210"/>
    <m/>
    <n v="16000"/>
  </r>
  <r>
    <x v="203"/>
    <x v="2"/>
    <m/>
    <x v="1"/>
    <x v="0"/>
    <x v="15"/>
    <n v="4"/>
    <s v="이그나이트"/>
    <n v="201210"/>
    <m/>
    <n v="152000"/>
  </r>
  <r>
    <x v="203"/>
    <x v="2"/>
    <m/>
    <x v="1"/>
    <x v="0"/>
    <x v="39"/>
    <n v="1"/>
    <s v="이그나이트 2set"/>
    <n v="201210"/>
    <m/>
    <n v="58800"/>
  </r>
  <r>
    <x v="204"/>
    <x v="5"/>
    <m/>
    <x v="1"/>
    <x v="0"/>
    <x v="54"/>
    <n v="1"/>
    <s v="이그나이트"/>
    <n v="201210"/>
    <m/>
    <n v="38000"/>
  </r>
  <r>
    <x v="204"/>
    <x v="5"/>
    <m/>
    <x v="1"/>
    <x v="0"/>
    <x v="42"/>
    <n v="19"/>
    <s v="스테이포에버"/>
    <n v="201210"/>
    <m/>
    <n v="722000"/>
  </r>
  <r>
    <x v="204"/>
    <x v="5"/>
    <m/>
    <x v="1"/>
    <x v="0"/>
    <x v="44"/>
    <n v="3"/>
    <s v="스테이포에버"/>
    <n v="201210"/>
    <m/>
    <n v="114000"/>
  </r>
  <r>
    <x v="204"/>
    <x v="5"/>
    <m/>
    <x v="1"/>
    <x v="0"/>
    <x v="46"/>
    <n v="5"/>
    <s v="이그나이트 + 스테이포에버"/>
    <n v="201210"/>
    <m/>
    <n v="345000"/>
  </r>
  <r>
    <x v="204"/>
    <x v="5"/>
    <m/>
    <x v="1"/>
    <x v="0"/>
    <x v="47"/>
    <n v="4"/>
    <s v="이그나이트 + 스테이포에버"/>
    <n v="201210"/>
    <m/>
    <n v="276000"/>
  </r>
  <r>
    <x v="204"/>
    <x v="5"/>
    <m/>
    <x v="1"/>
    <x v="0"/>
    <x v="55"/>
    <n v="1"/>
    <s v="이그나이트 + 스테이포에버"/>
    <n v="201210"/>
    <m/>
    <n v="69000"/>
  </r>
  <r>
    <x v="204"/>
    <x v="5"/>
    <m/>
    <x v="1"/>
    <x v="0"/>
    <x v="48"/>
    <n v="197"/>
    <s v="스테이포에버"/>
    <n v="201210"/>
    <m/>
    <n v="7486000"/>
  </r>
  <r>
    <x v="204"/>
    <x v="5"/>
    <m/>
    <x v="1"/>
    <x v="0"/>
    <x v="35"/>
    <n v="1"/>
    <s v="스테이포에버"/>
    <n v="201210"/>
    <m/>
    <n v="38000"/>
  </r>
  <r>
    <x v="204"/>
    <x v="5"/>
    <m/>
    <x v="1"/>
    <x v="0"/>
    <x v="51"/>
    <n v="44"/>
    <s v="스테이포에버 2set"/>
    <n v="201210"/>
    <m/>
    <n v="2587200"/>
  </r>
  <r>
    <x v="204"/>
    <x v="5"/>
    <m/>
    <x v="1"/>
    <x v="0"/>
    <x v="52"/>
    <n v="54"/>
    <s v="스테이포에버 2set"/>
    <n v="201210"/>
    <m/>
    <n v="3175200"/>
  </r>
  <r>
    <x v="204"/>
    <x v="5"/>
    <m/>
    <x v="1"/>
    <x v="0"/>
    <x v="53"/>
    <n v="2"/>
    <s v="이그나이트 + 스테이포에버"/>
    <n v="201210"/>
    <m/>
    <n v="138000"/>
  </r>
  <r>
    <x v="204"/>
    <x v="5"/>
    <m/>
    <x v="1"/>
    <x v="0"/>
    <x v="56"/>
    <n v="8"/>
    <s v="이그나이트 + 스테이포에버"/>
    <n v="201210"/>
    <m/>
    <n v="552000"/>
  </r>
  <r>
    <x v="204"/>
    <x v="5"/>
    <m/>
    <x v="0"/>
    <x v="0"/>
    <x v="38"/>
    <n v="3"/>
    <s v="쇼핑백"/>
    <n v="201210"/>
    <m/>
    <n v="6000"/>
  </r>
  <r>
    <x v="204"/>
    <x v="5"/>
    <m/>
    <x v="1"/>
    <x v="0"/>
    <x v="15"/>
    <n v="3"/>
    <s v="이그나이트"/>
    <n v="201210"/>
    <m/>
    <n v="114000"/>
  </r>
  <r>
    <x v="204"/>
    <x v="5"/>
    <m/>
    <x v="1"/>
    <x v="0"/>
    <x v="39"/>
    <n v="1"/>
    <s v="이그나이트 2set"/>
    <n v="201210"/>
    <m/>
    <n v="58800"/>
  </r>
  <r>
    <x v="205"/>
    <x v="6"/>
    <m/>
    <x v="1"/>
    <x v="0"/>
    <x v="57"/>
    <n v="20"/>
    <s v="스테이포에버"/>
    <n v="201210"/>
    <m/>
    <n v="760000"/>
  </r>
  <r>
    <x v="205"/>
    <x v="6"/>
    <m/>
    <x v="1"/>
    <x v="0"/>
    <x v="58"/>
    <n v="15"/>
    <s v="스테이포에버 2set"/>
    <n v="201210"/>
    <m/>
    <n v="882000"/>
  </r>
  <r>
    <x v="205"/>
    <x v="6"/>
    <m/>
    <x v="1"/>
    <x v="0"/>
    <x v="59"/>
    <n v="2"/>
    <s v="이그나이트 + 스테이포에버"/>
    <n v="201210"/>
    <m/>
    <n v="138000"/>
  </r>
  <r>
    <x v="205"/>
    <x v="6"/>
    <m/>
    <x v="0"/>
    <x v="0"/>
    <x v="60"/>
    <n v="1"/>
    <s v="쇼핑백"/>
    <n v="201210"/>
    <m/>
    <n v="2000"/>
  </r>
  <r>
    <x v="205"/>
    <x v="6"/>
    <m/>
    <x v="1"/>
    <x v="0"/>
    <x v="61"/>
    <n v="45"/>
    <s v="스테이포에버"/>
    <n v="201210"/>
    <m/>
    <n v="1710000"/>
  </r>
  <r>
    <x v="205"/>
    <x v="6"/>
    <m/>
    <x v="1"/>
    <x v="0"/>
    <x v="62"/>
    <n v="12"/>
    <s v="스테이포에버 2set"/>
    <n v="201210"/>
    <m/>
    <n v="705600"/>
  </r>
  <r>
    <x v="205"/>
    <x v="6"/>
    <m/>
    <x v="1"/>
    <x v="0"/>
    <x v="63"/>
    <n v="1"/>
    <s v="이그나이트 + 스테이포에버"/>
    <n v="201210"/>
    <m/>
    <n v="69000"/>
  </r>
  <r>
    <x v="205"/>
    <x v="6"/>
    <m/>
    <x v="0"/>
    <x v="0"/>
    <x v="64"/>
    <n v="4"/>
    <s v="쇼핑백"/>
    <n v="201210"/>
    <m/>
    <n v="8000"/>
  </r>
  <r>
    <x v="205"/>
    <x v="6"/>
    <m/>
    <x v="1"/>
    <x v="0"/>
    <x v="65"/>
    <n v="3"/>
    <s v="스테이포에버"/>
    <n v="201210"/>
    <m/>
    <n v="114000"/>
  </r>
  <r>
    <x v="205"/>
    <x v="6"/>
    <m/>
    <x v="1"/>
    <x v="0"/>
    <x v="66"/>
    <n v="3"/>
    <s v="스테이포에버"/>
    <n v="201210"/>
    <m/>
    <n v="114000"/>
  </r>
  <r>
    <x v="205"/>
    <x v="6"/>
    <m/>
    <x v="1"/>
    <x v="0"/>
    <x v="67"/>
    <n v="2"/>
    <s v="스테이포에버 2set"/>
    <n v="201210"/>
    <m/>
    <n v="117600"/>
  </r>
  <r>
    <x v="205"/>
    <x v="6"/>
    <m/>
    <x v="1"/>
    <x v="0"/>
    <x v="42"/>
    <n v="7"/>
    <s v="스테이포에버"/>
    <n v="201210"/>
    <m/>
    <n v="266000"/>
  </r>
  <r>
    <x v="205"/>
    <x v="6"/>
    <m/>
    <x v="1"/>
    <x v="0"/>
    <x v="17"/>
    <n v="2"/>
    <s v="스테이포에버"/>
    <n v="201210"/>
    <m/>
    <n v="76000"/>
  </r>
  <r>
    <x v="205"/>
    <x v="6"/>
    <m/>
    <x v="1"/>
    <x v="0"/>
    <x v="44"/>
    <n v="3"/>
    <s v="스테이포에버"/>
    <n v="201210"/>
    <m/>
    <n v="114000"/>
  </r>
  <r>
    <x v="205"/>
    <x v="6"/>
    <m/>
    <x v="1"/>
    <x v="0"/>
    <x v="45"/>
    <n v="1"/>
    <s v="스테이포에버 2set"/>
    <n v="201210"/>
    <m/>
    <n v="58800"/>
  </r>
  <r>
    <x v="205"/>
    <x v="6"/>
    <m/>
    <x v="1"/>
    <x v="0"/>
    <x v="19"/>
    <n v="3"/>
    <s v="이그나이트 + 스테이포에버"/>
    <n v="201210"/>
    <m/>
    <n v="207000"/>
  </r>
  <r>
    <x v="205"/>
    <x v="6"/>
    <m/>
    <x v="1"/>
    <x v="0"/>
    <x v="46"/>
    <n v="7"/>
    <s v="이그나이트 + 스테이포에버"/>
    <n v="201210"/>
    <m/>
    <n v="483000"/>
  </r>
  <r>
    <x v="205"/>
    <x v="6"/>
    <m/>
    <x v="1"/>
    <x v="0"/>
    <x v="47"/>
    <n v="2"/>
    <s v="이그나이트 + 스테이포에버"/>
    <n v="201210"/>
    <m/>
    <n v="138000"/>
  </r>
  <r>
    <x v="205"/>
    <x v="6"/>
    <m/>
    <x v="1"/>
    <x v="0"/>
    <x v="68"/>
    <n v="1"/>
    <s v="이그나이트 + 스테이포에버"/>
    <n v="201210"/>
    <m/>
    <n v="69000"/>
  </r>
  <r>
    <x v="205"/>
    <x v="6"/>
    <m/>
    <x v="1"/>
    <x v="0"/>
    <x v="69"/>
    <n v="1"/>
    <s v="스테이포에버"/>
    <n v="201210"/>
    <m/>
    <n v="38000"/>
  </r>
  <r>
    <x v="205"/>
    <x v="6"/>
    <m/>
    <x v="1"/>
    <x v="0"/>
    <x v="11"/>
    <n v="1"/>
    <s v="스테이포에버"/>
    <n v="201210"/>
    <m/>
    <n v="38000"/>
  </r>
  <r>
    <x v="205"/>
    <x v="6"/>
    <m/>
    <x v="1"/>
    <x v="0"/>
    <x v="48"/>
    <n v="166"/>
    <s v="스테이포에버"/>
    <n v="201210"/>
    <m/>
    <n v="6308000"/>
  </r>
  <r>
    <x v="205"/>
    <x v="6"/>
    <m/>
    <x v="1"/>
    <x v="0"/>
    <x v="49"/>
    <n v="3"/>
    <s v="스테이포에버"/>
    <n v="201210"/>
    <m/>
    <n v="114000"/>
  </r>
  <r>
    <x v="205"/>
    <x v="6"/>
    <m/>
    <x v="1"/>
    <x v="0"/>
    <x v="50"/>
    <n v="3"/>
    <s v="스테이포에버"/>
    <n v="201210"/>
    <m/>
    <n v="114000"/>
  </r>
  <r>
    <x v="205"/>
    <x v="6"/>
    <m/>
    <x v="1"/>
    <x v="0"/>
    <x v="35"/>
    <n v="20"/>
    <s v="스테이포에버"/>
    <n v="201210"/>
    <m/>
    <n v="760000"/>
  </r>
  <r>
    <x v="205"/>
    <x v="6"/>
    <m/>
    <x v="1"/>
    <x v="0"/>
    <x v="51"/>
    <n v="44"/>
    <s v="스테이포에버 2set"/>
    <n v="201210"/>
    <m/>
    <n v="2587200"/>
  </r>
  <r>
    <x v="205"/>
    <x v="6"/>
    <m/>
    <x v="1"/>
    <x v="0"/>
    <x v="52"/>
    <n v="33"/>
    <s v="스테이포에버 2set"/>
    <n v="201210"/>
    <m/>
    <n v="1940400"/>
  </r>
  <r>
    <x v="205"/>
    <x v="6"/>
    <m/>
    <x v="1"/>
    <x v="0"/>
    <x v="36"/>
    <n v="7"/>
    <s v="스테이포에버 2set"/>
    <n v="201210"/>
    <m/>
    <n v="411600"/>
  </r>
  <r>
    <x v="205"/>
    <x v="6"/>
    <m/>
    <x v="1"/>
    <x v="0"/>
    <x v="37"/>
    <n v="1"/>
    <s v="이그나이트 + 스테이포에버"/>
    <n v="201210"/>
    <m/>
    <n v="69000"/>
  </r>
  <r>
    <x v="205"/>
    <x v="6"/>
    <m/>
    <x v="1"/>
    <x v="0"/>
    <x v="53"/>
    <n v="4"/>
    <s v="이그나이트 + 스테이포에버"/>
    <n v="201210"/>
    <m/>
    <n v="276000"/>
  </r>
  <r>
    <x v="205"/>
    <x v="6"/>
    <m/>
    <x v="1"/>
    <x v="0"/>
    <x v="56"/>
    <n v="6"/>
    <s v="이그나이트 + 스테이포에버"/>
    <n v="201210"/>
    <m/>
    <n v="414000"/>
  </r>
  <r>
    <x v="205"/>
    <x v="6"/>
    <m/>
    <x v="0"/>
    <x v="0"/>
    <x v="38"/>
    <n v="4"/>
    <s v="쇼핑백"/>
    <n v="201210"/>
    <m/>
    <n v="8000"/>
  </r>
  <r>
    <x v="205"/>
    <x v="6"/>
    <m/>
    <x v="1"/>
    <x v="0"/>
    <x v="15"/>
    <n v="4"/>
    <s v="이그나이트"/>
    <n v="201210"/>
    <m/>
    <n v="152000"/>
  </r>
  <r>
    <x v="205"/>
    <x v="6"/>
    <m/>
    <x v="1"/>
    <x v="0"/>
    <x v="39"/>
    <n v="2"/>
    <s v="이그나이트 2set"/>
    <n v="201210"/>
    <m/>
    <n v="117600"/>
  </r>
  <r>
    <x v="206"/>
    <x v="0"/>
    <m/>
    <x v="1"/>
    <x v="2"/>
    <x v="41"/>
    <n v="40"/>
    <s v="스테이포에버"/>
    <n v="201210"/>
    <m/>
    <n v="0"/>
  </r>
  <r>
    <x v="206"/>
    <x v="0"/>
    <m/>
    <x v="1"/>
    <x v="0"/>
    <x v="57"/>
    <n v="137"/>
    <s v="스테이포에버"/>
    <n v="201210"/>
    <m/>
    <n v="5206000"/>
  </r>
  <r>
    <x v="206"/>
    <x v="0"/>
    <m/>
    <x v="1"/>
    <x v="0"/>
    <x v="58"/>
    <n v="65"/>
    <s v="스테이포에버 2set"/>
    <n v="201210"/>
    <m/>
    <n v="3822000"/>
  </r>
  <r>
    <x v="206"/>
    <x v="0"/>
    <m/>
    <x v="1"/>
    <x v="0"/>
    <x v="59"/>
    <n v="10"/>
    <s v="이그나이트 + 스테이포에버"/>
    <n v="201210"/>
    <m/>
    <n v="690000"/>
  </r>
  <r>
    <x v="206"/>
    <x v="0"/>
    <m/>
    <x v="0"/>
    <x v="0"/>
    <x v="60"/>
    <n v="5"/>
    <s v="쇼핑백"/>
    <n v="201210"/>
    <m/>
    <n v="10000"/>
  </r>
  <r>
    <x v="206"/>
    <x v="0"/>
    <m/>
    <x v="1"/>
    <x v="0"/>
    <x v="61"/>
    <n v="134"/>
    <s v="스테이포에버"/>
    <n v="201210"/>
    <m/>
    <n v="5092000"/>
  </r>
  <r>
    <x v="206"/>
    <x v="0"/>
    <m/>
    <x v="1"/>
    <x v="0"/>
    <x v="62"/>
    <n v="62"/>
    <s v="스테이포에버 2set"/>
    <n v="201210"/>
    <m/>
    <n v="3645600"/>
  </r>
  <r>
    <x v="206"/>
    <x v="0"/>
    <m/>
    <x v="1"/>
    <x v="0"/>
    <x v="63"/>
    <n v="8"/>
    <s v="이그나이트 + 스테이포에버"/>
    <n v="201210"/>
    <m/>
    <n v="552000"/>
  </r>
  <r>
    <x v="206"/>
    <x v="0"/>
    <m/>
    <x v="0"/>
    <x v="0"/>
    <x v="64"/>
    <n v="9"/>
    <s v="쇼핑백"/>
    <n v="201210"/>
    <m/>
    <n v="18000"/>
  </r>
  <r>
    <x v="206"/>
    <x v="0"/>
    <m/>
    <x v="1"/>
    <x v="0"/>
    <x v="70"/>
    <n v="1"/>
    <s v="이그나이트"/>
    <n v="201210"/>
    <m/>
    <n v="38000"/>
  </r>
  <r>
    <x v="206"/>
    <x v="0"/>
    <m/>
    <x v="1"/>
    <x v="0"/>
    <x v="65"/>
    <n v="7"/>
    <s v="스테이포에버"/>
    <n v="201210"/>
    <m/>
    <n v="266000"/>
  </r>
  <r>
    <x v="206"/>
    <x v="0"/>
    <m/>
    <x v="1"/>
    <x v="0"/>
    <x v="71"/>
    <n v="3"/>
    <s v="스테이포에버 2set"/>
    <n v="201210"/>
    <m/>
    <n v="176400"/>
  </r>
  <r>
    <x v="206"/>
    <x v="0"/>
    <m/>
    <x v="1"/>
    <x v="0"/>
    <x v="72"/>
    <n v="3"/>
    <s v="이그나이트 + 스테이포에버"/>
    <n v="201210"/>
    <m/>
    <n v="207000"/>
  </r>
  <r>
    <x v="206"/>
    <x v="0"/>
    <m/>
    <x v="1"/>
    <x v="0"/>
    <x v="72"/>
    <n v="3"/>
    <s v="이그나이트 + 스테이포에버"/>
    <n v="201210"/>
    <m/>
    <n v="207000"/>
  </r>
  <r>
    <x v="206"/>
    <x v="0"/>
    <m/>
    <x v="1"/>
    <x v="0"/>
    <x v="73"/>
    <n v="1"/>
    <s v="이그나이트"/>
    <n v="201210"/>
    <m/>
    <n v="38000"/>
  </r>
  <r>
    <x v="206"/>
    <x v="0"/>
    <m/>
    <x v="1"/>
    <x v="0"/>
    <x v="66"/>
    <n v="5"/>
    <s v="스테이포에버"/>
    <n v="201210"/>
    <m/>
    <n v="190000"/>
  </r>
  <r>
    <x v="206"/>
    <x v="0"/>
    <m/>
    <x v="1"/>
    <x v="0"/>
    <x v="67"/>
    <n v="1"/>
    <s v="스테이포에버 2set"/>
    <n v="201210"/>
    <m/>
    <n v="58800"/>
  </r>
  <r>
    <x v="206"/>
    <x v="0"/>
    <m/>
    <x v="1"/>
    <x v="0"/>
    <x v="74"/>
    <n v="1"/>
    <s v="이그나이트 + 스테이포에버"/>
    <n v="201210"/>
    <m/>
    <n v="69000"/>
  </r>
  <r>
    <x v="206"/>
    <x v="0"/>
    <m/>
    <x v="1"/>
    <x v="0"/>
    <x v="42"/>
    <n v="1"/>
    <s v="스테이포에버"/>
    <n v="201210"/>
    <m/>
    <n v="38000"/>
  </r>
  <r>
    <x v="206"/>
    <x v="0"/>
    <m/>
    <x v="1"/>
    <x v="0"/>
    <x v="48"/>
    <n v="5"/>
    <s v="스테이포에버"/>
    <n v="201210"/>
    <m/>
    <n v="190000"/>
  </r>
  <r>
    <x v="206"/>
    <x v="0"/>
    <m/>
    <x v="1"/>
    <x v="0"/>
    <x v="49"/>
    <n v="1"/>
    <s v="스테이포에버"/>
    <n v="201210"/>
    <m/>
    <n v="38000"/>
  </r>
  <r>
    <x v="206"/>
    <x v="0"/>
    <m/>
    <x v="1"/>
    <x v="0"/>
    <x v="15"/>
    <n v="5"/>
    <s v="이그나이트"/>
    <n v="201210"/>
    <m/>
    <n v="190000"/>
  </r>
  <r>
    <x v="207"/>
    <x v="3"/>
    <m/>
    <x v="1"/>
    <x v="2"/>
    <x v="41"/>
    <n v="3"/>
    <s v="스테이포에버"/>
    <n v="201210"/>
    <m/>
    <n v="0"/>
  </r>
  <r>
    <x v="207"/>
    <x v="3"/>
    <m/>
    <x v="1"/>
    <x v="0"/>
    <x v="57"/>
    <n v="94"/>
    <s v="스테이포에버"/>
    <n v="201210"/>
    <m/>
    <n v="3572000"/>
  </r>
  <r>
    <x v="207"/>
    <x v="3"/>
    <m/>
    <x v="1"/>
    <x v="0"/>
    <x v="58"/>
    <n v="44"/>
    <s v="스테이포에버 2set"/>
    <n v="201210"/>
    <m/>
    <n v="2587200"/>
  </r>
  <r>
    <x v="207"/>
    <x v="3"/>
    <m/>
    <x v="1"/>
    <x v="0"/>
    <x v="59"/>
    <n v="9"/>
    <s v="이그나이트 + 스테이포에버"/>
    <n v="201210"/>
    <m/>
    <n v="621000"/>
  </r>
  <r>
    <x v="207"/>
    <x v="3"/>
    <m/>
    <x v="0"/>
    <x v="0"/>
    <x v="60"/>
    <n v="2"/>
    <s v="쇼핑백"/>
    <n v="201210"/>
    <m/>
    <n v="4000"/>
  </r>
  <r>
    <x v="207"/>
    <x v="3"/>
    <m/>
    <x v="1"/>
    <x v="0"/>
    <x v="61"/>
    <n v="158"/>
    <s v="스테이포에버"/>
    <n v="201210"/>
    <m/>
    <n v="6004000"/>
  </r>
  <r>
    <x v="207"/>
    <x v="3"/>
    <m/>
    <x v="1"/>
    <x v="0"/>
    <x v="62"/>
    <n v="60"/>
    <s v="스테이포에버 2set"/>
    <n v="201210"/>
    <m/>
    <n v="3528000"/>
  </r>
  <r>
    <x v="207"/>
    <x v="3"/>
    <m/>
    <x v="1"/>
    <x v="0"/>
    <x v="63"/>
    <n v="9"/>
    <s v="이그나이트 + 스테이포에버"/>
    <n v="201210"/>
    <m/>
    <n v="621000"/>
  </r>
  <r>
    <x v="207"/>
    <x v="3"/>
    <m/>
    <x v="0"/>
    <x v="0"/>
    <x v="64"/>
    <n v="5"/>
    <s v="쇼핑백"/>
    <n v="201210"/>
    <m/>
    <n v="10000"/>
  </r>
  <r>
    <x v="207"/>
    <x v="3"/>
    <m/>
    <x v="1"/>
    <x v="0"/>
    <x v="65"/>
    <n v="5"/>
    <s v="스테이포에버"/>
    <n v="201210"/>
    <m/>
    <n v="190000"/>
  </r>
  <r>
    <x v="207"/>
    <x v="3"/>
    <m/>
    <x v="1"/>
    <x v="0"/>
    <x v="71"/>
    <n v="6"/>
    <s v="스테이포에버 2set"/>
    <n v="201210"/>
    <m/>
    <n v="352800"/>
  </r>
  <r>
    <x v="207"/>
    <x v="3"/>
    <m/>
    <x v="1"/>
    <x v="0"/>
    <x v="72"/>
    <n v="7"/>
    <s v="이그나이트 + 스테이포에버"/>
    <n v="201210"/>
    <m/>
    <n v="483000"/>
  </r>
  <r>
    <x v="207"/>
    <x v="3"/>
    <m/>
    <x v="1"/>
    <x v="0"/>
    <x v="72"/>
    <n v="1"/>
    <s v="이그나이트 + 스테이포에버"/>
    <n v="201210"/>
    <m/>
    <n v="69000"/>
  </r>
  <r>
    <x v="207"/>
    <x v="3"/>
    <m/>
    <x v="1"/>
    <x v="0"/>
    <x v="73"/>
    <n v="2"/>
    <s v="이그나이트"/>
    <n v="201210"/>
    <m/>
    <n v="76000"/>
  </r>
  <r>
    <x v="207"/>
    <x v="3"/>
    <m/>
    <x v="1"/>
    <x v="0"/>
    <x v="66"/>
    <n v="6"/>
    <s v="스테이포에버"/>
    <n v="201210"/>
    <m/>
    <n v="228000"/>
  </r>
  <r>
    <x v="207"/>
    <x v="3"/>
    <m/>
    <x v="1"/>
    <x v="0"/>
    <x v="67"/>
    <n v="1"/>
    <s v="스테이포에버 2set"/>
    <n v="201210"/>
    <m/>
    <n v="58800"/>
  </r>
  <r>
    <x v="207"/>
    <x v="3"/>
    <m/>
    <x v="1"/>
    <x v="0"/>
    <x v="74"/>
    <n v="3"/>
    <s v="이그나이트 + 스테이포에버"/>
    <n v="201210"/>
    <m/>
    <n v="207000"/>
  </r>
  <r>
    <x v="207"/>
    <x v="3"/>
    <m/>
    <x v="1"/>
    <x v="0"/>
    <x v="48"/>
    <n v="3"/>
    <s v="스테이포에버"/>
    <n v="201210"/>
    <m/>
    <n v="114000"/>
  </r>
  <r>
    <x v="207"/>
    <x v="3"/>
    <m/>
    <x v="1"/>
    <x v="0"/>
    <x v="51"/>
    <n v="1"/>
    <s v="스테이포에버 2set"/>
    <n v="201210"/>
    <m/>
    <n v="58800"/>
  </r>
  <r>
    <x v="207"/>
    <x v="3"/>
    <m/>
    <x v="1"/>
    <x v="0"/>
    <x v="15"/>
    <n v="1"/>
    <s v="이그나이트"/>
    <n v="201210"/>
    <m/>
    <n v="38000"/>
  </r>
  <r>
    <x v="207"/>
    <x v="3"/>
    <m/>
    <x v="1"/>
    <x v="0"/>
    <x v="39"/>
    <n v="1"/>
    <s v="이그나이트 2set"/>
    <n v="201210"/>
    <m/>
    <n v="58800"/>
  </r>
  <r>
    <x v="208"/>
    <x v="4"/>
    <m/>
    <x v="1"/>
    <x v="2"/>
    <x v="41"/>
    <n v="8"/>
    <s v="스테이포에버"/>
    <n v="201210"/>
    <m/>
    <n v="0"/>
  </r>
  <r>
    <x v="208"/>
    <x v="4"/>
    <m/>
    <x v="1"/>
    <x v="2"/>
    <x v="72"/>
    <n v="1"/>
    <s v="이그나이트 + 스테이포에버"/>
    <n v="201210"/>
    <m/>
    <n v="0"/>
  </r>
  <r>
    <x v="208"/>
    <x v="4"/>
    <m/>
    <x v="1"/>
    <x v="0"/>
    <x v="75"/>
    <n v="1"/>
    <s v="이그나이트 2set"/>
    <n v="201210"/>
    <m/>
    <n v="58800"/>
  </r>
  <r>
    <x v="208"/>
    <x v="4"/>
    <m/>
    <x v="1"/>
    <x v="0"/>
    <x v="57"/>
    <n v="101"/>
    <s v="스테이포에버"/>
    <n v="201210"/>
    <m/>
    <n v="3838000"/>
  </r>
  <r>
    <x v="208"/>
    <x v="4"/>
    <m/>
    <x v="1"/>
    <x v="0"/>
    <x v="58"/>
    <n v="53"/>
    <s v="스테이포에버 2set"/>
    <n v="201210"/>
    <m/>
    <n v="3116400"/>
  </r>
  <r>
    <x v="208"/>
    <x v="4"/>
    <m/>
    <x v="1"/>
    <x v="0"/>
    <x v="59"/>
    <n v="6"/>
    <s v="이그나이트 + 스테이포에버"/>
    <n v="201210"/>
    <m/>
    <n v="414000"/>
  </r>
  <r>
    <x v="208"/>
    <x v="4"/>
    <m/>
    <x v="0"/>
    <x v="0"/>
    <x v="60"/>
    <n v="4"/>
    <s v="쇼핑백"/>
    <n v="201210"/>
    <m/>
    <n v="8000"/>
  </r>
  <r>
    <x v="208"/>
    <x v="4"/>
    <m/>
    <x v="1"/>
    <x v="0"/>
    <x v="61"/>
    <n v="169"/>
    <s v="스테이포에버"/>
    <n v="201210"/>
    <m/>
    <n v="6422000"/>
  </r>
  <r>
    <x v="208"/>
    <x v="4"/>
    <m/>
    <x v="1"/>
    <x v="0"/>
    <x v="62"/>
    <n v="67"/>
    <s v="스테이포에버 2set"/>
    <n v="201210"/>
    <m/>
    <n v="3939600"/>
  </r>
  <r>
    <x v="208"/>
    <x v="4"/>
    <m/>
    <x v="1"/>
    <x v="0"/>
    <x v="63"/>
    <n v="12"/>
    <s v="이그나이트 + 스테이포에버"/>
    <n v="201210"/>
    <m/>
    <n v="828000"/>
  </r>
  <r>
    <x v="208"/>
    <x v="4"/>
    <m/>
    <x v="0"/>
    <x v="0"/>
    <x v="64"/>
    <n v="7"/>
    <s v="쇼핑백"/>
    <n v="201210"/>
    <m/>
    <n v="14000"/>
  </r>
  <r>
    <x v="208"/>
    <x v="4"/>
    <m/>
    <x v="1"/>
    <x v="0"/>
    <x v="65"/>
    <n v="5"/>
    <s v="스테이포에버"/>
    <n v="201210"/>
    <m/>
    <n v="190000"/>
  </r>
  <r>
    <x v="208"/>
    <x v="4"/>
    <m/>
    <x v="1"/>
    <x v="0"/>
    <x v="71"/>
    <n v="3"/>
    <s v="스테이포에버 2set"/>
    <n v="201210"/>
    <m/>
    <n v="176400"/>
  </r>
  <r>
    <x v="208"/>
    <x v="4"/>
    <m/>
    <x v="1"/>
    <x v="0"/>
    <x v="72"/>
    <n v="8"/>
    <s v="이그나이트 + 스테이포에버"/>
    <n v="201210"/>
    <m/>
    <n v="552000"/>
  </r>
  <r>
    <x v="208"/>
    <x v="4"/>
    <m/>
    <x v="1"/>
    <x v="0"/>
    <x v="72"/>
    <n v="1"/>
    <s v="이그나이트 + 스테이포에버"/>
    <n v="201210"/>
    <m/>
    <n v="69000"/>
  </r>
  <r>
    <x v="208"/>
    <x v="4"/>
    <m/>
    <x v="1"/>
    <x v="0"/>
    <x v="66"/>
    <n v="7"/>
    <s v="스테이포에버"/>
    <n v="201210"/>
    <m/>
    <n v="266000"/>
  </r>
  <r>
    <x v="208"/>
    <x v="4"/>
    <m/>
    <x v="1"/>
    <x v="0"/>
    <x v="74"/>
    <n v="3"/>
    <s v="이그나이트 + 스테이포에버"/>
    <n v="201210"/>
    <m/>
    <n v="207000"/>
  </r>
  <r>
    <x v="208"/>
    <x v="4"/>
    <m/>
    <x v="1"/>
    <x v="0"/>
    <x v="15"/>
    <n v="5"/>
    <s v="이그나이트"/>
    <n v="201210"/>
    <m/>
    <n v="190000"/>
  </r>
  <r>
    <x v="208"/>
    <x v="4"/>
    <m/>
    <x v="1"/>
    <x v="0"/>
    <x v="39"/>
    <n v="3"/>
    <s v="이그나이트 2set"/>
    <n v="201210"/>
    <m/>
    <n v="176400"/>
  </r>
  <r>
    <x v="209"/>
    <x v="1"/>
    <m/>
    <x v="1"/>
    <x v="0"/>
    <x v="57"/>
    <n v="27"/>
    <s v="스테이포에버"/>
    <n v="201210"/>
    <m/>
    <n v="1026000"/>
  </r>
  <r>
    <x v="209"/>
    <x v="1"/>
    <m/>
    <x v="1"/>
    <x v="0"/>
    <x v="58"/>
    <n v="13"/>
    <s v="스테이포에버 2set"/>
    <n v="201210"/>
    <m/>
    <n v="764400"/>
  </r>
  <r>
    <x v="209"/>
    <x v="1"/>
    <m/>
    <x v="1"/>
    <x v="0"/>
    <x v="59"/>
    <n v="1"/>
    <s v="이그나이트 + 스테이포에버"/>
    <n v="201210"/>
    <m/>
    <n v="69000"/>
  </r>
  <r>
    <x v="209"/>
    <x v="1"/>
    <m/>
    <x v="0"/>
    <x v="0"/>
    <x v="60"/>
    <n v="2"/>
    <s v="쇼핑백"/>
    <n v="201210"/>
    <m/>
    <n v="4000"/>
  </r>
  <r>
    <x v="209"/>
    <x v="1"/>
    <m/>
    <x v="1"/>
    <x v="0"/>
    <x v="61"/>
    <n v="44"/>
    <s v="스테이포에버"/>
    <n v="201210"/>
    <m/>
    <n v="1672000"/>
  </r>
  <r>
    <x v="209"/>
    <x v="1"/>
    <m/>
    <x v="1"/>
    <x v="0"/>
    <x v="62"/>
    <n v="19"/>
    <s v="스테이포에버 2set"/>
    <n v="201210"/>
    <m/>
    <n v="1117200"/>
  </r>
  <r>
    <x v="209"/>
    <x v="1"/>
    <m/>
    <x v="1"/>
    <x v="0"/>
    <x v="63"/>
    <n v="1"/>
    <s v="이그나이트 + 스테이포에버"/>
    <n v="201210"/>
    <m/>
    <n v="69000"/>
  </r>
  <r>
    <x v="209"/>
    <x v="1"/>
    <m/>
    <x v="0"/>
    <x v="0"/>
    <x v="64"/>
    <n v="3"/>
    <s v="쇼핑백"/>
    <n v="201210"/>
    <m/>
    <n v="6000"/>
  </r>
  <r>
    <x v="209"/>
    <x v="1"/>
    <m/>
    <x v="1"/>
    <x v="0"/>
    <x v="65"/>
    <n v="3"/>
    <s v="스테이포에버"/>
    <n v="201210"/>
    <m/>
    <n v="114000"/>
  </r>
  <r>
    <x v="209"/>
    <x v="1"/>
    <m/>
    <x v="1"/>
    <x v="0"/>
    <x v="71"/>
    <n v="3"/>
    <s v="스테이포에버 2set"/>
    <n v="201210"/>
    <m/>
    <n v="176400"/>
  </r>
  <r>
    <x v="209"/>
    <x v="1"/>
    <m/>
    <x v="1"/>
    <x v="0"/>
    <x v="72"/>
    <n v="6"/>
    <s v="이그나이트 + 스테이포에버"/>
    <n v="201210"/>
    <m/>
    <n v="414000"/>
  </r>
  <r>
    <x v="209"/>
    <x v="1"/>
    <m/>
    <x v="1"/>
    <x v="0"/>
    <x v="72"/>
    <n v="1"/>
    <s v="이그나이트 + 스테이포에버"/>
    <n v="201210"/>
    <m/>
    <n v="69000"/>
  </r>
  <r>
    <x v="209"/>
    <x v="1"/>
    <m/>
    <x v="1"/>
    <x v="0"/>
    <x v="66"/>
    <n v="8"/>
    <s v="스테이포에버"/>
    <n v="201210"/>
    <m/>
    <n v="304000"/>
  </r>
  <r>
    <x v="209"/>
    <x v="1"/>
    <m/>
    <x v="1"/>
    <x v="0"/>
    <x v="67"/>
    <n v="2"/>
    <s v="스테이포에버 2set"/>
    <n v="201210"/>
    <m/>
    <n v="117600"/>
  </r>
  <r>
    <x v="209"/>
    <x v="1"/>
    <m/>
    <x v="1"/>
    <x v="0"/>
    <x v="74"/>
    <n v="1"/>
    <s v="이그나이트 + 스테이포에버"/>
    <n v="201210"/>
    <m/>
    <n v="69000"/>
  </r>
  <r>
    <x v="209"/>
    <x v="1"/>
    <m/>
    <x v="1"/>
    <x v="0"/>
    <x v="76"/>
    <n v="58"/>
    <s v="스테이포에버"/>
    <n v="201210"/>
    <m/>
    <n v="2204000"/>
  </r>
  <r>
    <x v="209"/>
    <x v="1"/>
    <m/>
    <x v="1"/>
    <x v="0"/>
    <x v="77"/>
    <n v="42"/>
    <s v="스테이포에버 2set"/>
    <n v="201210"/>
    <m/>
    <n v="2469600"/>
  </r>
  <r>
    <x v="209"/>
    <x v="1"/>
    <m/>
    <x v="1"/>
    <x v="0"/>
    <x v="68"/>
    <n v="6"/>
    <s v="이그나이트 + 스테이포에버"/>
    <n v="201210"/>
    <m/>
    <n v="414000"/>
  </r>
  <r>
    <x v="209"/>
    <x v="1"/>
    <m/>
    <x v="1"/>
    <x v="0"/>
    <x v="78"/>
    <n v="3"/>
    <s v="쇼핑백"/>
    <n v="201210"/>
    <m/>
    <n v="6000"/>
  </r>
  <r>
    <x v="209"/>
    <x v="1"/>
    <m/>
    <x v="1"/>
    <x v="0"/>
    <x v="69"/>
    <n v="90"/>
    <s v="스테이포에버"/>
    <n v="201210"/>
    <m/>
    <n v="3420000"/>
  </r>
  <r>
    <x v="209"/>
    <x v="1"/>
    <m/>
    <x v="1"/>
    <x v="0"/>
    <x v="79"/>
    <n v="55"/>
    <s v="스테이포에버 2set"/>
    <n v="201210"/>
    <m/>
    <n v="3234000"/>
  </r>
  <r>
    <x v="209"/>
    <x v="1"/>
    <m/>
    <x v="1"/>
    <x v="0"/>
    <x v="80"/>
    <n v="5"/>
    <s v="이그나이트 + 스테이포에버"/>
    <n v="201210"/>
    <m/>
    <n v="0"/>
  </r>
  <r>
    <x v="209"/>
    <x v="1"/>
    <m/>
    <x v="1"/>
    <x v="0"/>
    <x v="81"/>
    <n v="3"/>
    <s v="쇼핑백"/>
    <n v="201210"/>
    <m/>
    <n v="6000"/>
  </r>
  <r>
    <x v="209"/>
    <x v="1"/>
    <m/>
    <x v="1"/>
    <x v="0"/>
    <x v="15"/>
    <n v="1"/>
    <s v="이그나이트"/>
    <n v="201210"/>
    <m/>
    <n v="38000"/>
  </r>
  <r>
    <x v="209"/>
    <x v="1"/>
    <m/>
    <x v="0"/>
    <x v="0"/>
    <x v="82"/>
    <n v="1"/>
    <s v="쇼핑백"/>
    <n v="201210"/>
    <m/>
    <n v="2000"/>
  </r>
  <r>
    <x v="210"/>
    <x v="2"/>
    <m/>
    <x v="0"/>
    <x v="0"/>
    <x v="83"/>
    <n v="2"/>
    <s v="쇼핑백"/>
    <n v="201210"/>
    <m/>
    <n v="4000"/>
  </r>
  <r>
    <x v="210"/>
    <x v="2"/>
    <m/>
    <x v="1"/>
    <x v="0"/>
    <x v="57"/>
    <n v="3"/>
    <s v="스테이포에버"/>
    <n v="201210"/>
    <m/>
    <n v="114000"/>
  </r>
  <r>
    <x v="210"/>
    <x v="2"/>
    <m/>
    <x v="1"/>
    <x v="0"/>
    <x v="59"/>
    <n v="1"/>
    <s v="이그나이트 + 스테이포에버"/>
    <n v="201210"/>
    <m/>
    <n v="69000"/>
  </r>
  <r>
    <x v="210"/>
    <x v="2"/>
    <m/>
    <x v="1"/>
    <x v="0"/>
    <x v="70"/>
    <n v="1"/>
    <s v="이그나이트"/>
    <n v="201210"/>
    <m/>
    <n v="38000"/>
  </r>
  <r>
    <x v="210"/>
    <x v="2"/>
    <m/>
    <x v="1"/>
    <x v="0"/>
    <x v="65"/>
    <n v="7"/>
    <s v="스테이포에버"/>
    <n v="201210"/>
    <m/>
    <n v="266000"/>
  </r>
  <r>
    <x v="210"/>
    <x v="2"/>
    <m/>
    <x v="1"/>
    <x v="0"/>
    <x v="71"/>
    <n v="4"/>
    <s v="스테이포에버 2set"/>
    <n v="201210"/>
    <m/>
    <n v="235200"/>
  </r>
  <r>
    <x v="210"/>
    <x v="2"/>
    <m/>
    <x v="1"/>
    <x v="0"/>
    <x v="72"/>
    <n v="6"/>
    <s v="이그나이트 + 스테이포에버"/>
    <n v="201210"/>
    <m/>
    <n v="414000"/>
  </r>
  <r>
    <x v="210"/>
    <x v="2"/>
    <m/>
    <x v="1"/>
    <x v="0"/>
    <x v="72"/>
    <n v="2"/>
    <s v="이그나이트 + 스테이포에버"/>
    <n v="201210"/>
    <m/>
    <n v="138000"/>
  </r>
  <r>
    <x v="210"/>
    <x v="2"/>
    <m/>
    <x v="1"/>
    <x v="0"/>
    <x v="84"/>
    <n v="1"/>
    <s v="이그나이트 2set"/>
    <n v="201210"/>
    <m/>
    <n v="58800"/>
  </r>
  <r>
    <x v="210"/>
    <x v="2"/>
    <m/>
    <x v="1"/>
    <x v="0"/>
    <x v="66"/>
    <n v="12"/>
    <s v="스테이포에버"/>
    <n v="201210"/>
    <m/>
    <n v="456000"/>
  </r>
  <r>
    <x v="210"/>
    <x v="2"/>
    <m/>
    <x v="1"/>
    <x v="0"/>
    <x v="67"/>
    <n v="2"/>
    <s v="스테이포에버 2set"/>
    <n v="201210"/>
    <m/>
    <n v="117600"/>
  </r>
  <r>
    <x v="210"/>
    <x v="2"/>
    <m/>
    <x v="1"/>
    <x v="0"/>
    <x v="74"/>
    <n v="2"/>
    <s v="이그나이트 + 스테이포에버"/>
    <n v="201210"/>
    <m/>
    <n v="138000"/>
  </r>
  <r>
    <x v="210"/>
    <x v="2"/>
    <m/>
    <x v="1"/>
    <x v="0"/>
    <x v="76"/>
    <n v="113"/>
    <s v="스테이포에버"/>
    <n v="201210"/>
    <m/>
    <n v="4294000"/>
  </r>
  <r>
    <x v="210"/>
    <x v="2"/>
    <m/>
    <x v="1"/>
    <x v="0"/>
    <x v="77"/>
    <n v="59"/>
    <s v="스테이포에버 2set"/>
    <n v="201210"/>
    <m/>
    <n v="3469200"/>
  </r>
  <r>
    <x v="210"/>
    <x v="2"/>
    <m/>
    <x v="1"/>
    <x v="0"/>
    <x v="68"/>
    <n v="6"/>
    <s v="이그나이트 + 스테이포에버"/>
    <n v="201210"/>
    <m/>
    <n v="414000"/>
  </r>
  <r>
    <x v="210"/>
    <x v="2"/>
    <m/>
    <x v="1"/>
    <x v="0"/>
    <x v="78"/>
    <n v="7"/>
    <s v="쇼핑백"/>
    <n v="201210"/>
    <m/>
    <n v="14000"/>
  </r>
  <r>
    <x v="210"/>
    <x v="2"/>
    <m/>
    <x v="1"/>
    <x v="0"/>
    <x v="69"/>
    <n v="190"/>
    <s v="스테이포에버"/>
    <n v="201210"/>
    <m/>
    <n v="7220000"/>
  </r>
  <r>
    <x v="210"/>
    <x v="2"/>
    <m/>
    <x v="1"/>
    <x v="0"/>
    <x v="79"/>
    <n v="59"/>
    <s v="스테이포에버 2set"/>
    <n v="201210"/>
    <m/>
    <n v="3469200"/>
  </r>
  <r>
    <x v="210"/>
    <x v="2"/>
    <m/>
    <x v="1"/>
    <x v="0"/>
    <x v="80"/>
    <n v="10"/>
    <s v="이그나이트 + 스테이포에버"/>
    <n v="201210"/>
    <m/>
    <n v="0"/>
  </r>
  <r>
    <x v="210"/>
    <x v="2"/>
    <m/>
    <x v="1"/>
    <x v="0"/>
    <x v="81"/>
    <n v="9"/>
    <s v="쇼핑백"/>
    <n v="201210"/>
    <m/>
    <n v="18000"/>
  </r>
  <r>
    <x v="210"/>
    <x v="2"/>
    <m/>
    <x v="1"/>
    <x v="0"/>
    <x v="15"/>
    <n v="2"/>
    <s v="이그나이트"/>
    <n v="201210"/>
    <m/>
    <n v="76000"/>
  </r>
  <r>
    <x v="210"/>
    <x v="2"/>
    <m/>
    <x v="1"/>
    <x v="0"/>
    <x v="39"/>
    <n v="1"/>
    <s v="이그나이트 2set"/>
    <n v="201210"/>
    <m/>
    <n v="58800"/>
  </r>
  <r>
    <x v="211"/>
    <x v="5"/>
    <m/>
    <x v="0"/>
    <x v="0"/>
    <x v="83"/>
    <n v="1"/>
    <s v="쇼핑백"/>
    <n v="201210"/>
    <m/>
    <n v="2000"/>
  </r>
  <r>
    <x v="211"/>
    <x v="5"/>
    <m/>
    <x v="1"/>
    <x v="0"/>
    <x v="65"/>
    <n v="5"/>
    <s v="스테이포에버"/>
    <n v="201210"/>
    <m/>
    <n v="190000"/>
  </r>
  <r>
    <x v="211"/>
    <x v="5"/>
    <m/>
    <x v="1"/>
    <x v="0"/>
    <x v="72"/>
    <n v="5"/>
    <s v="이그나이트 + 스테이포에버"/>
    <n v="201210"/>
    <m/>
    <n v="345000"/>
  </r>
  <r>
    <x v="211"/>
    <x v="5"/>
    <m/>
    <x v="1"/>
    <x v="0"/>
    <x v="72"/>
    <n v="1"/>
    <s v="이그나이트 + 스테이포에버"/>
    <n v="201210"/>
    <m/>
    <n v="69000"/>
  </r>
  <r>
    <x v="211"/>
    <x v="5"/>
    <m/>
    <x v="1"/>
    <x v="0"/>
    <x v="73"/>
    <n v="3"/>
    <s v="이그나이트"/>
    <n v="201210"/>
    <m/>
    <n v="114000"/>
  </r>
  <r>
    <x v="211"/>
    <x v="5"/>
    <m/>
    <x v="1"/>
    <x v="0"/>
    <x v="66"/>
    <n v="10"/>
    <s v="스테이포에버"/>
    <n v="201210"/>
    <m/>
    <n v="380000"/>
  </r>
  <r>
    <x v="211"/>
    <x v="5"/>
    <m/>
    <x v="1"/>
    <x v="0"/>
    <x v="67"/>
    <n v="3"/>
    <s v="스테이포에버 2set"/>
    <n v="201210"/>
    <m/>
    <n v="176400"/>
  </r>
  <r>
    <x v="211"/>
    <x v="5"/>
    <m/>
    <x v="1"/>
    <x v="0"/>
    <x v="74"/>
    <n v="4"/>
    <s v="이그나이트 + 스테이포에버"/>
    <n v="201210"/>
    <m/>
    <n v="276000"/>
  </r>
  <r>
    <x v="211"/>
    <x v="5"/>
    <m/>
    <x v="1"/>
    <x v="0"/>
    <x v="76"/>
    <n v="94"/>
    <s v="스테이포에버"/>
    <n v="201210"/>
    <m/>
    <n v="3572000"/>
  </r>
  <r>
    <x v="211"/>
    <x v="5"/>
    <m/>
    <x v="1"/>
    <x v="0"/>
    <x v="77"/>
    <n v="45"/>
    <s v="스테이포에버 2set"/>
    <n v="201210"/>
    <m/>
    <n v="2646000"/>
  </r>
  <r>
    <x v="211"/>
    <x v="5"/>
    <m/>
    <x v="1"/>
    <x v="0"/>
    <x v="68"/>
    <n v="15"/>
    <s v="이그나이트 + 스테이포에버"/>
    <n v="201210"/>
    <m/>
    <n v="1035000"/>
  </r>
  <r>
    <x v="211"/>
    <x v="5"/>
    <m/>
    <x v="1"/>
    <x v="0"/>
    <x v="78"/>
    <n v="3"/>
    <s v="쇼핑백"/>
    <n v="201210"/>
    <m/>
    <n v="6000"/>
  </r>
  <r>
    <x v="211"/>
    <x v="5"/>
    <m/>
    <x v="1"/>
    <x v="0"/>
    <x v="69"/>
    <n v="154"/>
    <s v="스테이포에버"/>
    <n v="201210"/>
    <m/>
    <n v="5852000"/>
  </r>
  <r>
    <x v="211"/>
    <x v="5"/>
    <m/>
    <x v="1"/>
    <x v="0"/>
    <x v="79"/>
    <n v="57"/>
    <s v="스테이포에버 2set"/>
    <n v="201210"/>
    <m/>
    <n v="3351600"/>
  </r>
  <r>
    <x v="211"/>
    <x v="5"/>
    <m/>
    <x v="1"/>
    <x v="0"/>
    <x v="80"/>
    <n v="16"/>
    <s v="이그나이트 + 스테이포에버"/>
    <n v="201210"/>
    <m/>
    <n v="0"/>
  </r>
  <r>
    <x v="211"/>
    <x v="5"/>
    <m/>
    <x v="1"/>
    <x v="0"/>
    <x v="81"/>
    <n v="11"/>
    <s v="쇼핑백"/>
    <n v="201210"/>
    <m/>
    <n v="22000"/>
  </r>
  <r>
    <x v="211"/>
    <x v="5"/>
    <m/>
    <x v="1"/>
    <x v="0"/>
    <x v="15"/>
    <n v="5"/>
    <s v="이그나이트"/>
    <n v="201210"/>
    <m/>
    <n v="190000"/>
  </r>
  <r>
    <x v="212"/>
    <x v="6"/>
    <m/>
    <x v="1"/>
    <x v="2"/>
    <x v="41"/>
    <n v="1"/>
    <s v="스테이포에버"/>
    <n v="201210"/>
    <m/>
    <n v="0"/>
  </r>
  <r>
    <x v="212"/>
    <x v="6"/>
    <m/>
    <x v="1"/>
    <x v="0"/>
    <x v="58"/>
    <n v="1"/>
    <s v="스테이포에버 2set"/>
    <n v="201210"/>
    <m/>
    <n v="58800"/>
  </r>
  <r>
    <x v="212"/>
    <x v="6"/>
    <m/>
    <x v="1"/>
    <x v="0"/>
    <x v="70"/>
    <n v="4"/>
    <s v="이그나이트"/>
    <n v="201210"/>
    <m/>
    <n v="152000"/>
  </r>
  <r>
    <x v="212"/>
    <x v="6"/>
    <m/>
    <x v="1"/>
    <x v="0"/>
    <x v="75"/>
    <n v="1"/>
    <s v="이그나이트 2set"/>
    <n v="201210"/>
    <m/>
    <n v="58800"/>
  </r>
  <r>
    <x v="212"/>
    <x v="6"/>
    <m/>
    <x v="1"/>
    <x v="0"/>
    <x v="65"/>
    <n v="4"/>
    <s v="스테이포에버"/>
    <n v="201210"/>
    <m/>
    <n v="152000"/>
  </r>
  <r>
    <x v="212"/>
    <x v="6"/>
    <m/>
    <x v="1"/>
    <x v="0"/>
    <x v="71"/>
    <n v="2"/>
    <s v="스테이포에버 2set"/>
    <n v="201210"/>
    <m/>
    <n v="117600"/>
  </r>
  <r>
    <x v="212"/>
    <x v="6"/>
    <m/>
    <x v="1"/>
    <x v="0"/>
    <x v="72"/>
    <n v="1"/>
    <s v="이그나이트 + 스테이포에버"/>
    <n v="201210"/>
    <m/>
    <n v="69000"/>
  </r>
  <r>
    <x v="212"/>
    <x v="6"/>
    <m/>
    <x v="1"/>
    <x v="0"/>
    <x v="66"/>
    <n v="6"/>
    <s v="스테이포에버"/>
    <n v="201210"/>
    <m/>
    <n v="228000"/>
  </r>
  <r>
    <x v="212"/>
    <x v="6"/>
    <m/>
    <x v="1"/>
    <x v="0"/>
    <x v="74"/>
    <n v="2"/>
    <s v="이그나이트 + 스테이포에버"/>
    <n v="201210"/>
    <m/>
    <n v="138000"/>
  </r>
  <r>
    <x v="212"/>
    <x v="6"/>
    <m/>
    <x v="1"/>
    <x v="0"/>
    <x v="85"/>
    <n v="1"/>
    <s v="이그나이트 + 스테이포에버"/>
    <n v="201210"/>
    <m/>
    <n v="0"/>
  </r>
  <r>
    <x v="212"/>
    <x v="6"/>
    <m/>
    <x v="1"/>
    <x v="0"/>
    <x v="76"/>
    <n v="75"/>
    <s v="스테이포에버"/>
    <n v="201210"/>
    <m/>
    <n v="2850000"/>
  </r>
  <r>
    <x v="212"/>
    <x v="6"/>
    <m/>
    <x v="1"/>
    <x v="0"/>
    <x v="77"/>
    <n v="35"/>
    <s v="스테이포에버 2set"/>
    <n v="201210"/>
    <m/>
    <n v="2058000"/>
  </r>
  <r>
    <x v="212"/>
    <x v="6"/>
    <m/>
    <x v="1"/>
    <x v="0"/>
    <x v="68"/>
    <n v="1"/>
    <s v="이그나이트 + 스테이포에버"/>
    <n v="201210"/>
    <m/>
    <n v="69000"/>
  </r>
  <r>
    <x v="212"/>
    <x v="6"/>
    <m/>
    <x v="1"/>
    <x v="0"/>
    <x v="78"/>
    <n v="5"/>
    <s v="쇼핑백"/>
    <n v="201210"/>
    <m/>
    <n v="10000"/>
  </r>
  <r>
    <x v="212"/>
    <x v="6"/>
    <m/>
    <x v="1"/>
    <x v="0"/>
    <x v="69"/>
    <n v="94"/>
    <s v="스테이포에버"/>
    <n v="201210"/>
    <m/>
    <n v="3572000"/>
  </r>
  <r>
    <x v="212"/>
    <x v="6"/>
    <m/>
    <x v="1"/>
    <x v="0"/>
    <x v="79"/>
    <n v="40"/>
    <s v="스테이포에버 2set"/>
    <n v="201210"/>
    <m/>
    <n v="2352000"/>
  </r>
  <r>
    <x v="212"/>
    <x v="6"/>
    <m/>
    <x v="1"/>
    <x v="0"/>
    <x v="80"/>
    <n v="9"/>
    <s v="이그나이트 + 스테이포에버"/>
    <n v="201210"/>
    <m/>
    <n v="0"/>
  </r>
  <r>
    <x v="212"/>
    <x v="6"/>
    <m/>
    <x v="1"/>
    <x v="0"/>
    <x v="81"/>
    <n v="7"/>
    <s v="쇼핑백"/>
    <n v="201210"/>
    <m/>
    <n v="14000"/>
  </r>
  <r>
    <x v="212"/>
    <x v="6"/>
    <m/>
    <x v="1"/>
    <x v="0"/>
    <x v="48"/>
    <n v="1"/>
    <s v="스테이포에버"/>
    <n v="201210"/>
    <m/>
    <n v="38000"/>
  </r>
  <r>
    <x v="212"/>
    <x v="6"/>
    <m/>
    <x v="1"/>
    <x v="0"/>
    <x v="15"/>
    <n v="1"/>
    <s v="이그나이트"/>
    <n v="201210"/>
    <m/>
    <n v="38000"/>
  </r>
  <r>
    <x v="212"/>
    <x v="6"/>
    <m/>
    <x v="1"/>
    <x v="0"/>
    <x v="39"/>
    <n v="1"/>
    <s v="이그나이트 2set"/>
    <n v="201210"/>
    <m/>
    <n v="58800"/>
  </r>
  <r>
    <x v="212"/>
    <x v="6"/>
    <m/>
    <x v="0"/>
    <x v="0"/>
    <x v="82"/>
    <n v="1"/>
    <s v="쇼핑백"/>
    <n v="201210"/>
    <m/>
    <n v="2000"/>
  </r>
  <r>
    <x v="213"/>
    <x v="0"/>
    <m/>
    <x v="1"/>
    <x v="0"/>
    <x v="41"/>
    <n v="1"/>
    <s v="스테이포에버"/>
    <n v="201210"/>
    <m/>
    <n v="38000"/>
  </r>
  <r>
    <x v="213"/>
    <x v="0"/>
    <m/>
    <x v="1"/>
    <x v="0"/>
    <x v="57"/>
    <n v="1"/>
    <s v="스테이포에버"/>
    <n v="201210"/>
    <m/>
    <n v="38000"/>
  </r>
  <r>
    <x v="213"/>
    <x v="0"/>
    <m/>
    <x v="1"/>
    <x v="0"/>
    <x v="59"/>
    <n v="1"/>
    <s v="이그나이트 + 스테이포에버"/>
    <n v="201210"/>
    <m/>
    <n v="69000"/>
  </r>
  <r>
    <x v="213"/>
    <x v="0"/>
    <m/>
    <x v="1"/>
    <x v="0"/>
    <x v="65"/>
    <n v="2"/>
    <s v="스테이포에버"/>
    <n v="201210"/>
    <m/>
    <n v="76000"/>
  </r>
  <r>
    <x v="213"/>
    <x v="0"/>
    <m/>
    <x v="1"/>
    <x v="0"/>
    <x v="71"/>
    <n v="1"/>
    <s v="스테이포에버 2set"/>
    <n v="201210"/>
    <m/>
    <n v="58800"/>
  </r>
  <r>
    <x v="213"/>
    <x v="0"/>
    <m/>
    <x v="1"/>
    <x v="0"/>
    <x v="72"/>
    <n v="4"/>
    <s v="이그나이트 + 스테이포에버"/>
    <n v="201210"/>
    <m/>
    <n v="276000"/>
  </r>
  <r>
    <x v="213"/>
    <x v="0"/>
    <m/>
    <x v="1"/>
    <x v="0"/>
    <x v="72"/>
    <n v="1"/>
    <s v="이그나이트 + 스테이포에버"/>
    <n v="201210"/>
    <m/>
    <n v="69000"/>
  </r>
  <r>
    <x v="213"/>
    <x v="0"/>
    <m/>
    <x v="1"/>
    <x v="0"/>
    <x v="66"/>
    <n v="9"/>
    <s v="스테이포에버"/>
    <n v="201210"/>
    <m/>
    <n v="342000"/>
  </r>
  <r>
    <x v="213"/>
    <x v="0"/>
    <m/>
    <x v="1"/>
    <x v="0"/>
    <x v="67"/>
    <n v="3"/>
    <s v="스테이포에버 2set"/>
    <n v="201210"/>
    <m/>
    <n v="176400"/>
  </r>
  <r>
    <x v="213"/>
    <x v="0"/>
    <m/>
    <x v="1"/>
    <x v="0"/>
    <x v="74"/>
    <n v="4"/>
    <s v="이그나이트 + 스테이포에버"/>
    <n v="201210"/>
    <m/>
    <n v="276000"/>
  </r>
  <r>
    <x v="213"/>
    <x v="0"/>
    <m/>
    <x v="1"/>
    <x v="0"/>
    <x v="85"/>
    <n v="1"/>
    <s v="이그나이트 + 스테이포에버"/>
    <n v="201210"/>
    <m/>
    <n v="0"/>
  </r>
  <r>
    <x v="213"/>
    <x v="0"/>
    <m/>
    <x v="1"/>
    <x v="0"/>
    <x v="76"/>
    <n v="68"/>
    <s v="스테이포에버"/>
    <n v="201210"/>
    <m/>
    <n v="2584000"/>
  </r>
  <r>
    <x v="213"/>
    <x v="0"/>
    <m/>
    <x v="1"/>
    <x v="0"/>
    <x v="77"/>
    <n v="26"/>
    <s v="스테이포에버 2set"/>
    <n v="201210"/>
    <m/>
    <n v="1528800"/>
  </r>
  <r>
    <x v="213"/>
    <x v="0"/>
    <m/>
    <x v="1"/>
    <x v="0"/>
    <x v="68"/>
    <n v="11"/>
    <s v="이그나이트 + 스테이포에버"/>
    <n v="201210"/>
    <m/>
    <n v="759000"/>
  </r>
  <r>
    <x v="213"/>
    <x v="0"/>
    <m/>
    <x v="1"/>
    <x v="0"/>
    <x v="69"/>
    <n v="103"/>
    <s v="스테이포에버"/>
    <n v="201210"/>
    <m/>
    <n v="3914000"/>
  </r>
  <r>
    <x v="213"/>
    <x v="0"/>
    <m/>
    <x v="1"/>
    <x v="0"/>
    <x v="79"/>
    <n v="38"/>
    <s v="스테이포에버 2set"/>
    <n v="201210"/>
    <m/>
    <n v="2234400"/>
  </r>
  <r>
    <x v="213"/>
    <x v="0"/>
    <m/>
    <x v="1"/>
    <x v="0"/>
    <x v="80"/>
    <n v="5"/>
    <s v="이그나이트 + 스테이포에버"/>
    <n v="201210"/>
    <m/>
    <n v="0"/>
  </r>
  <r>
    <x v="213"/>
    <x v="0"/>
    <m/>
    <x v="1"/>
    <x v="0"/>
    <x v="81"/>
    <n v="6"/>
    <s v="쇼핑백"/>
    <n v="201210"/>
    <m/>
    <n v="12000"/>
  </r>
  <r>
    <x v="213"/>
    <x v="0"/>
    <m/>
    <x v="1"/>
    <x v="0"/>
    <x v="15"/>
    <n v="4"/>
    <s v="이그나이트"/>
    <n v="201210"/>
    <m/>
    <n v="152000"/>
  </r>
  <r>
    <x v="213"/>
    <x v="0"/>
    <m/>
    <x v="0"/>
    <x v="0"/>
    <x v="82"/>
    <n v="1"/>
    <s v="쇼핑백"/>
    <n v="201210"/>
    <m/>
    <n v="2000"/>
  </r>
  <r>
    <x v="214"/>
    <x v="3"/>
    <m/>
    <x v="1"/>
    <x v="0"/>
    <x v="58"/>
    <n v="1"/>
    <s v="스테이포에버 2set"/>
    <n v="201210"/>
    <m/>
    <n v="58800"/>
  </r>
  <r>
    <x v="214"/>
    <x v="3"/>
    <m/>
    <x v="1"/>
    <x v="0"/>
    <x v="65"/>
    <n v="5"/>
    <s v="스테이포에버"/>
    <n v="201210"/>
    <m/>
    <n v="190000"/>
  </r>
  <r>
    <x v="214"/>
    <x v="3"/>
    <m/>
    <x v="1"/>
    <x v="0"/>
    <x v="71"/>
    <n v="1"/>
    <s v="스테이포에버 2set"/>
    <n v="201210"/>
    <m/>
    <n v="58800"/>
  </r>
  <r>
    <x v="214"/>
    <x v="3"/>
    <m/>
    <x v="1"/>
    <x v="0"/>
    <x v="72"/>
    <n v="6"/>
    <s v="이그나이트 + 스테이포에버"/>
    <n v="201210"/>
    <m/>
    <n v="414000"/>
  </r>
  <r>
    <x v="214"/>
    <x v="3"/>
    <m/>
    <x v="1"/>
    <x v="0"/>
    <x v="72"/>
    <n v="1"/>
    <s v="이그나이트 + 스테이포에버"/>
    <n v="201210"/>
    <m/>
    <n v="69000"/>
  </r>
  <r>
    <x v="214"/>
    <x v="3"/>
    <m/>
    <x v="1"/>
    <x v="0"/>
    <x v="66"/>
    <n v="8"/>
    <s v="스테이포에버"/>
    <n v="201210"/>
    <m/>
    <n v="304000"/>
  </r>
  <r>
    <x v="214"/>
    <x v="3"/>
    <m/>
    <x v="1"/>
    <x v="0"/>
    <x v="67"/>
    <n v="8"/>
    <s v="스테이포에버 2set"/>
    <n v="201210"/>
    <m/>
    <n v="470400"/>
  </r>
  <r>
    <x v="214"/>
    <x v="3"/>
    <m/>
    <x v="1"/>
    <x v="0"/>
    <x v="74"/>
    <n v="1"/>
    <s v="이그나이트 + 스테이포에버"/>
    <n v="201210"/>
    <m/>
    <n v="69000"/>
  </r>
  <r>
    <x v="214"/>
    <x v="3"/>
    <m/>
    <x v="1"/>
    <x v="0"/>
    <x v="76"/>
    <n v="85"/>
    <s v="스테이포에버"/>
    <n v="201210"/>
    <m/>
    <n v="3230000"/>
  </r>
  <r>
    <x v="214"/>
    <x v="3"/>
    <m/>
    <x v="1"/>
    <x v="0"/>
    <x v="77"/>
    <n v="45"/>
    <s v="스테이포에버 2set"/>
    <n v="201210"/>
    <m/>
    <n v="2646000"/>
  </r>
  <r>
    <x v="214"/>
    <x v="3"/>
    <m/>
    <x v="1"/>
    <x v="0"/>
    <x v="68"/>
    <n v="8"/>
    <s v="이그나이트 + 스테이포에버"/>
    <n v="201210"/>
    <m/>
    <n v="552000"/>
  </r>
  <r>
    <x v="214"/>
    <x v="3"/>
    <m/>
    <x v="1"/>
    <x v="0"/>
    <x v="78"/>
    <n v="3"/>
    <s v="쇼핑백"/>
    <n v="201210"/>
    <m/>
    <n v="6000"/>
  </r>
  <r>
    <x v="214"/>
    <x v="3"/>
    <m/>
    <x v="1"/>
    <x v="0"/>
    <x v="69"/>
    <n v="157"/>
    <s v="스테이포에버"/>
    <n v="201210"/>
    <m/>
    <n v="5966000"/>
  </r>
  <r>
    <x v="214"/>
    <x v="3"/>
    <m/>
    <x v="1"/>
    <x v="0"/>
    <x v="79"/>
    <n v="72"/>
    <s v="스테이포에버 2set"/>
    <n v="201210"/>
    <m/>
    <n v="4233600"/>
  </r>
  <r>
    <x v="214"/>
    <x v="3"/>
    <m/>
    <x v="1"/>
    <x v="0"/>
    <x v="80"/>
    <n v="7"/>
    <s v="이그나이트 + 스테이포에버"/>
    <n v="201210"/>
    <m/>
    <n v="0"/>
  </r>
  <r>
    <x v="214"/>
    <x v="3"/>
    <m/>
    <x v="1"/>
    <x v="0"/>
    <x v="81"/>
    <n v="9"/>
    <s v="쇼핑백"/>
    <n v="201210"/>
    <m/>
    <n v="18000"/>
  </r>
  <r>
    <x v="214"/>
    <x v="3"/>
    <m/>
    <x v="1"/>
    <x v="0"/>
    <x v="15"/>
    <n v="4"/>
    <s v="이그나이트"/>
    <n v="201210"/>
    <m/>
    <n v="152000"/>
  </r>
  <r>
    <x v="214"/>
    <x v="3"/>
    <m/>
    <x v="1"/>
    <x v="0"/>
    <x v="39"/>
    <n v="4"/>
    <s v="이그나이트 2set"/>
    <n v="201210"/>
    <m/>
    <n v="235200"/>
  </r>
  <r>
    <x v="215"/>
    <x v="4"/>
    <m/>
    <x v="1"/>
    <x v="2"/>
    <x v="80"/>
    <n v="1"/>
    <s v="이그나이트 + 스테이포에버"/>
    <n v="201210"/>
    <m/>
    <n v="0"/>
  </r>
  <r>
    <x v="215"/>
    <x v="4"/>
    <m/>
    <x v="1"/>
    <x v="0"/>
    <x v="70"/>
    <n v="1"/>
    <s v="이그나이트"/>
    <n v="201210"/>
    <m/>
    <n v="38000"/>
  </r>
  <r>
    <x v="215"/>
    <x v="4"/>
    <m/>
    <x v="1"/>
    <x v="0"/>
    <x v="65"/>
    <n v="8"/>
    <s v="스테이포에버"/>
    <n v="201210"/>
    <m/>
    <n v="304000"/>
  </r>
  <r>
    <x v="215"/>
    <x v="4"/>
    <m/>
    <x v="1"/>
    <x v="0"/>
    <x v="71"/>
    <n v="3"/>
    <s v="스테이포에버 2set"/>
    <n v="201210"/>
    <m/>
    <n v="176400"/>
  </r>
  <r>
    <x v="215"/>
    <x v="4"/>
    <m/>
    <x v="1"/>
    <x v="0"/>
    <x v="72"/>
    <n v="7"/>
    <s v="이그나이트 + 스테이포에버"/>
    <n v="201210"/>
    <m/>
    <n v="483000"/>
  </r>
  <r>
    <x v="215"/>
    <x v="4"/>
    <m/>
    <x v="1"/>
    <x v="0"/>
    <x v="73"/>
    <n v="1"/>
    <s v="이그나이트"/>
    <n v="201210"/>
    <m/>
    <n v="38000"/>
  </r>
  <r>
    <x v="215"/>
    <x v="4"/>
    <m/>
    <x v="1"/>
    <x v="0"/>
    <x v="66"/>
    <n v="4"/>
    <s v="스테이포에버"/>
    <n v="201210"/>
    <m/>
    <n v="152000"/>
  </r>
  <r>
    <x v="215"/>
    <x v="4"/>
    <m/>
    <x v="1"/>
    <x v="0"/>
    <x v="67"/>
    <n v="1"/>
    <s v="스테이포에버 2set"/>
    <n v="201210"/>
    <m/>
    <n v="58800"/>
  </r>
  <r>
    <x v="215"/>
    <x v="4"/>
    <m/>
    <x v="1"/>
    <x v="0"/>
    <x v="76"/>
    <n v="95"/>
    <s v="스테이포에버"/>
    <n v="201210"/>
    <m/>
    <n v="3610000"/>
  </r>
  <r>
    <x v="215"/>
    <x v="4"/>
    <m/>
    <x v="1"/>
    <x v="0"/>
    <x v="77"/>
    <n v="50"/>
    <s v="스테이포에버 2set"/>
    <n v="201210"/>
    <m/>
    <n v="2940000"/>
  </r>
  <r>
    <x v="215"/>
    <x v="4"/>
    <m/>
    <x v="1"/>
    <x v="0"/>
    <x v="68"/>
    <n v="7"/>
    <s v="이그나이트 + 스테이포에버"/>
    <n v="201210"/>
    <m/>
    <n v="483000"/>
  </r>
  <r>
    <x v="215"/>
    <x v="4"/>
    <m/>
    <x v="1"/>
    <x v="0"/>
    <x v="78"/>
    <n v="4"/>
    <s v="쇼핑백"/>
    <n v="201210"/>
    <m/>
    <n v="8000"/>
  </r>
  <r>
    <x v="215"/>
    <x v="4"/>
    <m/>
    <x v="1"/>
    <x v="0"/>
    <x v="69"/>
    <n v="168"/>
    <s v="스테이포에버"/>
    <n v="201210"/>
    <m/>
    <n v="6384000"/>
  </r>
  <r>
    <x v="215"/>
    <x v="4"/>
    <m/>
    <x v="1"/>
    <x v="0"/>
    <x v="79"/>
    <n v="69"/>
    <s v="스테이포에버 2set"/>
    <n v="201210"/>
    <m/>
    <n v="4057200"/>
  </r>
  <r>
    <x v="215"/>
    <x v="4"/>
    <m/>
    <x v="1"/>
    <x v="0"/>
    <x v="80"/>
    <n v="10"/>
    <s v="이그나이트 + 스테이포에버"/>
    <n v="201210"/>
    <m/>
    <n v="0"/>
  </r>
  <r>
    <x v="215"/>
    <x v="4"/>
    <m/>
    <x v="1"/>
    <x v="0"/>
    <x v="81"/>
    <n v="6"/>
    <s v="쇼핑백"/>
    <n v="201210"/>
    <m/>
    <n v="12000"/>
  </r>
  <r>
    <x v="215"/>
    <x v="4"/>
    <m/>
    <x v="1"/>
    <x v="0"/>
    <x v="15"/>
    <n v="2"/>
    <s v="이그나이트"/>
    <n v="201210"/>
    <m/>
    <n v="76000"/>
  </r>
  <r>
    <x v="216"/>
    <x v="1"/>
    <m/>
    <x v="1"/>
    <x v="0"/>
    <x v="70"/>
    <n v="1"/>
    <s v="이그나이트"/>
    <n v="201210"/>
    <m/>
    <n v="38000"/>
  </r>
  <r>
    <x v="216"/>
    <x v="1"/>
    <m/>
    <x v="1"/>
    <x v="0"/>
    <x v="75"/>
    <n v="1"/>
    <s v="이그나이트 2set"/>
    <n v="201210"/>
    <m/>
    <n v="58800"/>
  </r>
  <r>
    <x v="216"/>
    <x v="1"/>
    <m/>
    <x v="1"/>
    <x v="0"/>
    <x v="65"/>
    <n v="9"/>
    <s v="스테이포에버"/>
    <n v="201210"/>
    <m/>
    <n v="342000"/>
  </r>
  <r>
    <x v="216"/>
    <x v="1"/>
    <m/>
    <x v="1"/>
    <x v="0"/>
    <x v="71"/>
    <n v="4"/>
    <s v="스테이포에버 2set"/>
    <n v="201210"/>
    <m/>
    <n v="235200"/>
  </r>
  <r>
    <x v="216"/>
    <x v="1"/>
    <m/>
    <x v="1"/>
    <x v="0"/>
    <x v="72"/>
    <n v="4"/>
    <s v="이그나이트 + 스테이포에버"/>
    <n v="201210"/>
    <m/>
    <n v="276000"/>
  </r>
  <r>
    <x v="216"/>
    <x v="1"/>
    <m/>
    <x v="1"/>
    <x v="0"/>
    <x v="72"/>
    <n v="2"/>
    <s v="이그나이트 + 스테이포에버"/>
    <n v="201210"/>
    <m/>
    <n v="138000"/>
  </r>
  <r>
    <x v="216"/>
    <x v="1"/>
    <m/>
    <x v="1"/>
    <x v="0"/>
    <x v="66"/>
    <n v="4"/>
    <s v="스테이포에버"/>
    <n v="201210"/>
    <m/>
    <n v="152000"/>
  </r>
  <r>
    <x v="216"/>
    <x v="1"/>
    <m/>
    <x v="1"/>
    <x v="0"/>
    <x v="67"/>
    <n v="2"/>
    <s v="스테이포에버 2set"/>
    <n v="201210"/>
    <m/>
    <n v="117600"/>
  </r>
  <r>
    <x v="216"/>
    <x v="1"/>
    <m/>
    <x v="1"/>
    <x v="0"/>
    <x v="74"/>
    <n v="5"/>
    <s v="이그나이트 + 스테이포에버"/>
    <n v="201210"/>
    <m/>
    <n v="345000"/>
  </r>
  <r>
    <x v="216"/>
    <x v="1"/>
    <m/>
    <x v="1"/>
    <x v="0"/>
    <x v="86"/>
    <n v="1"/>
    <s v="이그나이트 + 스테이포에버"/>
    <n v="201210"/>
    <m/>
    <n v="69000"/>
  </r>
  <r>
    <x v="216"/>
    <x v="1"/>
    <m/>
    <x v="1"/>
    <x v="0"/>
    <x v="76"/>
    <n v="141"/>
    <s v="스테이포에버"/>
    <n v="201210"/>
    <m/>
    <n v="5358000"/>
  </r>
  <r>
    <x v="216"/>
    <x v="1"/>
    <m/>
    <x v="1"/>
    <x v="0"/>
    <x v="77"/>
    <n v="76"/>
    <s v="스테이포에버 2set"/>
    <n v="201210"/>
    <m/>
    <n v="4468800"/>
  </r>
  <r>
    <x v="216"/>
    <x v="1"/>
    <m/>
    <x v="1"/>
    <x v="0"/>
    <x v="68"/>
    <n v="11"/>
    <s v="이그나이트 + 스테이포에버"/>
    <n v="201210"/>
    <m/>
    <n v="759000"/>
  </r>
  <r>
    <x v="216"/>
    <x v="1"/>
    <m/>
    <x v="1"/>
    <x v="0"/>
    <x v="78"/>
    <n v="4"/>
    <s v="쇼핑백"/>
    <n v="201210"/>
    <m/>
    <n v="8000"/>
  </r>
  <r>
    <x v="216"/>
    <x v="1"/>
    <m/>
    <x v="1"/>
    <x v="0"/>
    <x v="69"/>
    <n v="264"/>
    <s v="스테이포에버"/>
    <n v="201210"/>
    <m/>
    <n v="10032000"/>
  </r>
  <r>
    <x v="216"/>
    <x v="1"/>
    <m/>
    <x v="1"/>
    <x v="0"/>
    <x v="79"/>
    <n v="115"/>
    <s v="스테이포에버 2set"/>
    <n v="201210"/>
    <m/>
    <n v="6762000"/>
  </r>
  <r>
    <x v="216"/>
    <x v="1"/>
    <m/>
    <x v="1"/>
    <x v="0"/>
    <x v="80"/>
    <n v="21"/>
    <s v="이그나이트 + 스테이포에버"/>
    <n v="201210"/>
    <m/>
    <n v="0"/>
  </r>
  <r>
    <x v="216"/>
    <x v="1"/>
    <m/>
    <x v="1"/>
    <x v="0"/>
    <x v="81"/>
    <n v="13"/>
    <s v="쇼핑백"/>
    <n v="201210"/>
    <m/>
    <n v="26000"/>
  </r>
  <r>
    <x v="216"/>
    <x v="1"/>
    <m/>
    <x v="1"/>
    <x v="0"/>
    <x v="15"/>
    <n v="6"/>
    <s v="이그나이트"/>
    <n v="201210"/>
    <m/>
    <n v="228000"/>
  </r>
  <r>
    <x v="216"/>
    <x v="1"/>
    <m/>
    <x v="1"/>
    <x v="0"/>
    <x v="39"/>
    <n v="2"/>
    <s v="이그나이트 2set"/>
    <n v="201210"/>
    <m/>
    <n v="117600"/>
  </r>
  <r>
    <x v="217"/>
    <x v="2"/>
    <m/>
    <x v="1"/>
    <x v="0"/>
    <x v="65"/>
    <n v="7"/>
    <s v="스테이포에버"/>
    <n v="201210"/>
    <m/>
    <n v="266000"/>
  </r>
  <r>
    <x v="217"/>
    <x v="2"/>
    <m/>
    <x v="1"/>
    <x v="0"/>
    <x v="71"/>
    <n v="5"/>
    <s v="스테이포에버 2set"/>
    <n v="201210"/>
    <m/>
    <n v="294000"/>
  </r>
  <r>
    <x v="217"/>
    <x v="2"/>
    <m/>
    <x v="1"/>
    <x v="0"/>
    <x v="72"/>
    <n v="7"/>
    <s v="이그나이트 + 스테이포에버"/>
    <n v="201210"/>
    <m/>
    <n v="483000"/>
  </r>
  <r>
    <x v="217"/>
    <x v="2"/>
    <m/>
    <x v="1"/>
    <x v="0"/>
    <x v="66"/>
    <n v="11"/>
    <s v="스테이포에버"/>
    <n v="201210"/>
    <m/>
    <n v="418000"/>
  </r>
  <r>
    <x v="217"/>
    <x v="2"/>
    <m/>
    <x v="1"/>
    <x v="0"/>
    <x v="67"/>
    <n v="2"/>
    <s v="스테이포에버 2set"/>
    <n v="201210"/>
    <m/>
    <n v="117600"/>
  </r>
  <r>
    <x v="217"/>
    <x v="2"/>
    <m/>
    <x v="1"/>
    <x v="0"/>
    <x v="74"/>
    <n v="4"/>
    <s v="이그나이트 + 스테이포에버"/>
    <n v="201210"/>
    <m/>
    <n v="276000"/>
  </r>
  <r>
    <x v="217"/>
    <x v="2"/>
    <m/>
    <x v="1"/>
    <x v="0"/>
    <x v="76"/>
    <n v="179"/>
    <s v="스테이포에버"/>
    <n v="201210"/>
    <m/>
    <n v="6802000"/>
  </r>
  <r>
    <x v="217"/>
    <x v="2"/>
    <m/>
    <x v="1"/>
    <x v="0"/>
    <x v="77"/>
    <n v="93"/>
    <s v="스테이포에버 2set"/>
    <n v="201210"/>
    <m/>
    <n v="5468400"/>
  </r>
  <r>
    <x v="217"/>
    <x v="2"/>
    <m/>
    <x v="1"/>
    <x v="0"/>
    <x v="68"/>
    <n v="7"/>
    <s v="이그나이트 + 스테이포에버"/>
    <n v="201210"/>
    <m/>
    <n v="483000"/>
  </r>
  <r>
    <x v="217"/>
    <x v="2"/>
    <m/>
    <x v="1"/>
    <x v="0"/>
    <x v="78"/>
    <n v="4"/>
    <s v="쇼핑백"/>
    <n v="201210"/>
    <m/>
    <n v="8000"/>
  </r>
  <r>
    <x v="217"/>
    <x v="2"/>
    <m/>
    <x v="1"/>
    <x v="0"/>
    <x v="69"/>
    <n v="317"/>
    <s v="스테이포에버"/>
    <n v="201210"/>
    <m/>
    <n v="12046000"/>
  </r>
  <r>
    <x v="217"/>
    <x v="2"/>
    <m/>
    <x v="1"/>
    <x v="0"/>
    <x v="79"/>
    <n v="112"/>
    <s v="스테이포에버 2set"/>
    <n v="201210"/>
    <m/>
    <n v="6585600"/>
  </r>
  <r>
    <x v="217"/>
    <x v="2"/>
    <m/>
    <x v="1"/>
    <x v="0"/>
    <x v="80"/>
    <n v="19"/>
    <s v="이그나이트 + 스테이포에버"/>
    <n v="201210"/>
    <m/>
    <n v="0"/>
  </r>
  <r>
    <x v="217"/>
    <x v="2"/>
    <m/>
    <x v="1"/>
    <x v="0"/>
    <x v="81"/>
    <n v="9"/>
    <s v="쇼핑백"/>
    <n v="201210"/>
    <m/>
    <n v="18000"/>
  </r>
  <r>
    <x v="217"/>
    <x v="2"/>
    <m/>
    <x v="1"/>
    <x v="0"/>
    <x v="15"/>
    <n v="6"/>
    <s v="이그나이트"/>
    <n v="201210"/>
    <m/>
    <n v="228000"/>
  </r>
  <r>
    <x v="218"/>
    <x v="5"/>
    <m/>
    <x v="0"/>
    <x v="0"/>
    <x v="83"/>
    <n v="3"/>
    <s v="쇼핑백"/>
    <n v="201210"/>
    <m/>
    <n v="6000"/>
  </r>
  <r>
    <x v="218"/>
    <x v="5"/>
    <m/>
    <x v="1"/>
    <x v="0"/>
    <x v="70"/>
    <n v="1"/>
    <s v="이그나이트"/>
    <n v="201210"/>
    <m/>
    <n v="38000"/>
  </r>
  <r>
    <x v="218"/>
    <x v="5"/>
    <m/>
    <x v="1"/>
    <x v="0"/>
    <x v="75"/>
    <n v="1"/>
    <s v="이그나이트 2set"/>
    <n v="201210"/>
    <m/>
    <n v="58800"/>
  </r>
  <r>
    <x v="218"/>
    <x v="5"/>
    <m/>
    <x v="1"/>
    <x v="0"/>
    <x v="65"/>
    <n v="6"/>
    <s v="스테이포에버"/>
    <n v="201210"/>
    <m/>
    <n v="228000"/>
  </r>
  <r>
    <x v="218"/>
    <x v="5"/>
    <m/>
    <x v="1"/>
    <x v="0"/>
    <x v="71"/>
    <n v="2"/>
    <s v="스테이포에버 2set"/>
    <n v="201210"/>
    <m/>
    <n v="117600"/>
  </r>
  <r>
    <x v="218"/>
    <x v="5"/>
    <m/>
    <x v="1"/>
    <x v="0"/>
    <x v="72"/>
    <n v="3"/>
    <s v="이그나이트 + 스테이포에버"/>
    <n v="201210"/>
    <m/>
    <n v="207000"/>
  </r>
  <r>
    <x v="218"/>
    <x v="5"/>
    <m/>
    <x v="1"/>
    <x v="0"/>
    <x v="72"/>
    <n v="2"/>
    <s v="이그나이트 + 스테이포에버"/>
    <n v="201210"/>
    <m/>
    <n v="138000"/>
  </r>
  <r>
    <x v="218"/>
    <x v="5"/>
    <m/>
    <x v="1"/>
    <x v="0"/>
    <x v="73"/>
    <n v="1"/>
    <s v="이그나이트"/>
    <n v="201210"/>
    <m/>
    <n v="38000"/>
  </r>
  <r>
    <x v="218"/>
    <x v="5"/>
    <m/>
    <x v="1"/>
    <x v="0"/>
    <x v="66"/>
    <n v="8"/>
    <s v="스테이포에버"/>
    <n v="201210"/>
    <m/>
    <n v="304000"/>
  </r>
  <r>
    <x v="218"/>
    <x v="5"/>
    <m/>
    <x v="1"/>
    <x v="0"/>
    <x v="67"/>
    <n v="1"/>
    <s v="스테이포에버 2set"/>
    <n v="201210"/>
    <m/>
    <n v="58800"/>
  </r>
  <r>
    <x v="218"/>
    <x v="5"/>
    <m/>
    <x v="1"/>
    <x v="0"/>
    <x v="74"/>
    <n v="7"/>
    <s v="이그나이트 + 스테이포에버"/>
    <n v="201210"/>
    <m/>
    <n v="483000"/>
  </r>
  <r>
    <x v="218"/>
    <x v="5"/>
    <m/>
    <x v="1"/>
    <x v="0"/>
    <x v="76"/>
    <n v="143"/>
    <s v="스테이포에버"/>
    <n v="201210"/>
    <m/>
    <n v="5434000"/>
  </r>
  <r>
    <x v="218"/>
    <x v="5"/>
    <m/>
    <x v="1"/>
    <x v="0"/>
    <x v="77"/>
    <n v="114"/>
    <s v="스테이포에버 2set"/>
    <n v="201210"/>
    <m/>
    <n v="6703200"/>
  </r>
  <r>
    <x v="218"/>
    <x v="5"/>
    <m/>
    <x v="1"/>
    <x v="0"/>
    <x v="68"/>
    <n v="10"/>
    <s v="이그나이트 + 스테이포에버"/>
    <n v="201210"/>
    <m/>
    <n v="690000"/>
  </r>
  <r>
    <x v="218"/>
    <x v="5"/>
    <m/>
    <x v="1"/>
    <x v="0"/>
    <x v="78"/>
    <n v="3"/>
    <s v="쇼핑백"/>
    <n v="201210"/>
    <m/>
    <n v="6000"/>
  </r>
  <r>
    <x v="218"/>
    <x v="5"/>
    <m/>
    <x v="1"/>
    <x v="0"/>
    <x v="69"/>
    <n v="226"/>
    <s v="스테이포에버"/>
    <n v="201210"/>
    <m/>
    <n v="8588000"/>
  </r>
  <r>
    <x v="218"/>
    <x v="5"/>
    <m/>
    <x v="1"/>
    <x v="0"/>
    <x v="79"/>
    <n v="117"/>
    <s v="스테이포에버 2set"/>
    <n v="201210"/>
    <m/>
    <n v="6879600"/>
  </r>
  <r>
    <x v="218"/>
    <x v="5"/>
    <m/>
    <x v="1"/>
    <x v="0"/>
    <x v="80"/>
    <n v="21"/>
    <s v="이그나이트 + 스테이포에버"/>
    <n v="201210"/>
    <m/>
    <n v="0"/>
  </r>
  <r>
    <x v="218"/>
    <x v="5"/>
    <m/>
    <x v="1"/>
    <x v="0"/>
    <x v="81"/>
    <n v="15"/>
    <s v="쇼핑백"/>
    <n v="201210"/>
    <m/>
    <n v="30000"/>
  </r>
  <r>
    <x v="218"/>
    <x v="5"/>
    <m/>
    <x v="1"/>
    <x v="0"/>
    <x v="15"/>
    <n v="3"/>
    <s v="이그나이트"/>
    <n v="201210"/>
    <m/>
    <n v="114000"/>
  </r>
  <r>
    <x v="218"/>
    <x v="5"/>
    <m/>
    <x v="1"/>
    <x v="0"/>
    <x v="39"/>
    <n v="1"/>
    <s v="이그나이트 2set"/>
    <n v="201210"/>
    <m/>
    <n v="58800"/>
  </r>
  <r>
    <x v="219"/>
    <x v="6"/>
    <m/>
    <x v="1"/>
    <x v="0"/>
    <x v="65"/>
    <n v="2"/>
    <s v="스테이포에버"/>
    <n v="201210"/>
    <m/>
    <n v="76000"/>
  </r>
  <r>
    <x v="219"/>
    <x v="6"/>
    <m/>
    <x v="1"/>
    <x v="0"/>
    <x v="66"/>
    <n v="1"/>
    <s v="스테이포에버"/>
    <n v="201210"/>
    <m/>
    <n v="38000"/>
  </r>
  <r>
    <x v="219"/>
    <x v="6"/>
    <m/>
    <x v="1"/>
    <x v="0"/>
    <x v="67"/>
    <n v="1"/>
    <s v="스테이포에버 2set"/>
    <n v="201210"/>
    <m/>
    <n v="58800"/>
  </r>
  <r>
    <x v="219"/>
    <x v="6"/>
    <m/>
    <x v="1"/>
    <x v="0"/>
    <x v="87"/>
    <n v="1"/>
    <s v="이그나이트"/>
    <n v="201210"/>
    <m/>
    <n v="38000"/>
  </r>
  <r>
    <x v="219"/>
    <x v="6"/>
    <m/>
    <x v="1"/>
    <x v="0"/>
    <x v="88"/>
    <n v="1"/>
    <s v="이그나이트 2set"/>
    <n v="201210"/>
    <m/>
    <n v="58800"/>
  </r>
  <r>
    <x v="219"/>
    <x v="6"/>
    <m/>
    <x v="1"/>
    <x v="0"/>
    <x v="89"/>
    <n v="8"/>
    <s v="스테이포에버"/>
    <n v="201210"/>
    <m/>
    <n v="304000"/>
  </r>
  <r>
    <x v="219"/>
    <x v="6"/>
    <m/>
    <x v="1"/>
    <x v="0"/>
    <x v="90"/>
    <n v="2"/>
    <s v="스테이포에버 2set"/>
    <n v="201210"/>
    <m/>
    <n v="117600"/>
  </r>
  <r>
    <x v="219"/>
    <x v="6"/>
    <m/>
    <x v="1"/>
    <x v="0"/>
    <x v="86"/>
    <n v="6"/>
    <s v="이그나이트 + 스테이포에버"/>
    <n v="201210"/>
    <m/>
    <n v="414000"/>
  </r>
  <r>
    <x v="219"/>
    <x v="6"/>
    <m/>
    <x v="1"/>
    <x v="0"/>
    <x v="91"/>
    <n v="2"/>
    <s v="이그나이트 + 스테이포에버"/>
    <n v="201210"/>
    <m/>
    <n v="138000"/>
  </r>
  <r>
    <x v="219"/>
    <x v="6"/>
    <m/>
    <x v="1"/>
    <x v="0"/>
    <x v="76"/>
    <n v="32"/>
    <s v="스테이포에버"/>
    <n v="201210"/>
    <m/>
    <n v="1216000"/>
  </r>
  <r>
    <x v="219"/>
    <x v="6"/>
    <m/>
    <x v="1"/>
    <x v="0"/>
    <x v="77"/>
    <n v="14"/>
    <s v="스테이포에버 2set"/>
    <n v="201210"/>
    <m/>
    <n v="823200"/>
  </r>
  <r>
    <x v="219"/>
    <x v="6"/>
    <m/>
    <x v="1"/>
    <x v="0"/>
    <x v="68"/>
    <n v="4"/>
    <s v="이그나이트 + 스테이포에버"/>
    <n v="201210"/>
    <m/>
    <n v="276000"/>
  </r>
  <r>
    <x v="219"/>
    <x v="6"/>
    <m/>
    <x v="1"/>
    <x v="0"/>
    <x v="69"/>
    <n v="251"/>
    <s v="스테이포에버"/>
    <n v="201210"/>
    <m/>
    <n v="9538000"/>
  </r>
  <r>
    <x v="219"/>
    <x v="6"/>
    <m/>
    <x v="1"/>
    <x v="0"/>
    <x v="92"/>
    <n v="29"/>
    <s v="스테이포에버 2set"/>
    <n v="201210"/>
    <m/>
    <n v="1705200"/>
  </r>
  <r>
    <x v="219"/>
    <x v="6"/>
    <m/>
    <x v="1"/>
    <x v="0"/>
    <x v="79"/>
    <n v="63"/>
    <s v="스테이포에버 2set"/>
    <n v="201210"/>
    <m/>
    <n v="3704400"/>
  </r>
  <r>
    <x v="219"/>
    <x v="6"/>
    <m/>
    <x v="1"/>
    <x v="0"/>
    <x v="93"/>
    <n v="6"/>
    <s v="이그나이트 + 스테이포에버"/>
    <n v="201210"/>
    <m/>
    <n v="352800"/>
  </r>
  <r>
    <x v="219"/>
    <x v="6"/>
    <m/>
    <x v="1"/>
    <x v="0"/>
    <x v="80"/>
    <n v="9"/>
    <s v="이그나이트 + 스테이포에버"/>
    <n v="201210"/>
    <m/>
    <n v="0"/>
  </r>
  <r>
    <x v="219"/>
    <x v="6"/>
    <m/>
    <x v="1"/>
    <x v="0"/>
    <x v="81"/>
    <n v="14"/>
    <s v="쇼핑백"/>
    <n v="201210"/>
    <m/>
    <n v="28000"/>
  </r>
  <r>
    <x v="219"/>
    <x v="6"/>
    <m/>
    <x v="1"/>
    <x v="0"/>
    <x v="15"/>
    <n v="3"/>
    <s v="이그나이트"/>
    <n v="201210"/>
    <m/>
    <n v="114000"/>
  </r>
  <r>
    <x v="219"/>
    <x v="6"/>
    <m/>
    <x v="1"/>
    <x v="0"/>
    <x v="39"/>
    <n v="1"/>
    <s v="이그나이트 2set"/>
    <n v="201210"/>
    <m/>
    <n v="58800"/>
  </r>
  <r>
    <x v="220"/>
    <x v="0"/>
    <m/>
    <x v="1"/>
    <x v="0"/>
    <x v="87"/>
    <n v="3"/>
    <s v="이그나이트"/>
    <n v="201210"/>
    <m/>
    <n v="114000"/>
  </r>
  <r>
    <x v="220"/>
    <x v="0"/>
    <m/>
    <x v="1"/>
    <x v="0"/>
    <x v="88"/>
    <n v="1"/>
    <s v="이그나이트 2set"/>
    <n v="201210"/>
    <m/>
    <n v="58800"/>
  </r>
  <r>
    <x v="220"/>
    <x v="0"/>
    <m/>
    <x v="1"/>
    <x v="0"/>
    <x v="89"/>
    <n v="9"/>
    <s v="스테이포에버"/>
    <n v="201210"/>
    <m/>
    <n v="342000"/>
  </r>
  <r>
    <x v="220"/>
    <x v="0"/>
    <m/>
    <x v="1"/>
    <x v="0"/>
    <x v="94"/>
    <n v="5"/>
    <s v="스테이포에버 2set"/>
    <n v="201210"/>
    <m/>
    <n v="294000"/>
  </r>
  <r>
    <x v="220"/>
    <x v="0"/>
    <m/>
    <x v="1"/>
    <x v="0"/>
    <x v="90"/>
    <n v="2"/>
    <s v="스테이포에버 2set"/>
    <n v="201210"/>
    <m/>
    <n v="117600"/>
  </r>
  <r>
    <x v="220"/>
    <x v="0"/>
    <m/>
    <x v="1"/>
    <x v="0"/>
    <x v="86"/>
    <n v="1"/>
    <s v="이그나이트 + 스테이포에버"/>
    <n v="201210"/>
    <m/>
    <n v="69000"/>
  </r>
  <r>
    <x v="220"/>
    <x v="0"/>
    <m/>
    <x v="1"/>
    <x v="0"/>
    <x v="91"/>
    <n v="3"/>
    <s v="이그나이트 + 스테이포에버"/>
    <n v="201210"/>
    <m/>
    <n v="207000"/>
  </r>
  <r>
    <x v="220"/>
    <x v="0"/>
    <m/>
    <x v="1"/>
    <x v="0"/>
    <x v="86"/>
    <n v="1"/>
    <s v="이그나이트 + 스테이포에버"/>
    <n v="201210"/>
    <m/>
    <n v="69000"/>
  </r>
  <r>
    <x v="220"/>
    <x v="0"/>
    <m/>
    <x v="1"/>
    <x v="0"/>
    <x v="95"/>
    <n v="1"/>
    <s v="이그나이트 + 스테이포에버"/>
    <n v="201210"/>
    <m/>
    <n v="58800"/>
  </r>
  <r>
    <x v="220"/>
    <x v="0"/>
    <m/>
    <x v="1"/>
    <x v="0"/>
    <x v="76"/>
    <n v="1"/>
    <s v="스테이포에버"/>
    <n v="201210"/>
    <m/>
    <n v="38000"/>
  </r>
  <r>
    <x v="220"/>
    <x v="0"/>
    <m/>
    <x v="1"/>
    <x v="0"/>
    <x v="77"/>
    <n v="1"/>
    <s v="스테이포에버 2set"/>
    <n v="201210"/>
    <m/>
    <n v="58800"/>
  </r>
  <r>
    <x v="220"/>
    <x v="0"/>
    <m/>
    <x v="1"/>
    <x v="0"/>
    <x v="68"/>
    <n v="1"/>
    <s v="이그나이트 + 스테이포에버"/>
    <n v="201210"/>
    <m/>
    <n v="69000"/>
  </r>
  <r>
    <x v="220"/>
    <x v="0"/>
    <m/>
    <x v="1"/>
    <x v="0"/>
    <x v="69"/>
    <n v="281"/>
    <s v="스테이포에버"/>
    <n v="201210"/>
    <m/>
    <n v="10678000"/>
  </r>
  <r>
    <x v="220"/>
    <x v="0"/>
    <m/>
    <x v="1"/>
    <x v="0"/>
    <x v="92"/>
    <n v="46"/>
    <s v="스테이포에버 2set"/>
    <n v="201210"/>
    <m/>
    <n v="2704800"/>
  </r>
  <r>
    <x v="220"/>
    <x v="0"/>
    <m/>
    <x v="1"/>
    <x v="0"/>
    <x v="79"/>
    <n v="58"/>
    <s v="스테이포에버 2set"/>
    <n v="201210"/>
    <m/>
    <n v="3410400"/>
  </r>
  <r>
    <x v="220"/>
    <x v="0"/>
    <m/>
    <x v="1"/>
    <x v="0"/>
    <x v="93"/>
    <n v="9"/>
    <s v="이그나이트 + 스테이포에버"/>
    <n v="201210"/>
    <m/>
    <n v="529200"/>
  </r>
  <r>
    <x v="220"/>
    <x v="0"/>
    <m/>
    <x v="1"/>
    <x v="0"/>
    <x v="80"/>
    <n v="9"/>
    <s v="이그나이트 + 스테이포에버"/>
    <n v="201210"/>
    <m/>
    <n v="0"/>
  </r>
  <r>
    <x v="220"/>
    <x v="0"/>
    <m/>
    <x v="1"/>
    <x v="0"/>
    <x v="81"/>
    <n v="13"/>
    <s v="쇼핑백"/>
    <n v="201210"/>
    <m/>
    <n v="26000"/>
  </r>
  <r>
    <x v="220"/>
    <x v="0"/>
    <m/>
    <x v="1"/>
    <x v="0"/>
    <x v="15"/>
    <n v="4"/>
    <s v="이그나이트"/>
    <n v="201210"/>
    <m/>
    <n v="152000"/>
  </r>
  <r>
    <x v="220"/>
    <x v="0"/>
    <m/>
    <x v="1"/>
    <x v="0"/>
    <x v="39"/>
    <n v="4"/>
    <s v="이그나이트 2set"/>
    <n v="201210"/>
    <m/>
    <n v="235200"/>
  </r>
  <r>
    <x v="221"/>
    <x v="3"/>
    <m/>
    <x v="0"/>
    <x v="0"/>
    <x v="83"/>
    <n v="1"/>
    <s v="쇼핑백"/>
    <n v="201210"/>
    <m/>
    <n v="2000"/>
  </r>
  <r>
    <x v="221"/>
    <x v="3"/>
    <m/>
    <x v="1"/>
    <x v="0"/>
    <x v="41"/>
    <n v="1"/>
    <s v="스테이포에버"/>
    <n v="201210"/>
    <m/>
    <n v="38000"/>
  </r>
  <r>
    <x v="221"/>
    <x v="3"/>
    <m/>
    <x v="1"/>
    <x v="0"/>
    <x v="87"/>
    <n v="1"/>
    <s v="이그나이트"/>
    <n v="201210"/>
    <m/>
    <n v="38000"/>
  </r>
  <r>
    <x v="221"/>
    <x v="3"/>
    <m/>
    <x v="1"/>
    <x v="0"/>
    <x v="89"/>
    <n v="11"/>
    <s v="스테이포에버"/>
    <n v="201210"/>
    <m/>
    <n v="418000"/>
  </r>
  <r>
    <x v="221"/>
    <x v="3"/>
    <m/>
    <x v="1"/>
    <x v="0"/>
    <x v="94"/>
    <n v="1"/>
    <s v="스테이포에버 2set"/>
    <n v="201210"/>
    <m/>
    <n v="58800"/>
  </r>
  <r>
    <x v="221"/>
    <x v="3"/>
    <m/>
    <x v="1"/>
    <x v="0"/>
    <x v="90"/>
    <n v="2"/>
    <s v="스테이포에버 2set"/>
    <n v="201210"/>
    <m/>
    <n v="117600"/>
  </r>
  <r>
    <x v="221"/>
    <x v="3"/>
    <m/>
    <x v="1"/>
    <x v="0"/>
    <x v="86"/>
    <n v="4"/>
    <s v="이그나이트 + 스테이포에버"/>
    <n v="201210"/>
    <m/>
    <n v="276000"/>
  </r>
  <r>
    <x v="221"/>
    <x v="3"/>
    <m/>
    <x v="1"/>
    <x v="0"/>
    <x v="91"/>
    <n v="3"/>
    <s v="이그나이트 + 스테이포에버"/>
    <n v="201210"/>
    <m/>
    <n v="207000"/>
  </r>
  <r>
    <x v="221"/>
    <x v="3"/>
    <m/>
    <x v="1"/>
    <x v="0"/>
    <x v="86"/>
    <n v="1"/>
    <s v="이그나이트 + 스테이포에버"/>
    <n v="201210"/>
    <m/>
    <n v="69000"/>
  </r>
  <r>
    <x v="221"/>
    <x v="3"/>
    <m/>
    <x v="1"/>
    <x v="0"/>
    <x v="95"/>
    <n v="1"/>
    <s v="이그나이트 + 스테이포에버"/>
    <n v="201210"/>
    <m/>
    <n v="58800"/>
  </r>
  <r>
    <x v="221"/>
    <x v="3"/>
    <m/>
    <x v="1"/>
    <x v="0"/>
    <x v="69"/>
    <n v="305"/>
    <s v="스테이포에버"/>
    <n v="201210"/>
    <m/>
    <n v="11590000"/>
  </r>
  <r>
    <x v="221"/>
    <x v="3"/>
    <m/>
    <x v="1"/>
    <x v="0"/>
    <x v="92"/>
    <n v="42"/>
    <s v="스테이포에버 2set"/>
    <n v="201210"/>
    <m/>
    <n v="2469600"/>
  </r>
  <r>
    <x v="221"/>
    <x v="3"/>
    <m/>
    <x v="1"/>
    <x v="0"/>
    <x v="79"/>
    <n v="64"/>
    <s v="스테이포에버 2set"/>
    <n v="201210"/>
    <m/>
    <n v="3763200"/>
  </r>
  <r>
    <x v="221"/>
    <x v="3"/>
    <m/>
    <x v="1"/>
    <x v="0"/>
    <x v="93"/>
    <n v="10"/>
    <s v="이그나이트 + 스테이포에버"/>
    <n v="201210"/>
    <m/>
    <n v="588000"/>
  </r>
  <r>
    <x v="221"/>
    <x v="3"/>
    <m/>
    <x v="1"/>
    <x v="0"/>
    <x v="80"/>
    <n v="13"/>
    <s v="이그나이트 + 스테이포에버"/>
    <n v="201210"/>
    <m/>
    <n v="0"/>
  </r>
  <r>
    <x v="221"/>
    <x v="3"/>
    <m/>
    <x v="1"/>
    <x v="0"/>
    <x v="81"/>
    <n v="10"/>
    <s v="쇼핑백"/>
    <n v="201210"/>
    <m/>
    <n v="20000"/>
  </r>
  <r>
    <x v="221"/>
    <x v="3"/>
    <m/>
    <x v="1"/>
    <x v="0"/>
    <x v="15"/>
    <n v="3"/>
    <s v="이그나이트"/>
    <n v="201210"/>
    <m/>
    <n v="114000"/>
  </r>
  <r>
    <x v="221"/>
    <x v="3"/>
    <m/>
    <x v="1"/>
    <x v="0"/>
    <x v="39"/>
    <n v="1"/>
    <s v="이그나이트 2set"/>
    <n v="201210"/>
    <m/>
    <n v="58800"/>
  </r>
  <r>
    <x v="222"/>
    <x v="4"/>
    <m/>
    <x v="1"/>
    <x v="0"/>
    <x v="41"/>
    <n v="2"/>
    <s v="스테이포에버"/>
    <n v="201210"/>
    <m/>
    <n v="76000"/>
  </r>
  <r>
    <x v="222"/>
    <x v="4"/>
    <m/>
    <x v="1"/>
    <x v="0"/>
    <x v="89"/>
    <n v="3"/>
    <s v="스테이포에버"/>
    <n v="201210"/>
    <m/>
    <n v="114000"/>
  </r>
  <r>
    <x v="222"/>
    <x v="4"/>
    <m/>
    <x v="1"/>
    <x v="0"/>
    <x v="94"/>
    <n v="1"/>
    <s v="스테이포에버 2set"/>
    <n v="201210"/>
    <m/>
    <n v="58800"/>
  </r>
  <r>
    <x v="222"/>
    <x v="4"/>
    <m/>
    <x v="1"/>
    <x v="0"/>
    <x v="90"/>
    <n v="1"/>
    <s v="스테이포에버 2set"/>
    <n v="201210"/>
    <m/>
    <n v="58800"/>
  </r>
  <r>
    <x v="222"/>
    <x v="4"/>
    <m/>
    <x v="1"/>
    <x v="0"/>
    <x v="91"/>
    <n v="5"/>
    <s v="이그나이트 + 스테이포에버"/>
    <n v="201210"/>
    <m/>
    <n v="345000"/>
  </r>
  <r>
    <x v="222"/>
    <x v="4"/>
    <m/>
    <x v="1"/>
    <x v="0"/>
    <x v="86"/>
    <n v="1"/>
    <s v="이그나이트 + 스테이포에버"/>
    <n v="201210"/>
    <m/>
    <n v="69000"/>
  </r>
  <r>
    <x v="222"/>
    <x v="4"/>
    <m/>
    <x v="1"/>
    <x v="0"/>
    <x v="96"/>
    <n v="2"/>
    <s v="스테이포에버"/>
    <n v="201210"/>
    <m/>
    <n v="68000"/>
  </r>
  <r>
    <x v="222"/>
    <x v="4"/>
    <m/>
    <x v="1"/>
    <x v="0"/>
    <x v="97"/>
    <n v="1"/>
    <s v="스테이포에버 2set"/>
    <n v="201210"/>
    <m/>
    <n v="58800"/>
  </r>
  <r>
    <x v="222"/>
    <x v="4"/>
    <m/>
    <x v="1"/>
    <x v="0"/>
    <x v="76"/>
    <n v="2"/>
    <s v="스테이포에버"/>
    <n v="201210"/>
    <m/>
    <n v="76000"/>
  </r>
  <r>
    <x v="222"/>
    <x v="4"/>
    <m/>
    <x v="1"/>
    <x v="0"/>
    <x v="78"/>
    <n v="1"/>
    <s v="쇼핑백"/>
    <n v="201210"/>
    <m/>
    <n v="2000"/>
  </r>
  <r>
    <x v="222"/>
    <x v="4"/>
    <m/>
    <x v="1"/>
    <x v="0"/>
    <x v="69"/>
    <n v="198"/>
    <s v="스테이포에버"/>
    <n v="201210"/>
    <m/>
    <n v="7524000"/>
  </r>
  <r>
    <x v="222"/>
    <x v="4"/>
    <m/>
    <x v="1"/>
    <x v="0"/>
    <x v="92"/>
    <n v="36"/>
    <s v="스테이포에버 2set"/>
    <n v="201210"/>
    <m/>
    <n v="2116800"/>
  </r>
  <r>
    <x v="222"/>
    <x v="4"/>
    <m/>
    <x v="1"/>
    <x v="0"/>
    <x v="79"/>
    <n v="45"/>
    <s v="스테이포에버 2set"/>
    <n v="201210"/>
    <m/>
    <n v="2646000"/>
  </r>
  <r>
    <x v="222"/>
    <x v="4"/>
    <m/>
    <x v="1"/>
    <x v="0"/>
    <x v="93"/>
    <n v="6"/>
    <s v="이그나이트 + 스테이포에버"/>
    <n v="201210"/>
    <m/>
    <n v="352800"/>
  </r>
  <r>
    <x v="222"/>
    <x v="4"/>
    <m/>
    <x v="1"/>
    <x v="0"/>
    <x v="80"/>
    <n v="13"/>
    <s v="이그나이트 + 스테이포에버"/>
    <n v="201210"/>
    <m/>
    <n v="0"/>
  </r>
  <r>
    <x v="222"/>
    <x v="4"/>
    <m/>
    <x v="1"/>
    <x v="0"/>
    <x v="81"/>
    <n v="7"/>
    <s v="쇼핑백"/>
    <n v="201210"/>
    <m/>
    <n v="14000"/>
  </r>
  <r>
    <x v="222"/>
    <x v="4"/>
    <m/>
    <x v="1"/>
    <x v="0"/>
    <x v="98"/>
    <n v="70"/>
    <s v="스테이포에버"/>
    <n v="201210"/>
    <m/>
    <n v="2380000"/>
  </r>
  <r>
    <x v="222"/>
    <x v="4"/>
    <m/>
    <x v="1"/>
    <x v="0"/>
    <x v="99"/>
    <n v="21"/>
    <s v="스테이포에버"/>
    <n v="201210"/>
    <m/>
    <n v="714000"/>
  </r>
  <r>
    <x v="222"/>
    <x v="4"/>
    <m/>
    <x v="1"/>
    <x v="0"/>
    <x v="100"/>
    <n v="24"/>
    <s v="스테이포에버 2set"/>
    <n v="201210"/>
    <m/>
    <n v="1411200"/>
  </r>
  <r>
    <x v="222"/>
    <x v="4"/>
    <m/>
    <x v="1"/>
    <x v="0"/>
    <x v="101"/>
    <n v="1"/>
    <s v="스테이포에버"/>
    <n v="201210"/>
    <m/>
    <n v="34000"/>
  </r>
  <r>
    <x v="222"/>
    <x v="4"/>
    <m/>
    <x v="1"/>
    <x v="0"/>
    <x v="102"/>
    <n v="1"/>
    <s v="이그나이트 + 스테이포에버"/>
    <n v="201210"/>
    <m/>
    <n v="58800"/>
  </r>
  <r>
    <x v="222"/>
    <x v="4"/>
    <m/>
    <x v="1"/>
    <x v="0"/>
    <x v="103"/>
    <n v="4"/>
    <s v="쇼핑백"/>
    <n v="201210"/>
    <m/>
    <n v="8000"/>
  </r>
  <r>
    <x v="222"/>
    <x v="4"/>
    <m/>
    <x v="1"/>
    <x v="0"/>
    <x v="15"/>
    <n v="5"/>
    <s v="이그나이트"/>
    <n v="201210"/>
    <m/>
    <n v="190000"/>
  </r>
  <r>
    <x v="222"/>
    <x v="4"/>
    <m/>
    <x v="1"/>
    <x v="0"/>
    <x v="39"/>
    <n v="1"/>
    <s v="이그나이트 2set"/>
    <n v="201210"/>
    <m/>
    <n v="58800"/>
  </r>
  <r>
    <x v="222"/>
    <x v="4"/>
    <m/>
    <x v="0"/>
    <x v="0"/>
    <x v="82"/>
    <n v="1"/>
    <s v="쇼핑백"/>
    <n v="201210"/>
    <m/>
    <n v="2000"/>
  </r>
  <r>
    <x v="223"/>
    <x v="1"/>
    <m/>
    <x v="0"/>
    <x v="0"/>
    <x v="83"/>
    <n v="1"/>
    <s v="쇼핑백"/>
    <n v="210101"/>
    <m/>
    <e v="#N/A"/>
  </r>
  <r>
    <x v="223"/>
    <x v="1"/>
    <m/>
    <x v="1"/>
    <x v="0"/>
    <x v="104"/>
    <n v="2"/>
    <s v="이그나이트"/>
    <n v="210101"/>
    <m/>
    <e v="#N/A"/>
  </r>
  <r>
    <x v="223"/>
    <x v="1"/>
    <m/>
    <x v="1"/>
    <x v="0"/>
    <x v="96"/>
    <n v="24"/>
    <s v="스테이포에버"/>
    <n v="210101"/>
    <m/>
    <e v="#N/A"/>
  </r>
  <r>
    <x v="223"/>
    <x v="1"/>
    <m/>
    <x v="1"/>
    <x v="0"/>
    <x v="105"/>
    <n v="3"/>
    <s v="스테이포에버"/>
    <n v="210101"/>
    <m/>
    <e v="#N/A"/>
  </r>
  <r>
    <x v="223"/>
    <x v="1"/>
    <m/>
    <x v="1"/>
    <x v="0"/>
    <x v="97"/>
    <n v="2"/>
    <s v="스테이포에버 2set"/>
    <n v="210101"/>
    <m/>
    <e v="#N/A"/>
  </r>
  <r>
    <x v="223"/>
    <x v="1"/>
    <m/>
    <x v="1"/>
    <x v="0"/>
    <x v="106"/>
    <n v="6"/>
    <s v="이그나이트 + 스테이포에버"/>
    <n v="210101"/>
    <m/>
    <e v="#N/A"/>
  </r>
  <r>
    <x v="223"/>
    <x v="1"/>
    <m/>
    <x v="1"/>
    <x v="0"/>
    <x v="107"/>
    <n v="7"/>
    <s v="이그나이트 + 스테이포에버"/>
    <n v="210101"/>
    <m/>
    <e v="#N/A"/>
  </r>
  <r>
    <x v="223"/>
    <x v="1"/>
    <m/>
    <x v="1"/>
    <x v="0"/>
    <x v="69"/>
    <n v="2"/>
    <s v="스테이포에버"/>
    <n v="210101"/>
    <m/>
    <e v="#N/A"/>
  </r>
  <r>
    <x v="223"/>
    <x v="1"/>
    <m/>
    <x v="1"/>
    <x v="0"/>
    <x v="98"/>
    <n v="512"/>
    <s v="스테이포에버"/>
    <n v="210101"/>
    <m/>
    <e v="#N/A"/>
  </r>
  <r>
    <x v="223"/>
    <x v="1"/>
    <m/>
    <x v="1"/>
    <x v="0"/>
    <x v="99"/>
    <n v="105"/>
    <s v="스테이포에버"/>
    <n v="210101"/>
    <m/>
    <e v="#N/A"/>
  </r>
  <r>
    <x v="223"/>
    <x v="1"/>
    <m/>
    <x v="1"/>
    <x v="0"/>
    <x v="100"/>
    <n v="152"/>
    <s v="스테이포에버 2set"/>
    <n v="210101"/>
    <m/>
    <e v="#N/A"/>
  </r>
  <r>
    <x v="223"/>
    <x v="1"/>
    <m/>
    <x v="1"/>
    <x v="0"/>
    <x v="101"/>
    <n v="16"/>
    <s v="스테이포에버"/>
    <n v="210101"/>
    <m/>
    <e v="#N/A"/>
  </r>
  <r>
    <x v="223"/>
    <x v="1"/>
    <m/>
    <x v="1"/>
    <x v="0"/>
    <x v="102"/>
    <n v="15"/>
    <s v="이그나이트 + 스테이포에버"/>
    <n v="210101"/>
    <m/>
    <e v="#N/A"/>
  </r>
  <r>
    <x v="223"/>
    <x v="1"/>
    <m/>
    <x v="1"/>
    <x v="0"/>
    <x v="103"/>
    <n v="17"/>
    <s v="쇼핑백"/>
    <n v="210101"/>
    <m/>
    <e v="#N/A"/>
  </r>
  <r>
    <x v="223"/>
    <x v="1"/>
    <m/>
    <x v="1"/>
    <x v="0"/>
    <x v="15"/>
    <n v="6"/>
    <s v="이그나이트"/>
    <n v="210101"/>
    <m/>
    <e v="#N/A"/>
  </r>
  <r>
    <x v="223"/>
    <x v="1"/>
    <m/>
    <x v="1"/>
    <x v="0"/>
    <x v="39"/>
    <n v="5"/>
    <s v="이그나이트 2set"/>
    <n v="210101"/>
    <m/>
    <e v="#N/A"/>
  </r>
  <r>
    <x v="224"/>
    <x v="2"/>
    <m/>
    <x v="1"/>
    <x v="0"/>
    <x v="104"/>
    <n v="2"/>
    <s v="이그나이트"/>
    <n v="210101"/>
    <m/>
    <e v="#N/A"/>
  </r>
  <r>
    <x v="224"/>
    <x v="2"/>
    <m/>
    <x v="1"/>
    <x v="0"/>
    <x v="96"/>
    <n v="18"/>
    <s v="스테이포에버"/>
    <n v="210101"/>
    <m/>
    <e v="#N/A"/>
  </r>
  <r>
    <x v="224"/>
    <x v="2"/>
    <m/>
    <x v="1"/>
    <x v="0"/>
    <x v="105"/>
    <n v="2"/>
    <s v="스테이포에버"/>
    <n v="210101"/>
    <m/>
    <e v="#N/A"/>
  </r>
  <r>
    <x v="224"/>
    <x v="2"/>
    <m/>
    <x v="1"/>
    <x v="0"/>
    <x v="97"/>
    <n v="4"/>
    <s v="스테이포에버 2set"/>
    <n v="210101"/>
    <m/>
    <e v="#N/A"/>
  </r>
  <r>
    <x v="224"/>
    <x v="2"/>
    <m/>
    <x v="1"/>
    <x v="0"/>
    <x v="106"/>
    <n v="5"/>
    <s v="이그나이트 + 스테이포에버"/>
    <n v="210101"/>
    <m/>
    <e v="#N/A"/>
  </r>
  <r>
    <x v="224"/>
    <x v="2"/>
    <m/>
    <x v="1"/>
    <x v="0"/>
    <x v="107"/>
    <n v="7"/>
    <s v="이그나이트 + 스테이포에버"/>
    <n v="210101"/>
    <m/>
    <e v="#N/A"/>
  </r>
  <r>
    <x v="224"/>
    <x v="2"/>
    <m/>
    <x v="1"/>
    <x v="0"/>
    <x v="106"/>
    <n v="2"/>
    <s v="이그나이트 + 스테이포에버"/>
    <n v="210101"/>
    <m/>
    <e v="#N/A"/>
  </r>
  <r>
    <x v="224"/>
    <x v="2"/>
    <m/>
    <x v="1"/>
    <x v="0"/>
    <x v="108"/>
    <n v="1"/>
    <s v="이그나이트 + 스테이포에버"/>
    <n v="210101"/>
    <m/>
    <e v="#N/A"/>
  </r>
  <r>
    <x v="224"/>
    <x v="2"/>
    <m/>
    <x v="1"/>
    <x v="0"/>
    <x v="92"/>
    <n v="1"/>
    <s v="스테이포에버 2set"/>
    <n v="210101"/>
    <m/>
    <e v="#N/A"/>
  </r>
  <r>
    <x v="224"/>
    <x v="2"/>
    <m/>
    <x v="1"/>
    <x v="0"/>
    <x v="98"/>
    <n v="426"/>
    <s v="스테이포에버"/>
    <n v="210101"/>
    <m/>
    <e v="#N/A"/>
  </r>
  <r>
    <x v="224"/>
    <x v="2"/>
    <m/>
    <x v="1"/>
    <x v="0"/>
    <x v="99"/>
    <n v="78"/>
    <s v="스테이포에버"/>
    <n v="210101"/>
    <m/>
    <e v="#N/A"/>
  </r>
  <r>
    <x v="224"/>
    <x v="2"/>
    <m/>
    <x v="1"/>
    <x v="0"/>
    <x v="100"/>
    <n v="137"/>
    <s v="스테이포에버 2set"/>
    <n v="210101"/>
    <m/>
    <e v="#N/A"/>
  </r>
  <r>
    <x v="224"/>
    <x v="2"/>
    <m/>
    <x v="1"/>
    <x v="0"/>
    <x v="101"/>
    <n v="11"/>
    <s v="스테이포에버"/>
    <n v="210101"/>
    <m/>
    <e v="#N/A"/>
  </r>
  <r>
    <x v="224"/>
    <x v="2"/>
    <m/>
    <x v="1"/>
    <x v="0"/>
    <x v="102"/>
    <n v="19"/>
    <s v="이그나이트 + 스테이포에버"/>
    <n v="210101"/>
    <m/>
    <e v="#N/A"/>
  </r>
  <r>
    <x v="224"/>
    <x v="2"/>
    <m/>
    <x v="1"/>
    <x v="0"/>
    <x v="103"/>
    <n v="17"/>
    <s v="쇼핑백"/>
    <n v="210101"/>
    <m/>
    <e v="#N/A"/>
  </r>
  <r>
    <x v="224"/>
    <x v="2"/>
    <m/>
    <x v="1"/>
    <x v="0"/>
    <x v="15"/>
    <n v="9"/>
    <s v="이그나이트"/>
    <n v="210101"/>
    <m/>
    <e v="#N/A"/>
  </r>
  <r>
    <x v="224"/>
    <x v="2"/>
    <m/>
    <x v="1"/>
    <x v="0"/>
    <x v="39"/>
    <n v="1"/>
    <s v="이그나이트 2set"/>
    <n v="210101"/>
    <m/>
    <e v="#N/A"/>
  </r>
  <r>
    <x v="225"/>
    <x v="5"/>
    <m/>
    <x v="1"/>
    <x v="0"/>
    <x v="104"/>
    <n v="1"/>
    <s v="이그나이트"/>
    <n v="210101"/>
    <m/>
    <e v="#N/A"/>
  </r>
  <r>
    <x v="225"/>
    <x v="5"/>
    <m/>
    <x v="1"/>
    <x v="0"/>
    <x v="96"/>
    <n v="18"/>
    <s v="스테이포에버"/>
    <n v="210101"/>
    <m/>
    <e v="#N/A"/>
  </r>
  <r>
    <x v="225"/>
    <x v="5"/>
    <m/>
    <x v="1"/>
    <x v="0"/>
    <x v="105"/>
    <n v="7"/>
    <s v="스테이포에버"/>
    <n v="210101"/>
    <m/>
    <e v="#N/A"/>
  </r>
  <r>
    <x v="225"/>
    <x v="5"/>
    <m/>
    <x v="1"/>
    <x v="0"/>
    <x v="106"/>
    <n v="7"/>
    <s v="이그나이트 + 스테이포에버"/>
    <n v="210101"/>
    <m/>
    <e v="#N/A"/>
  </r>
  <r>
    <x v="225"/>
    <x v="5"/>
    <m/>
    <x v="1"/>
    <x v="0"/>
    <x v="107"/>
    <n v="5"/>
    <s v="이그나이트 + 스테이포에버"/>
    <n v="210101"/>
    <m/>
    <e v="#N/A"/>
  </r>
  <r>
    <x v="225"/>
    <x v="5"/>
    <m/>
    <x v="1"/>
    <x v="0"/>
    <x v="106"/>
    <n v="1"/>
    <s v="이그나이트 + 스테이포에버"/>
    <n v="210101"/>
    <m/>
    <e v="#N/A"/>
  </r>
  <r>
    <x v="225"/>
    <x v="5"/>
    <m/>
    <x v="1"/>
    <x v="0"/>
    <x v="108"/>
    <n v="1"/>
    <s v="이그나이트 + 스테이포에버"/>
    <n v="210101"/>
    <m/>
    <e v="#N/A"/>
  </r>
  <r>
    <x v="225"/>
    <x v="5"/>
    <m/>
    <x v="1"/>
    <x v="0"/>
    <x v="69"/>
    <n v="1"/>
    <s v="스테이포에버"/>
    <n v="210101"/>
    <m/>
    <e v="#N/A"/>
  </r>
  <r>
    <x v="225"/>
    <x v="5"/>
    <m/>
    <x v="1"/>
    <x v="0"/>
    <x v="79"/>
    <n v="1"/>
    <s v="스테이포에버 2set"/>
    <n v="210101"/>
    <m/>
    <e v="#N/A"/>
  </r>
  <r>
    <x v="225"/>
    <x v="5"/>
    <m/>
    <x v="1"/>
    <x v="0"/>
    <x v="98"/>
    <n v="404"/>
    <s v="스테이포에버"/>
    <n v="210101"/>
    <m/>
    <e v="#N/A"/>
  </r>
  <r>
    <x v="225"/>
    <x v="5"/>
    <m/>
    <x v="1"/>
    <x v="0"/>
    <x v="99"/>
    <n v="81"/>
    <s v="스테이포에버"/>
    <n v="210101"/>
    <m/>
    <e v="#N/A"/>
  </r>
  <r>
    <x v="225"/>
    <x v="5"/>
    <m/>
    <x v="1"/>
    <x v="0"/>
    <x v="100"/>
    <n v="129"/>
    <s v="스테이포에버 2set"/>
    <n v="210101"/>
    <m/>
    <e v="#N/A"/>
  </r>
  <r>
    <x v="225"/>
    <x v="5"/>
    <m/>
    <x v="1"/>
    <x v="0"/>
    <x v="101"/>
    <n v="7"/>
    <s v="스테이포에버"/>
    <n v="210101"/>
    <m/>
    <e v="#N/A"/>
  </r>
  <r>
    <x v="225"/>
    <x v="5"/>
    <m/>
    <x v="1"/>
    <x v="0"/>
    <x v="102"/>
    <n v="17"/>
    <s v="이그나이트 + 스테이포에버"/>
    <n v="210101"/>
    <m/>
    <e v="#N/A"/>
  </r>
  <r>
    <x v="225"/>
    <x v="5"/>
    <m/>
    <x v="1"/>
    <x v="0"/>
    <x v="103"/>
    <n v="21"/>
    <s v="쇼핑백"/>
    <n v="210101"/>
    <m/>
    <e v="#N/A"/>
  </r>
  <r>
    <x v="225"/>
    <x v="5"/>
    <m/>
    <x v="1"/>
    <x v="0"/>
    <x v="15"/>
    <n v="1"/>
    <s v="이그나이트"/>
    <n v="210101"/>
    <m/>
    <e v="#N/A"/>
  </r>
  <r>
    <x v="225"/>
    <x v="5"/>
    <m/>
    <x v="0"/>
    <x v="0"/>
    <x v="82"/>
    <n v="1"/>
    <s v="쇼핑백"/>
    <n v="210101"/>
    <m/>
    <e v="#N/A"/>
  </r>
  <r>
    <x v="226"/>
    <x v="6"/>
    <m/>
    <x v="1"/>
    <x v="0"/>
    <x v="104"/>
    <n v="1"/>
    <s v="이그나이트"/>
    <n v="210101"/>
    <m/>
    <e v="#N/A"/>
  </r>
  <r>
    <x v="226"/>
    <x v="6"/>
    <m/>
    <x v="1"/>
    <x v="0"/>
    <x v="109"/>
    <n v="1"/>
    <s v="이그나이트"/>
    <n v="210101"/>
    <m/>
    <e v="#N/A"/>
  </r>
  <r>
    <x v="226"/>
    <x v="6"/>
    <m/>
    <x v="1"/>
    <x v="0"/>
    <x v="96"/>
    <n v="10"/>
    <s v="스테이포에버"/>
    <n v="210101"/>
    <m/>
    <e v="#N/A"/>
  </r>
  <r>
    <x v="226"/>
    <x v="6"/>
    <m/>
    <x v="1"/>
    <x v="0"/>
    <x v="105"/>
    <n v="4"/>
    <s v="스테이포에버"/>
    <n v="210101"/>
    <m/>
    <e v="#N/A"/>
  </r>
  <r>
    <x v="226"/>
    <x v="6"/>
    <m/>
    <x v="1"/>
    <x v="0"/>
    <x v="97"/>
    <n v="4"/>
    <s v="스테이포에버 2set"/>
    <n v="210101"/>
    <m/>
    <e v="#N/A"/>
  </r>
  <r>
    <x v="226"/>
    <x v="6"/>
    <m/>
    <x v="1"/>
    <x v="0"/>
    <x v="106"/>
    <n v="7"/>
    <s v="이그나이트 + 스테이포에버"/>
    <n v="210101"/>
    <m/>
    <e v="#N/A"/>
  </r>
  <r>
    <x v="226"/>
    <x v="6"/>
    <m/>
    <x v="1"/>
    <x v="0"/>
    <x v="107"/>
    <n v="4"/>
    <s v="이그나이트 + 스테이포에버"/>
    <n v="210101"/>
    <m/>
    <e v="#N/A"/>
  </r>
  <r>
    <x v="226"/>
    <x v="6"/>
    <m/>
    <x v="1"/>
    <x v="0"/>
    <x v="106"/>
    <n v="1"/>
    <s v="이그나이트 + 스테이포에버"/>
    <n v="210101"/>
    <m/>
    <e v="#N/A"/>
  </r>
  <r>
    <x v="226"/>
    <x v="6"/>
    <m/>
    <x v="1"/>
    <x v="0"/>
    <x v="76"/>
    <n v="1"/>
    <s v="스테이포에버"/>
    <n v="210101"/>
    <m/>
    <e v="#N/A"/>
  </r>
  <r>
    <x v="226"/>
    <x v="6"/>
    <m/>
    <x v="1"/>
    <x v="0"/>
    <x v="69"/>
    <n v="1"/>
    <s v="스테이포에버"/>
    <n v="210101"/>
    <m/>
    <e v="#N/A"/>
  </r>
  <r>
    <x v="226"/>
    <x v="6"/>
    <m/>
    <x v="1"/>
    <x v="0"/>
    <x v="92"/>
    <n v="1"/>
    <s v="스테이포에버 2set"/>
    <n v="210101"/>
    <m/>
    <e v="#N/A"/>
  </r>
  <r>
    <x v="226"/>
    <x v="6"/>
    <m/>
    <x v="1"/>
    <x v="0"/>
    <x v="98"/>
    <n v="410"/>
    <s v="스테이포에버"/>
    <n v="210101"/>
    <m/>
    <e v="#N/A"/>
  </r>
  <r>
    <x v="226"/>
    <x v="6"/>
    <m/>
    <x v="1"/>
    <x v="0"/>
    <x v="99"/>
    <n v="75"/>
    <s v="스테이포에버"/>
    <n v="210101"/>
    <m/>
    <e v="#N/A"/>
  </r>
  <r>
    <x v="226"/>
    <x v="6"/>
    <m/>
    <x v="1"/>
    <x v="0"/>
    <x v="100"/>
    <n v="119"/>
    <s v="스테이포에버 2set"/>
    <n v="210101"/>
    <m/>
    <e v="#N/A"/>
  </r>
  <r>
    <x v="226"/>
    <x v="6"/>
    <m/>
    <x v="1"/>
    <x v="0"/>
    <x v="101"/>
    <n v="15"/>
    <s v="스테이포에버"/>
    <n v="210101"/>
    <m/>
    <e v="#N/A"/>
  </r>
  <r>
    <x v="226"/>
    <x v="6"/>
    <m/>
    <x v="1"/>
    <x v="0"/>
    <x v="102"/>
    <n v="12"/>
    <s v="이그나이트 + 스테이포에버"/>
    <n v="210101"/>
    <m/>
    <e v="#N/A"/>
  </r>
  <r>
    <x v="226"/>
    <x v="6"/>
    <m/>
    <x v="1"/>
    <x v="0"/>
    <x v="103"/>
    <n v="16"/>
    <s v="쇼핑백"/>
    <n v="210101"/>
    <m/>
    <e v="#N/A"/>
  </r>
  <r>
    <x v="226"/>
    <x v="6"/>
    <m/>
    <x v="1"/>
    <x v="0"/>
    <x v="15"/>
    <n v="7"/>
    <s v="이그나이트"/>
    <n v="210101"/>
    <m/>
    <e v="#N/A"/>
  </r>
  <r>
    <x v="227"/>
    <x v="0"/>
    <m/>
    <x v="1"/>
    <x v="0"/>
    <x v="104"/>
    <n v="1"/>
    <s v="이그나이트"/>
    <n v="210101"/>
    <m/>
    <e v="#N/A"/>
  </r>
  <r>
    <x v="227"/>
    <x v="0"/>
    <m/>
    <x v="1"/>
    <x v="0"/>
    <x v="96"/>
    <n v="12"/>
    <s v="스테이포에버"/>
    <n v="210101"/>
    <m/>
    <e v="#N/A"/>
  </r>
  <r>
    <x v="227"/>
    <x v="0"/>
    <m/>
    <x v="1"/>
    <x v="0"/>
    <x v="105"/>
    <n v="6"/>
    <s v="스테이포에버"/>
    <n v="210101"/>
    <m/>
    <e v="#N/A"/>
  </r>
  <r>
    <x v="227"/>
    <x v="0"/>
    <m/>
    <x v="1"/>
    <x v="0"/>
    <x v="97"/>
    <n v="4"/>
    <s v="스테이포에버 2set"/>
    <n v="210101"/>
    <m/>
    <e v="#N/A"/>
  </r>
  <r>
    <x v="227"/>
    <x v="0"/>
    <m/>
    <x v="1"/>
    <x v="0"/>
    <x v="106"/>
    <n v="4"/>
    <s v="이그나이트 + 스테이포에버"/>
    <n v="210101"/>
    <m/>
    <e v="#N/A"/>
  </r>
  <r>
    <x v="227"/>
    <x v="0"/>
    <m/>
    <x v="1"/>
    <x v="0"/>
    <x v="107"/>
    <n v="4"/>
    <s v="이그나이트 + 스테이포에버"/>
    <n v="210101"/>
    <m/>
    <e v="#N/A"/>
  </r>
  <r>
    <x v="227"/>
    <x v="0"/>
    <m/>
    <x v="1"/>
    <x v="0"/>
    <x v="106"/>
    <n v="1"/>
    <s v="이그나이트 + 스테이포에버"/>
    <n v="210101"/>
    <m/>
    <e v="#N/A"/>
  </r>
  <r>
    <x v="227"/>
    <x v="0"/>
    <m/>
    <x v="1"/>
    <x v="0"/>
    <x v="76"/>
    <n v="1"/>
    <s v="스테이포에버"/>
    <n v="210101"/>
    <m/>
    <e v="#N/A"/>
  </r>
  <r>
    <x v="227"/>
    <x v="0"/>
    <m/>
    <x v="1"/>
    <x v="0"/>
    <x v="77"/>
    <n v="1"/>
    <s v="스테이포에버 2set"/>
    <n v="210101"/>
    <m/>
    <e v="#N/A"/>
  </r>
  <r>
    <x v="227"/>
    <x v="0"/>
    <m/>
    <x v="1"/>
    <x v="0"/>
    <x v="69"/>
    <n v="1"/>
    <s v="스테이포에버"/>
    <n v="210101"/>
    <m/>
    <e v="#N/A"/>
  </r>
  <r>
    <x v="227"/>
    <x v="0"/>
    <m/>
    <x v="1"/>
    <x v="0"/>
    <x v="92"/>
    <n v="2"/>
    <s v="스테이포에버 2set"/>
    <n v="210101"/>
    <m/>
    <e v="#N/A"/>
  </r>
  <r>
    <x v="227"/>
    <x v="0"/>
    <m/>
    <x v="1"/>
    <x v="0"/>
    <x v="98"/>
    <n v="419"/>
    <s v="스테이포에버"/>
    <n v="210101"/>
    <m/>
    <e v="#N/A"/>
  </r>
  <r>
    <x v="227"/>
    <x v="0"/>
    <m/>
    <x v="1"/>
    <x v="0"/>
    <x v="99"/>
    <n v="77"/>
    <s v="스테이포에버"/>
    <n v="210101"/>
    <m/>
    <e v="#N/A"/>
  </r>
  <r>
    <x v="227"/>
    <x v="0"/>
    <m/>
    <x v="1"/>
    <x v="0"/>
    <x v="100"/>
    <n v="122"/>
    <s v="스테이포에버 2set"/>
    <n v="210101"/>
    <m/>
    <e v="#N/A"/>
  </r>
  <r>
    <x v="227"/>
    <x v="0"/>
    <m/>
    <x v="1"/>
    <x v="0"/>
    <x v="101"/>
    <n v="9"/>
    <s v="스테이포에버"/>
    <n v="210101"/>
    <m/>
    <e v="#N/A"/>
  </r>
  <r>
    <x v="227"/>
    <x v="0"/>
    <m/>
    <x v="1"/>
    <x v="0"/>
    <x v="102"/>
    <n v="17"/>
    <s v="이그나이트 + 스테이포에버"/>
    <n v="210101"/>
    <m/>
    <e v="#N/A"/>
  </r>
  <r>
    <x v="227"/>
    <x v="0"/>
    <m/>
    <x v="1"/>
    <x v="0"/>
    <x v="103"/>
    <n v="8"/>
    <s v="쇼핑백"/>
    <n v="210101"/>
    <m/>
    <e v="#N/A"/>
  </r>
  <r>
    <x v="227"/>
    <x v="0"/>
    <m/>
    <x v="1"/>
    <x v="0"/>
    <x v="15"/>
    <n v="2"/>
    <s v="이그나이트"/>
    <n v="210101"/>
    <m/>
    <e v="#N/A"/>
  </r>
  <r>
    <x v="227"/>
    <x v="0"/>
    <m/>
    <x v="1"/>
    <x v="0"/>
    <x v="39"/>
    <n v="2"/>
    <s v="이그나이트 2set"/>
    <n v="210101"/>
    <m/>
    <e v="#N/A"/>
  </r>
  <r>
    <x v="227"/>
    <x v="0"/>
    <m/>
    <x v="0"/>
    <x v="0"/>
    <x v="82"/>
    <n v="1"/>
    <s v="쇼핑백"/>
    <n v="210101"/>
    <m/>
    <e v="#N/A"/>
  </r>
  <r>
    <x v="228"/>
    <x v="3"/>
    <m/>
    <x v="1"/>
    <x v="0"/>
    <x v="41"/>
    <n v="3"/>
    <s v="스테이포에버"/>
    <n v="210101"/>
    <m/>
    <e v="#N/A"/>
  </r>
  <r>
    <x v="228"/>
    <x v="3"/>
    <m/>
    <x v="1"/>
    <x v="0"/>
    <x v="104"/>
    <n v="2"/>
    <s v="이그나이트"/>
    <n v="210101"/>
    <m/>
    <e v="#N/A"/>
  </r>
  <r>
    <x v="228"/>
    <x v="3"/>
    <m/>
    <x v="1"/>
    <x v="0"/>
    <x v="96"/>
    <n v="12"/>
    <s v="스테이포에버"/>
    <n v="210101"/>
    <m/>
    <e v="#N/A"/>
  </r>
  <r>
    <x v="228"/>
    <x v="3"/>
    <m/>
    <x v="1"/>
    <x v="0"/>
    <x v="105"/>
    <n v="6"/>
    <s v="스테이포에버"/>
    <n v="210101"/>
    <m/>
    <e v="#N/A"/>
  </r>
  <r>
    <x v="228"/>
    <x v="3"/>
    <m/>
    <x v="1"/>
    <x v="0"/>
    <x v="97"/>
    <n v="2"/>
    <s v="스테이포에버 2set"/>
    <n v="210101"/>
    <m/>
    <e v="#N/A"/>
  </r>
  <r>
    <x v="228"/>
    <x v="3"/>
    <m/>
    <x v="1"/>
    <x v="0"/>
    <x v="106"/>
    <n v="4"/>
    <s v="이그나이트 + 스테이포에버"/>
    <n v="210101"/>
    <m/>
    <e v="#N/A"/>
  </r>
  <r>
    <x v="228"/>
    <x v="3"/>
    <m/>
    <x v="1"/>
    <x v="0"/>
    <x v="107"/>
    <n v="7"/>
    <s v="이그나이트 + 스테이포에버"/>
    <n v="210101"/>
    <m/>
    <e v="#N/A"/>
  </r>
  <r>
    <x v="228"/>
    <x v="3"/>
    <m/>
    <x v="1"/>
    <x v="0"/>
    <x v="98"/>
    <n v="355"/>
    <s v="스테이포에버"/>
    <n v="210101"/>
    <m/>
    <e v="#N/A"/>
  </r>
  <r>
    <x v="228"/>
    <x v="3"/>
    <m/>
    <x v="1"/>
    <x v="0"/>
    <x v="99"/>
    <n v="70"/>
    <s v="스테이포에버"/>
    <n v="210101"/>
    <m/>
    <e v="#N/A"/>
  </r>
  <r>
    <x v="228"/>
    <x v="3"/>
    <m/>
    <x v="1"/>
    <x v="0"/>
    <x v="100"/>
    <n v="116"/>
    <s v="스테이포에버 2set"/>
    <n v="210101"/>
    <m/>
    <e v="#N/A"/>
  </r>
  <r>
    <x v="228"/>
    <x v="3"/>
    <m/>
    <x v="1"/>
    <x v="0"/>
    <x v="101"/>
    <n v="13"/>
    <s v="스테이포에버"/>
    <n v="210101"/>
    <m/>
    <e v="#N/A"/>
  </r>
  <r>
    <x v="228"/>
    <x v="3"/>
    <m/>
    <x v="1"/>
    <x v="0"/>
    <x v="102"/>
    <n v="18"/>
    <s v="이그나이트 + 스테이포에버"/>
    <n v="210101"/>
    <m/>
    <e v="#N/A"/>
  </r>
  <r>
    <x v="228"/>
    <x v="3"/>
    <m/>
    <x v="1"/>
    <x v="0"/>
    <x v="103"/>
    <n v="15"/>
    <s v="쇼핑백"/>
    <n v="210101"/>
    <m/>
    <e v="#N/A"/>
  </r>
  <r>
    <x v="228"/>
    <x v="3"/>
    <m/>
    <x v="1"/>
    <x v="0"/>
    <x v="15"/>
    <n v="6"/>
    <s v="이그나이트"/>
    <n v="210101"/>
    <m/>
    <e v="#N/A"/>
  </r>
  <r>
    <x v="228"/>
    <x v="3"/>
    <m/>
    <x v="1"/>
    <x v="0"/>
    <x v="39"/>
    <n v="1"/>
    <s v="이그나이트 2set"/>
    <n v="210101"/>
    <m/>
    <e v="#N/A"/>
  </r>
  <r>
    <x v="228"/>
    <x v="3"/>
    <m/>
    <x v="0"/>
    <x v="0"/>
    <x v="82"/>
    <n v="1"/>
    <s v="쇼핑백"/>
    <n v="210101"/>
    <m/>
    <e v="#N/A"/>
  </r>
  <r>
    <x v="229"/>
    <x v="4"/>
    <m/>
    <x v="1"/>
    <x v="2"/>
    <x v="41"/>
    <n v="2"/>
    <s v="스테이포에버"/>
    <n v="210101"/>
    <m/>
    <e v="#N/A"/>
  </r>
  <r>
    <x v="229"/>
    <x v="4"/>
    <m/>
    <x v="1"/>
    <x v="0"/>
    <x v="109"/>
    <n v="1"/>
    <s v="이그나이트"/>
    <n v="210101"/>
    <m/>
    <e v="#N/A"/>
  </r>
  <r>
    <x v="229"/>
    <x v="4"/>
    <m/>
    <x v="1"/>
    <x v="0"/>
    <x v="96"/>
    <n v="10"/>
    <s v="스테이포에버"/>
    <n v="210101"/>
    <m/>
    <e v="#N/A"/>
  </r>
  <r>
    <x v="229"/>
    <x v="4"/>
    <m/>
    <x v="1"/>
    <x v="0"/>
    <x v="105"/>
    <n v="4"/>
    <s v="스테이포에버"/>
    <n v="210101"/>
    <m/>
    <e v="#N/A"/>
  </r>
  <r>
    <x v="229"/>
    <x v="4"/>
    <m/>
    <x v="1"/>
    <x v="0"/>
    <x v="97"/>
    <n v="1"/>
    <s v="스테이포에버 2set"/>
    <n v="210101"/>
    <m/>
    <e v="#N/A"/>
  </r>
  <r>
    <x v="229"/>
    <x v="4"/>
    <m/>
    <x v="1"/>
    <x v="0"/>
    <x v="106"/>
    <n v="3"/>
    <s v="이그나이트 + 스테이포에버"/>
    <n v="210101"/>
    <m/>
    <e v="#N/A"/>
  </r>
  <r>
    <x v="229"/>
    <x v="4"/>
    <m/>
    <x v="1"/>
    <x v="0"/>
    <x v="107"/>
    <n v="4"/>
    <s v="이그나이트 + 스테이포에버"/>
    <n v="210101"/>
    <m/>
    <e v="#N/A"/>
  </r>
  <r>
    <x v="229"/>
    <x v="4"/>
    <m/>
    <x v="1"/>
    <x v="0"/>
    <x v="98"/>
    <n v="351"/>
    <s v="스테이포에버"/>
    <n v="210101"/>
    <m/>
    <e v="#N/A"/>
  </r>
  <r>
    <x v="229"/>
    <x v="4"/>
    <m/>
    <x v="1"/>
    <x v="0"/>
    <x v="99"/>
    <n v="82"/>
    <s v="스테이포에버"/>
    <n v="210101"/>
    <m/>
    <e v="#N/A"/>
  </r>
  <r>
    <x v="229"/>
    <x v="4"/>
    <m/>
    <x v="1"/>
    <x v="0"/>
    <x v="100"/>
    <n v="115"/>
    <s v="스테이포에버 2set"/>
    <n v="210101"/>
    <m/>
    <e v="#N/A"/>
  </r>
  <r>
    <x v="229"/>
    <x v="4"/>
    <m/>
    <x v="1"/>
    <x v="0"/>
    <x v="101"/>
    <n v="7"/>
    <s v="스테이포에버"/>
    <n v="210101"/>
    <m/>
    <e v="#N/A"/>
  </r>
  <r>
    <x v="229"/>
    <x v="4"/>
    <m/>
    <x v="1"/>
    <x v="0"/>
    <x v="102"/>
    <n v="17"/>
    <s v="이그나이트 + 스테이포에버"/>
    <n v="210101"/>
    <m/>
    <e v="#N/A"/>
  </r>
  <r>
    <x v="229"/>
    <x v="4"/>
    <m/>
    <x v="1"/>
    <x v="0"/>
    <x v="103"/>
    <n v="9"/>
    <s v="쇼핑백"/>
    <n v="210101"/>
    <m/>
    <e v="#N/A"/>
  </r>
  <r>
    <x v="229"/>
    <x v="4"/>
    <m/>
    <x v="1"/>
    <x v="0"/>
    <x v="15"/>
    <n v="5"/>
    <s v="이그나이트"/>
    <n v="210101"/>
    <m/>
    <e v="#N/A"/>
  </r>
  <r>
    <x v="230"/>
    <x v="1"/>
    <m/>
    <x v="1"/>
    <x v="0"/>
    <x v="104"/>
    <n v="2"/>
    <s v="이그나이트"/>
    <n v="210101"/>
    <m/>
    <e v="#N/A"/>
  </r>
  <r>
    <x v="230"/>
    <x v="1"/>
    <m/>
    <x v="1"/>
    <x v="0"/>
    <x v="96"/>
    <n v="16"/>
    <s v="스테이포에버"/>
    <n v="210101"/>
    <m/>
    <e v="#N/A"/>
  </r>
  <r>
    <x v="230"/>
    <x v="1"/>
    <m/>
    <x v="1"/>
    <x v="0"/>
    <x v="105"/>
    <n v="5"/>
    <s v="스테이포에버"/>
    <n v="210101"/>
    <m/>
    <e v="#N/A"/>
  </r>
  <r>
    <x v="230"/>
    <x v="1"/>
    <m/>
    <x v="1"/>
    <x v="0"/>
    <x v="97"/>
    <n v="4"/>
    <s v="스테이포에버 2set"/>
    <n v="210101"/>
    <m/>
    <e v="#N/A"/>
  </r>
  <r>
    <x v="230"/>
    <x v="1"/>
    <m/>
    <x v="1"/>
    <x v="0"/>
    <x v="106"/>
    <n v="8"/>
    <s v="이그나이트 + 스테이포에버"/>
    <n v="210101"/>
    <m/>
    <e v="#N/A"/>
  </r>
  <r>
    <x v="230"/>
    <x v="1"/>
    <m/>
    <x v="1"/>
    <x v="0"/>
    <x v="107"/>
    <n v="5"/>
    <s v="이그나이트 + 스테이포에버"/>
    <n v="210101"/>
    <m/>
    <e v="#N/A"/>
  </r>
  <r>
    <x v="230"/>
    <x v="1"/>
    <m/>
    <x v="1"/>
    <x v="0"/>
    <x v="98"/>
    <n v="294"/>
    <s v="스테이포에버"/>
    <n v="210101"/>
    <m/>
    <e v="#N/A"/>
  </r>
  <r>
    <x v="230"/>
    <x v="1"/>
    <m/>
    <x v="1"/>
    <x v="0"/>
    <x v="99"/>
    <n v="68"/>
    <s v="스테이포에버"/>
    <n v="210101"/>
    <m/>
    <e v="#N/A"/>
  </r>
  <r>
    <x v="230"/>
    <x v="1"/>
    <m/>
    <x v="1"/>
    <x v="0"/>
    <x v="100"/>
    <n v="92"/>
    <s v="스테이포에버 2set"/>
    <n v="210101"/>
    <m/>
    <e v="#N/A"/>
  </r>
  <r>
    <x v="230"/>
    <x v="1"/>
    <m/>
    <x v="1"/>
    <x v="0"/>
    <x v="101"/>
    <n v="6"/>
    <s v="스테이포에버"/>
    <n v="210101"/>
    <m/>
    <e v="#N/A"/>
  </r>
  <r>
    <x v="230"/>
    <x v="1"/>
    <m/>
    <x v="1"/>
    <x v="0"/>
    <x v="102"/>
    <n v="10"/>
    <s v="이그나이트 + 스테이포에버"/>
    <n v="210101"/>
    <m/>
    <e v="#N/A"/>
  </r>
  <r>
    <x v="230"/>
    <x v="1"/>
    <m/>
    <x v="1"/>
    <x v="0"/>
    <x v="103"/>
    <n v="11"/>
    <s v="쇼핑백"/>
    <n v="210101"/>
    <m/>
    <e v="#N/A"/>
  </r>
  <r>
    <x v="230"/>
    <x v="1"/>
    <m/>
    <x v="1"/>
    <x v="0"/>
    <x v="15"/>
    <n v="6"/>
    <s v="이그나이트"/>
    <n v="210101"/>
    <m/>
    <e v="#N/A"/>
  </r>
  <r>
    <x v="230"/>
    <x v="1"/>
    <m/>
    <x v="1"/>
    <x v="0"/>
    <x v="39"/>
    <n v="1"/>
    <s v="이그나이트 2set"/>
    <n v="210101"/>
    <m/>
    <e v="#N/A"/>
  </r>
  <r>
    <x v="230"/>
    <x v="1"/>
    <m/>
    <x v="0"/>
    <x v="0"/>
    <x v="82"/>
    <n v="1"/>
    <s v="쇼핑백"/>
    <n v="210101"/>
    <m/>
    <e v="#N/A"/>
  </r>
  <r>
    <x v="231"/>
    <x v="2"/>
    <m/>
    <x v="1"/>
    <x v="0"/>
    <x v="104"/>
    <n v="1"/>
    <s v="이그나이트"/>
    <n v="210101"/>
    <m/>
    <e v="#N/A"/>
  </r>
  <r>
    <x v="231"/>
    <x v="2"/>
    <m/>
    <x v="1"/>
    <x v="0"/>
    <x v="96"/>
    <n v="20"/>
    <s v="스테이포에버"/>
    <n v="210101"/>
    <m/>
    <e v="#N/A"/>
  </r>
  <r>
    <x v="231"/>
    <x v="2"/>
    <m/>
    <x v="1"/>
    <x v="0"/>
    <x v="105"/>
    <n v="4"/>
    <s v="스테이포에버"/>
    <n v="210101"/>
    <m/>
    <e v="#N/A"/>
  </r>
  <r>
    <x v="231"/>
    <x v="2"/>
    <m/>
    <x v="1"/>
    <x v="0"/>
    <x v="97"/>
    <n v="3"/>
    <s v="스테이포에버 2set"/>
    <n v="210101"/>
    <m/>
    <e v="#N/A"/>
  </r>
  <r>
    <x v="231"/>
    <x v="2"/>
    <m/>
    <x v="1"/>
    <x v="0"/>
    <x v="106"/>
    <n v="5"/>
    <s v="이그나이트 + 스테이포에버"/>
    <n v="210101"/>
    <m/>
    <e v="#N/A"/>
  </r>
  <r>
    <x v="231"/>
    <x v="2"/>
    <m/>
    <x v="1"/>
    <x v="0"/>
    <x v="107"/>
    <n v="2"/>
    <s v="이그나이트 + 스테이포에버"/>
    <n v="210101"/>
    <m/>
    <e v="#N/A"/>
  </r>
  <r>
    <x v="231"/>
    <x v="2"/>
    <m/>
    <x v="1"/>
    <x v="0"/>
    <x v="98"/>
    <n v="406"/>
    <s v="스테이포에버"/>
    <n v="210101"/>
    <m/>
    <e v="#N/A"/>
  </r>
  <r>
    <x v="231"/>
    <x v="2"/>
    <m/>
    <x v="1"/>
    <x v="0"/>
    <x v="99"/>
    <n v="97"/>
    <s v="스테이포에버"/>
    <n v="210101"/>
    <m/>
    <e v="#N/A"/>
  </r>
  <r>
    <x v="231"/>
    <x v="2"/>
    <m/>
    <x v="1"/>
    <x v="0"/>
    <x v="100"/>
    <n v="129"/>
    <s v="스테이포에버 2set"/>
    <n v="210101"/>
    <m/>
    <e v="#N/A"/>
  </r>
  <r>
    <x v="231"/>
    <x v="2"/>
    <m/>
    <x v="1"/>
    <x v="0"/>
    <x v="101"/>
    <n v="10"/>
    <s v="스테이포에버"/>
    <n v="210101"/>
    <m/>
    <e v="#N/A"/>
  </r>
  <r>
    <x v="231"/>
    <x v="2"/>
    <m/>
    <x v="1"/>
    <x v="0"/>
    <x v="102"/>
    <n v="16"/>
    <s v="이그나이트 + 스테이포에버"/>
    <n v="210101"/>
    <m/>
    <e v="#N/A"/>
  </r>
  <r>
    <x v="231"/>
    <x v="2"/>
    <m/>
    <x v="1"/>
    <x v="0"/>
    <x v="103"/>
    <n v="23"/>
    <s v="쇼핑백"/>
    <n v="210101"/>
    <m/>
    <e v="#N/A"/>
  </r>
  <r>
    <x v="231"/>
    <x v="2"/>
    <m/>
    <x v="1"/>
    <x v="0"/>
    <x v="15"/>
    <n v="4"/>
    <s v="이그나이트"/>
    <n v="210101"/>
    <m/>
    <e v="#N/A"/>
  </r>
  <r>
    <x v="231"/>
    <x v="2"/>
    <m/>
    <x v="1"/>
    <x v="0"/>
    <x v="39"/>
    <n v="2"/>
    <s v="이그나이트 2set"/>
    <n v="210101"/>
    <m/>
    <e v="#N/A"/>
  </r>
  <r>
    <x v="232"/>
    <x v="5"/>
    <m/>
    <x v="0"/>
    <x v="0"/>
    <x v="83"/>
    <n v="2"/>
    <s v="쇼핑백"/>
    <n v="210101"/>
    <m/>
    <e v="#N/A"/>
  </r>
  <r>
    <x v="232"/>
    <x v="5"/>
    <m/>
    <x v="1"/>
    <x v="0"/>
    <x v="104"/>
    <n v="2"/>
    <s v="이그나이트"/>
    <n v="210101"/>
    <m/>
    <e v="#N/A"/>
  </r>
  <r>
    <x v="232"/>
    <x v="5"/>
    <m/>
    <x v="1"/>
    <x v="0"/>
    <x v="96"/>
    <n v="10"/>
    <s v="스테이포에버"/>
    <n v="210101"/>
    <m/>
    <e v="#N/A"/>
  </r>
  <r>
    <x v="232"/>
    <x v="5"/>
    <m/>
    <x v="1"/>
    <x v="0"/>
    <x v="105"/>
    <n v="7"/>
    <s v="스테이포에버"/>
    <n v="210101"/>
    <m/>
    <e v="#N/A"/>
  </r>
  <r>
    <x v="232"/>
    <x v="5"/>
    <m/>
    <x v="1"/>
    <x v="0"/>
    <x v="97"/>
    <n v="5"/>
    <s v="스테이포에버 2set"/>
    <n v="210101"/>
    <m/>
    <e v="#N/A"/>
  </r>
  <r>
    <x v="232"/>
    <x v="5"/>
    <m/>
    <x v="1"/>
    <x v="0"/>
    <x v="106"/>
    <n v="6"/>
    <s v="이그나이트 + 스테이포에버"/>
    <n v="210101"/>
    <m/>
    <e v="#N/A"/>
  </r>
  <r>
    <x v="232"/>
    <x v="5"/>
    <m/>
    <x v="1"/>
    <x v="0"/>
    <x v="107"/>
    <n v="3"/>
    <s v="이그나이트 + 스테이포에버"/>
    <n v="210101"/>
    <m/>
    <e v="#N/A"/>
  </r>
  <r>
    <x v="232"/>
    <x v="5"/>
    <m/>
    <x v="1"/>
    <x v="0"/>
    <x v="106"/>
    <n v="3"/>
    <s v="이그나이트 + 스테이포에버"/>
    <n v="210101"/>
    <m/>
    <e v="#N/A"/>
  </r>
  <r>
    <x v="232"/>
    <x v="5"/>
    <m/>
    <x v="1"/>
    <x v="0"/>
    <x v="108"/>
    <n v="1"/>
    <s v="이그나이트 + 스테이포에버"/>
    <n v="210101"/>
    <m/>
    <e v="#N/A"/>
  </r>
  <r>
    <x v="232"/>
    <x v="5"/>
    <m/>
    <x v="1"/>
    <x v="0"/>
    <x v="98"/>
    <n v="474"/>
    <s v="스테이포에버"/>
    <n v="210101"/>
    <m/>
    <e v="#N/A"/>
  </r>
  <r>
    <x v="232"/>
    <x v="5"/>
    <m/>
    <x v="1"/>
    <x v="0"/>
    <x v="99"/>
    <n v="102"/>
    <s v="스테이포에버"/>
    <n v="210101"/>
    <m/>
    <e v="#N/A"/>
  </r>
  <r>
    <x v="232"/>
    <x v="5"/>
    <m/>
    <x v="1"/>
    <x v="0"/>
    <x v="100"/>
    <n v="133"/>
    <s v="스테이포에버 2set"/>
    <n v="210101"/>
    <m/>
    <e v="#N/A"/>
  </r>
  <r>
    <x v="232"/>
    <x v="5"/>
    <m/>
    <x v="1"/>
    <x v="0"/>
    <x v="101"/>
    <n v="15"/>
    <s v="스테이포에버"/>
    <n v="210101"/>
    <m/>
    <e v="#N/A"/>
  </r>
  <r>
    <x v="232"/>
    <x v="5"/>
    <m/>
    <x v="1"/>
    <x v="0"/>
    <x v="102"/>
    <n v="25"/>
    <s v="이그나이트 + 스테이포에버"/>
    <n v="210101"/>
    <m/>
    <e v="#N/A"/>
  </r>
  <r>
    <x v="232"/>
    <x v="5"/>
    <m/>
    <x v="1"/>
    <x v="0"/>
    <x v="103"/>
    <n v="21"/>
    <s v="쇼핑백"/>
    <n v="210101"/>
    <m/>
    <e v="#N/A"/>
  </r>
  <r>
    <x v="232"/>
    <x v="5"/>
    <m/>
    <x v="1"/>
    <x v="0"/>
    <x v="15"/>
    <n v="3"/>
    <s v="이그나이트"/>
    <n v="210101"/>
    <m/>
    <e v="#N/A"/>
  </r>
  <r>
    <x v="232"/>
    <x v="5"/>
    <m/>
    <x v="1"/>
    <x v="0"/>
    <x v="39"/>
    <n v="1"/>
    <s v="이그나이트 2set"/>
    <n v="210101"/>
    <m/>
    <e v="#N/A"/>
  </r>
  <r>
    <x v="233"/>
    <x v="6"/>
    <m/>
    <x v="1"/>
    <x v="0"/>
    <x v="104"/>
    <n v="2"/>
    <s v="이그나이트"/>
    <n v="210101"/>
    <m/>
    <e v="#N/A"/>
  </r>
  <r>
    <x v="233"/>
    <x v="6"/>
    <m/>
    <x v="1"/>
    <x v="0"/>
    <x v="110"/>
    <n v="1"/>
    <s v="이그나이트 2set"/>
    <n v="210101"/>
    <m/>
    <e v="#N/A"/>
  </r>
  <r>
    <x v="233"/>
    <x v="6"/>
    <m/>
    <x v="1"/>
    <x v="0"/>
    <x v="96"/>
    <n v="12"/>
    <s v="스테이포에버"/>
    <n v="210101"/>
    <m/>
    <e v="#N/A"/>
  </r>
  <r>
    <x v="233"/>
    <x v="6"/>
    <m/>
    <x v="1"/>
    <x v="0"/>
    <x v="105"/>
    <n v="4"/>
    <s v="스테이포에버"/>
    <n v="210101"/>
    <m/>
    <e v="#N/A"/>
  </r>
  <r>
    <x v="233"/>
    <x v="6"/>
    <m/>
    <x v="1"/>
    <x v="0"/>
    <x v="97"/>
    <n v="5"/>
    <s v="스테이포에버 2set"/>
    <n v="210101"/>
    <m/>
    <e v="#N/A"/>
  </r>
  <r>
    <x v="233"/>
    <x v="6"/>
    <m/>
    <x v="1"/>
    <x v="0"/>
    <x v="106"/>
    <n v="6"/>
    <s v="이그나이트 + 스테이포에버"/>
    <n v="210101"/>
    <m/>
    <e v="#N/A"/>
  </r>
  <r>
    <x v="233"/>
    <x v="6"/>
    <m/>
    <x v="1"/>
    <x v="0"/>
    <x v="107"/>
    <n v="3"/>
    <s v="이그나이트 + 스테이포에버"/>
    <n v="210101"/>
    <m/>
    <e v="#N/A"/>
  </r>
  <r>
    <x v="233"/>
    <x v="6"/>
    <m/>
    <x v="1"/>
    <x v="0"/>
    <x v="98"/>
    <n v="333"/>
    <s v="스테이포에버"/>
    <n v="210101"/>
    <m/>
    <e v="#N/A"/>
  </r>
  <r>
    <x v="233"/>
    <x v="6"/>
    <m/>
    <x v="1"/>
    <x v="0"/>
    <x v="99"/>
    <n v="51"/>
    <s v="스테이포에버"/>
    <n v="210101"/>
    <m/>
    <e v="#N/A"/>
  </r>
  <r>
    <x v="233"/>
    <x v="6"/>
    <m/>
    <x v="1"/>
    <x v="0"/>
    <x v="100"/>
    <n v="102"/>
    <s v="스테이포에버 2set"/>
    <n v="210101"/>
    <m/>
    <e v="#N/A"/>
  </r>
  <r>
    <x v="233"/>
    <x v="6"/>
    <m/>
    <x v="1"/>
    <x v="0"/>
    <x v="101"/>
    <n v="8"/>
    <s v="스테이포에버"/>
    <n v="210101"/>
    <m/>
    <e v="#N/A"/>
  </r>
  <r>
    <x v="233"/>
    <x v="6"/>
    <m/>
    <x v="1"/>
    <x v="0"/>
    <x v="102"/>
    <n v="15"/>
    <s v="이그나이트 + 스테이포에버"/>
    <n v="210101"/>
    <m/>
    <e v="#N/A"/>
  </r>
  <r>
    <x v="233"/>
    <x v="6"/>
    <m/>
    <x v="1"/>
    <x v="0"/>
    <x v="103"/>
    <n v="9"/>
    <s v="쇼핑백"/>
    <n v="210101"/>
    <m/>
    <e v="#N/A"/>
  </r>
  <r>
    <x v="233"/>
    <x v="6"/>
    <m/>
    <x v="1"/>
    <x v="0"/>
    <x v="15"/>
    <n v="2"/>
    <s v="이그나이트"/>
    <n v="210101"/>
    <m/>
    <e v="#N/A"/>
  </r>
  <r>
    <x v="234"/>
    <x v="0"/>
    <m/>
    <x v="1"/>
    <x v="0"/>
    <x v="41"/>
    <n v="3"/>
    <s v="스테이포에버"/>
    <n v="210101"/>
    <m/>
    <e v="#N/A"/>
  </r>
  <r>
    <x v="234"/>
    <x v="0"/>
    <m/>
    <x v="1"/>
    <x v="0"/>
    <x v="111"/>
    <n v="5"/>
    <s v="스테이포에버"/>
    <n v="210101"/>
    <m/>
    <e v="#N/A"/>
  </r>
  <r>
    <x v="234"/>
    <x v="0"/>
    <m/>
    <x v="1"/>
    <x v="0"/>
    <x v="112"/>
    <n v="1"/>
    <s v="스테이포에버"/>
    <n v="210101"/>
    <m/>
    <e v="#N/A"/>
  </r>
  <r>
    <x v="234"/>
    <x v="0"/>
    <m/>
    <x v="1"/>
    <x v="0"/>
    <x v="113"/>
    <n v="4"/>
    <s v="이그나이트 + 스테이포에버"/>
    <n v="210101"/>
    <m/>
    <e v="#N/A"/>
  </r>
  <r>
    <x v="234"/>
    <x v="0"/>
    <m/>
    <x v="1"/>
    <x v="0"/>
    <x v="114"/>
    <n v="2"/>
    <s v="이그나이트 + 스테이포에버"/>
    <n v="210101"/>
    <m/>
    <e v="#N/A"/>
  </r>
  <r>
    <x v="234"/>
    <x v="0"/>
    <m/>
    <x v="1"/>
    <x v="0"/>
    <x v="96"/>
    <n v="8"/>
    <s v="스테이포에버"/>
    <n v="210101"/>
    <m/>
    <e v="#N/A"/>
  </r>
  <r>
    <x v="234"/>
    <x v="0"/>
    <m/>
    <x v="1"/>
    <x v="0"/>
    <x v="105"/>
    <n v="5"/>
    <s v="스테이포에버"/>
    <n v="210101"/>
    <m/>
    <e v="#N/A"/>
  </r>
  <r>
    <x v="234"/>
    <x v="0"/>
    <m/>
    <x v="1"/>
    <x v="0"/>
    <x v="97"/>
    <n v="2"/>
    <s v="스테이포에버 2set"/>
    <n v="210101"/>
    <m/>
    <e v="#N/A"/>
  </r>
  <r>
    <x v="234"/>
    <x v="0"/>
    <m/>
    <x v="1"/>
    <x v="0"/>
    <x v="106"/>
    <n v="6"/>
    <s v="이그나이트 + 스테이포에버"/>
    <n v="210101"/>
    <m/>
    <e v="#N/A"/>
  </r>
  <r>
    <x v="234"/>
    <x v="0"/>
    <m/>
    <x v="1"/>
    <x v="0"/>
    <x v="107"/>
    <n v="2"/>
    <s v="이그나이트 + 스테이포에버"/>
    <n v="210101"/>
    <m/>
    <e v="#N/A"/>
  </r>
  <r>
    <x v="234"/>
    <x v="0"/>
    <m/>
    <x v="1"/>
    <x v="0"/>
    <x v="115"/>
    <n v="197"/>
    <s v="스테이포에버"/>
    <n v="210101"/>
    <m/>
    <e v="#N/A"/>
  </r>
  <r>
    <x v="234"/>
    <x v="0"/>
    <m/>
    <x v="1"/>
    <x v="0"/>
    <x v="116"/>
    <n v="55"/>
    <s v="스테이포에버"/>
    <n v="210101"/>
    <m/>
    <e v="#N/A"/>
  </r>
  <r>
    <x v="234"/>
    <x v="0"/>
    <m/>
    <x v="1"/>
    <x v="0"/>
    <x v="117"/>
    <n v="59"/>
    <s v="스테이포에버"/>
    <n v="210101"/>
    <m/>
    <e v="#N/A"/>
  </r>
  <r>
    <x v="234"/>
    <x v="0"/>
    <m/>
    <x v="1"/>
    <x v="0"/>
    <x v="118"/>
    <n v="7"/>
    <s v="이그나이트 + 스테이포에버"/>
    <n v="210101"/>
    <m/>
    <e v="#N/A"/>
  </r>
  <r>
    <x v="234"/>
    <x v="0"/>
    <m/>
    <x v="1"/>
    <x v="0"/>
    <x v="119"/>
    <n v="6"/>
    <s v="이그나이트 + 스테이포에버"/>
    <n v="210101"/>
    <m/>
    <e v="#N/A"/>
  </r>
  <r>
    <x v="234"/>
    <x v="0"/>
    <m/>
    <x v="1"/>
    <x v="0"/>
    <x v="120"/>
    <n v="10"/>
    <s v="쇼핑백"/>
    <n v="210101"/>
    <m/>
    <e v="#N/A"/>
  </r>
  <r>
    <x v="234"/>
    <x v="0"/>
    <m/>
    <x v="1"/>
    <x v="0"/>
    <x v="22"/>
    <n v="1"/>
    <s v="스테이포에버"/>
    <n v="210101"/>
    <m/>
    <e v="#N/A"/>
  </r>
  <r>
    <x v="234"/>
    <x v="0"/>
    <m/>
    <x v="1"/>
    <x v="0"/>
    <x v="98"/>
    <n v="178"/>
    <s v="스테이포에버"/>
    <n v="210101"/>
    <m/>
    <e v="#N/A"/>
  </r>
  <r>
    <x v="234"/>
    <x v="0"/>
    <m/>
    <x v="1"/>
    <x v="0"/>
    <x v="99"/>
    <n v="43"/>
    <s v="스테이포에버"/>
    <n v="210101"/>
    <m/>
    <e v="#N/A"/>
  </r>
  <r>
    <x v="234"/>
    <x v="0"/>
    <m/>
    <x v="1"/>
    <x v="0"/>
    <x v="100"/>
    <n v="56"/>
    <s v="스테이포에버 2set"/>
    <n v="210101"/>
    <m/>
    <e v="#N/A"/>
  </r>
  <r>
    <x v="234"/>
    <x v="0"/>
    <m/>
    <x v="1"/>
    <x v="0"/>
    <x v="101"/>
    <n v="9"/>
    <s v="스테이포에버"/>
    <n v="210101"/>
    <m/>
    <e v="#N/A"/>
  </r>
  <r>
    <x v="234"/>
    <x v="0"/>
    <m/>
    <x v="1"/>
    <x v="0"/>
    <x v="102"/>
    <n v="12"/>
    <s v="이그나이트 + 스테이포에버"/>
    <n v="210101"/>
    <m/>
    <e v="#N/A"/>
  </r>
  <r>
    <x v="234"/>
    <x v="0"/>
    <m/>
    <x v="1"/>
    <x v="0"/>
    <x v="103"/>
    <n v="7"/>
    <s v="쇼핑백"/>
    <n v="210101"/>
    <m/>
    <e v="#N/A"/>
  </r>
  <r>
    <x v="234"/>
    <x v="0"/>
    <m/>
    <x v="1"/>
    <x v="0"/>
    <x v="15"/>
    <n v="6"/>
    <s v="이그나이트"/>
    <n v="210101"/>
    <m/>
    <e v="#N/A"/>
  </r>
  <r>
    <x v="234"/>
    <x v="0"/>
    <m/>
    <x v="1"/>
    <x v="0"/>
    <x v="39"/>
    <n v="2"/>
    <s v="이그나이트 2set"/>
    <n v="210101"/>
    <m/>
    <e v="#N/A"/>
  </r>
  <r>
    <x v="235"/>
    <x v="3"/>
    <m/>
    <x v="0"/>
    <x v="0"/>
    <x v="83"/>
    <n v="1"/>
    <s v="쇼핑백"/>
    <n v="210101"/>
    <m/>
    <e v="#N/A"/>
  </r>
  <r>
    <x v="235"/>
    <x v="3"/>
    <m/>
    <x v="1"/>
    <x v="0"/>
    <x v="41"/>
    <n v="1"/>
    <s v="스테이포에버"/>
    <n v="210101"/>
    <m/>
    <e v="#N/A"/>
  </r>
  <r>
    <x v="235"/>
    <x v="3"/>
    <m/>
    <x v="1"/>
    <x v="0"/>
    <x v="121"/>
    <n v="1"/>
    <s v="이그나이트"/>
    <n v="210101"/>
    <m/>
    <e v="#N/A"/>
  </r>
  <r>
    <x v="235"/>
    <x v="3"/>
    <m/>
    <x v="1"/>
    <x v="0"/>
    <x v="111"/>
    <n v="12"/>
    <s v="스테이포에버"/>
    <n v="210101"/>
    <m/>
    <e v="#N/A"/>
  </r>
  <r>
    <x v="235"/>
    <x v="3"/>
    <m/>
    <x v="1"/>
    <x v="0"/>
    <x v="112"/>
    <n v="6"/>
    <s v="스테이포에버"/>
    <n v="210101"/>
    <m/>
    <e v="#N/A"/>
  </r>
  <r>
    <x v="235"/>
    <x v="3"/>
    <m/>
    <x v="1"/>
    <x v="0"/>
    <x v="122"/>
    <n v="2"/>
    <s v="스테이포에버 2set"/>
    <n v="210101"/>
    <m/>
    <e v="#N/A"/>
  </r>
  <r>
    <x v="235"/>
    <x v="3"/>
    <m/>
    <x v="1"/>
    <x v="0"/>
    <x v="113"/>
    <n v="8"/>
    <s v="이그나이트 + 스테이포에버"/>
    <n v="210101"/>
    <m/>
    <e v="#N/A"/>
  </r>
  <r>
    <x v="235"/>
    <x v="3"/>
    <m/>
    <x v="1"/>
    <x v="0"/>
    <x v="114"/>
    <n v="6"/>
    <s v="이그나이트 + 스테이포에버"/>
    <n v="210101"/>
    <m/>
    <e v="#N/A"/>
  </r>
  <r>
    <x v="235"/>
    <x v="3"/>
    <m/>
    <x v="1"/>
    <x v="0"/>
    <x v="113"/>
    <n v="1"/>
    <s v="이그나이트 + 스테이포에버"/>
    <n v="210101"/>
    <m/>
    <e v="#N/A"/>
  </r>
  <r>
    <x v="235"/>
    <x v="3"/>
    <m/>
    <x v="1"/>
    <x v="0"/>
    <x v="123"/>
    <n v="1"/>
    <s v="이그나이트 + 스테이포에버"/>
    <n v="210101"/>
    <m/>
    <e v="#N/A"/>
  </r>
  <r>
    <x v="235"/>
    <x v="3"/>
    <m/>
    <x v="1"/>
    <x v="0"/>
    <x v="115"/>
    <n v="417"/>
    <s v="스테이포에버"/>
    <n v="210101"/>
    <m/>
    <e v="#N/A"/>
  </r>
  <r>
    <x v="235"/>
    <x v="3"/>
    <m/>
    <x v="1"/>
    <x v="0"/>
    <x v="116"/>
    <n v="87"/>
    <s v="스테이포에버"/>
    <n v="210101"/>
    <m/>
    <e v="#N/A"/>
  </r>
  <r>
    <x v="235"/>
    <x v="3"/>
    <m/>
    <x v="1"/>
    <x v="0"/>
    <x v="117"/>
    <n v="120"/>
    <s v="스테이포에버"/>
    <n v="210101"/>
    <m/>
    <e v="#N/A"/>
  </r>
  <r>
    <x v="235"/>
    <x v="3"/>
    <m/>
    <x v="1"/>
    <x v="0"/>
    <x v="118"/>
    <n v="12"/>
    <s v="이그나이트 + 스테이포에버"/>
    <n v="210101"/>
    <m/>
    <e v="#N/A"/>
  </r>
  <r>
    <x v="235"/>
    <x v="3"/>
    <m/>
    <x v="1"/>
    <x v="0"/>
    <x v="119"/>
    <n v="24"/>
    <s v="이그나이트 + 스테이포에버"/>
    <n v="210101"/>
    <m/>
    <e v="#N/A"/>
  </r>
  <r>
    <x v="235"/>
    <x v="3"/>
    <m/>
    <x v="1"/>
    <x v="0"/>
    <x v="120"/>
    <n v="20"/>
    <s v="쇼핑백"/>
    <n v="210101"/>
    <m/>
    <e v="#N/A"/>
  </r>
  <r>
    <x v="235"/>
    <x v="3"/>
    <m/>
    <x v="1"/>
    <x v="0"/>
    <x v="98"/>
    <n v="6"/>
    <s v="스테이포에버"/>
    <n v="210101"/>
    <m/>
    <e v="#N/A"/>
  </r>
  <r>
    <x v="235"/>
    <x v="3"/>
    <m/>
    <x v="1"/>
    <x v="0"/>
    <x v="99"/>
    <n v="1"/>
    <s v="스테이포에버"/>
    <n v="210101"/>
    <m/>
    <e v="#N/A"/>
  </r>
  <r>
    <x v="235"/>
    <x v="3"/>
    <m/>
    <x v="1"/>
    <x v="0"/>
    <x v="101"/>
    <n v="1"/>
    <s v="스테이포에버"/>
    <n v="210101"/>
    <m/>
    <e v="#N/A"/>
  </r>
  <r>
    <x v="235"/>
    <x v="3"/>
    <m/>
    <x v="1"/>
    <x v="0"/>
    <x v="103"/>
    <n v="2"/>
    <s v="쇼핑백"/>
    <n v="210101"/>
    <m/>
    <e v="#N/A"/>
  </r>
  <r>
    <x v="235"/>
    <x v="3"/>
    <m/>
    <x v="1"/>
    <x v="0"/>
    <x v="15"/>
    <n v="5"/>
    <s v="이그나이트"/>
    <n v="210101"/>
    <m/>
    <e v="#N/A"/>
  </r>
  <r>
    <x v="235"/>
    <x v="3"/>
    <m/>
    <x v="1"/>
    <x v="0"/>
    <x v="39"/>
    <n v="2"/>
    <s v="이그나이트 2set"/>
    <n v="210101"/>
    <m/>
    <e v="#N/A"/>
  </r>
  <r>
    <x v="236"/>
    <x v="4"/>
    <m/>
    <x v="1"/>
    <x v="0"/>
    <x v="121"/>
    <n v="1"/>
    <s v="이그나이트"/>
    <n v="210101"/>
    <m/>
    <e v="#N/A"/>
  </r>
  <r>
    <x v="236"/>
    <x v="4"/>
    <m/>
    <x v="1"/>
    <x v="0"/>
    <x v="111"/>
    <n v="10"/>
    <s v="스테이포에버"/>
    <n v="210101"/>
    <m/>
    <e v="#N/A"/>
  </r>
  <r>
    <x v="236"/>
    <x v="4"/>
    <m/>
    <x v="1"/>
    <x v="0"/>
    <x v="112"/>
    <n v="1"/>
    <s v="스테이포에버"/>
    <n v="210101"/>
    <m/>
    <e v="#N/A"/>
  </r>
  <r>
    <x v="236"/>
    <x v="4"/>
    <m/>
    <x v="1"/>
    <x v="0"/>
    <x v="122"/>
    <n v="4"/>
    <s v="스테이포에버 2set"/>
    <n v="210101"/>
    <m/>
    <e v="#N/A"/>
  </r>
  <r>
    <x v="236"/>
    <x v="4"/>
    <m/>
    <x v="1"/>
    <x v="0"/>
    <x v="113"/>
    <n v="7"/>
    <s v="이그나이트 + 스테이포에버"/>
    <n v="210101"/>
    <m/>
    <e v="#N/A"/>
  </r>
  <r>
    <x v="236"/>
    <x v="4"/>
    <m/>
    <x v="1"/>
    <x v="0"/>
    <x v="114"/>
    <n v="6"/>
    <s v="이그나이트 + 스테이포에버"/>
    <n v="210101"/>
    <m/>
    <e v="#N/A"/>
  </r>
  <r>
    <x v="236"/>
    <x v="4"/>
    <m/>
    <x v="1"/>
    <x v="0"/>
    <x v="113"/>
    <n v="2"/>
    <s v="이그나이트 + 스테이포에버"/>
    <n v="210101"/>
    <m/>
    <e v="#N/A"/>
  </r>
  <r>
    <x v="236"/>
    <x v="4"/>
    <m/>
    <x v="1"/>
    <x v="0"/>
    <x v="123"/>
    <n v="1"/>
    <s v="이그나이트 + 스테이포에버"/>
    <n v="210101"/>
    <m/>
    <e v="#N/A"/>
  </r>
  <r>
    <x v="236"/>
    <x v="4"/>
    <m/>
    <x v="1"/>
    <x v="0"/>
    <x v="115"/>
    <n v="302"/>
    <s v="스테이포에버"/>
    <n v="210101"/>
    <m/>
    <e v="#N/A"/>
  </r>
  <r>
    <x v="236"/>
    <x v="4"/>
    <m/>
    <x v="1"/>
    <x v="0"/>
    <x v="116"/>
    <n v="66"/>
    <s v="스테이포에버"/>
    <n v="210101"/>
    <m/>
    <e v="#N/A"/>
  </r>
  <r>
    <x v="236"/>
    <x v="4"/>
    <m/>
    <x v="1"/>
    <x v="0"/>
    <x v="117"/>
    <n v="101"/>
    <s v="스테이포에버"/>
    <n v="210101"/>
    <m/>
    <e v="#N/A"/>
  </r>
  <r>
    <x v="236"/>
    <x v="4"/>
    <m/>
    <x v="1"/>
    <x v="0"/>
    <x v="118"/>
    <n v="13"/>
    <s v="이그나이트 + 스테이포에버"/>
    <n v="210101"/>
    <m/>
    <e v="#N/A"/>
  </r>
  <r>
    <x v="236"/>
    <x v="4"/>
    <m/>
    <x v="1"/>
    <x v="0"/>
    <x v="119"/>
    <n v="15"/>
    <s v="이그나이트 + 스테이포에버"/>
    <n v="210101"/>
    <m/>
    <e v="#N/A"/>
  </r>
  <r>
    <x v="236"/>
    <x v="4"/>
    <m/>
    <x v="1"/>
    <x v="0"/>
    <x v="120"/>
    <n v="16"/>
    <s v="쇼핑백"/>
    <n v="210101"/>
    <m/>
    <e v="#N/A"/>
  </r>
  <r>
    <x v="236"/>
    <x v="4"/>
    <m/>
    <x v="1"/>
    <x v="0"/>
    <x v="99"/>
    <n v="1"/>
    <s v="스테이포에버"/>
    <n v="210101"/>
    <m/>
    <e v="#N/A"/>
  </r>
  <r>
    <x v="236"/>
    <x v="4"/>
    <m/>
    <x v="1"/>
    <x v="0"/>
    <x v="15"/>
    <n v="3"/>
    <s v="이그나이트"/>
    <n v="210101"/>
    <m/>
    <e v="#N/A"/>
  </r>
  <r>
    <x v="236"/>
    <x v="4"/>
    <m/>
    <x v="1"/>
    <x v="0"/>
    <x v="39"/>
    <n v="3"/>
    <s v="이그나이트 2set"/>
    <n v="210101"/>
    <m/>
    <e v="#N/A"/>
  </r>
  <r>
    <x v="236"/>
    <x v="4"/>
    <m/>
    <x v="0"/>
    <x v="0"/>
    <x v="82"/>
    <n v="1"/>
    <s v="쇼핑백"/>
    <n v="210101"/>
    <m/>
    <e v="#N/A"/>
  </r>
  <r>
    <x v="237"/>
    <x v="1"/>
    <m/>
    <x v="1"/>
    <x v="2"/>
    <x v="41"/>
    <n v="3"/>
    <s v="스테이포에버"/>
    <n v="210101"/>
    <m/>
    <e v="#N/A"/>
  </r>
  <r>
    <x v="237"/>
    <x v="1"/>
    <m/>
    <x v="1"/>
    <x v="2"/>
    <x v="118"/>
    <n v="2"/>
    <s v="이그나이트 + 스테이포에버"/>
    <n v="210101"/>
    <m/>
    <e v="#N/A"/>
  </r>
  <r>
    <x v="237"/>
    <x v="1"/>
    <m/>
    <x v="1"/>
    <x v="0"/>
    <x v="41"/>
    <n v="3"/>
    <s v="스테이포에버"/>
    <n v="210101"/>
    <m/>
    <e v="#N/A"/>
  </r>
  <r>
    <x v="237"/>
    <x v="1"/>
    <m/>
    <x v="1"/>
    <x v="0"/>
    <x v="121"/>
    <n v="4"/>
    <s v="이그나이트"/>
    <n v="210101"/>
    <m/>
    <e v="#N/A"/>
  </r>
  <r>
    <x v="237"/>
    <x v="1"/>
    <m/>
    <x v="1"/>
    <x v="0"/>
    <x v="111"/>
    <n v="15"/>
    <s v="스테이포에버"/>
    <n v="210101"/>
    <m/>
    <e v="#N/A"/>
  </r>
  <r>
    <x v="237"/>
    <x v="1"/>
    <m/>
    <x v="1"/>
    <x v="0"/>
    <x v="112"/>
    <n v="3"/>
    <s v="스테이포에버"/>
    <n v="210101"/>
    <m/>
    <e v="#N/A"/>
  </r>
  <r>
    <x v="237"/>
    <x v="1"/>
    <m/>
    <x v="1"/>
    <x v="0"/>
    <x v="113"/>
    <n v="2"/>
    <s v="이그나이트 + 스테이포에버"/>
    <n v="210101"/>
    <m/>
    <e v="#N/A"/>
  </r>
  <r>
    <x v="237"/>
    <x v="1"/>
    <m/>
    <x v="1"/>
    <x v="0"/>
    <x v="114"/>
    <n v="7"/>
    <s v="이그나이트 + 스테이포에버"/>
    <n v="210101"/>
    <m/>
    <e v="#N/A"/>
  </r>
  <r>
    <x v="237"/>
    <x v="1"/>
    <m/>
    <x v="1"/>
    <x v="0"/>
    <x v="123"/>
    <n v="1"/>
    <s v="이그나이트 + 스테이포에버"/>
    <n v="210101"/>
    <m/>
    <e v="#N/A"/>
  </r>
  <r>
    <x v="237"/>
    <x v="1"/>
    <m/>
    <x v="1"/>
    <x v="0"/>
    <x v="124"/>
    <n v="111"/>
    <s v="스테이포에버"/>
    <n v="210101"/>
    <m/>
    <e v="#N/A"/>
  </r>
  <r>
    <x v="237"/>
    <x v="1"/>
    <m/>
    <x v="1"/>
    <x v="0"/>
    <x v="125"/>
    <n v="21"/>
    <s v="스테이포에버"/>
    <n v="210101"/>
    <m/>
    <e v="#N/A"/>
  </r>
  <r>
    <x v="237"/>
    <x v="1"/>
    <m/>
    <x v="1"/>
    <x v="0"/>
    <x v="126"/>
    <n v="28"/>
    <s v="스테이포에버 2set"/>
    <n v="210101"/>
    <m/>
    <e v="#N/A"/>
  </r>
  <r>
    <x v="237"/>
    <x v="1"/>
    <m/>
    <x v="1"/>
    <x v="0"/>
    <x v="127"/>
    <n v="6"/>
    <s v="이그나이트 + 스테이포에버"/>
    <n v="210101"/>
    <m/>
    <e v="#N/A"/>
  </r>
  <r>
    <x v="237"/>
    <x v="1"/>
    <m/>
    <x v="1"/>
    <x v="0"/>
    <x v="128"/>
    <n v="5"/>
    <s v="이그나이트 + 스테이포에버"/>
    <n v="210101"/>
    <m/>
    <e v="#N/A"/>
  </r>
  <r>
    <x v="237"/>
    <x v="1"/>
    <m/>
    <x v="0"/>
    <x v="0"/>
    <x v="129"/>
    <n v="2"/>
    <s v="쇼핑백"/>
    <n v="210101"/>
    <m/>
    <e v="#N/A"/>
  </r>
  <r>
    <x v="237"/>
    <x v="1"/>
    <m/>
    <x v="1"/>
    <x v="0"/>
    <x v="130"/>
    <n v="2"/>
    <s v="이그나이트"/>
    <n v="210101"/>
    <m/>
    <e v="#N/A"/>
  </r>
  <r>
    <x v="237"/>
    <x v="1"/>
    <m/>
    <x v="1"/>
    <x v="0"/>
    <x v="115"/>
    <n v="194"/>
    <s v="스테이포에버"/>
    <n v="210101"/>
    <m/>
    <e v="#N/A"/>
  </r>
  <r>
    <x v="237"/>
    <x v="1"/>
    <m/>
    <x v="1"/>
    <x v="0"/>
    <x v="116"/>
    <n v="36"/>
    <s v="스테이포에버"/>
    <n v="210101"/>
    <m/>
    <e v="#N/A"/>
  </r>
  <r>
    <x v="237"/>
    <x v="1"/>
    <m/>
    <x v="1"/>
    <x v="0"/>
    <x v="117"/>
    <n v="74"/>
    <s v="스테이포에버"/>
    <n v="210101"/>
    <m/>
    <e v="#N/A"/>
  </r>
  <r>
    <x v="237"/>
    <x v="1"/>
    <m/>
    <x v="1"/>
    <x v="0"/>
    <x v="118"/>
    <n v="2"/>
    <s v="이그나이트 + 스테이포에버"/>
    <n v="210101"/>
    <m/>
    <e v="#N/A"/>
  </r>
  <r>
    <x v="237"/>
    <x v="1"/>
    <m/>
    <x v="1"/>
    <x v="0"/>
    <x v="119"/>
    <n v="14"/>
    <s v="이그나이트 + 스테이포에버"/>
    <n v="210101"/>
    <m/>
    <e v="#N/A"/>
  </r>
  <r>
    <x v="237"/>
    <x v="1"/>
    <m/>
    <x v="1"/>
    <x v="0"/>
    <x v="120"/>
    <n v="11"/>
    <s v="쇼핑백"/>
    <n v="210101"/>
    <m/>
    <e v="#N/A"/>
  </r>
  <r>
    <x v="237"/>
    <x v="1"/>
    <m/>
    <x v="1"/>
    <x v="0"/>
    <x v="98"/>
    <n v="3"/>
    <s v="스테이포에버"/>
    <n v="210101"/>
    <m/>
    <e v="#N/A"/>
  </r>
  <r>
    <x v="237"/>
    <x v="1"/>
    <m/>
    <x v="1"/>
    <x v="0"/>
    <x v="99"/>
    <n v="1"/>
    <s v="스테이포에버"/>
    <n v="210101"/>
    <m/>
    <e v="#N/A"/>
  </r>
  <r>
    <x v="237"/>
    <x v="1"/>
    <m/>
    <x v="1"/>
    <x v="0"/>
    <x v="15"/>
    <n v="4"/>
    <s v="이그나이트"/>
    <n v="210101"/>
    <m/>
    <e v="#N/A"/>
  </r>
  <r>
    <x v="237"/>
    <x v="1"/>
    <m/>
    <x v="1"/>
    <x v="0"/>
    <x v="39"/>
    <n v="3"/>
    <s v="이그나이트 2set"/>
    <n v="210101"/>
    <m/>
    <e v="#N/A"/>
  </r>
  <r>
    <x v="237"/>
    <x v="1"/>
    <m/>
    <x v="0"/>
    <x v="0"/>
    <x v="82"/>
    <n v="1"/>
    <s v="쇼핑백"/>
    <n v="210101"/>
    <m/>
    <e v="#N/A"/>
  </r>
  <r>
    <x v="238"/>
    <x v="2"/>
    <m/>
    <x v="1"/>
    <x v="0"/>
    <x v="121"/>
    <n v="1"/>
    <s v="이그나이트"/>
    <n v="210101"/>
    <m/>
    <e v="#N/A"/>
  </r>
  <r>
    <x v="238"/>
    <x v="2"/>
    <m/>
    <x v="1"/>
    <x v="0"/>
    <x v="111"/>
    <n v="9"/>
    <s v="스테이포에버"/>
    <n v="210101"/>
    <m/>
    <e v="#N/A"/>
  </r>
  <r>
    <x v="238"/>
    <x v="2"/>
    <m/>
    <x v="1"/>
    <x v="0"/>
    <x v="112"/>
    <n v="2"/>
    <s v="스테이포에버"/>
    <n v="210101"/>
    <m/>
    <e v="#N/A"/>
  </r>
  <r>
    <x v="238"/>
    <x v="2"/>
    <m/>
    <x v="1"/>
    <x v="0"/>
    <x v="122"/>
    <n v="2"/>
    <s v="스테이포에버 2set"/>
    <n v="210101"/>
    <m/>
    <e v="#N/A"/>
  </r>
  <r>
    <x v="238"/>
    <x v="2"/>
    <m/>
    <x v="1"/>
    <x v="0"/>
    <x v="113"/>
    <n v="6"/>
    <s v="이그나이트 + 스테이포에버"/>
    <n v="210101"/>
    <m/>
    <e v="#N/A"/>
  </r>
  <r>
    <x v="238"/>
    <x v="2"/>
    <m/>
    <x v="1"/>
    <x v="0"/>
    <x v="114"/>
    <n v="2"/>
    <s v="이그나이트 + 스테이포에버"/>
    <n v="210101"/>
    <m/>
    <e v="#N/A"/>
  </r>
  <r>
    <x v="238"/>
    <x v="2"/>
    <m/>
    <x v="1"/>
    <x v="0"/>
    <x v="113"/>
    <n v="1"/>
    <s v="이그나이트 + 스테이포에버"/>
    <n v="210101"/>
    <m/>
    <e v="#N/A"/>
  </r>
  <r>
    <x v="238"/>
    <x v="2"/>
    <m/>
    <x v="1"/>
    <x v="0"/>
    <x v="124"/>
    <n v="370"/>
    <s v="스테이포에버"/>
    <n v="210101"/>
    <m/>
    <e v="#N/A"/>
  </r>
  <r>
    <x v="238"/>
    <x v="2"/>
    <m/>
    <x v="1"/>
    <x v="0"/>
    <x v="125"/>
    <n v="61"/>
    <s v="스테이포에버"/>
    <n v="210101"/>
    <m/>
    <e v="#N/A"/>
  </r>
  <r>
    <x v="238"/>
    <x v="2"/>
    <m/>
    <x v="1"/>
    <x v="0"/>
    <x v="126"/>
    <n v="112"/>
    <s v="스테이포에버 2set"/>
    <n v="210101"/>
    <m/>
    <e v="#N/A"/>
  </r>
  <r>
    <x v="238"/>
    <x v="2"/>
    <m/>
    <x v="1"/>
    <x v="0"/>
    <x v="127"/>
    <n v="10"/>
    <s v="이그나이트 + 스테이포에버"/>
    <n v="210101"/>
    <m/>
    <e v="#N/A"/>
  </r>
  <r>
    <x v="238"/>
    <x v="2"/>
    <m/>
    <x v="1"/>
    <x v="0"/>
    <x v="128"/>
    <n v="18"/>
    <s v="이그나이트 + 스테이포에버"/>
    <n v="210101"/>
    <m/>
    <e v="#N/A"/>
  </r>
  <r>
    <x v="238"/>
    <x v="2"/>
    <m/>
    <x v="0"/>
    <x v="0"/>
    <x v="129"/>
    <n v="13"/>
    <s v="쇼핑백"/>
    <n v="210101"/>
    <m/>
    <e v="#N/A"/>
  </r>
  <r>
    <x v="238"/>
    <x v="2"/>
    <m/>
    <x v="1"/>
    <x v="0"/>
    <x v="130"/>
    <n v="3"/>
    <s v="이그나이트"/>
    <n v="210101"/>
    <m/>
    <e v="#N/A"/>
  </r>
  <r>
    <x v="238"/>
    <x v="2"/>
    <m/>
    <x v="1"/>
    <x v="0"/>
    <x v="131"/>
    <n v="3"/>
    <s v="이그나이트 2set"/>
    <n v="210101"/>
    <m/>
    <e v="#N/A"/>
  </r>
  <r>
    <x v="238"/>
    <x v="2"/>
    <m/>
    <x v="1"/>
    <x v="0"/>
    <x v="115"/>
    <n v="4"/>
    <s v="스테이포에버"/>
    <n v="210101"/>
    <m/>
    <e v="#N/A"/>
  </r>
  <r>
    <x v="239"/>
    <x v="5"/>
    <m/>
    <x v="0"/>
    <x v="0"/>
    <x v="83"/>
    <n v="1"/>
    <s v="쇼핑백"/>
    <n v="210101"/>
    <m/>
    <e v="#N/A"/>
  </r>
  <r>
    <x v="239"/>
    <x v="5"/>
    <m/>
    <x v="1"/>
    <x v="0"/>
    <x v="121"/>
    <n v="2"/>
    <s v="이그나이트"/>
    <n v="210101"/>
    <m/>
    <e v="#N/A"/>
  </r>
  <r>
    <x v="239"/>
    <x v="5"/>
    <m/>
    <x v="1"/>
    <x v="0"/>
    <x v="111"/>
    <n v="11"/>
    <s v="스테이포에버"/>
    <n v="210101"/>
    <m/>
    <e v="#N/A"/>
  </r>
  <r>
    <x v="239"/>
    <x v="5"/>
    <m/>
    <x v="1"/>
    <x v="0"/>
    <x v="112"/>
    <n v="2"/>
    <s v="스테이포에버"/>
    <n v="210101"/>
    <m/>
    <e v="#N/A"/>
  </r>
  <r>
    <x v="239"/>
    <x v="5"/>
    <m/>
    <x v="1"/>
    <x v="0"/>
    <x v="122"/>
    <n v="4"/>
    <s v="스테이포에버 2set"/>
    <n v="210101"/>
    <m/>
    <e v="#N/A"/>
  </r>
  <r>
    <x v="239"/>
    <x v="5"/>
    <m/>
    <x v="1"/>
    <x v="0"/>
    <x v="113"/>
    <n v="7"/>
    <s v="이그나이트 + 스테이포에버"/>
    <n v="210101"/>
    <m/>
    <e v="#N/A"/>
  </r>
  <r>
    <x v="239"/>
    <x v="5"/>
    <m/>
    <x v="1"/>
    <x v="0"/>
    <x v="114"/>
    <n v="5"/>
    <s v="이그나이트 + 스테이포에버"/>
    <n v="210101"/>
    <m/>
    <e v="#N/A"/>
  </r>
  <r>
    <x v="239"/>
    <x v="5"/>
    <m/>
    <x v="1"/>
    <x v="0"/>
    <x v="123"/>
    <n v="1"/>
    <s v="이그나이트 + 스테이포에버"/>
    <n v="210101"/>
    <m/>
    <e v="#N/A"/>
  </r>
  <r>
    <x v="239"/>
    <x v="5"/>
    <m/>
    <x v="1"/>
    <x v="0"/>
    <x v="124"/>
    <n v="421"/>
    <s v="스테이포에버"/>
    <n v="210101"/>
    <m/>
    <e v="#N/A"/>
  </r>
  <r>
    <x v="239"/>
    <x v="5"/>
    <m/>
    <x v="1"/>
    <x v="0"/>
    <x v="125"/>
    <n v="99"/>
    <s v="스테이포에버"/>
    <n v="210101"/>
    <m/>
    <e v="#N/A"/>
  </r>
  <r>
    <x v="239"/>
    <x v="5"/>
    <m/>
    <x v="1"/>
    <x v="0"/>
    <x v="126"/>
    <n v="116"/>
    <s v="스테이포에버 2set"/>
    <n v="210101"/>
    <m/>
    <e v="#N/A"/>
  </r>
  <r>
    <x v="239"/>
    <x v="5"/>
    <m/>
    <x v="1"/>
    <x v="0"/>
    <x v="127"/>
    <n v="13"/>
    <s v="이그나이트 + 스테이포에버"/>
    <n v="210101"/>
    <m/>
    <e v="#N/A"/>
  </r>
  <r>
    <x v="239"/>
    <x v="5"/>
    <m/>
    <x v="1"/>
    <x v="0"/>
    <x v="128"/>
    <n v="17"/>
    <s v="이그나이트 + 스테이포에버"/>
    <n v="210101"/>
    <m/>
    <e v="#N/A"/>
  </r>
  <r>
    <x v="239"/>
    <x v="5"/>
    <m/>
    <x v="0"/>
    <x v="0"/>
    <x v="129"/>
    <n v="11"/>
    <s v="쇼핑백"/>
    <n v="210101"/>
    <m/>
    <e v="#N/A"/>
  </r>
  <r>
    <x v="239"/>
    <x v="5"/>
    <m/>
    <x v="1"/>
    <x v="0"/>
    <x v="130"/>
    <n v="4"/>
    <s v="이그나이트"/>
    <n v="210101"/>
    <m/>
    <e v="#N/A"/>
  </r>
  <r>
    <x v="239"/>
    <x v="5"/>
    <m/>
    <x v="1"/>
    <x v="0"/>
    <x v="131"/>
    <n v="2"/>
    <s v="이그나이트 2set"/>
    <n v="210101"/>
    <m/>
    <e v="#N/A"/>
  </r>
  <r>
    <x v="239"/>
    <x v="5"/>
    <m/>
    <x v="1"/>
    <x v="0"/>
    <x v="98"/>
    <n v="2"/>
    <s v="스테이포에버"/>
    <n v="210101"/>
    <m/>
    <e v="#N/A"/>
  </r>
  <r>
    <x v="240"/>
    <x v="6"/>
    <m/>
    <x v="1"/>
    <x v="0"/>
    <x v="41"/>
    <n v="2"/>
    <s v="스테이포에버"/>
    <n v="210101"/>
    <m/>
    <e v="#N/A"/>
  </r>
  <r>
    <x v="240"/>
    <x v="6"/>
    <m/>
    <x v="1"/>
    <x v="0"/>
    <x v="121"/>
    <n v="3"/>
    <s v="이그나이트"/>
    <n v="210101"/>
    <m/>
    <e v="#N/A"/>
  </r>
  <r>
    <x v="240"/>
    <x v="6"/>
    <m/>
    <x v="1"/>
    <x v="0"/>
    <x v="111"/>
    <n v="14"/>
    <s v="스테이포에버"/>
    <n v="210101"/>
    <m/>
    <e v="#N/A"/>
  </r>
  <r>
    <x v="240"/>
    <x v="6"/>
    <m/>
    <x v="1"/>
    <x v="0"/>
    <x v="122"/>
    <n v="3"/>
    <s v="스테이포에버 2set"/>
    <n v="210101"/>
    <m/>
    <e v="#N/A"/>
  </r>
  <r>
    <x v="240"/>
    <x v="6"/>
    <m/>
    <x v="1"/>
    <x v="0"/>
    <x v="113"/>
    <n v="1"/>
    <s v="이그나이트 + 스테이포에버"/>
    <n v="210101"/>
    <m/>
    <e v="#N/A"/>
  </r>
  <r>
    <x v="240"/>
    <x v="6"/>
    <m/>
    <x v="1"/>
    <x v="0"/>
    <x v="114"/>
    <n v="5"/>
    <s v="이그나이트 + 스테이포에버"/>
    <n v="210101"/>
    <m/>
    <e v="#N/A"/>
  </r>
  <r>
    <x v="240"/>
    <x v="6"/>
    <m/>
    <x v="1"/>
    <x v="0"/>
    <x v="113"/>
    <n v="2"/>
    <s v="이그나이트 + 스테이포에버"/>
    <n v="210101"/>
    <m/>
    <e v="#N/A"/>
  </r>
  <r>
    <x v="240"/>
    <x v="6"/>
    <m/>
    <x v="1"/>
    <x v="0"/>
    <x v="123"/>
    <n v="1"/>
    <s v="이그나이트 + 스테이포에버"/>
    <n v="210101"/>
    <m/>
    <e v="#N/A"/>
  </r>
  <r>
    <x v="240"/>
    <x v="6"/>
    <m/>
    <x v="1"/>
    <x v="0"/>
    <x v="124"/>
    <n v="323"/>
    <s v="스테이포에버"/>
    <n v="210101"/>
    <m/>
    <e v="#N/A"/>
  </r>
  <r>
    <x v="240"/>
    <x v="6"/>
    <m/>
    <x v="1"/>
    <x v="0"/>
    <x v="125"/>
    <n v="62"/>
    <s v="스테이포에버"/>
    <n v="210101"/>
    <m/>
    <e v="#N/A"/>
  </r>
  <r>
    <x v="240"/>
    <x v="6"/>
    <m/>
    <x v="1"/>
    <x v="0"/>
    <x v="126"/>
    <n v="90"/>
    <s v="스테이포에버 2set"/>
    <n v="210101"/>
    <m/>
    <e v="#N/A"/>
  </r>
  <r>
    <x v="240"/>
    <x v="6"/>
    <m/>
    <x v="1"/>
    <x v="0"/>
    <x v="127"/>
    <n v="5"/>
    <s v="이그나이트 + 스테이포에버"/>
    <n v="210101"/>
    <m/>
    <e v="#N/A"/>
  </r>
  <r>
    <x v="240"/>
    <x v="6"/>
    <m/>
    <x v="1"/>
    <x v="0"/>
    <x v="128"/>
    <n v="24"/>
    <s v="이그나이트 + 스테이포에버"/>
    <n v="210101"/>
    <m/>
    <e v="#N/A"/>
  </r>
  <r>
    <x v="240"/>
    <x v="6"/>
    <m/>
    <x v="0"/>
    <x v="0"/>
    <x v="129"/>
    <n v="19"/>
    <s v="쇼핑백"/>
    <n v="210101"/>
    <m/>
    <e v="#N/A"/>
  </r>
  <r>
    <x v="240"/>
    <x v="6"/>
    <m/>
    <x v="1"/>
    <x v="0"/>
    <x v="130"/>
    <n v="5"/>
    <s v="이그나이트"/>
    <n v="210101"/>
    <m/>
    <e v="#N/A"/>
  </r>
  <r>
    <x v="240"/>
    <x v="6"/>
    <m/>
    <x v="1"/>
    <x v="0"/>
    <x v="115"/>
    <n v="2"/>
    <s v="스테이포에버"/>
    <n v="210101"/>
    <m/>
    <e v="#N/A"/>
  </r>
  <r>
    <x v="240"/>
    <x v="6"/>
    <m/>
    <x v="1"/>
    <x v="0"/>
    <x v="116"/>
    <n v="1"/>
    <s v="스테이포에버"/>
    <n v="210101"/>
    <m/>
    <e v="#N/A"/>
  </r>
  <r>
    <x v="241"/>
    <x v="0"/>
    <m/>
    <x v="1"/>
    <x v="0"/>
    <x v="121"/>
    <n v="2"/>
    <s v="이그나이트"/>
    <n v="210101"/>
    <m/>
    <e v="#N/A"/>
  </r>
  <r>
    <x v="241"/>
    <x v="0"/>
    <m/>
    <x v="1"/>
    <x v="0"/>
    <x v="111"/>
    <n v="15"/>
    <s v="스테이포에버"/>
    <n v="210101"/>
    <m/>
    <e v="#N/A"/>
  </r>
  <r>
    <x v="241"/>
    <x v="0"/>
    <m/>
    <x v="1"/>
    <x v="0"/>
    <x v="112"/>
    <n v="2"/>
    <s v="스테이포에버"/>
    <n v="210101"/>
    <m/>
    <e v="#N/A"/>
  </r>
  <r>
    <x v="241"/>
    <x v="0"/>
    <m/>
    <x v="1"/>
    <x v="0"/>
    <x v="122"/>
    <n v="4"/>
    <s v="스테이포에버 2set"/>
    <n v="210101"/>
    <m/>
    <e v="#N/A"/>
  </r>
  <r>
    <x v="241"/>
    <x v="0"/>
    <m/>
    <x v="1"/>
    <x v="0"/>
    <x v="114"/>
    <n v="9"/>
    <s v="이그나이트 + 스테이포에버"/>
    <n v="210101"/>
    <m/>
    <e v="#N/A"/>
  </r>
  <r>
    <x v="241"/>
    <x v="0"/>
    <m/>
    <x v="1"/>
    <x v="0"/>
    <x v="124"/>
    <n v="282"/>
    <s v="스테이포에버"/>
    <n v="210101"/>
    <m/>
    <e v="#N/A"/>
  </r>
  <r>
    <x v="241"/>
    <x v="0"/>
    <m/>
    <x v="1"/>
    <x v="0"/>
    <x v="125"/>
    <n v="23"/>
    <s v="스테이포에버"/>
    <n v="210101"/>
    <m/>
    <e v="#N/A"/>
  </r>
  <r>
    <x v="241"/>
    <x v="0"/>
    <m/>
    <x v="1"/>
    <x v="0"/>
    <x v="126"/>
    <n v="102"/>
    <s v="스테이포에버 2set"/>
    <n v="210101"/>
    <m/>
    <e v="#N/A"/>
  </r>
  <r>
    <x v="241"/>
    <x v="0"/>
    <m/>
    <x v="1"/>
    <x v="0"/>
    <x v="127"/>
    <n v="1"/>
    <s v="이그나이트 + 스테이포에버"/>
    <n v="210101"/>
    <m/>
    <e v="#N/A"/>
  </r>
  <r>
    <x v="241"/>
    <x v="0"/>
    <m/>
    <x v="1"/>
    <x v="0"/>
    <x v="128"/>
    <n v="11"/>
    <s v="이그나이트 + 스테이포에버"/>
    <n v="210101"/>
    <m/>
    <e v="#N/A"/>
  </r>
  <r>
    <x v="241"/>
    <x v="0"/>
    <m/>
    <x v="0"/>
    <x v="0"/>
    <x v="129"/>
    <n v="13"/>
    <s v="쇼핑백"/>
    <n v="210101"/>
    <m/>
    <e v="#N/A"/>
  </r>
  <r>
    <x v="241"/>
    <x v="0"/>
    <m/>
    <x v="1"/>
    <x v="0"/>
    <x v="130"/>
    <n v="2"/>
    <s v="이그나이트"/>
    <n v="210101"/>
    <m/>
    <e v="#N/A"/>
  </r>
  <r>
    <x v="241"/>
    <x v="0"/>
    <m/>
    <x v="1"/>
    <x v="0"/>
    <x v="131"/>
    <n v="1"/>
    <s v="이그나이트 2set"/>
    <n v="210101"/>
    <m/>
    <e v="#N/A"/>
  </r>
  <r>
    <x v="241"/>
    <x v="0"/>
    <m/>
    <x v="1"/>
    <x v="0"/>
    <x v="115"/>
    <n v="2"/>
    <s v="스테이포에버"/>
    <n v="210101"/>
    <m/>
    <e v="#N/A"/>
  </r>
  <r>
    <x v="241"/>
    <x v="0"/>
    <m/>
    <x v="1"/>
    <x v="0"/>
    <x v="117"/>
    <n v="1"/>
    <s v="스테이포에버"/>
    <n v="210101"/>
    <m/>
    <e v="#N/A"/>
  </r>
  <r>
    <x v="242"/>
    <x v="3"/>
    <m/>
    <x v="1"/>
    <x v="0"/>
    <x v="111"/>
    <n v="15"/>
    <s v="스테이포에버"/>
    <n v="210101"/>
    <m/>
    <e v="#N/A"/>
  </r>
  <r>
    <x v="242"/>
    <x v="3"/>
    <m/>
    <x v="1"/>
    <x v="0"/>
    <x v="122"/>
    <n v="5"/>
    <s v="스테이포에버 2set"/>
    <n v="210101"/>
    <m/>
    <e v="#N/A"/>
  </r>
  <r>
    <x v="242"/>
    <x v="3"/>
    <m/>
    <x v="1"/>
    <x v="0"/>
    <x v="114"/>
    <n v="12"/>
    <s v="이그나이트 + 스테이포에버"/>
    <n v="210101"/>
    <m/>
    <e v="#N/A"/>
  </r>
  <r>
    <x v="242"/>
    <x v="3"/>
    <m/>
    <x v="1"/>
    <x v="0"/>
    <x v="123"/>
    <n v="1"/>
    <s v="이그나이트 + 스테이포에버"/>
    <n v="210101"/>
    <m/>
    <e v="#N/A"/>
  </r>
  <r>
    <x v="242"/>
    <x v="3"/>
    <m/>
    <x v="1"/>
    <x v="0"/>
    <x v="124"/>
    <n v="283"/>
    <s v="스테이포에버"/>
    <n v="210101"/>
    <m/>
    <e v="#N/A"/>
  </r>
  <r>
    <x v="242"/>
    <x v="3"/>
    <m/>
    <x v="1"/>
    <x v="0"/>
    <x v="126"/>
    <n v="126"/>
    <s v="스테이포에버 2set"/>
    <n v="210101"/>
    <m/>
    <e v="#N/A"/>
  </r>
  <r>
    <x v="242"/>
    <x v="3"/>
    <m/>
    <x v="1"/>
    <x v="0"/>
    <x v="128"/>
    <n v="15"/>
    <s v="이그나이트 + 스테이포에버"/>
    <n v="210101"/>
    <m/>
    <e v="#N/A"/>
  </r>
  <r>
    <x v="242"/>
    <x v="3"/>
    <m/>
    <x v="0"/>
    <x v="0"/>
    <x v="129"/>
    <n v="12"/>
    <s v="쇼핑백"/>
    <n v="210101"/>
    <m/>
    <e v="#N/A"/>
  </r>
  <r>
    <x v="242"/>
    <x v="3"/>
    <m/>
    <x v="1"/>
    <x v="0"/>
    <x v="130"/>
    <n v="4"/>
    <s v="이그나이트"/>
    <n v="210101"/>
    <m/>
    <e v="#N/A"/>
  </r>
  <r>
    <x v="242"/>
    <x v="3"/>
    <m/>
    <x v="1"/>
    <x v="0"/>
    <x v="131"/>
    <n v="1"/>
    <s v="이그나이트 2set"/>
    <n v="210101"/>
    <m/>
    <e v="#N/A"/>
  </r>
  <r>
    <x v="242"/>
    <x v="3"/>
    <m/>
    <x v="0"/>
    <x v="0"/>
    <x v="132"/>
    <n v="1"/>
    <s v="쇼핑백"/>
    <n v="210101"/>
    <m/>
    <e v="#N/A"/>
  </r>
  <r>
    <x v="242"/>
    <x v="3"/>
    <m/>
    <x v="1"/>
    <x v="0"/>
    <x v="115"/>
    <n v="1"/>
    <s v="스테이포에버"/>
    <n v="210101"/>
    <m/>
    <e v="#N/A"/>
  </r>
  <r>
    <x v="242"/>
    <x v="3"/>
    <m/>
    <x v="1"/>
    <x v="0"/>
    <x v="117"/>
    <n v="2"/>
    <s v="스테이포에버"/>
    <n v="210101"/>
    <m/>
    <e v="#N/A"/>
  </r>
  <r>
    <x v="243"/>
    <x v="4"/>
    <m/>
    <x v="1"/>
    <x v="2"/>
    <x v="41"/>
    <n v="1"/>
    <s v="스테이포에버"/>
    <n v="210101"/>
    <m/>
    <e v="#N/A"/>
  </r>
  <r>
    <x v="243"/>
    <x v="4"/>
    <m/>
    <x v="1"/>
    <x v="0"/>
    <x v="41"/>
    <n v="1"/>
    <s v="스테이포에버"/>
    <n v="210101"/>
    <m/>
    <e v="#N/A"/>
  </r>
  <r>
    <x v="243"/>
    <x v="4"/>
    <m/>
    <x v="1"/>
    <x v="0"/>
    <x v="121"/>
    <n v="1"/>
    <s v="이그나이트"/>
    <n v="210101"/>
    <m/>
    <e v="#N/A"/>
  </r>
  <r>
    <x v="243"/>
    <x v="4"/>
    <m/>
    <x v="1"/>
    <x v="0"/>
    <x v="111"/>
    <n v="14"/>
    <s v="스테이포에버"/>
    <n v="210101"/>
    <m/>
    <e v="#N/A"/>
  </r>
  <r>
    <x v="243"/>
    <x v="4"/>
    <m/>
    <x v="1"/>
    <x v="0"/>
    <x v="122"/>
    <n v="6"/>
    <s v="스테이포에버 2set"/>
    <n v="210101"/>
    <m/>
    <e v="#N/A"/>
  </r>
  <r>
    <x v="243"/>
    <x v="4"/>
    <m/>
    <x v="1"/>
    <x v="0"/>
    <x v="114"/>
    <n v="7"/>
    <s v="이그나이트 + 스테이포에버"/>
    <n v="210101"/>
    <m/>
    <e v="#N/A"/>
  </r>
  <r>
    <x v="243"/>
    <x v="4"/>
    <m/>
    <x v="1"/>
    <x v="0"/>
    <x v="124"/>
    <n v="290"/>
    <s v="스테이포에버"/>
    <n v="210101"/>
    <m/>
    <e v="#N/A"/>
  </r>
  <r>
    <x v="243"/>
    <x v="4"/>
    <m/>
    <x v="1"/>
    <x v="0"/>
    <x v="126"/>
    <n v="139"/>
    <s v="스테이포에버 2set"/>
    <n v="210101"/>
    <m/>
    <e v="#N/A"/>
  </r>
  <r>
    <x v="243"/>
    <x v="4"/>
    <m/>
    <x v="1"/>
    <x v="0"/>
    <x v="128"/>
    <n v="20"/>
    <s v="이그나이트 + 스테이포에버"/>
    <n v="210101"/>
    <m/>
    <e v="#N/A"/>
  </r>
  <r>
    <x v="243"/>
    <x v="4"/>
    <m/>
    <x v="0"/>
    <x v="0"/>
    <x v="129"/>
    <n v="16"/>
    <s v="쇼핑백"/>
    <n v="210101"/>
    <m/>
    <e v="#N/A"/>
  </r>
  <r>
    <x v="243"/>
    <x v="4"/>
    <m/>
    <x v="1"/>
    <x v="0"/>
    <x v="130"/>
    <n v="1"/>
    <s v="이그나이트"/>
    <n v="210101"/>
    <m/>
    <e v="#N/A"/>
  </r>
  <r>
    <x v="243"/>
    <x v="4"/>
    <m/>
    <x v="1"/>
    <x v="0"/>
    <x v="131"/>
    <n v="1"/>
    <s v="이그나이트 2set"/>
    <n v="210101"/>
    <m/>
    <e v="#N/A"/>
  </r>
  <r>
    <x v="244"/>
    <x v="1"/>
    <m/>
    <x v="1"/>
    <x v="0"/>
    <x v="41"/>
    <n v="4"/>
    <s v="스테이포에버"/>
    <n v="210101"/>
    <m/>
    <e v="#N/A"/>
  </r>
  <r>
    <x v="244"/>
    <x v="1"/>
    <m/>
    <x v="1"/>
    <x v="0"/>
    <x v="111"/>
    <n v="13"/>
    <s v="스테이포에버"/>
    <n v="210101"/>
    <m/>
    <e v="#N/A"/>
  </r>
  <r>
    <x v="244"/>
    <x v="1"/>
    <m/>
    <x v="1"/>
    <x v="0"/>
    <x v="122"/>
    <n v="6"/>
    <s v="스테이포에버 2set"/>
    <n v="210101"/>
    <m/>
    <e v="#N/A"/>
  </r>
  <r>
    <x v="244"/>
    <x v="1"/>
    <m/>
    <x v="1"/>
    <x v="0"/>
    <x v="114"/>
    <n v="10"/>
    <s v="이그나이트 + 스테이포에버"/>
    <n v="210101"/>
    <m/>
    <e v="#N/A"/>
  </r>
  <r>
    <x v="244"/>
    <x v="1"/>
    <m/>
    <x v="1"/>
    <x v="0"/>
    <x v="123"/>
    <n v="1"/>
    <s v="이그나이트 + 스테이포에버"/>
    <n v="210101"/>
    <m/>
    <e v="#N/A"/>
  </r>
  <r>
    <x v="244"/>
    <x v="1"/>
    <m/>
    <x v="1"/>
    <x v="0"/>
    <x v="124"/>
    <n v="242"/>
    <s v="스테이포에버"/>
    <n v="210101"/>
    <m/>
    <e v="#N/A"/>
  </r>
  <r>
    <x v="244"/>
    <x v="1"/>
    <m/>
    <x v="1"/>
    <x v="0"/>
    <x v="126"/>
    <n v="105"/>
    <s v="스테이포에버 2set"/>
    <n v="210101"/>
    <m/>
    <e v="#N/A"/>
  </r>
  <r>
    <x v="244"/>
    <x v="1"/>
    <m/>
    <x v="1"/>
    <x v="0"/>
    <x v="128"/>
    <n v="13"/>
    <s v="이그나이트 + 스테이포에버"/>
    <n v="210101"/>
    <m/>
    <e v="#N/A"/>
  </r>
  <r>
    <x v="244"/>
    <x v="1"/>
    <m/>
    <x v="0"/>
    <x v="0"/>
    <x v="129"/>
    <n v="6"/>
    <s v="쇼핑백"/>
    <n v="210101"/>
    <m/>
    <e v="#N/A"/>
  </r>
  <r>
    <x v="244"/>
    <x v="1"/>
    <m/>
    <x v="1"/>
    <x v="0"/>
    <x v="130"/>
    <n v="2"/>
    <s v="이그나이트"/>
    <n v="210101"/>
    <m/>
    <e v="#N/A"/>
  </r>
  <r>
    <x v="244"/>
    <x v="1"/>
    <m/>
    <x v="1"/>
    <x v="0"/>
    <x v="131"/>
    <n v="3"/>
    <s v="이그나이트 2set"/>
    <n v="210101"/>
    <m/>
    <e v="#N/A"/>
  </r>
  <r>
    <x v="244"/>
    <x v="1"/>
    <m/>
    <x v="1"/>
    <x v="0"/>
    <x v="100"/>
    <n v="1"/>
    <s v="스테이포에버 2set"/>
    <n v="210101"/>
    <m/>
    <e v="#N/A"/>
  </r>
  <r>
    <x v="245"/>
    <x v="2"/>
    <m/>
    <x v="1"/>
    <x v="0"/>
    <x v="121"/>
    <n v="2"/>
    <s v="이그나이트"/>
    <n v="210101"/>
    <m/>
    <e v="#N/A"/>
  </r>
  <r>
    <x v="245"/>
    <x v="2"/>
    <m/>
    <x v="1"/>
    <x v="0"/>
    <x v="111"/>
    <n v="16"/>
    <s v="스테이포에버"/>
    <n v="210101"/>
    <m/>
    <e v="#N/A"/>
  </r>
  <r>
    <x v="245"/>
    <x v="2"/>
    <m/>
    <x v="1"/>
    <x v="0"/>
    <x v="122"/>
    <n v="10"/>
    <s v="스테이포에버 2set"/>
    <n v="210101"/>
    <m/>
    <e v="#N/A"/>
  </r>
  <r>
    <x v="245"/>
    <x v="2"/>
    <m/>
    <x v="1"/>
    <x v="0"/>
    <x v="114"/>
    <n v="7"/>
    <s v="이그나이트 + 스테이포에버"/>
    <n v="210101"/>
    <m/>
    <e v="#N/A"/>
  </r>
  <r>
    <x v="245"/>
    <x v="2"/>
    <m/>
    <x v="1"/>
    <x v="0"/>
    <x v="124"/>
    <n v="387"/>
    <s v="스테이포에버"/>
    <n v="210101"/>
    <m/>
    <e v="#N/A"/>
  </r>
  <r>
    <x v="245"/>
    <x v="2"/>
    <m/>
    <x v="1"/>
    <x v="0"/>
    <x v="126"/>
    <n v="165"/>
    <s v="스테이포에버 2set"/>
    <n v="210101"/>
    <m/>
    <e v="#N/A"/>
  </r>
  <r>
    <x v="245"/>
    <x v="2"/>
    <m/>
    <x v="1"/>
    <x v="0"/>
    <x v="128"/>
    <n v="18"/>
    <s v="이그나이트 + 스테이포에버"/>
    <n v="210101"/>
    <m/>
    <e v="#N/A"/>
  </r>
  <r>
    <x v="245"/>
    <x v="2"/>
    <m/>
    <x v="0"/>
    <x v="0"/>
    <x v="129"/>
    <n v="18"/>
    <s v="쇼핑백"/>
    <n v="210101"/>
    <m/>
    <e v="#N/A"/>
  </r>
  <r>
    <x v="245"/>
    <x v="2"/>
    <m/>
    <x v="1"/>
    <x v="0"/>
    <x v="130"/>
    <n v="5"/>
    <s v="이그나이트"/>
    <n v="210101"/>
    <m/>
    <e v="#N/A"/>
  </r>
  <r>
    <x v="245"/>
    <x v="2"/>
    <m/>
    <x v="1"/>
    <x v="0"/>
    <x v="131"/>
    <n v="5"/>
    <s v="이그나이트 2set"/>
    <n v="210101"/>
    <m/>
    <e v="#N/A"/>
  </r>
  <r>
    <x v="246"/>
    <x v="5"/>
    <m/>
    <x v="1"/>
    <x v="0"/>
    <x v="111"/>
    <n v="12"/>
    <s v="스테이포에버"/>
    <n v="210101"/>
    <m/>
    <e v="#N/A"/>
  </r>
  <r>
    <x v="246"/>
    <x v="5"/>
    <m/>
    <x v="1"/>
    <x v="0"/>
    <x v="122"/>
    <n v="10"/>
    <s v="스테이포에버 2set"/>
    <n v="210101"/>
    <m/>
    <e v="#N/A"/>
  </r>
  <r>
    <x v="246"/>
    <x v="5"/>
    <m/>
    <x v="1"/>
    <x v="0"/>
    <x v="114"/>
    <n v="5"/>
    <s v="이그나이트 + 스테이포에버"/>
    <n v="210101"/>
    <m/>
    <e v="#N/A"/>
  </r>
  <r>
    <x v="246"/>
    <x v="5"/>
    <m/>
    <x v="1"/>
    <x v="0"/>
    <x v="123"/>
    <n v="4"/>
    <s v="이그나이트 + 스테이포에버"/>
    <n v="210101"/>
    <m/>
    <e v="#N/A"/>
  </r>
  <r>
    <x v="246"/>
    <x v="5"/>
    <m/>
    <x v="1"/>
    <x v="0"/>
    <x v="124"/>
    <n v="415"/>
    <s v="스테이포에버"/>
    <n v="210101"/>
    <m/>
    <e v="#N/A"/>
  </r>
  <r>
    <x v="246"/>
    <x v="5"/>
    <m/>
    <x v="1"/>
    <x v="0"/>
    <x v="126"/>
    <n v="172"/>
    <s v="스테이포에버 2set"/>
    <n v="210101"/>
    <m/>
    <e v="#N/A"/>
  </r>
  <r>
    <x v="246"/>
    <x v="5"/>
    <m/>
    <x v="1"/>
    <x v="0"/>
    <x v="128"/>
    <n v="32"/>
    <s v="이그나이트 + 스테이포에버"/>
    <n v="210101"/>
    <m/>
    <e v="#N/A"/>
  </r>
  <r>
    <x v="246"/>
    <x v="5"/>
    <m/>
    <x v="0"/>
    <x v="0"/>
    <x v="129"/>
    <n v="18"/>
    <s v="쇼핑백"/>
    <n v="210101"/>
    <m/>
    <e v="#N/A"/>
  </r>
  <r>
    <x v="246"/>
    <x v="5"/>
    <m/>
    <x v="1"/>
    <x v="0"/>
    <x v="130"/>
    <n v="8"/>
    <s v="이그나이트"/>
    <n v="210101"/>
    <m/>
    <e v="#N/A"/>
  </r>
  <r>
    <x v="246"/>
    <x v="5"/>
    <m/>
    <x v="1"/>
    <x v="0"/>
    <x v="131"/>
    <n v="1"/>
    <s v="이그나이트 2set"/>
    <n v="210101"/>
    <m/>
    <e v="#N/A"/>
  </r>
  <r>
    <x v="247"/>
    <x v="6"/>
    <m/>
    <x v="1"/>
    <x v="0"/>
    <x v="41"/>
    <n v="2"/>
    <s v="스테이포에버"/>
    <n v="210101"/>
    <m/>
    <e v="#N/A"/>
  </r>
  <r>
    <x v="247"/>
    <x v="6"/>
    <m/>
    <x v="1"/>
    <x v="0"/>
    <x v="121"/>
    <n v="2"/>
    <s v="이그나이트"/>
    <n v="210101"/>
    <m/>
    <e v="#N/A"/>
  </r>
  <r>
    <x v="247"/>
    <x v="6"/>
    <m/>
    <x v="1"/>
    <x v="0"/>
    <x v="111"/>
    <n v="10"/>
    <s v="스테이포에버"/>
    <n v="210101"/>
    <m/>
    <e v="#N/A"/>
  </r>
  <r>
    <x v="247"/>
    <x v="6"/>
    <m/>
    <x v="1"/>
    <x v="0"/>
    <x v="122"/>
    <n v="10"/>
    <s v="스테이포에버 2set"/>
    <n v="210101"/>
    <m/>
    <e v="#N/A"/>
  </r>
  <r>
    <x v="247"/>
    <x v="6"/>
    <m/>
    <x v="1"/>
    <x v="0"/>
    <x v="114"/>
    <n v="11"/>
    <s v="이그나이트 + 스테이포에버"/>
    <n v="210101"/>
    <m/>
    <e v="#N/A"/>
  </r>
  <r>
    <x v="247"/>
    <x v="6"/>
    <m/>
    <x v="1"/>
    <x v="0"/>
    <x v="123"/>
    <n v="1"/>
    <s v="이그나이트 + 스테이포에버"/>
    <n v="210101"/>
    <m/>
    <e v="#N/A"/>
  </r>
  <r>
    <x v="247"/>
    <x v="6"/>
    <m/>
    <x v="1"/>
    <x v="0"/>
    <x v="124"/>
    <n v="296"/>
    <s v="스테이포에버"/>
    <n v="210101"/>
    <m/>
    <e v="#N/A"/>
  </r>
  <r>
    <x v="247"/>
    <x v="6"/>
    <m/>
    <x v="1"/>
    <x v="0"/>
    <x v="126"/>
    <n v="120"/>
    <s v="스테이포에버 2set"/>
    <n v="210101"/>
    <m/>
    <e v="#N/A"/>
  </r>
  <r>
    <x v="247"/>
    <x v="6"/>
    <m/>
    <x v="1"/>
    <x v="0"/>
    <x v="128"/>
    <n v="24"/>
    <s v="이그나이트 + 스테이포에버"/>
    <n v="210101"/>
    <m/>
    <e v="#N/A"/>
  </r>
  <r>
    <x v="247"/>
    <x v="6"/>
    <m/>
    <x v="0"/>
    <x v="0"/>
    <x v="129"/>
    <n v="8"/>
    <s v="쇼핑백"/>
    <n v="210101"/>
    <m/>
    <e v="#N/A"/>
  </r>
  <r>
    <x v="247"/>
    <x v="6"/>
    <m/>
    <x v="1"/>
    <x v="0"/>
    <x v="130"/>
    <n v="11"/>
    <s v="이그나이트"/>
    <n v="210101"/>
    <m/>
    <e v="#N/A"/>
  </r>
  <r>
    <x v="248"/>
    <x v="0"/>
    <m/>
    <x v="1"/>
    <x v="0"/>
    <x v="41"/>
    <n v="1"/>
    <s v="스테이포에버"/>
    <n v="210101"/>
    <m/>
    <e v="#N/A"/>
  </r>
  <r>
    <x v="248"/>
    <x v="0"/>
    <m/>
    <x v="1"/>
    <x v="0"/>
    <x v="121"/>
    <n v="1"/>
    <s v="이그나이트"/>
    <n v="210101"/>
    <m/>
    <e v="#N/A"/>
  </r>
  <r>
    <x v="248"/>
    <x v="0"/>
    <m/>
    <x v="1"/>
    <x v="0"/>
    <x v="111"/>
    <n v="10"/>
    <s v="스테이포에버"/>
    <n v="210101"/>
    <m/>
    <e v="#N/A"/>
  </r>
  <r>
    <x v="248"/>
    <x v="0"/>
    <m/>
    <x v="1"/>
    <x v="0"/>
    <x v="122"/>
    <n v="7"/>
    <s v="스테이포에버 2set"/>
    <n v="210101"/>
    <m/>
    <e v="#N/A"/>
  </r>
  <r>
    <x v="248"/>
    <x v="0"/>
    <m/>
    <x v="1"/>
    <x v="0"/>
    <x v="114"/>
    <n v="11"/>
    <s v="이그나이트 + 스테이포에버"/>
    <n v="210101"/>
    <m/>
    <e v="#N/A"/>
  </r>
  <r>
    <x v="248"/>
    <x v="0"/>
    <m/>
    <x v="1"/>
    <x v="0"/>
    <x v="123"/>
    <n v="2"/>
    <s v="이그나이트 + 스테이포에버"/>
    <n v="210101"/>
    <m/>
    <e v="#N/A"/>
  </r>
  <r>
    <x v="248"/>
    <x v="0"/>
    <m/>
    <x v="1"/>
    <x v="0"/>
    <x v="124"/>
    <n v="224"/>
    <s v="스테이포에버"/>
    <n v="210101"/>
    <m/>
    <e v="#N/A"/>
  </r>
  <r>
    <x v="248"/>
    <x v="0"/>
    <m/>
    <x v="1"/>
    <x v="0"/>
    <x v="126"/>
    <n v="123"/>
    <s v="스테이포에버 2set"/>
    <n v="210101"/>
    <m/>
    <e v="#N/A"/>
  </r>
  <r>
    <x v="248"/>
    <x v="0"/>
    <m/>
    <x v="1"/>
    <x v="0"/>
    <x v="128"/>
    <n v="18"/>
    <s v="이그나이트 + 스테이포에버"/>
    <n v="210101"/>
    <m/>
    <e v="#N/A"/>
  </r>
  <r>
    <x v="248"/>
    <x v="0"/>
    <m/>
    <x v="0"/>
    <x v="0"/>
    <x v="129"/>
    <n v="13"/>
    <s v="쇼핑백"/>
    <n v="210101"/>
    <m/>
    <e v="#N/A"/>
  </r>
  <r>
    <x v="248"/>
    <x v="0"/>
    <m/>
    <x v="1"/>
    <x v="0"/>
    <x v="130"/>
    <n v="3"/>
    <s v="이그나이트"/>
    <n v="210101"/>
    <m/>
    <e v="#N/A"/>
  </r>
  <r>
    <x v="249"/>
    <x v="3"/>
    <m/>
    <x v="1"/>
    <x v="0"/>
    <x v="133"/>
    <n v="1"/>
    <s v="이그나이트 2set"/>
    <n v="210101"/>
    <m/>
    <e v="#N/A"/>
  </r>
  <r>
    <x v="249"/>
    <x v="3"/>
    <m/>
    <x v="1"/>
    <x v="0"/>
    <x v="111"/>
    <n v="9"/>
    <s v="스테이포에버"/>
    <n v="210101"/>
    <m/>
    <e v="#N/A"/>
  </r>
  <r>
    <x v="249"/>
    <x v="3"/>
    <m/>
    <x v="1"/>
    <x v="0"/>
    <x v="122"/>
    <n v="5"/>
    <s v="스테이포에버 2set"/>
    <n v="210101"/>
    <m/>
    <e v="#N/A"/>
  </r>
  <r>
    <x v="249"/>
    <x v="3"/>
    <m/>
    <x v="1"/>
    <x v="0"/>
    <x v="114"/>
    <n v="8"/>
    <s v="이그나이트 + 스테이포에버"/>
    <n v="210101"/>
    <m/>
    <e v="#N/A"/>
  </r>
  <r>
    <x v="249"/>
    <x v="3"/>
    <m/>
    <x v="1"/>
    <x v="0"/>
    <x v="123"/>
    <n v="2"/>
    <s v="이그나이트 + 스테이포에버"/>
    <n v="210101"/>
    <m/>
    <e v="#N/A"/>
  </r>
  <r>
    <x v="249"/>
    <x v="3"/>
    <m/>
    <x v="1"/>
    <x v="0"/>
    <x v="124"/>
    <n v="274"/>
    <s v="스테이포에버"/>
    <n v="210101"/>
    <m/>
    <e v="#N/A"/>
  </r>
  <r>
    <x v="249"/>
    <x v="3"/>
    <m/>
    <x v="1"/>
    <x v="0"/>
    <x v="126"/>
    <n v="138"/>
    <s v="스테이포에버 2set"/>
    <n v="210101"/>
    <m/>
    <e v="#N/A"/>
  </r>
  <r>
    <x v="249"/>
    <x v="3"/>
    <m/>
    <x v="1"/>
    <x v="0"/>
    <x v="128"/>
    <n v="17"/>
    <s v="이그나이트 + 스테이포에버"/>
    <n v="210101"/>
    <m/>
    <e v="#N/A"/>
  </r>
  <r>
    <x v="249"/>
    <x v="3"/>
    <m/>
    <x v="0"/>
    <x v="0"/>
    <x v="129"/>
    <n v="10"/>
    <s v="쇼핑백"/>
    <n v="210101"/>
    <m/>
    <e v="#N/A"/>
  </r>
  <r>
    <x v="249"/>
    <x v="3"/>
    <m/>
    <x v="1"/>
    <x v="0"/>
    <x v="130"/>
    <n v="1"/>
    <s v="이그나이트"/>
    <n v="210101"/>
    <m/>
    <e v="#N/A"/>
  </r>
  <r>
    <x v="249"/>
    <x v="3"/>
    <m/>
    <x v="1"/>
    <x v="0"/>
    <x v="131"/>
    <n v="1"/>
    <s v="이그나이트 2set"/>
    <n v="210101"/>
    <m/>
    <e v="#N/A"/>
  </r>
  <r>
    <x v="250"/>
    <x v="4"/>
    <m/>
    <x v="1"/>
    <x v="0"/>
    <x v="134"/>
    <n v="1"/>
    <s v="이그나이트"/>
    <n v="210101"/>
    <m/>
    <e v="#N/A"/>
  </r>
  <r>
    <x v="250"/>
    <x v="4"/>
    <m/>
    <x v="1"/>
    <x v="0"/>
    <x v="135"/>
    <n v="9"/>
    <s v="스테이포에버"/>
    <n v="210101"/>
    <m/>
    <e v="#N/A"/>
  </r>
  <r>
    <x v="250"/>
    <x v="4"/>
    <m/>
    <x v="1"/>
    <x v="0"/>
    <x v="136"/>
    <n v="4"/>
    <s v="스테이포에버 2set"/>
    <n v="210101"/>
    <m/>
    <e v="#N/A"/>
  </r>
  <r>
    <x v="250"/>
    <x v="4"/>
    <m/>
    <x v="1"/>
    <x v="0"/>
    <x v="137"/>
    <n v="12"/>
    <s v="이그나이트 + 스테이포에버"/>
    <n v="210101"/>
    <m/>
    <e v="#N/A"/>
  </r>
  <r>
    <x v="250"/>
    <x v="4"/>
    <m/>
    <x v="1"/>
    <x v="0"/>
    <x v="138"/>
    <n v="181"/>
    <s v="스테이포에버"/>
    <n v="210101"/>
    <m/>
    <e v="#N/A"/>
  </r>
  <r>
    <x v="250"/>
    <x v="4"/>
    <m/>
    <x v="1"/>
    <x v="0"/>
    <x v="139"/>
    <n v="79"/>
    <s v="스테이포에버 2set"/>
    <n v="210101"/>
    <m/>
    <e v="#N/A"/>
  </r>
  <r>
    <x v="250"/>
    <x v="4"/>
    <m/>
    <x v="1"/>
    <x v="0"/>
    <x v="140"/>
    <n v="16"/>
    <s v="이그나이트 + 스테이포에버"/>
    <n v="210101"/>
    <m/>
    <e v="#N/A"/>
  </r>
  <r>
    <x v="250"/>
    <x v="4"/>
    <m/>
    <x v="0"/>
    <x v="0"/>
    <x v="0"/>
    <n v="7"/>
    <s v="쇼핑백"/>
    <n v="210101"/>
    <m/>
    <e v="#N/A"/>
  </r>
  <r>
    <x v="250"/>
    <x v="4"/>
    <m/>
    <x v="1"/>
    <x v="0"/>
    <x v="41"/>
    <n v="1"/>
    <s v="스테이포에버"/>
    <n v="210101"/>
    <m/>
    <e v="#N/A"/>
  </r>
  <r>
    <x v="250"/>
    <x v="4"/>
    <m/>
    <x v="1"/>
    <x v="0"/>
    <x v="141"/>
    <n v="1"/>
    <s v="이그나이트"/>
    <n v="210101"/>
    <m/>
    <e v="#N/A"/>
  </r>
  <r>
    <x v="250"/>
    <x v="4"/>
    <m/>
    <x v="1"/>
    <x v="0"/>
    <x v="111"/>
    <n v="6"/>
    <s v="스테이포에버"/>
    <n v="210101"/>
    <m/>
    <e v="#N/A"/>
  </r>
  <r>
    <x v="250"/>
    <x v="4"/>
    <m/>
    <x v="1"/>
    <x v="0"/>
    <x v="114"/>
    <n v="2"/>
    <s v="이그나이트 + 스테이포에버"/>
    <n v="210101"/>
    <m/>
    <e v="#N/A"/>
  </r>
  <r>
    <x v="250"/>
    <x v="4"/>
    <m/>
    <x v="1"/>
    <x v="0"/>
    <x v="124"/>
    <n v="75"/>
    <s v="스테이포에버"/>
    <n v="210101"/>
    <m/>
    <e v="#N/A"/>
  </r>
  <r>
    <x v="250"/>
    <x v="4"/>
    <m/>
    <x v="1"/>
    <x v="0"/>
    <x v="126"/>
    <n v="28"/>
    <s v="스테이포에버 2set"/>
    <n v="210101"/>
    <m/>
    <e v="#N/A"/>
  </r>
  <r>
    <x v="250"/>
    <x v="4"/>
    <m/>
    <x v="1"/>
    <x v="0"/>
    <x v="128"/>
    <n v="7"/>
    <s v="이그나이트 + 스테이포에버"/>
    <n v="210101"/>
    <m/>
    <e v="#N/A"/>
  </r>
  <r>
    <x v="250"/>
    <x v="4"/>
    <m/>
    <x v="0"/>
    <x v="0"/>
    <x v="129"/>
    <n v="1"/>
    <s v="쇼핑백"/>
    <n v="210101"/>
    <m/>
    <e v="#N/A"/>
  </r>
  <r>
    <x v="250"/>
    <x v="4"/>
    <m/>
    <x v="1"/>
    <x v="0"/>
    <x v="130"/>
    <n v="1"/>
    <s v="이그나이트"/>
    <n v="210101"/>
    <m/>
    <e v="#N/A"/>
  </r>
  <r>
    <x v="250"/>
    <x v="4"/>
    <m/>
    <x v="1"/>
    <x v="0"/>
    <x v="131"/>
    <n v="1"/>
    <s v="이그나이트 2set"/>
    <n v="210101"/>
    <m/>
    <e v="#N/A"/>
  </r>
  <r>
    <x v="251"/>
    <x v="1"/>
    <m/>
    <x v="1"/>
    <x v="2"/>
    <x v="41"/>
    <n v="1"/>
    <s v="스테이포에버"/>
    <n v="210101"/>
    <m/>
    <e v="#N/A"/>
  </r>
  <r>
    <x v="251"/>
    <x v="1"/>
    <m/>
    <x v="1"/>
    <x v="0"/>
    <x v="134"/>
    <n v="3"/>
    <s v="이그나이트"/>
    <n v="210101"/>
    <m/>
    <e v="#N/A"/>
  </r>
  <r>
    <x v="251"/>
    <x v="1"/>
    <m/>
    <x v="1"/>
    <x v="0"/>
    <x v="135"/>
    <n v="12"/>
    <s v="스테이포에버"/>
    <n v="210101"/>
    <m/>
    <e v="#N/A"/>
  </r>
  <r>
    <x v="251"/>
    <x v="1"/>
    <m/>
    <x v="1"/>
    <x v="0"/>
    <x v="136"/>
    <n v="4"/>
    <s v="스테이포에버 2set"/>
    <n v="210101"/>
    <m/>
    <e v="#N/A"/>
  </r>
  <r>
    <x v="251"/>
    <x v="1"/>
    <m/>
    <x v="1"/>
    <x v="0"/>
    <x v="137"/>
    <n v="8"/>
    <s v="이그나이트 + 스테이포에버"/>
    <n v="210101"/>
    <m/>
    <e v="#N/A"/>
  </r>
  <r>
    <x v="251"/>
    <x v="1"/>
    <m/>
    <x v="1"/>
    <x v="0"/>
    <x v="138"/>
    <n v="214"/>
    <s v="스테이포에버"/>
    <n v="210101"/>
    <m/>
    <e v="#N/A"/>
  </r>
  <r>
    <x v="251"/>
    <x v="1"/>
    <m/>
    <x v="1"/>
    <x v="0"/>
    <x v="139"/>
    <n v="121"/>
    <s v="스테이포에버 2set"/>
    <n v="210101"/>
    <m/>
    <e v="#N/A"/>
  </r>
  <r>
    <x v="251"/>
    <x v="1"/>
    <m/>
    <x v="1"/>
    <x v="0"/>
    <x v="140"/>
    <n v="14"/>
    <s v="이그나이트 + 스테이포에버"/>
    <n v="210101"/>
    <m/>
    <e v="#N/A"/>
  </r>
  <r>
    <x v="251"/>
    <x v="1"/>
    <m/>
    <x v="0"/>
    <x v="0"/>
    <x v="0"/>
    <n v="7"/>
    <s v="쇼핑백"/>
    <n v="210101"/>
    <m/>
    <e v="#N/A"/>
  </r>
  <r>
    <x v="251"/>
    <x v="1"/>
    <m/>
    <x v="1"/>
    <x v="0"/>
    <x v="141"/>
    <n v="4"/>
    <s v="이그나이트"/>
    <n v="210101"/>
    <m/>
    <e v="#N/A"/>
  </r>
  <r>
    <x v="251"/>
    <x v="1"/>
    <m/>
    <x v="1"/>
    <x v="0"/>
    <x v="142"/>
    <n v="1"/>
    <s v="이그나이트 2set"/>
    <n v="210101"/>
    <m/>
    <e v="#N/A"/>
  </r>
  <r>
    <x v="251"/>
    <x v="1"/>
    <m/>
    <x v="0"/>
    <x v="0"/>
    <x v="143"/>
    <n v="1"/>
    <s v="쇼핑백"/>
    <n v="210101"/>
    <m/>
    <e v="#N/A"/>
  </r>
  <r>
    <x v="251"/>
    <x v="1"/>
    <m/>
    <x v="1"/>
    <x v="0"/>
    <x v="124"/>
    <n v="2"/>
    <s v="스테이포에버"/>
    <n v="210101"/>
    <m/>
    <e v="#N/A"/>
  </r>
  <r>
    <x v="251"/>
    <x v="1"/>
    <m/>
    <x v="1"/>
    <x v="0"/>
    <x v="126"/>
    <n v="2"/>
    <s v="스테이포에버 2set"/>
    <n v="210101"/>
    <m/>
    <e v="#N/A"/>
  </r>
  <r>
    <x v="252"/>
    <x v="2"/>
    <m/>
    <x v="1"/>
    <x v="0"/>
    <x v="134"/>
    <n v="1"/>
    <s v="이그나이트"/>
    <n v="210101"/>
    <m/>
    <e v="#N/A"/>
  </r>
  <r>
    <x v="252"/>
    <x v="2"/>
    <m/>
    <x v="1"/>
    <x v="0"/>
    <x v="135"/>
    <n v="5"/>
    <s v="스테이포에버"/>
    <n v="210101"/>
    <m/>
    <e v="#N/A"/>
  </r>
  <r>
    <x v="252"/>
    <x v="2"/>
    <m/>
    <x v="1"/>
    <x v="0"/>
    <x v="136"/>
    <n v="6"/>
    <s v="스테이포에버 2set"/>
    <n v="210101"/>
    <m/>
    <e v="#N/A"/>
  </r>
  <r>
    <x v="252"/>
    <x v="2"/>
    <m/>
    <x v="1"/>
    <x v="0"/>
    <x v="137"/>
    <n v="10"/>
    <s v="이그나이트 + 스테이포에버"/>
    <n v="210101"/>
    <m/>
    <e v="#N/A"/>
  </r>
  <r>
    <x v="252"/>
    <x v="2"/>
    <m/>
    <x v="1"/>
    <x v="0"/>
    <x v="138"/>
    <n v="266"/>
    <s v="스테이포에버"/>
    <n v="210101"/>
    <m/>
    <e v="#N/A"/>
  </r>
  <r>
    <x v="252"/>
    <x v="2"/>
    <m/>
    <x v="1"/>
    <x v="0"/>
    <x v="139"/>
    <n v="100"/>
    <s v="스테이포에버 2set"/>
    <n v="210101"/>
    <m/>
    <e v="#N/A"/>
  </r>
  <r>
    <x v="252"/>
    <x v="2"/>
    <m/>
    <x v="1"/>
    <x v="0"/>
    <x v="140"/>
    <n v="13"/>
    <s v="이그나이트 + 스테이포에버"/>
    <n v="210101"/>
    <m/>
    <e v="#N/A"/>
  </r>
  <r>
    <x v="252"/>
    <x v="2"/>
    <m/>
    <x v="0"/>
    <x v="0"/>
    <x v="0"/>
    <n v="16"/>
    <s v="쇼핑백"/>
    <n v="210101"/>
    <m/>
    <e v="#N/A"/>
  </r>
  <r>
    <x v="252"/>
    <x v="2"/>
    <m/>
    <x v="1"/>
    <x v="0"/>
    <x v="141"/>
    <n v="3"/>
    <s v="이그나이트"/>
    <n v="210101"/>
    <m/>
    <e v="#N/A"/>
  </r>
  <r>
    <x v="252"/>
    <x v="2"/>
    <m/>
    <x v="1"/>
    <x v="0"/>
    <x v="142"/>
    <n v="4"/>
    <s v="이그나이트 2set"/>
    <n v="210101"/>
    <m/>
    <e v="#N/A"/>
  </r>
  <r>
    <x v="252"/>
    <x v="2"/>
    <m/>
    <x v="1"/>
    <x v="0"/>
    <x v="121"/>
    <n v="1"/>
    <s v="이그나이트"/>
    <n v="210101"/>
    <m/>
    <e v="#N/A"/>
  </r>
  <r>
    <x v="253"/>
    <x v="5"/>
    <m/>
    <x v="1"/>
    <x v="0"/>
    <x v="135"/>
    <n v="12"/>
    <s v="스테이포에버"/>
    <n v="210101"/>
    <m/>
    <e v="#N/A"/>
  </r>
  <r>
    <x v="253"/>
    <x v="5"/>
    <m/>
    <x v="1"/>
    <x v="0"/>
    <x v="136"/>
    <n v="11"/>
    <s v="스테이포에버 2set"/>
    <n v="210101"/>
    <m/>
    <e v="#N/A"/>
  </r>
  <r>
    <x v="253"/>
    <x v="5"/>
    <m/>
    <x v="1"/>
    <x v="0"/>
    <x v="137"/>
    <n v="15"/>
    <s v="이그나이트 + 스테이포에버"/>
    <n v="210101"/>
    <m/>
    <e v="#N/A"/>
  </r>
  <r>
    <x v="253"/>
    <x v="5"/>
    <m/>
    <x v="1"/>
    <x v="0"/>
    <x v="144"/>
    <n v="3"/>
    <s v="이그나이트 + 스테이포에버"/>
    <n v="210101"/>
    <m/>
    <e v="#N/A"/>
  </r>
  <r>
    <x v="253"/>
    <x v="5"/>
    <m/>
    <x v="1"/>
    <x v="0"/>
    <x v="138"/>
    <n v="270"/>
    <s v="스테이포에버"/>
    <n v="210101"/>
    <m/>
    <e v="#N/A"/>
  </r>
  <r>
    <x v="253"/>
    <x v="5"/>
    <m/>
    <x v="1"/>
    <x v="0"/>
    <x v="139"/>
    <n v="139"/>
    <s v="스테이포에버 2set"/>
    <n v="210101"/>
    <m/>
    <e v="#N/A"/>
  </r>
  <r>
    <x v="253"/>
    <x v="5"/>
    <m/>
    <x v="1"/>
    <x v="0"/>
    <x v="140"/>
    <n v="18"/>
    <s v="이그나이트 + 스테이포에버"/>
    <n v="210101"/>
    <m/>
    <e v="#N/A"/>
  </r>
  <r>
    <x v="253"/>
    <x v="5"/>
    <m/>
    <x v="0"/>
    <x v="0"/>
    <x v="0"/>
    <n v="17"/>
    <s v="쇼핑백"/>
    <n v="210101"/>
    <m/>
    <e v="#N/A"/>
  </r>
  <r>
    <x v="253"/>
    <x v="5"/>
    <m/>
    <x v="1"/>
    <x v="0"/>
    <x v="141"/>
    <n v="3"/>
    <s v="이그나이트"/>
    <n v="210101"/>
    <m/>
    <e v="#N/A"/>
  </r>
  <r>
    <x v="253"/>
    <x v="5"/>
    <m/>
    <x v="1"/>
    <x v="0"/>
    <x v="142"/>
    <n v="1"/>
    <s v="이그나이트 2set"/>
    <n v="210101"/>
    <m/>
    <e v="#N/A"/>
  </r>
  <r>
    <x v="254"/>
    <x v="6"/>
    <m/>
    <x v="1"/>
    <x v="0"/>
    <x v="134"/>
    <n v="3"/>
    <s v="이그나이트"/>
    <n v="210101"/>
    <m/>
    <e v="#N/A"/>
  </r>
  <r>
    <x v="254"/>
    <x v="6"/>
    <m/>
    <x v="1"/>
    <x v="0"/>
    <x v="145"/>
    <n v="1"/>
    <s v="이그나이트 2set"/>
    <n v="210101"/>
    <m/>
    <e v="#N/A"/>
  </r>
  <r>
    <x v="254"/>
    <x v="6"/>
    <m/>
    <x v="1"/>
    <x v="0"/>
    <x v="135"/>
    <n v="12"/>
    <s v="스테이포에버"/>
    <n v="210101"/>
    <m/>
    <e v="#N/A"/>
  </r>
  <r>
    <x v="254"/>
    <x v="6"/>
    <m/>
    <x v="1"/>
    <x v="0"/>
    <x v="136"/>
    <n v="4"/>
    <s v="스테이포에버 2set"/>
    <n v="210101"/>
    <m/>
    <e v="#N/A"/>
  </r>
  <r>
    <x v="254"/>
    <x v="6"/>
    <m/>
    <x v="1"/>
    <x v="0"/>
    <x v="137"/>
    <n v="9"/>
    <s v="이그나이트 + 스테이포에버"/>
    <n v="210101"/>
    <m/>
    <e v="#N/A"/>
  </r>
  <r>
    <x v="254"/>
    <x v="6"/>
    <m/>
    <x v="1"/>
    <x v="0"/>
    <x v="144"/>
    <n v="1"/>
    <s v="이그나이트 + 스테이포에버"/>
    <n v="210101"/>
    <m/>
    <e v="#N/A"/>
  </r>
  <r>
    <x v="254"/>
    <x v="6"/>
    <m/>
    <x v="1"/>
    <x v="0"/>
    <x v="138"/>
    <n v="291"/>
    <s v="스테이포에버"/>
    <n v="210101"/>
    <m/>
    <e v="#N/A"/>
  </r>
  <r>
    <x v="254"/>
    <x v="6"/>
    <m/>
    <x v="1"/>
    <x v="0"/>
    <x v="139"/>
    <n v="123"/>
    <s v="스테이포에버 2set"/>
    <n v="210101"/>
    <m/>
    <e v="#N/A"/>
  </r>
  <r>
    <x v="254"/>
    <x v="6"/>
    <m/>
    <x v="1"/>
    <x v="0"/>
    <x v="140"/>
    <n v="14"/>
    <s v="이그나이트 + 스테이포에버"/>
    <n v="210101"/>
    <m/>
    <e v="#N/A"/>
  </r>
  <r>
    <x v="254"/>
    <x v="6"/>
    <m/>
    <x v="0"/>
    <x v="0"/>
    <x v="0"/>
    <n v="7"/>
    <s v="쇼핑백"/>
    <n v="210101"/>
    <m/>
    <e v="#N/A"/>
  </r>
  <r>
    <x v="254"/>
    <x v="6"/>
    <m/>
    <x v="1"/>
    <x v="0"/>
    <x v="41"/>
    <n v="2"/>
    <s v="스테이포에버"/>
    <n v="210101"/>
    <m/>
    <e v="#N/A"/>
  </r>
  <r>
    <x v="254"/>
    <x v="6"/>
    <m/>
    <x v="1"/>
    <x v="0"/>
    <x v="141"/>
    <n v="2"/>
    <s v="이그나이트"/>
    <n v="210101"/>
    <m/>
    <e v="#N/A"/>
  </r>
  <r>
    <x v="254"/>
    <x v="6"/>
    <m/>
    <x v="1"/>
    <x v="0"/>
    <x v="142"/>
    <n v="2"/>
    <s v="이그나이트 2set"/>
    <n v="210101"/>
    <m/>
    <e v="#N/A"/>
  </r>
  <r>
    <x v="254"/>
    <x v="6"/>
    <m/>
    <x v="1"/>
    <x v="0"/>
    <x v="146"/>
    <n v="1"/>
    <s v="이그나이트"/>
    <n v="210101"/>
    <m/>
    <e v="#N/A"/>
  </r>
  <r>
    <x v="254"/>
    <x v="6"/>
    <m/>
    <x v="1"/>
    <x v="0"/>
    <x v="124"/>
    <n v="1"/>
    <s v="스테이포에버"/>
    <n v="210101"/>
    <m/>
    <e v="#N/A"/>
  </r>
  <r>
    <x v="255"/>
    <x v="0"/>
    <m/>
    <x v="1"/>
    <x v="2"/>
    <x v="147"/>
    <n v="1"/>
    <s v="스테이포에버"/>
    <n v="210101"/>
    <m/>
    <e v="#N/A"/>
  </r>
  <r>
    <x v="255"/>
    <x v="0"/>
    <m/>
    <x v="0"/>
    <x v="0"/>
    <x v="148"/>
    <n v="1"/>
    <s v="쇼핑백"/>
    <n v="210101"/>
    <m/>
    <e v="#N/A"/>
  </r>
  <r>
    <x v="255"/>
    <x v="0"/>
    <m/>
    <x v="1"/>
    <x v="0"/>
    <x v="134"/>
    <n v="4"/>
    <s v="이그나이트"/>
    <n v="210101"/>
    <m/>
    <e v="#N/A"/>
  </r>
  <r>
    <x v="255"/>
    <x v="0"/>
    <m/>
    <x v="1"/>
    <x v="0"/>
    <x v="135"/>
    <n v="11"/>
    <s v="스테이포에버"/>
    <n v="210101"/>
    <m/>
    <e v="#N/A"/>
  </r>
  <r>
    <x v="255"/>
    <x v="0"/>
    <m/>
    <x v="1"/>
    <x v="0"/>
    <x v="136"/>
    <n v="9"/>
    <s v="스테이포에버 2set"/>
    <n v="210101"/>
    <m/>
    <e v="#N/A"/>
  </r>
  <r>
    <x v="255"/>
    <x v="0"/>
    <m/>
    <x v="1"/>
    <x v="0"/>
    <x v="137"/>
    <n v="5"/>
    <s v="이그나이트 + 스테이포에버"/>
    <n v="210101"/>
    <m/>
    <e v="#N/A"/>
  </r>
  <r>
    <x v="255"/>
    <x v="0"/>
    <m/>
    <x v="1"/>
    <x v="0"/>
    <x v="144"/>
    <n v="1"/>
    <s v="이그나이트 + 스테이포에버"/>
    <n v="210101"/>
    <m/>
    <e v="#N/A"/>
  </r>
  <r>
    <x v="255"/>
    <x v="0"/>
    <m/>
    <x v="1"/>
    <x v="0"/>
    <x v="138"/>
    <n v="279"/>
    <s v="스테이포에버"/>
    <n v="210101"/>
    <m/>
    <e v="#N/A"/>
  </r>
  <r>
    <x v="255"/>
    <x v="0"/>
    <m/>
    <x v="1"/>
    <x v="0"/>
    <x v="139"/>
    <n v="118"/>
    <s v="스테이포에버 2set"/>
    <n v="210101"/>
    <m/>
    <e v="#N/A"/>
  </r>
  <r>
    <x v="255"/>
    <x v="0"/>
    <m/>
    <x v="1"/>
    <x v="0"/>
    <x v="140"/>
    <n v="8"/>
    <s v="이그나이트 + 스테이포에버"/>
    <n v="210101"/>
    <m/>
    <e v="#N/A"/>
  </r>
  <r>
    <x v="255"/>
    <x v="0"/>
    <m/>
    <x v="0"/>
    <x v="0"/>
    <x v="0"/>
    <n v="6"/>
    <s v="쇼핑백"/>
    <n v="210101"/>
    <m/>
    <e v="#N/A"/>
  </r>
  <r>
    <x v="255"/>
    <x v="0"/>
    <m/>
    <x v="1"/>
    <x v="0"/>
    <x v="141"/>
    <n v="6"/>
    <s v="이그나이트"/>
    <n v="210101"/>
    <m/>
    <e v="#N/A"/>
  </r>
  <r>
    <x v="255"/>
    <x v="0"/>
    <m/>
    <x v="1"/>
    <x v="0"/>
    <x v="142"/>
    <n v="2"/>
    <s v="이그나이트 2set"/>
    <n v="210101"/>
    <m/>
    <e v="#N/A"/>
  </r>
  <r>
    <x v="255"/>
    <x v="0"/>
    <m/>
    <x v="1"/>
    <x v="0"/>
    <x v="124"/>
    <n v="1"/>
    <s v="스테이포에버"/>
    <n v="210101"/>
    <m/>
    <e v="#N/A"/>
  </r>
  <r>
    <x v="255"/>
    <x v="0"/>
    <m/>
    <x v="1"/>
    <x v="0"/>
    <x v="128"/>
    <n v="1"/>
    <s v="이그나이트 + 스테이포에버"/>
    <n v="210101"/>
    <m/>
    <e v="#N/A"/>
  </r>
  <r>
    <x v="256"/>
    <x v="3"/>
    <m/>
    <x v="1"/>
    <x v="2"/>
    <x v="41"/>
    <n v="3"/>
    <s v="스테이포에버"/>
    <n v="210101"/>
    <m/>
    <e v="#N/A"/>
  </r>
  <r>
    <x v="256"/>
    <x v="3"/>
    <m/>
    <x v="1"/>
    <x v="2"/>
    <x v="147"/>
    <n v="6"/>
    <s v="스테이포에버"/>
    <n v="210101"/>
    <m/>
    <e v="#N/A"/>
  </r>
  <r>
    <x v="256"/>
    <x v="3"/>
    <m/>
    <x v="0"/>
    <x v="0"/>
    <x v="148"/>
    <n v="7"/>
    <s v="쇼핑백"/>
    <n v="210101"/>
    <m/>
    <e v="#N/A"/>
  </r>
  <r>
    <x v="256"/>
    <x v="3"/>
    <m/>
    <x v="1"/>
    <x v="0"/>
    <x v="134"/>
    <n v="5"/>
    <s v="이그나이트"/>
    <n v="210101"/>
    <m/>
    <e v="#N/A"/>
  </r>
  <r>
    <x v="256"/>
    <x v="3"/>
    <m/>
    <x v="1"/>
    <x v="0"/>
    <x v="145"/>
    <n v="4"/>
    <s v="이그나이트 2set"/>
    <n v="210101"/>
    <m/>
    <e v="#N/A"/>
  </r>
  <r>
    <x v="256"/>
    <x v="3"/>
    <m/>
    <x v="1"/>
    <x v="0"/>
    <x v="135"/>
    <n v="51"/>
    <s v="스테이포에버"/>
    <n v="210101"/>
    <m/>
    <e v="#N/A"/>
  </r>
  <r>
    <x v="256"/>
    <x v="3"/>
    <m/>
    <x v="1"/>
    <x v="0"/>
    <x v="136"/>
    <n v="66"/>
    <s v="스테이포에버 2set"/>
    <n v="210101"/>
    <m/>
    <e v="#N/A"/>
  </r>
  <r>
    <x v="256"/>
    <x v="3"/>
    <m/>
    <x v="1"/>
    <x v="0"/>
    <x v="137"/>
    <n v="52"/>
    <s v="이그나이트 + 스테이포에버"/>
    <n v="210101"/>
    <m/>
    <e v="#N/A"/>
  </r>
  <r>
    <x v="256"/>
    <x v="3"/>
    <m/>
    <x v="1"/>
    <x v="0"/>
    <x v="144"/>
    <n v="9"/>
    <s v="이그나이트 + 스테이포에버"/>
    <n v="210101"/>
    <m/>
    <e v="#N/A"/>
  </r>
  <r>
    <x v="256"/>
    <x v="3"/>
    <m/>
    <x v="1"/>
    <x v="0"/>
    <x v="138"/>
    <n v="279"/>
    <s v="스테이포에버"/>
    <n v="210101"/>
    <m/>
    <e v="#N/A"/>
  </r>
  <r>
    <x v="256"/>
    <x v="3"/>
    <m/>
    <x v="1"/>
    <x v="0"/>
    <x v="139"/>
    <n v="162"/>
    <s v="스테이포에버 2set"/>
    <n v="210101"/>
    <m/>
    <e v="#N/A"/>
  </r>
  <r>
    <x v="256"/>
    <x v="3"/>
    <m/>
    <x v="1"/>
    <x v="0"/>
    <x v="140"/>
    <n v="24"/>
    <s v="이그나이트 + 스테이포에버"/>
    <n v="210101"/>
    <m/>
    <e v="#N/A"/>
  </r>
  <r>
    <x v="256"/>
    <x v="3"/>
    <m/>
    <x v="0"/>
    <x v="0"/>
    <x v="0"/>
    <n v="10"/>
    <s v="쇼핑백"/>
    <n v="210101"/>
    <m/>
    <e v="#N/A"/>
  </r>
  <r>
    <x v="256"/>
    <x v="3"/>
    <m/>
    <x v="1"/>
    <x v="0"/>
    <x v="141"/>
    <n v="4"/>
    <s v="이그나이트"/>
    <n v="210101"/>
    <m/>
    <e v="#N/A"/>
  </r>
  <r>
    <x v="256"/>
    <x v="3"/>
    <m/>
    <x v="0"/>
    <x v="0"/>
    <x v="143"/>
    <n v="2"/>
    <s v="쇼핑백"/>
    <n v="210101"/>
    <m/>
    <e v="#N/A"/>
  </r>
  <r>
    <x v="256"/>
    <x v="3"/>
    <m/>
    <x v="1"/>
    <x v="0"/>
    <x v="124"/>
    <n v="1"/>
    <s v="스테이포에버"/>
    <n v="210101"/>
    <m/>
    <e v="#N/A"/>
  </r>
  <r>
    <x v="257"/>
    <x v="4"/>
    <m/>
    <x v="1"/>
    <x v="2"/>
    <x v="147"/>
    <n v="1"/>
    <s v="스테이포에버"/>
    <n v="210101"/>
    <m/>
    <e v="#N/A"/>
  </r>
  <r>
    <x v="257"/>
    <x v="4"/>
    <m/>
    <x v="0"/>
    <x v="0"/>
    <x v="148"/>
    <n v="1"/>
    <s v="쇼핑백"/>
    <n v="210101"/>
    <m/>
    <e v="#N/A"/>
  </r>
  <r>
    <x v="257"/>
    <x v="4"/>
    <m/>
    <x v="1"/>
    <x v="0"/>
    <x v="134"/>
    <n v="2"/>
    <s v="이그나이트"/>
    <n v="210101"/>
    <m/>
    <e v="#N/A"/>
  </r>
  <r>
    <x v="257"/>
    <x v="4"/>
    <m/>
    <x v="1"/>
    <x v="0"/>
    <x v="145"/>
    <n v="1"/>
    <s v="이그나이트 2set"/>
    <n v="210101"/>
    <m/>
    <e v="#N/A"/>
  </r>
  <r>
    <x v="257"/>
    <x v="4"/>
    <m/>
    <x v="1"/>
    <x v="0"/>
    <x v="135"/>
    <n v="21"/>
    <s v="스테이포에버"/>
    <n v="210101"/>
    <m/>
    <e v="#N/A"/>
  </r>
  <r>
    <x v="257"/>
    <x v="4"/>
    <m/>
    <x v="1"/>
    <x v="0"/>
    <x v="136"/>
    <n v="6"/>
    <s v="스테이포에버 2set"/>
    <n v="210101"/>
    <m/>
    <e v="#N/A"/>
  </r>
  <r>
    <x v="257"/>
    <x v="4"/>
    <m/>
    <x v="1"/>
    <x v="0"/>
    <x v="137"/>
    <n v="21"/>
    <s v="이그나이트 + 스테이포에버"/>
    <n v="210101"/>
    <m/>
    <e v="#N/A"/>
  </r>
  <r>
    <x v="257"/>
    <x v="4"/>
    <m/>
    <x v="1"/>
    <x v="0"/>
    <x v="144"/>
    <n v="1"/>
    <s v="이그나이트 + 스테이포에버"/>
    <n v="210101"/>
    <m/>
    <e v="#N/A"/>
  </r>
  <r>
    <x v="257"/>
    <x v="4"/>
    <m/>
    <x v="1"/>
    <x v="0"/>
    <x v="138"/>
    <n v="221"/>
    <s v="스테이포에버"/>
    <n v="210101"/>
    <m/>
    <e v="#N/A"/>
  </r>
  <r>
    <x v="257"/>
    <x v="4"/>
    <m/>
    <x v="1"/>
    <x v="0"/>
    <x v="139"/>
    <n v="141"/>
    <s v="스테이포에버 2set"/>
    <n v="210101"/>
    <m/>
    <e v="#N/A"/>
  </r>
  <r>
    <x v="257"/>
    <x v="4"/>
    <m/>
    <x v="1"/>
    <x v="0"/>
    <x v="140"/>
    <n v="17"/>
    <s v="이그나이트 + 스테이포에버"/>
    <n v="210101"/>
    <m/>
    <e v="#N/A"/>
  </r>
  <r>
    <x v="257"/>
    <x v="4"/>
    <m/>
    <x v="0"/>
    <x v="0"/>
    <x v="0"/>
    <n v="9"/>
    <s v="쇼핑백"/>
    <n v="210101"/>
    <m/>
    <e v="#N/A"/>
  </r>
  <r>
    <x v="257"/>
    <x v="4"/>
    <m/>
    <x v="1"/>
    <x v="0"/>
    <x v="41"/>
    <n v="4"/>
    <s v="스테이포에버"/>
    <n v="210101"/>
    <m/>
    <e v="#N/A"/>
  </r>
  <r>
    <x v="257"/>
    <x v="4"/>
    <m/>
    <x v="1"/>
    <x v="0"/>
    <x v="141"/>
    <n v="5"/>
    <s v="이그나이트"/>
    <n v="210101"/>
    <m/>
    <e v="#N/A"/>
  </r>
  <r>
    <x v="257"/>
    <x v="4"/>
    <m/>
    <x v="1"/>
    <x v="0"/>
    <x v="142"/>
    <n v="1"/>
    <s v="이그나이트 2set"/>
    <n v="210101"/>
    <m/>
    <e v="#N/A"/>
  </r>
  <r>
    <x v="257"/>
    <x v="4"/>
    <m/>
    <x v="0"/>
    <x v="0"/>
    <x v="143"/>
    <n v="3"/>
    <s v="쇼핑백"/>
    <n v="210101"/>
    <m/>
    <e v="#N/A"/>
  </r>
  <r>
    <x v="258"/>
    <x v="1"/>
    <m/>
    <x v="0"/>
    <x v="0"/>
    <x v="148"/>
    <n v="1"/>
    <s v="쇼핑백"/>
    <n v="210101"/>
    <m/>
    <e v="#N/A"/>
  </r>
  <r>
    <x v="258"/>
    <x v="1"/>
    <m/>
    <x v="1"/>
    <x v="0"/>
    <x v="134"/>
    <n v="3"/>
    <s v="이그나이트"/>
    <n v="210101"/>
    <m/>
    <e v="#N/A"/>
  </r>
  <r>
    <x v="258"/>
    <x v="1"/>
    <m/>
    <x v="1"/>
    <x v="0"/>
    <x v="145"/>
    <n v="5"/>
    <s v="이그나이트 2set"/>
    <n v="210101"/>
    <m/>
    <e v="#N/A"/>
  </r>
  <r>
    <x v="258"/>
    <x v="1"/>
    <m/>
    <x v="1"/>
    <x v="0"/>
    <x v="135"/>
    <n v="11"/>
    <s v="스테이포에버"/>
    <n v="210101"/>
    <m/>
    <e v="#N/A"/>
  </r>
  <r>
    <x v="258"/>
    <x v="1"/>
    <m/>
    <x v="1"/>
    <x v="0"/>
    <x v="136"/>
    <n v="13"/>
    <s v="스테이포에버 2set"/>
    <n v="210101"/>
    <m/>
    <e v="#N/A"/>
  </r>
  <r>
    <x v="258"/>
    <x v="1"/>
    <m/>
    <x v="1"/>
    <x v="0"/>
    <x v="137"/>
    <n v="15"/>
    <s v="이그나이트 + 스테이포에버"/>
    <n v="210101"/>
    <m/>
    <e v="#N/A"/>
  </r>
  <r>
    <x v="258"/>
    <x v="1"/>
    <m/>
    <x v="1"/>
    <x v="0"/>
    <x v="144"/>
    <n v="1"/>
    <s v="이그나이트 + 스테이포에버"/>
    <n v="210101"/>
    <m/>
    <e v="#N/A"/>
  </r>
  <r>
    <x v="258"/>
    <x v="1"/>
    <m/>
    <x v="1"/>
    <x v="0"/>
    <x v="138"/>
    <n v="174"/>
    <s v="스테이포에버"/>
    <n v="210101"/>
    <m/>
    <e v="#N/A"/>
  </r>
  <r>
    <x v="258"/>
    <x v="1"/>
    <m/>
    <x v="1"/>
    <x v="0"/>
    <x v="139"/>
    <n v="117"/>
    <s v="스테이포에버 2set"/>
    <n v="210101"/>
    <m/>
    <e v="#N/A"/>
  </r>
  <r>
    <x v="258"/>
    <x v="1"/>
    <m/>
    <x v="1"/>
    <x v="0"/>
    <x v="140"/>
    <n v="16"/>
    <s v="이그나이트 + 스테이포에버"/>
    <n v="210101"/>
    <m/>
    <e v="#N/A"/>
  </r>
  <r>
    <x v="258"/>
    <x v="1"/>
    <m/>
    <x v="0"/>
    <x v="0"/>
    <x v="0"/>
    <n v="8"/>
    <s v="쇼핑백"/>
    <n v="210101"/>
    <m/>
    <e v="#N/A"/>
  </r>
  <r>
    <x v="258"/>
    <x v="1"/>
    <m/>
    <x v="1"/>
    <x v="0"/>
    <x v="142"/>
    <n v="1"/>
    <s v="이그나이트 2set"/>
    <n v="210101"/>
    <m/>
    <e v="#N/A"/>
  </r>
  <r>
    <x v="259"/>
    <x v="2"/>
    <m/>
    <x v="1"/>
    <x v="0"/>
    <x v="134"/>
    <n v="5"/>
    <s v="이그나이트"/>
    <n v="210101"/>
    <m/>
    <e v="#N/A"/>
  </r>
  <r>
    <x v="259"/>
    <x v="2"/>
    <m/>
    <x v="1"/>
    <x v="0"/>
    <x v="135"/>
    <n v="12"/>
    <s v="스테이포에버"/>
    <n v="210101"/>
    <m/>
    <e v="#N/A"/>
  </r>
  <r>
    <x v="259"/>
    <x v="2"/>
    <m/>
    <x v="1"/>
    <x v="0"/>
    <x v="136"/>
    <n v="11"/>
    <s v="스테이포에버 2set"/>
    <n v="210101"/>
    <m/>
    <e v="#N/A"/>
  </r>
  <r>
    <x v="259"/>
    <x v="2"/>
    <m/>
    <x v="1"/>
    <x v="0"/>
    <x v="137"/>
    <n v="25"/>
    <s v="이그나이트 + 스테이포에버"/>
    <n v="210101"/>
    <m/>
    <e v="#N/A"/>
  </r>
  <r>
    <x v="259"/>
    <x v="2"/>
    <m/>
    <x v="1"/>
    <x v="0"/>
    <x v="144"/>
    <n v="2"/>
    <s v="이그나이트 + 스테이포에버"/>
    <n v="210101"/>
    <m/>
    <e v="#N/A"/>
  </r>
  <r>
    <x v="259"/>
    <x v="2"/>
    <m/>
    <x v="1"/>
    <x v="0"/>
    <x v="138"/>
    <n v="187"/>
    <s v="스테이포에버"/>
    <n v="210101"/>
    <m/>
    <e v="#N/A"/>
  </r>
  <r>
    <x v="259"/>
    <x v="2"/>
    <m/>
    <x v="1"/>
    <x v="0"/>
    <x v="139"/>
    <n v="134"/>
    <s v="스테이포에버 2set"/>
    <n v="210101"/>
    <m/>
    <e v="#N/A"/>
  </r>
  <r>
    <x v="259"/>
    <x v="2"/>
    <m/>
    <x v="1"/>
    <x v="0"/>
    <x v="140"/>
    <n v="15"/>
    <s v="이그나이트 + 스테이포에버"/>
    <n v="210101"/>
    <m/>
    <e v="#N/A"/>
  </r>
  <r>
    <x v="259"/>
    <x v="2"/>
    <m/>
    <x v="0"/>
    <x v="0"/>
    <x v="0"/>
    <n v="5"/>
    <s v="쇼핑백"/>
    <n v="210101"/>
    <m/>
    <e v="#N/A"/>
  </r>
  <r>
    <x v="259"/>
    <x v="2"/>
    <m/>
    <x v="1"/>
    <x v="0"/>
    <x v="142"/>
    <n v="2"/>
    <s v="이그나이트 2set"/>
    <n v="210101"/>
    <m/>
    <e v="#N/A"/>
  </r>
  <r>
    <x v="260"/>
    <x v="5"/>
    <m/>
    <x v="1"/>
    <x v="0"/>
    <x v="134"/>
    <n v="2"/>
    <s v="이그나이트"/>
    <n v="210101"/>
    <m/>
    <e v="#N/A"/>
  </r>
  <r>
    <x v="260"/>
    <x v="5"/>
    <m/>
    <x v="1"/>
    <x v="0"/>
    <x v="135"/>
    <n v="15"/>
    <s v="스테이포에버"/>
    <n v="210101"/>
    <m/>
    <e v="#N/A"/>
  </r>
  <r>
    <x v="260"/>
    <x v="5"/>
    <m/>
    <x v="1"/>
    <x v="0"/>
    <x v="136"/>
    <n v="9"/>
    <s v="스테이포에버 2set"/>
    <n v="210101"/>
    <m/>
    <e v="#N/A"/>
  </r>
  <r>
    <x v="260"/>
    <x v="5"/>
    <m/>
    <x v="1"/>
    <x v="0"/>
    <x v="137"/>
    <n v="19"/>
    <s v="이그나이트 + 스테이포에버"/>
    <n v="210101"/>
    <m/>
    <e v="#N/A"/>
  </r>
  <r>
    <x v="260"/>
    <x v="5"/>
    <m/>
    <x v="1"/>
    <x v="0"/>
    <x v="144"/>
    <n v="1"/>
    <s v="이그나이트 + 스테이포에버"/>
    <n v="210101"/>
    <m/>
    <e v="#N/A"/>
  </r>
  <r>
    <x v="260"/>
    <x v="5"/>
    <m/>
    <x v="1"/>
    <x v="0"/>
    <x v="138"/>
    <n v="236"/>
    <s v="스테이포에버"/>
    <n v="210101"/>
    <m/>
    <e v="#N/A"/>
  </r>
  <r>
    <x v="260"/>
    <x v="5"/>
    <m/>
    <x v="1"/>
    <x v="0"/>
    <x v="139"/>
    <n v="150"/>
    <s v="스테이포에버 2set"/>
    <n v="210101"/>
    <m/>
    <e v="#N/A"/>
  </r>
  <r>
    <x v="260"/>
    <x v="5"/>
    <m/>
    <x v="1"/>
    <x v="0"/>
    <x v="140"/>
    <n v="18"/>
    <s v="이그나이트 + 스테이포에버"/>
    <n v="210101"/>
    <m/>
    <e v="#N/A"/>
  </r>
  <r>
    <x v="260"/>
    <x v="5"/>
    <m/>
    <x v="0"/>
    <x v="0"/>
    <x v="0"/>
    <n v="13"/>
    <s v="쇼핑백"/>
    <n v="210101"/>
    <m/>
    <e v="#N/A"/>
  </r>
  <r>
    <x v="261"/>
    <x v="6"/>
    <m/>
    <x v="1"/>
    <x v="2"/>
    <x v="147"/>
    <n v="1"/>
    <s v="스테이포에버"/>
    <n v="210101"/>
    <m/>
    <e v="#N/A"/>
  </r>
  <r>
    <x v="261"/>
    <x v="6"/>
    <m/>
    <x v="1"/>
    <x v="0"/>
    <x v="145"/>
    <n v="2"/>
    <s v="이그나이트 2set"/>
    <n v="210101"/>
    <m/>
    <e v="#N/A"/>
  </r>
  <r>
    <x v="261"/>
    <x v="6"/>
    <m/>
    <x v="1"/>
    <x v="0"/>
    <x v="135"/>
    <n v="4"/>
    <s v="스테이포에버"/>
    <n v="210101"/>
    <m/>
    <e v="#N/A"/>
  </r>
  <r>
    <x v="261"/>
    <x v="6"/>
    <m/>
    <x v="1"/>
    <x v="0"/>
    <x v="136"/>
    <n v="8"/>
    <s v="스테이포에버 2set"/>
    <n v="210101"/>
    <m/>
    <e v="#N/A"/>
  </r>
  <r>
    <x v="261"/>
    <x v="6"/>
    <m/>
    <x v="1"/>
    <x v="0"/>
    <x v="137"/>
    <n v="13"/>
    <s v="이그나이트 + 스테이포에버"/>
    <n v="210101"/>
    <m/>
    <e v="#N/A"/>
  </r>
  <r>
    <x v="261"/>
    <x v="6"/>
    <m/>
    <x v="1"/>
    <x v="0"/>
    <x v="144"/>
    <n v="2"/>
    <s v="이그나이트 + 스테이포에버"/>
    <n v="210101"/>
    <m/>
    <e v="#N/A"/>
  </r>
  <r>
    <x v="261"/>
    <x v="6"/>
    <m/>
    <x v="1"/>
    <x v="0"/>
    <x v="138"/>
    <n v="170"/>
    <s v="스테이포에버"/>
    <n v="210101"/>
    <m/>
    <e v="#N/A"/>
  </r>
  <r>
    <x v="261"/>
    <x v="6"/>
    <m/>
    <x v="1"/>
    <x v="0"/>
    <x v="139"/>
    <n v="94"/>
    <s v="스테이포에버 2set"/>
    <n v="210101"/>
    <m/>
    <e v="#N/A"/>
  </r>
  <r>
    <x v="261"/>
    <x v="6"/>
    <m/>
    <x v="1"/>
    <x v="0"/>
    <x v="140"/>
    <n v="9"/>
    <s v="이그나이트 + 스테이포에버"/>
    <n v="210101"/>
    <m/>
    <e v="#N/A"/>
  </r>
  <r>
    <x v="261"/>
    <x v="6"/>
    <m/>
    <x v="0"/>
    <x v="0"/>
    <x v="0"/>
    <n v="8"/>
    <s v="쇼핑백"/>
    <n v="210101"/>
    <m/>
    <e v="#N/A"/>
  </r>
  <r>
    <x v="261"/>
    <x v="6"/>
    <m/>
    <x v="1"/>
    <x v="0"/>
    <x v="141"/>
    <n v="1"/>
    <s v="이그나이트"/>
    <n v="210101"/>
    <m/>
    <e v="#N/A"/>
  </r>
  <r>
    <x v="0"/>
    <x v="0"/>
    <m/>
    <x v="1"/>
    <x v="2"/>
    <x v="41"/>
    <n v="1"/>
    <s v="스테이포에버"/>
    <n v="210101"/>
    <m/>
    <e v="#N/A"/>
  </r>
  <r>
    <x v="0"/>
    <x v="0"/>
    <m/>
    <x v="1"/>
    <x v="2"/>
    <x v="149"/>
    <n v="1"/>
    <s v="이그나이트"/>
    <n v="210101"/>
    <m/>
    <e v="#N/A"/>
  </r>
  <r>
    <x v="0"/>
    <x v="0"/>
    <m/>
    <x v="1"/>
    <x v="0"/>
    <x v="134"/>
    <n v="2"/>
    <s v="이그나이트"/>
    <n v="210101"/>
    <m/>
    <e v="#N/A"/>
  </r>
  <r>
    <x v="0"/>
    <x v="0"/>
    <m/>
    <x v="1"/>
    <x v="0"/>
    <x v="135"/>
    <n v="11"/>
    <s v="스테이포에버"/>
    <n v="210101"/>
    <m/>
    <e v="#N/A"/>
  </r>
  <r>
    <x v="0"/>
    <x v="0"/>
    <m/>
    <x v="1"/>
    <x v="0"/>
    <x v="136"/>
    <n v="10"/>
    <s v="스테이포에버 2set"/>
    <n v="210101"/>
    <m/>
    <e v="#N/A"/>
  </r>
  <r>
    <x v="0"/>
    <x v="0"/>
    <m/>
    <x v="1"/>
    <x v="0"/>
    <x v="137"/>
    <n v="14"/>
    <s v="이그나이트 + 스테이포에버"/>
    <n v="210101"/>
    <m/>
    <e v="#N/A"/>
  </r>
  <r>
    <x v="0"/>
    <x v="0"/>
    <m/>
    <x v="1"/>
    <x v="0"/>
    <x v="144"/>
    <n v="1"/>
    <s v="이그나이트 + 스테이포에버"/>
    <n v="210101"/>
    <m/>
    <e v="#N/A"/>
  </r>
  <r>
    <x v="0"/>
    <x v="0"/>
    <m/>
    <x v="1"/>
    <x v="0"/>
    <x v="138"/>
    <n v="202"/>
    <s v="스테이포에버"/>
    <n v="210101"/>
    <m/>
    <e v="#N/A"/>
  </r>
  <r>
    <x v="0"/>
    <x v="0"/>
    <m/>
    <x v="1"/>
    <x v="0"/>
    <x v="139"/>
    <n v="105"/>
    <s v="스테이포에버 2set"/>
    <n v="210101"/>
    <m/>
    <e v="#N/A"/>
  </r>
  <r>
    <x v="0"/>
    <x v="0"/>
    <m/>
    <x v="1"/>
    <x v="0"/>
    <x v="140"/>
    <n v="5"/>
    <s v="이그나이트 + 스테이포에버"/>
    <n v="210101"/>
    <m/>
    <e v="#N/A"/>
  </r>
  <r>
    <x v="0"/>
    <x v="0"/>
    <m/>
    <x v="0"/>
    <x v="0"/>
    <x v="0"/>
    <n v="8"/>
    <s v="쇼핑백"/>
    <n v="210101"/>
    <m/>
    <e v="#N/A"/>
  </r>
  <r>
    <x v="263"/>
    <x v="0"/>
    <m/>
    <x v="2"/>
    <x v="1"/>
    <x v="1"/>
    <m/>
    <m/>
    <m/>
    <n v="1200440.909090909"/>
    <m/>
  </r>
  <r>
    <x v="263"/>
    <x v="0"/>
    <m/>
    <x v="2"/>
    <x v="1"/>
    <x v="1"/>
    <m/>
    <m/>
    <m/>
    <n v="54014.54545454545"/>
    <m/>
  </r>
  <r>
    <x v="263"/>
    <x v="0"/>
    <m/>
    <x v="2"/>
    <x v="1"/>
    <x v="1"/>
    <m/>
    <m/>
    <m/>
    <n v="445436.3636363636"/>
    <m/>
  </r>
  <r>
    <x v="263"/>
    <x v="0"/>
    <m/>
    <x v="2"/>
    <x v="1"/>
    <x v="1"/>
    <m/>
    <m/>
    <m/>
    <n v="221690"/>
    <m/>
  </r>
  <r>
    <x v="263"/>
    <x v="0"/>
    <m/>
    <x v="2"/>
    <x v="1"/>
    <x v="1"/>
    <m/>
    <m/>
    <m/>
    <n v="195051.8181818182"/>
    <m/>
  </r>
  <r>
    <x v="263"/>
    <x v="0"/>
    <m/>
    <x v="2"/>
    <x v="1"/>
    <x v="1"/>
    <m/>
    <m/>
    <m/>
    <n v="134789.0909090909"/>
    <m/>
  </r>
  <r>
    <x v="263"/>
    <x v="0"/>
    <m/>
    <x v="2"/>
    <x v="1"/>
    <x v="1"/>
    <m/>
    <m/>
    <m/>
    <n v="89664.54545454544"/>
    <m/>
  </r>
  <r>
    <x v="263"/>
    <x v="0"/>
    <m/>
    <x v="2"/>
    <x v="1"/>
    <x v="1"/>
    <m/>
    <m/>
    <m/>
    <n v="178779.0909090909"/>
    <m/>
  </r>
  <r>
    <x v="263"/>
    <x v="0"/>
    <m/>
    <x v="2"/>
    <x v="1"/>
    <x v="1"/>
    <m/>
    <m/>
    <m/>
    <n v="44394.54545454545"/>
    <m/>
  </r>
  <r>
    <x v="263"/>
    <x v="0"/>
    <m/>
    <x v="2"/>
    <x v="1"/>
    <x v="1"/>
    <m/>
    <m/>
    <m/>
    <n v="88520"/>
    <m/>
  </r>
  <r>
    <x v="263"/>
    <x v="0"/>
    <m/>
    <x v="2"/>
    <x v="1"/>
    <x v="1"/>
    <m/>
    <m/>
    <m/>
    <n v="26793.63636363636"/>
    <m/>
  </r>
  <r>
    <x v="263"/>
    <x v="0"/>
    <m/>
    <x v="2"/>
    <x v="1"/>
    <x v="1"/>
    <m/>
    <m/>
    <m/>
    <n v="179623.6363636364"/>
    <m/>
  </r>
  <r>
    <x v="263"/>
    <x v="0"/>
    <m/>
    <x v="2"/>
    <x v="1"/>
    <x v="1"/>
    <m/>
    <m/>
    <m/>
    <n v="89134.54545454544"/>
    <m/>
  </r>
  <r>
    <x v="263"/>
    <x v="0"/>
    <m/>
    <x v="2"/>
    <x v="1"/>
    <x v="1"/>
    <m/>
    <m/>
    <m/>
    <n v="266406.3636363636"/>
    <m/>
  </r>
  <r>
    <x v="263"/>
    <x v="0"/>
    <m/>
    <x v="2"/>
    <x v="1"/>
    <x v="1"/>
    <m/>
    <m/>
    <m/>
    <n v="267565.4545454545"/>
    <m/>
  </r>
  <r>
    <x v="263"/>
    <x v="0"/>
    <m/>
    <x v="2"/>
    <x v="1"/>
    <x v="1"/>
    <m/>
    <m/>
    <m/>
    <n v="133039.0909090909"/>
    <m/>
  </r>
  <r>
    <x v="263"/>
    <x v="0"/>
    <m/>
    <x v="2"/>
    <x v="1"/>
    <x v="1"/>
    <m/>
    <m/>
    <m/>
    <n v="133605.4545454545"/>
    <m/>
  </r>
  <r>
    <x v="263"/>
    <x v="0"/>
    <m/>
    <x v="2"/>
    <x v="1"/>
    <x v="1"/>
    <m/>
    <m/>
    <m/>
    <n v="134044.5454545454"/>
    <m/>
  </r>
  <r>
    <x v="263"/>
    <x v="0"/>
    <m/>
    <x v="2"/>
    <x v="1"/>
    <x v="1"/>
    <m/>
    <m/>
    <m/>
    <n v="419360"/>
    <m/>
  </r>
  <r>
    <x v="263"/>
    <x v="0"/>
    <m/>
    <x v="2"/>
    <x v="1"/>
    <x v="1"/>
    <m/>
    <m/>
    <m/>
    <n v="67999"/>
    <m/>
  </r>
  <r>
    <x v="263"/>
    <x v="0"/>
    <m/>
    <x v="2"/>
    <x v="1"/>
    <x v="1"/>
    <m/>
    <m/>
    <m/>
    <n v="510274"/>
    <m/>
  </r>
  <r>
    <x v="263"/>
    <x v="0"/>
    <m/>
    <x v="2"/>
    <x v="1"/>
    <x v="1"/>
    <m/>
    <m/>
    <m/>
    <n v="483966"/>
    <m/>
  </r>
  <r>
    <x v="263"/>
    <x v="0"/>
    <m/>
    <x v="2"/>
    <x v="1"/>
    <x v="1"/>
    <m/>
    <m/>
    <m/>
    <n v="509477"/>
    <m/>
  </r>
  <r>
    <x v="263"/>
    <x v="0"/>
    <m/>
    <x v="2"/>
    <x v="1"/>
    <x v="1"/>
    <m/>
    <m/>
    <m/>
    <n v="308913"/>
    <m/>
  </r>
  <r>
    <x v="263"/>
    <x v="0"/>
    <m/>
    <x v="2"/>
    <x v="1"/>
    <x v="1"/>
    <m/>
    <m/>
    <m/>
    <n v="516104"/>
    <m/>
  </r>
  <r>
    <x v="263"/>
    <x v="0"/>
    <m/>
    <x v="2"/>
    <x v="1"/>
    <x v="1"/>
    <m/>
    <m/>
    <m/>
    <n v="1880"/>
    <m/>
  </r>
  <r>
    <x v="263"/>
    <x v="0"/>
    <m/>
    <x v="2"/>
    <x v="1"/>
    <x v="1"/>
    <m/>
    <m/>
    <m/>
    <n v="58619.99999999999"/>
    <m/>
  </r>
  <r>
    <x v="263"/>
    <x v="0"/>
    <m/>
    <x v="2"/>
    <x v="1"/>
    <x v="1"/>
    <m/>
    <m/>
    <m/>
    <n v="2800"/>
    <m/>
  </r>
  <r>
    <x v="263"/>
    <x v="0"/>
    <m/>
    <x v="2"/>
    <x v="1"/>
    <x v="1"/>
    <m/>
    <m/>
    <m/>
    <n v="0"/>
    <m/>
  </r>
  <r>
    <x v="263"/>
    <x v="0"/>
    <m/>
    <x v="2"/>
    <x v="1"/>
    <x v="1"/>
    <m/>
    <m/>
    <m/>
    <n v="91219.99999999999"/>
    <m/>
  </r>
  <r>
    <x v="263"/>
    <x v="0"/>
    <m/>
    <x v="2"/>
    <x v="1"/>
    <x v="1"/>
    <m/>
    <m/>
    <m/>
    <n v="413219.9999999999"/>
    <m/>
  </r>
  <r>
    <x v="263"/>
    <x v="0"/>
    <m/>
    <x v="2"/>
    <x v="1"/>
    <x v="1"/>
    <m/>
    <m/>
    <m/>
    <n v="1200440.909090909"/>
    <m/>
  </r>
  <r>
    <x v="263"/>
    <x v="0"/>
    <m/>
    <x v="2"/>
    <x v="1"/>
    <x v="1"/>
    <m/>
    <m/>
    <m/>
    <n v="54014.54545454545"/>
    <m/>
  </r>
  <r>
    <x v="263"/>
    <x v="0"/>
    <m/>
    <x v="2"/>
    <x v="1"/>
    <x v="1"/>
    <m/>
    <m/>
    <m/>
    <n v="445436.3636363636"/>
    <m/>
  </r>
  <r>
    <x v="263"/>
    <x v="0"/>
    <m/>
    <x v="2"/>
    <x v="1"/>
    <x v="1"/>
    <m/>
    <m/>
    <m/>
    <n v="221690"/>
    <m/>
  </r>
  <r>
    <x v="263"/>
    <x v="0"/>
    <m/>
    <x v="2"/>
    <x v="1"/>
    <x v="1"/>
    <m/>
    <m/>
    <m/>
    <n v="195064.5454545454"/>
    <m/>
  </r>
  <r>
    <x v="263"/>
    <x v="0"/>
    <m/>
    <x v="2"/>
    <x v="1"/>
    <x v="1"/>
    <m/>
    <m/>
    <m/>
    <n v="134789.0909090909"/>
    <m/>
  </r>
  <r>
    <x v="263"/>
    <x v="0"/>
    <m/>
    <x v="2"/>
    <x v="1"/>
    <x v="1"/>
    <m/>
    <m/>
    <m/>
    <n v="89664.54545454544"/>
    <m/>
  </r>
  <r>
    <x v="263"/>
    <x v="0"/>
    <m/>
    <x v="2"/>
    <x v="1"/>
    <x v="1"/>
    <m/>
    <m/>
    <m/>
    <n v="178779.0909090909"/>
    <m/>
  </r>
  <r>
    <x v="263"/>
    <x v="0"/>
    <m/>
    <x v="2"/>
    <x v="1"/>
    <x v="1"/>
    <m/>
    <m/>
    <m/>
    <n v="44394.54545454545"/>
    <m/>
  </r>
  <r>
    <x v="263"/>
    <x v="0"/>
    <m/>
    <x v="2"/>
    <x v="1"/>
    <x v="1"/>
    <m/>
    <m/>
    <m/>
    <n v="88520"/>
    <m/>
  </r>
  <r>
    <x v="263"/>
    <x v="0"/>
    <m/>
    <x v="2"/>
    <x v="1"/>
    <x v="1"/>
    <m/>
    <m/>
    <m/>
    <n v="26793.63636363636"/>
    <m/>
  </r>
  <r>
    <x v="263"/>
    <x v="0"/>
    <m/>
    <x v="2"/>
    <x v="1"/>
    <x v="1"/>
    <m/>
    <m/>
    <m/>
    <n v="179652.7272727273"/>
    <m/>
  </r>
  <r>
    <x v="263"/>
    <x v="0"/>
    <m/>
    <x v="2"/>
    <x v="1"/>
    <x v="1"/>
    <m/>
    <m/>
    <m/>
    <n v="89134.54545454544"/>
    <m/>
  </r>
  <r>
    <x v="263"/>
    <x v="0"/>
    <m/>
    <x v="2"/>
    <x v="1"/>
    <x v="1"/>
    <m/>
    <m/>
    <m/>
    <n v="266406.3636363636"/>
    <m/>
  </r>
  <r>
    <x v="263"/>
    <x v="0"/>
    <m/>
    <x v="2"/>
    <x v="1"/>
    <x v="1"/>
    <m/>
    <m/>
    <m/>
    <n v="267565.4545454545"/>
    <m/>
  </r>
  <r>
    <x v="263"/>
    <x v="0"/>
    <m/>
    <x v="2"/>
    <x v="1"/>
    <x v="1"/>
    <m/>
    <m/>
    <m/>
    <n v="133039.0909090909"/>
    <m/>
  </r>
  <r>
    <x v="263"/>
    <x v="0"/>
    <m/>
    <x v="2"/>
    <x v="1"/>
    <x v="1"/>
    <m/>
    <m/>
    <m/>
    <n v="133605.4545454545"/>
    <m/>
  </r>
  <r>
    <x v="263"/>
    <x v="0"/>
    <m/>
    <x v="2"/>
    <x v="1"/>
    <x v="1"/>
    <m/>
    <m/>
    <m/>
    <n v="134044.5454545454"/>
    <m/>
  </r>
  <r>
    <x v="263"/>
    <x v="0"/>
    <m/>
    <x v="2"/>
    <x v="1"/>
    <x v="1"/>
    <m/>
    <m/>
    <m/>
    <n v="419360"/>
    <m/>
  </r>
  <r>
    <x v="263"/>
    <x v="0"/>
    <m/>
    <x v="2"/>
    <x v="1"/>
    <x v="1"/>
    <m/>
    <m/>
    <m/>
    <n v="67999"/>
    <m/>
  </r>
  <r>
    <x v="263"/>
    <x v="0"/>
    <m/>
    <x v="2"/>
    <x v="1"/>
    <x v="1"/>
    <m/>
    <m/>
    <m/>
    <n v="510274"/>
    <m/>
  </r>
  <r>
    <x v="263"/>
    <x v="0"/>
    <m/>
    <x v="2"/>
    <x v="1"/>
    <x v="1"/>
    <m/>
    <m/>
    <m/>
    <n v="483966"/>
    <m/>
  </r>
  <r>
    <x v="263"/>
    <x v="0"/>
    <m/>
    <x v="2"/>
    <x v="1"/>
    <x v="1"/>
    <m/>
    <m/>
    <m/>
    <n v="509477"/>
    <m/>
  </r>
  <r>
    <x v="263"/>
    <x v="0"/>
    <m/>
    <x v="2"/>
    <x v="1"/>
    <x v="1"/>
    <m/>
    <m/>
    <m/>
    <n v="308913"/>
    <m/>
  </r>
  <r>
    <x v="263"/>
    <x v="0"/>
    <m/>
    <x v="2"/>
    <x v="1"/>
    <x v="1"/>
    <m/>
    <m/>
    <m/>
    <n v="516104"/>
    <m/>
  </r>
  <r>
    <x v="263"/>
    <x v="0"/>
    <m/>
    <x v="2"/>
    <x v="1"/>
    <x v="1"/>
    <m/>
    <m/>
    <m/>
    <n v="1880"/>
    <m/>
  </r>
  <r>
    <x v="263"/>
    <x v="0"/>
    <m/>
    <x v="2"/>
    <x v="1"/>
    <x v="1"/>
    <m/>
    <m/>
    <m/>
    <n v="58619.99999999999"/>
    <m/>
  </r>
  <r>
    <x v="263"/>
    <x v="0"/>
    <m/>
    <x v="2"/>
    <x v="1"/>
    <x v="1"/>
    <m/>
    <m/>
    <m/>
    <n v="2800"/>
    <m/>
  </r>
  <r>
    <x v="263"/>
    <x v="0"/>
    <m/>
    <x v="2"/>
    <x v="1"/>
    <x v="1"/>
    <m/>
    <m/>
    <m/>
    <n v="0"/>
    <m/>
  </r>
  <r>
    <x v="263"/>
    <x v="0"/>
    <m/>
    <x v="2"/>
    <x v="1"/>
    <x v="1"/>
    <m/>
    <m/>
    <m/>
    <n v="91219.99999999999"/>
    <m/>
  </r>
  <r>
    <x v="263"/>
    <x v="0"/>
    <m/>
    <x v="2"/>
    <x v="1"/>
    <x v="1"/>
    <m/>
    <m/>
    <m/>
    <n v="413219.9999999999"/>
    <m/>
  </r>
  <r>
    <x v="263"/>
    <x v="0"/>
    <m/>
    <x v="2"/>
    <x v="1"/>
    <x v="1"/>
    <m/>
    <m/>
    <m/>
    <n v="1200440.909090909"/>
    <m/>
  </r>
  <r>
    <x v="263"/>
    <x v="0"/>
    <m/>
    <x v="2"/>
    <x v="1"/>
    <x v="1"/>
    <m/>
    <m/>
    <m/>
    <n v="59416"/>
    <m/>
  </r>
  <r>
    <x v="263"/>
    <x v="0"/>
    <m/>
    <x v="2"/>
    <x v="1"/>
    <x v="1"/>
    <m/>
    <m/>
    <m/>
    <n v="489980"/>
    <m/>
  </r>
  <r>
    <x v="263"/>
    <x v="0"/>
    <m/>
    <x v="2"/>
    <x v="1"/>
    <x v="1"/>
    <m/>
    <m/>
    <m/>
    <n v="243859"/>
    <m/>
  </r>
  <r>
    <x v="263"/>
    <x v="0"/>
    <m/>
    <x v="2"/>
    <x v="1"/>
    <x v="1"/>
    <m/>
    <m/>
    <m/>
    <n v="214571"/>
    <m/>
  </r>
  <r>
    <x v="263"/>
    <x v="0"/>
    <m/>
    <x v="2"/>
    <x v="1"/>
    <x v="1"/>
    <m/>
    <m/>
    <m/>
    <n v="148268"/>
    <m/>
  </r>
  <r>
    <x v="263"/>
    <x v="0"/>
    <m/>
    <x v="2"/>
    <x v="1"/>
    <x v="1"/>
    <m/>
    <m/>
    <m/>
    <n v="98631"/>
    <m/>
  </r>
  <r>
    <x v="263"/>
    <x v="0"/>
    <m/>
    <x v="2"/>
    <x v="1"/>
    <x v="1"/>
    <m/>
    <m/>
    <m/>
    <n v="196657"/>
    <m/>
  </r>
  <r>
    <x v="263"/>
    <x v="0"/>
    <m/>
    <x v="2"/>
    <x v="1"/>
    <x v="1"/>
    <m/>
    <m/>
    <m/>
    <n v="48834"/>
    <m/>
  </r>
  <r>
    <x v="263"/>
    <x v="0"/>
    <m/>
    <x v="2"/>
    <x v="1"/>
    <x v="1"/>
    <m/>
    <m/>
    <m/>
    <n v="97372"/>
    <m/>
  </r>
  <r>
    <x v="263"/>
    <x v="0"/>
    <m/>
    <x v="2"/>
    <x v="1"/>
    <x v="1"/>
    <m/>
    <m/>
    <m/>
    <n v="29473"/>
    <m/>
  </r>
  <r>
    <x v="263"/>
    <x v="0"/>
    <m/>
    <x v="2"/>
    <x v="1"/>
    <x v="1"/>
    <m/>
    <m/>
    <m/>
    <n v="197633"/>
    <m/>
  </r>
  <r>
    <x v="263"/>
    <x v="0"/>
    <m/>
    <x v="2"/>
    <x v="1"/>
    <x v="1"/>
    <m/>
    <m/>
    <m/>
    <n v="98048"/>
    <m/>
  </r>
  <r>
    <x v="263"/>
    <x v="0"/>
    <m/>
    <x v="2"/>
    <x v="1"/>
    <x v="1"/>
    <m/>
    <m/>
    <m/>
    <n v="293099"/>
    <m/>
  </r>
  <r>
    <x v="263"/>
    <x v="0"/>
    <m/>
    <x v="2"/>
    <x v="1"/>
    <x v="1"/>
    <m/>
    <m/>
    <m/>
    <n v="294322"/>
    <m/>
  </r>
  <r>
    <x v="263"/>
    <x v="0"/>
    <m/>
    <x v="2"/>
    <x v="1"/>
    <x v="1"/>
    <m/>
    <m/>
    <m/>
    <n v="146343"/>
    <m/>
  </r>
  <r>
    <x v="263"/>
    <x v="0"/>
    <m/>
    <x v="2"/>
    <x v="1"/>
    <x v="1"/>
    <m/>
    <m/>
    <m/>
    <n v="146966"/>
    <m/>
  </r>
  <r>
    <x v="263"/>
    <x v="0"/>
    <m/>
    <x v="2"/>
    <x v="1"/>
    <x v="1"/>
    <m/>
    <m/>
    <m/>
    <n v="147449"/>
    <m/>
  </r>
  <r>
    <x v="263"/>
    <x v="0"/>
    <m/>
    <x v="2"/>
    <x v="1"/>
    <x v="1"/>
    <m/>
    <m/>
    <m/>
    <n v="419360"/>
    <m/>
  </r>
  <r>
    <x v="263"/>
    <x v="0"/>
    <m/>
    <x v="2"/>
    <x v="1"/>
    <x v="1"/>
    <m/>
    <m/>
    <m/>
    <n v="67999"/>
    <m/>
  </r>
  <r>
    <x v="263"/>
    <x v="0"/>
    <m/>
    <x v="2"/>
    <x v="1"/>
    <x v="1"/>
    <m/>
    <m/>
    <m/>
    <n v="510274"/>
    <m/>
  </r>
  <r>
    <x v="263"/>
    <x v="0"/>
    <m/>
    <x v="2"/>
    <x v="1"/>
    <x v="1"/>
    <m/>
    <m/>
    <m/>
    <n v="483966"/>
    <m/>
  </r>
  <r>
    <x v="263"/>
    <x v="0"/>
    <m/>
    <x v="2"/>
    <x v="1"/>
    <x v="1"/>
    <m/>
    <m/>
    <m/>
    <n v="509477"/>
    <m/>
  </r>
  <r>
    <x v="263"/>
    <x v="0"/>
    <m/>
    <x v="2"/>
    <x v="1"/>
    <x v="1"/>
    <m/>
    <m/>
    <m/>
    <n v="308913"/>
    <m/>
  </r>
  <r>
    <x v="263"/>
    <x v="0"/>
    <m/>
    <x v="2"/>
    <x v="1"/>
    <x v="1"/>
    <m/>
    <m/>
    <m/>
    <n v="516104"/>
    <m/>
  </r>
  <r>
    <x v="263"/>
    <x v="0"/>
    <m/>
    <x v="2"/>
    <x v="1"/>
    <x v="1"/>
    <m/>
    <m/>
    <m/>
    <n v="1880"/>
    <m/>
  </r>
  <r>
    <x v="263"/>
    <x v="0"/>
    <m/>
    <x v="2"/>
    <x v="1"/>
    <x v="1"/>
    <m/>
    <m/>
    <m/>
    <n v="58619.99999999999"/>
    <m/>
  </r>
  <r>
    <x v="263"/>
    <x v="0"/>
    <m/>
    <x v="2"/>
    <x v="1"/>
    <x v="1"/>
    <m/>
    <m/>
    <m/>
    <n v="2800"/>
    <m/>
  </r>
  <r>
    <x v="263"/>
    <x v="0"/>
    <m/>
    <x v="2"/>
    <x v="1"/>
    <x v="1"/>
    <m/>
    <m/>
    <m/>
    <n v="0"/>
    <m/>
  </r>
  <r>
    <x v="263"/>
    <x v="0"/>
    <m/>
    <x v="2"/>
    <x v="1"/>
    <x v="1"/>
    <m/>
    <m/>
    <m/>
    <n v="91219.99999999999"/>
    <m/>
  </r>
  <r>
    <x v="263"/>
    <x v="0"/>
    <m/>
    <x v="2"/>
    <x v="1"/>
    <x v="1"/>
    <m/>
    <m/>
    <m/>
    <n v="413219.9999999999"/>
    <m/>
  </r>
  <r>
    <x v="263"/>
    <x v="0"/>
    <m/>
    <x v="1"/>
    <x v="2"/>
    <x v="41"/>
    <n v="53"/>
    <s v="스테이포에버"/>
    <s v="210207"/>
    <m/>
    <n v="0"/>
  </r>
  <r>
    <x v="263"/>
    <x v="0"/>
    <m/>
    <x v="0"/>
    <x v="0"/>
    <x v="148"/>
    <n v="2"/>
    <s v="쇼핑백"/>
    <s v="210207"/>
    <m/>
    <n v="0"/>
  </r>
  <r>
    <x v="263"/>
    <x v="0"/>
    <m/>
    <x v="1"/>
    <x v="0"/>
    <x v="145"/>
    <n v="3"/>
    <s v="이그나이트 2set"/>
    <s v="210207"/>
    <m/>
    <n v="0"/>
  </r>
  <r>
    <x v="263"/>
    <x v="0"/>
    <m/>
    <x v="1"/>
    <x v="0"/>
    <x v="135"/>
    <n v="12"/>
    <s v="스테이포에버"/>
    <s v="210207"/>
    <m/>
    <n v="0"/>
  </r>
  <r>
    <x v="263"/>
    <x v="0"/>
    <m/>
    <x v="1"/>
    <x v="0"/>
    <x v="136"/>
    <n v="53"/>
    <s v="스테이포에버 2set"/>
    <s v="210207"/>
    <m/>
    <n v="0"/>
  </r>
  <r>
    <x v="263"/>
    <x v="0"/>
    <m/>
    <x v="1"/>
    <x v="0"/>
    <x v="137"/>
    <n v="45"/>
    <s v="이그나이트 + 스테이포에버"/>
    <s v="210207"/>
    <m/>
    <n v="0"/>
  </r>
  <r>
    <x v="263"/>
    <x v="0"/>
    <m/>
    <x v="1"/>
    <x v="0"/>
    <x v="144"/>
    <n v="14"/>
    <s v="이그나이트 + 스테이포에버"/>
    <s v="210207"/>
    <m/>
    <n v="0"/>
  </r>
  <r>
    <x v="263"/>
    <x v="0"/>
    <m/>
    <x v="1"/>
    <x v="0"/>
    <x v="138"/>
    <n v="542"/>
    <s v="스테이포에버"/>
    <s v="210207"/>
    <m/>
    <n v="0"/>
  </r>
  <r>
    <x v="263"/>
    <x v="0"/>
    <m/>
    <x v="1"/>
    <x v="0"/>
    <x v="139"/>
    <n v="435"/>
    <s v="스테이포에버 2set"/>
    <s v="210207"/>
    <m/>
    <n v="0"/>
  </r>
  <r>
    <x v="263"/>
    <x v="0"/>
    <m/>
    <x v="1"/>
    <x v="0"/>
    <x v="140"/>
    <n v="36"/>
    <s v="이그나이트 + 스테이포에버"/>
    <s v="210207"/>
    <m/>
    <n v="0"/>
  </r>
  <r>
    <x v="263"/>
    <x v="0"/>
    <m/>
    <x v="0"/>
    <x v="0"/>
    <x v="0"/>
    <n v="7"/>
    <s v="쇼핑백"/>
    <s v="210207"/>
    <m/>
    <n v="0"/>
  </r>
  <r>
    <x v="263"/>
    <x v="0"/>
    <m/>
    <x v="1"/>
    <x v="0"/>
    <x v="141"/>
    <n v="5"/>
    <s v="이그나이트"/>
    <s v="210207"/>
    <m/>
    <n v="0"/>
  </r>
  <r>
    <x v="263"/>
    <x v="0"/>
    <m/>
    <x v="1"/>
    <x v="0"/>
    <x v="142"/>
    <n v="3"/>
    <s v="이그나이트 2set"/>
    <s v="210207"/>
    <m/>
    <n v="0"/>
  </r>
  <r>
    <x v="263"/>
    <x v="0"/>
    <m/>
    <x v="2"/>
    <x v="1"/>
    <x v="1"/>
    <m/>
    <m/>
    <m/>
    <n v="1200440.909090909"/>
    <m/>
  </r>
  <r>
    <x v="264"/>
    <x v="3"/>
    <s v="페이스북/인스타그램"/>
    <x v="1"/>
    <x v="1"/>
    <x v="1"/>
    <m/>
    <m/>
    <m/>
    <n v="58646"/>
    <m/>
  </r>
  <r>
    <x v="264"/>
    <x v="3"/>
    <s v="페이스북/인스타그램"/>
    <x v="1"/>
    <x v="1"/>
    <x v="1"/>
    <m/>
    <m/>
    <m/>
    <n v="497789"/>
    <m/>
  </r>
  <r>
    <x v="264"/>
    <x v="3"/>
    <s v="페이스북/인스타그램"/>
    <x v="1"/>
    <x v="1"/>
    <x v="1"/>
    <m/>
    <m/>
    <m/>
    <n v="247782"/>
    <m/>
  </r>
  <r>
    <x v="264"/>
    <x v="3"/>
    <s v="페이스북/인스타그램"/>
    <x v="1"/>
    <x v="1"/>
    <x v="1"/>
    <m/>
    <m/>
    <m/>
    <n v="215033"/>
    <m/>
  </r>
  <r>
    <x v="264"/>
    <x v="3"/>
    <s v="페이스북/인스타그램"/>
    <x v="1"/>
    <x v="1"/>
    <x v="1"/>
    <m/>
    <m/>
    <m/>
    <n v="148547"/>
    <m/>
  </r>
  <r>
    <x v="264"/>
    <x v="3"/>
    <s v="페이스북/인스타그램"/>
    <x v="1"/>
    <x v="1"/>
    <x v="1"/>
    <m/>
    <m/>
    <m/>
    <n v="98247"/>
    <m/>
  </r>
  <r>
    <x v="264"/>
    <x v="3"/>
    <s v="페이스북/인스타그램"/>
    <x v="1"/>
    <x v="1"/>
    <x v="1"/>
    <m/>
    <m/>
    <m/>
    <n v="197174"/>
    <m/>
  </r>
  <r>
    <x v="264"/>
    <x v="3"/>
    <s v="페이스북/인스타그램"/>
    <x v="1"/>
    <x v="1"/>
    <x v="1"/>
    <m/>
    <m/>
    <m/>
    <n v="49586"/>
    <m/>
  </r>
  <r>
    <x v="264"/>
    <x v="3"/>
    <s v="페이스북/인스타그램"/>
    <x v="1"/>
    <x v="1"/>
    <x v="1"/>
    <m/>
    <m/>
    <m/>
    <n v="98334"/>
    <m/>
  </r>
  <r>
    <x v="264"/>
    <x v="3"/>
    <s v="페이스북/인스타그램"/>
    <x v="1"/>
    <x v="1"/>
    <x v="1"/>
    <m/>
    <m/>
    <m/>
    <n v="30833"/>
    <m/>
  </r>
  <r>
    <x v="264"/>
    <x v="3"/>
    <s v="페이스북/인스타그램"/>
    <x v="1"/>
    <x v="1"/>
    <x v="1"/>
    <m/>
    <m/>
    <m/>
    <n v="198069"/>
    <m/>
  </r>
  <r>
    <x v="264"/>
    <x v="3"/>
    <s v="페이스북/인스타그램"/>
    <x v="1"/>
    <x v="1"/>
    <x v="1"/>
    <m/>
    <m/>
    <m/>
    <n v="99428"/>
    <m/>
  </r>
  <r>
    <x v="264"/>
    <x v="3"/>
    <s v="페이스북/인스타그램"/>
    <x v="1"/>
    <x v="1"/>
    <x v="1"/>
    <m/>
    <m/>
    <m/>
    <n v="297011"/>
    <m/>
  </r>
  <r>
    <x v="264"/>
    <x v="3"/>
    <s v="페이스북/인스타그램"/>
    <x v="1"/>
    <x v="1"/>
    <x v="1"/>
    <m/>
    <m/>
    <m/>
    <n v="298368"/>
    <m/>
  </r>
  <r>
    <x v="264"/>
    <x v="3"/>
    <s v="페이스북/인스타그램"/>
    <x v="1"/>
    <x v="1"/>
    <x v="1"/>
    <m/>
    <m/>
    <m/>
    <n v="147382"/>
    <m/>
  </r>
  <r>
    <x v="264"/>
    <x v="3"/>
    <s v="페이스북/인스타그램"/>
    <x v="1"/>
    <x v="1"/>
    <x v="1"/>
    <m/>
    <m/>
    <m/>
    <n v="149698"/>
    <m/>
  </r>
  <r>
    <x v="264"/>
    <x v="3"/>
    <s v="페이스북/인스타그램"/>
    <x v="1"/>
    <x v="1"/>
    <x v="1"/>
    <m/>
    <m/>
    <m/>
    <n v="148655"/>
    <m/>
  </r>
  <r>
    <x v="264"/>
    <x v="3"/>
    <s v="유튜브 광고"/>
    <x v="1"/>
    <x v="1"/>
    <x v="1"/>
    <m/>
    <m/>
    <m/>
    <n v="360509"/>
    <m/>
  </r>
  <r>
    <x v="264"/>
    <x v="3"/>
    <s v="유튜브 광고"/>
    <x v="1"/>
    <x v="1"/>
    <x v="1"/>
    <m/>
    <m/>
    <m/>
    <n v="64018"/>
    <m/>
  </r>
  <r>
    <x v="264"/>
    <x v="3"/>
    <s v="유튜브 광고"/>
    <x v="1"/>
    <x v="1"/>
    <x v="1"/>
    <m/>
    <m/>
    <m/>
    <n v="509089"/>
    <m/>
  </r>
  <r>
    <x v="264"/>
    <x v="3"/>
    <s v="유튜브 광고"/>
    <x v="1"/>
    <x v="1"/>
    <x v="1"/>
    <m/>
    <m/>
    <m/>
    <n v="456802"/>
    <m/>
  </r>
  <r>
    <x v="264"/>
    <x v="3"/>
    <s v="유튜브 광고"/>
    <x v="1"/>
    <x v="1"/>
    <x v="1"/>
    <m/>
    <m/>
    <m/>
    <n v="508307"/>
    <m/>
  </r>
  <r>
    <x v="264"/>
    <x v="3"/>
    <s v="유튜브 광고"/>
    <x v="1"/>
    <x v="1"/>
    <x v="1"/>
    <m/>
    <m/>
    <m/>
    <n v="257498"/>
    <m/>
  </r>
  <r>
    <x v="264"/>
    <x v="3"/>
    <s v="유튜브 광고"/>
    <x v="1"/>
    <x v="1"/>
    <x v="1"/>
    <m/>
    <m/>
    <m/>
    <n v="514437"/>
    <m/>
  </r>
  <r>
    <x v="264"/>
    <x v="3"/>
    <s v="유튜브 광고"/>
    <x v="1"/>
    <x v="1"/>
    <x v="1"/>
    <m/>
    <m/>
    <m/>
    <n v="103116"/>
    <m/>
  </r>
  <r>
    <x v="264"/>
    <x v="3"/>
    <s v="네이버 쇼핑검색"/>
    <x v="1"/>
    <x v="1"/>
    <x v="1"/>
    <m/>
    <m/>
    <m/>
    <n v="2960"/>
    <m/>
  </r>
  <r>
    <x v="264"/>
    <x v="3"/>
    <s v="네이버 쇼핑검색"/>
    <x v="1"/>
    <x v="1"/>
    <x v="1"/>
    <m/>
    <m/>
    <m/>
    <n v="58499.99999999999"/>
    <m/>
  </r>
  <r>
    <x v="264"/>
    <x v="3"/>
    <s v="네이버 쇼핑검색"/>
    <x v="1"/>
    <x v="1"/>
    <x v="1"/>
    <m/>
    <m/>
    <m/>
    <n v="2100"/>
    <m/>
  </r>
  <r>
    <x v="264"/>
    <x v="3"/>
    <s v="네이버 브랜드검색"/>
    <x v="3"/>
    <x v="1"/>
    <x v="1"/>
    <m/>
    <m/>
    <m/>
    <n v="0"/>
    <m/>
  </r>
  <r>
    <x v="264"/>
    <x v="3"/>
    <s v="카카오 배너"/>
    <x v="1"/>
    <x v="1"/>
    <x v="1"/>
    <m/>
    <m/>
    <m/>
    <n v="91019.99999999999"/>
    <m/>
  </r>
  <r>
    <x v="264"/>
    <x v="3"/>
    <s v="카카오 배너"/>
    <x v="1"/>
    <x v="1"/>
    <x v="1"/>
    <m/>
    <m/>
    <m/>
    <n v="760939.9999999999"/>
    <m/>
  </r>
  <r>
    <x v="264"/>
    <x v="3"/>
    <m/>
    <x v="1"/>
    <x v="2"/>
    <x v="41"/>
    <n v="5"/>
    <s v="스테이포에버"/>
    <s v="210207"/>
    <m/>
    <n v="0"/>
  </r>
  <r>
    <x v="264"/>
    <x v="3"/>
    <m/>
    <x v="1"/>
    <x v="0"/>
    <x v="134"/>
    <n v="4"/>
    <s v="이그나이트"/>
    <s v="210207"/>
    <m/>
    <n v="0"/>
  </r>
  <r>
    <x v="264"/>
    <x v="3"/>
    <m/>
    <x v="1"/>
    <x v="0"/>
    <x v="135"/>
    <n v="22"/>
    <s v="스테이포에버"/>
    <s v="210207"/>
    <m/>
    <n v="0"/>
  </r>
  <r>
    <x v="264"/>
    <x v="3"/>
    <m/>
    <x v="1"/>
    <x v="0"/>
    <x v="136"/>
    <n v="33"/>
    <s v="스테이포에버 2set"/>
    <s v="210207"/>
    <m/>
    <n v="0"/>
  </r>
  <r>
    <x v="264"/>
    <x v="3"/>
    <m/>
    <x v="1"/>
    <x v="0"/>
    <x v="137"/>
    <n v="39"/>
    <s v="이그나이트 + 스테이포에버"/>
    <s v="210207"/>
    <m/>
    <n v="0"/>
  </r>
  <r>
    <x v="264"/>
    <x v="3"/>
    <m/>
    <x v="1"/>
    <x v="0"/>
    <x v="138"/>
    <n v="467"/>
    <s v="스테이포에버"/>
    <s v="210207"/>
    <m/>
    <n v="0"/>
  </r>
  <r>
    <x v="264"/>
    <x v="3"/>
    <m/>
    <x v="1"/>
    <x v="0"/>
    <x v="139"/>
    <n v="401"/>
    <s v="스테이포에버 2set"/>
    <s v="210207"/>
    <m/>
    <n v="0"/>
  </r>
  <r>
    <x v="264"/>
    <x v="3"/>
    <m/>
    <x v="1"/>
    <x v="0"/>
    <x v="140"/>
    <n v="56"/>
    <s v="이그나이트 + 스테이포에버"/>
    <s v="210207"/>
    <m/>
    <n v="0"/>
  </r>
  <r>
    <x v="264"/>
    <x v="3"/>
    <m/>
    <x v="0"/>
    <x v="0"/>
    <x v="0"/>
    <n v="9"/>
    <s v="쇼핑백"/>
    <s v="210207"/>
    <m/>
    <n v="0"/>
  </r>
  <r>
    <x v="264"/>
    <x v="3"/>
    <m/>
    <x v="1"/>
    <x v="0"/>
    <x v="141"/>
    <n v="6"/>
    <s v="이그나이트"/>
    <s v="210207"/>
    <m/>
    <n v="0"/>
  </r>
  <r>
    <x v="264"/>
    <x v="3"/>
    <m/>
    <x v="1"/>
    <x v="0"/>
    <x v="142"/>
    <n v="6"/>
    <s v="이그나이트 2set"/>
    <s v="210207"/>
    <m/>
    <n v="0"/>
  </r>
  <r>
    <x v="264"/>
    <x v="3"/>
    <s v="네이버 배너"/>
    <x v="1"/>
    <x v="1"/>
    <x v="1"/>
    <m/>
    <m/>
    <m/>
    <n v="0"/>
    <m/>
  </r>
  <r>
    <x v="264"/>
    <x v="3"/>
    <s v="네이버 배너"/>
    <x v="1"/>
    <x v="1"/>
    <x v="1"/>
    <m/>
    <m/>
    <m/>
    <n v="1329610.909090909"/>
    <m/>
  </r>
  <r>
    <x v="265"/>
    <x v="6"/>
    <m/>
    <x v="2"/>
    <x v="1"/>
    <x v="1"/>
    <m/>
    <m/>
    <m/>
    <n v="60465"/>
    <m/>
  </r>
  <r>
    <x v="265"/>
    <x v="6"/>
    <s v="페이스북/인스타그램"/>
    <x v="1"/>
    <x v="1"/>
    <x v="1"/>
    <m/>
    <m/>
    <m/>
    <n v="60408"/>
    <m/>
  </r>
  <r>
    <x v="265"/>
    <x v="6"/>
    <m/>
    <x v="2"/>
    <x v="1"/>
    <x v="1"/>
    <m/>
    <m/>
    <m/>
    <n v="500976"/>
    <m/>
  </r>
  <r>
    <x v="265"/>
    <x v="6"/>
    <s v="페이스북/인스타그램"/>
    <x v="1"/>
    <x v="1"/>
    <x v="1"/>
    <m/>
    <m/>
    <m/>
    <n v="222478"/>
    <m/>
  </r>
  <r>
    <x v="265"/>
    <x v="6"/>
    <s v="페이스북/인스타그램"/>
    <x v="1"/>
    <x v="1"/>
    <x v="1"/>
    <m/>
    <m/>
    <m/>
    <n v="272153"/>
    <m/>
  </r>
  <r>
    <x v="265"/>
    <x v="6"/>
    <s v="페이스북/인스타그램"/>
    <x v="1"/>
    <x v="1"/>
    <x v="1"/>
    <m/>
    <m/>
    <m/>
    <n v="150496"/>
    <m/>
  </r>
  <r>
    <x v="265"/>
    <x v="6"/>
    <s v="페이스북/인스타그램"/>
    <x v="1"/>
    <x v="1"/>
    <x v="1"/>
    <m/>
    <m/>
    <m/>
    <n v="101100"/>
    <m/>
  </r>
  <r>
    <x v="265"/>
    <x v="6"/>
    <s v="페이스북/인스타그램"/>
    <x v="1"/>
    <x v="1"/>
    <x v="1"/>
    <m/>
    <m/>
    <m/>
    <n v="201047"/>
    <m/>
  </r>
  <r>
    <x v="265"/>
    <x v="6"/>
    <s v="페이스북/인스타그램"/>
    <x v="1"/>
    <x v="1"/>
    <x v="1"/>
    <m/>
    <m/>
    <m/>
    <n v="50467"/>
    <m/>
  </r>
  <r>
    <x v="265"/>
    <x v="6"/>
    <s v="페이스북/인스타그램"/>
    <x v="1"/>
    <x v="1"/>
    <x v="1"/>
    <m/>
    <m/>
    <m/>
    <n v="100644"/>
    <m/>
  </r>
  <r>
    <x v="265"/>
    <x v="6"/>
    <s v="페이스북/인스타그램"/>
    <x v="1"/>
    <x v="1"/>
    <x v="1"/>
    <m/>
    <m/>
    <m/>
    <n v="30181"/>
    <m/>
  </r>
  <r>
    <x v="265"/>
    <x v="6"/>
    <s v="페이스북/인스타그램"/>
    <x v="1"/>
    <x v="1"/>
    <x v="1"/>
    <m/>
    <m/>
    <m/>
    <n v="200614"/>
    <m/>
  </r>
  <r>
    <x v="265"/>
    <x v="6"/>
    <s v="페이스북/인스타그램"/>
    <x v="1"/>
    <x v="1"/>
    <x v="1"/>
    <m/>
    <m/>
    <m/>
    <n v="100851"/>
    <m/>
  </r>
  <r>
    <x v="265"/>
    <x v="6"/>
    <s v="페이스북/인스타그램"/>
    <x v="1"/>
    <x v="1"/>
    <x v="1"/>
    <m/>
    <m/>
    <m/>
    <n v="301876"/>
    <m/>
  </r>
  <r>
    <x v="265"/>
    <x v="6"/>
    <s v="페이스북/인스타그램"/>
    <x v="1"/>
    <x v="1"/>
    <x v="1"/>
    <m/>
    <m/>
    <m/>
    <n v="301654"/>
    <m/>
  </r>
  <r>
    <x v="265"/>
    <x v="6"/>
    <s v="페이스북/인스타그램"/>
    <x v="1"/>
    <x v="1"/>
    <x v="1"/>
    <m/>
    <m/>
    <m/>
    <n v="150640"/>
    <m/>
  </r>
  <r>
    <x v="265"/>
    <x v="6"/>
    <s v="페이스북/인스타그램"/>
    <x v="1"/>
    <x v="1"/>
    <x v="1"/>
    <m/>
    <m/>
    <m/>
    <n v="150469"/>
    <m/>
  </r>
  <r>
    <x v="265"/>
    <x v="6"/>
    <s v="페이스북/인스타그램"/>
    <x v="1"/>
    <x v="1"/>
    <x v="1"/>
    <m/>
    <m/>
    <m/>
    <n v="150943"/>
    <m/>
  </r>
  <r>
    <x v="265"/>
    <x v="6"/>
    <s v="유튜브 광고"/>
    <x v="1"/>
    <x v="1"/>
    <x v="1"/>
    <m/>
    <m/>
    <m/>
    <n v="312049"/>
    <m/>
  </r>
  <r>
    <x v="265"/>
    <x v="6"/>
    <s v="유튜브 광고"/>
    <x v="1"/>
    <x v="1"/>
    <x v="1"/>
    <m/>
    <m/>
    <m/>
    <n v="24936"/>
    <m/>
  </r>
  <r>
    <x v="265"/>
    <x v="6"/>
    <s v="유튜브 광고"/>
    <x v="1"/>
    <x v="1"/>
    <x v="1"/>
    <m/>
    <m/>
    <m/>
    <n v="513105"/>
    <m/>
  </r>
  <r>
    <x v="265"/>
    <x v="6"/>
    <s v="유튜브 광고"/>
    <x v="1"/>
    <x v="1"/>
    <x v="1"/>
    <m/>
    <m/>
    <m/>
    <n v="436680"/>
    <m/>
  </r>
  <r>
    <x v="265"/>
    <x v="6"/>
    <s v="유튜브 광고"/>
    <x v="1"/>
    <x v="1"/>
    <x v="1"/>
    <m/>
    <m/>
    <m/>
    <n v="514551"/>
    <m/>
  </r>
  <r>
    <x v="265"/>
    <x v="6"/>
    <s v="유튜브 광고"/>
    <x v="1"/>
    <x v="1"/>
    <x v="1"/>
    <m/>
    <m/>
    <m/>
    <n v="260372"/>
    <m/>
  </r>
  <r>
    <x v="265"/>
    <x v="6"/>
    <s v="유튜브 광고"/>
    <x v="1"/>
    <x v="1"/>
    <x v="1"/>
    <m/>
    <m/>
    <m/>
    <n v="519033"/>
    <m/>
  </r>
  <r>
    <x v="265"/>
    <x v="6"/>
    <m/>
    <x v="2"/>
    <x v="1"/>
    <x v="1"/>
    <m/>
    <m/>
    <m/>
    <n v="415907"/>
    <m/>
  </r>
  <r>
    <x v="265"/>
    <x v="6"/>
    <m/>
    <x v="2"/>
    <x v="1"/>
    <x v="1"/>
    <m/>
    <m/>
    <m/>
    <n v="104031"/>
    <m/>
  </r>
  <r>
    <x v="265"/>
    <x v="6"/>
    <s v="네이버 쇼핑검색"/>
    <x v="1"/>
    <x v="1"/>
    <x v="1"/>
    <m/>
    <m/>
    <m/>
    <n v="1240"/>
    <m/>
  </r>
  <r>
    <x v="265"/>
    <x v="6"/>
    <s v="네이버 쇼핑검색"/>
    <x v="1"/>
    <x v="1"/>
    <x v="1"/>
    <m/>
    <m/>
    <m/>
    <n v="26710"/>
    <m/>
  </r>
  <r>
    <x v="265"/>
    <x v="6"/>
    <s v="네이버 쇼핑검색"/>
    <x v="1"/>
    <x v="1"/>
    <x v="1"/>
    <m/>
    <m/>
    <m/>
    <n v="869.9999999999999"/>
    <m/>
  </r>
  <r>
    <x v="265"/>
    <x v="6"/>
    <s v="네이버 브랜드검색"/>
    <x v="3"/>
    <x v="1"/>
    <x v="1"/>
    <m/>
    <m/>
    <m/>
    <n v="0"/>
    <m/>
  </r>
  <r>
    <x v="265"/>
    <x v="6"/>
    <s v="카카오 배너"/>
    <x v="1"/>
    <x v="1"/>
    <x v="1"/>
    <m/>
    <m/>
    <m/>
    <n v="72460"/>
    <m/>
  </r>
  <r>
    <x v="265"/>
    <x v="6"/>
    <s v="카카오 배너"/>
    <x v="1"/>
    <x v="1"/>
    <x v="1"/>
    <m/>
    <m/>
    <m/>
    <n v="503729.9999999999"/>
    <m/>
  </r>
  <r>
    <x v="265"/>
    <x v="6"/>
    <m/>
    <x v="4"/>
    <x v="3"/>
    <x v="150"/>
    <n v="1"/>
    <s v="0"/>
    <s v="210207"/>
    <m/>
    <n v="0"/>
  </r>
  <r>
    <x v="265"/>
    <x v="6"/>
    <m/>
    <x v="4"/>
    <x v="3"/>
    <x v="151"/>
    <n v="3"/>
    <s v="0"/>
    <s v="210207"/>
    <m/>
    <n v="0"/>
  </r>
  <r>
    <x v="265"/>
    <x v="6"/>
    <m/>
    <x v="4"/>
    <x v="3"/>
    <x v="152"/>
    <n v="15"/>
    <s v="0"/>
    <s v="210207"/>
    <m/>
    <n v="0"/>
  </r>
  <r>
    <x v="265"/>
    <x v="6"/>
    <m/>
    <x v="1"/>
    <x v="2"/>
    <x v="41"/>
    <n v="2"/>
    <s v="스테이포에버"/>
    <s v="210207"/>
    <m/>
    <n v="0"/>
  </r>
  <r>
    <x v="265"/>
    <x v="6"/>
    <m/>
    <x v="1"/>
    <x v="0"/>
    <x v="145"/>
    <n v="2"/>
    <s v="이그나이트 2set"/>
    <s v="210207"/>
    <m/>
    <n v="117600"/>
  </r>
  <r>
    <x v="265"/>
    <x v="6"/>
    <m/>
    <x v="1"/>
    <x v="0"/>
    <x v="135"/>
    <n v="4"/>
    <s v="스테이포에버"/>
    <s v="210207"/>
    <m/>
    <n v="136000"/>
  </r>
  <r>
    <x v="265"/>
    <x v="6"/>
    <m/>
    <x v="1"/>
    <x v="0"/>
    <x v="136"/>
    <n v="8"/>
    <s v="스테이포에버 2set"/>
    <s v="210207"/>
    <m/>
    <n v="470400"/>
  </r>
  <r>
    <x v="265"/>
    <x v="6"/>
    <m/>
    <x v="1"/>
    <x v="0"/>
    <x v="137"/>
    <n v="9"/>
    <s v="이그나이트 + 스테이포에버"/>
    <s v="210207"/>
    <m/>
    <n v="529200"/>
  </r>
  <r>
    <x v="265"/>
    <x v="6"/>
    <m/>
    <x v="1"/>
    <x v="0"/>
    <x v="144"/>
    <n v="2"/>
    <s v="이그나이트 + 스테이포에버"/>
    <s v="210207"/>
    <m/>
    <n v="117600"/>
  </r>
  <r>
    <x v="265"/>
    <x v="6"/>
    <m/>
    <x v="1"/>
    <x v="0"/>
    <x v="138"/>
    <n v="192"/>
    <s v="스테이포에버"/>
    <s v="210207"/>
    <m/>
    <n v="6528000"/>
  </r>
  <r>
    <x v="265"/>
    <x v="6"/>
    <m/>
    <x v="1"/>
    <x v="0"/>
    <x v="139"/>
    <n v="114"/>
    <s v="스테이포에버 2set"/>
    <s v="210207"/>
    <m/>
    <n v="6703200"/>
  </r>
  <r>
    <x v="265"/>
    <x v="6"/>
    <m/>
    <x v="1"/>
    <x v="0"/>
    <x v="140"/>
    <n v="12"/>
    <s v="이그나이트 + 스테이포에버"/>
    <s v="210207"/>
    <m/>
    <n v="705600"/>
  </r>
  <r>
    <x v="265"/>
    <x v="6"/>
    <m/>
    <x v="0"/>
    <x v="0"/>
    <x v="0"/>
    <n v="3"/>
    <s v="쇼핑백"/>
    <s v="210207"/>
    <m/>
    <m/>
  </r>
  <r>
    <x v="265"/>
    <x v="6"/>
    <m/>
    <x v="1"/>
    <x v="0"/>
    <x v="41"/>
    <n v="2"/>
    <s v="스테이포에버"/>
    <s v="210207"/>
    <m/>
    <n v="76000"/>
  </r>
  <r>
    <x v="265"/>
    <x v="6"/>
    <m/>
    <x v="1"/>
    <x v="0"/>
    <x v="142"/>
    <n v="2"/>
    <s v="이그나이트 2set"/>
    <s v="210207"/>
    <m/>
    <n v="117600"/>
  </r>
  <r>
    <x v="265"/>
    <x v="6"/>
    <m/>
    <x v="2"/>
    <x v="1"/>
    <x v="1"/>
    <m/>
    <m/>
    <m/>
    <n v="1165580"/>
    <m/>
  </r>
  <r>
    <x v="266"/>
    <x v="5"/>
    <m/>
    <x v="2"/>
    <x v="1"/>
    <x v="1"/>
    <m/>
    <m/>
    <m/>
    <n v="60486"/>
    <m/>
  </r>
  <r>
    <x v="266"/>
    <x v="5"/>
    <s v="페이스북/인스타그램"/>
    <x v="1"/>
    <x v="1"/>
    <x v="1"/>
    <m/>
    <m/>
    <m/>
    <n v="60989"/>
    <m/>
  </r>
  <r>
    <x v="266"/>
    <x v="5"/>
    <m/>
    <x v="2"/>
    <x v="1"/>
    <x v="1"/>
    <m/>
    <m/>
    <m/>
    <n v="501904"/>
    <m/>
  </r>
  <r>
    <x v="266"/>
    <x v="5"/>
    <s v="페이스북/인스타그램"/>
    <x v="1"/>
    <x v="1"/>
    <x v="1"/>
    <m/>
    <m/>
    <m/>
    <n v="223627"/>
    <m/>
  </r>
  <r>
    <x v="266"/>
    <x v="5"/>
    <s v="페이스북/인스타그램"/>
    <x v="1"/>
    <x v="1"/>
    <x v="1"/>
    <m/>
    <m/>
    <m/>
    <n v="272034"/>
    <m/>
  </r>
  <r>
    <x v="266"/>
    <x v="5"/>
    <s v="페이스북/인스타그램"/>
    <x v="1"/>
    <x v="1"/>
    <x v="1"/>
    <m/>
    <m/>
    <m/>
    <n v="150434"/>
    <m/>
  </r>
  <r>
    <x v="266"/>
    <x v="5"/>
    <s v="페이스북/인스타그램"/>
    <x v="1"/>
    <x v="1"/>
    <x v="1"/>
    <m/>
    <m/>
    <m/>
    <n v="100961"/>
    <m/>
  </r>
  <r>
    <x v="266"/>
    <x v="5"/>
    <s v="페이스북/인스타그램"/>
    <x v="1"/>
    <x v="1"/>
    <x v="1"/>
    <m/>
    <m/>
    <m/>
    <n v="201143"/>
    <m/>
  </r>
  <r>
    <x v="266"/>
    <x v="5"/>
    <s v="페이스북/인스타그램"/>
    <x v="1"/>
    <x v="1"/>
    <x v="1"/>
    <m/>
    <m/>
    <m/>
    <n v="50536"/>
    <m/>
  </r>
  <r>
    <x v="266"/>
    <x v="5"/>
    <s v="페이스북/인스타그램"/>
    <x v="1"/>
    <x v="1"/>
    <x v="1"/>
    <m/>
    <m/>
    <m/>
    <n v="100702"/>
    <m/>
  </r>
  <r>
    <x v="266"/>
    <x v="5"/>
    <s v="페이스북/인스타그램"/>
    <x v="1"/>
    <x v="1"/>
    <x v="1"/>
    <m/>
    <m/>
    <m/>
    <n v="30602"/>
    <m/>
  </r>
  <r>
    <x v="266"/>
    <x v="5"/>
    <s v="페이스북/인스타그램"/>
    <x v="1"/>
    <x v="1"/>
    <x v="1"/>
    <m/>
    <m/>
    <m/>
    <n v="201552"/>
    <m/>
  </r>
  <r>
    <x v="266"/>
    <x v="5"/>
    <s v="페이스북/인스타그램"/>
    <x v="1"/>
    <x v="1"/>
    <x v="1"/>
    <m/>
    <m/>
    <m/>
    <n v="100551"/>
    <m/>
  </r>
  <r>
    <x v="266"/>
    <x v="5"/>
    <s v="페이스북/인스타그램"/>
    <x v="1"/>
    <x v="1"/>
    <x v="1"/>
    <m/>
    <m/>
    <m/>
    <n v="301526"/>
    <m/>
  </r>
  <r>
    <x v="266"/>
    <x v="5"/>
    <s v="페이스북/인스타그램"/>
    <x v="1"/>
    <x v="1"/>
    <x v="1"/>
    <m/>
    <m/>
    <m/>
    <n v="301173"/>
    <m/>
  </r>
  <r>
    <x v="266"/>
    <x v="5"/>
    <s v="페이스북/인스타그램"/>
    <x v="1"/>
    <x v="1"/>
    <x v="1"/>
    <m/>
    <m/>
    <m/>
    <n v="150382"/>
    <m/>
  </r>
  <r>
    <x v="266"/>
    <x v="5"/>
    <s v="페이스북/인스타그램"/>
    <x v="1"/>
    <x v="1"/>
    <x v="1"/>
    <m/>
    <m/>
    <m/>
    <n v="151319"/>
    <m/>
  </r>
  <r>
    <x v="266"/>
    <x v="5"/>
    <s v="페이스북/인스타그램"/>
    <x v="1"/>
    <x v="1"/>
    <x v="1"/>
    <m/>
    <m/>
    <m/>
    <n v="150574"/>
    <m/>
  </r>
  <r>
    <x v="265"/>
    <x v="6"/>
    <m/>
    <x v="2"/>
    <x v="1"/>
    <x v="1"/>
    <m/>
    <m/>
    <m/>
    <n v="60465"/>
    <m/>
  </r>
  <r>
    <x v="265"/>
    <x v="6"/>
    <s v="페이스북/인스타그램"/>
    <x v="1"/>
    <x v="1"/>
    <x v="1"/>
    <m/>
    <m/>
    <m/>
    <n v="60408"/>
    <m/>
  </r>
  <r>
    <x v="265"/>
    <x v="6"/>
    <m/>
    <x v="2"/>
    <x v="1"/>
    <x v="1"/>
    <m/>
    <m/>
    <m/>
    <n v="500976"/>
    <m/>
  </r>
  <r>
    <x v="265"/>
    <x v="6"/>
    <s v="페이스북/인스타그램"/>
    <x v="1"/>
    <x v="1"/>
    <x v="1"/>
    <m/>
    <m/>
    <m/>
    <n v="222487"/>
    <m/>
  </r>
  <r>
    <x v="265"/>
    <x v="6"/>
    <s v="페이스북/인스타그램"/>
    <x v="1"/>
    <x v="1"/>
    <x v="1"/>
    <m/>
    <m/>
    <m/>
    <n v="272165"/>
    <m/>
  </r>
  <r>
    <x v="265"/>
    <x v="6"/>
    <s v="페이스북/인스타그램"/>
    <x v="1"/>
    <x v="1"/>
    <x v="1"/>
    <m/>
    <m/>
    <m/>
    <n v="150496"/>
    <m/>
  </r>
  <r>
    <x v="265"/>
    <x v="6"/>
    <s v="페이스북/인스타그램"/>
    <x v="1"/>
    <x v="1"/>
    <x v="1"/>
    <m/>
    <m/>
    <m/>
    <n v="101100"/>
    <m/>
  </r>
  <r>
    <x v="265"/>
    <x v="6"/>
    <s v="페이스북/인스타그램"/>
    <x v="1"/>
    <x v="1"/>
    <x v="1"/>
    <m/>
    <m/>
    <m/>
    <n v="201047"/>
    <m/>
  </r>
  <r>
    <x v="265"/>
    <x v="6"/>
    <s v="페이스북/인스타그램"/>
    <x v="1"/>
    <x v="1"/>
    <x v="1"/>
    <m/>
    <m/>
    <m/>
    <n v="50467"/>
    <m/>
  </r>
  <r>
    <x v="265"/>
    <x v="6"/>
    <s v="페이스북/인스타그램"/>
    <x v="1"/>
    <x v="1"/>
    <x v="1"/>
    <m/>
    <m/>
    <m/>
    <n v="100644"/>
    <m/>
  </r>
  <r>
    <x v="265"/>
    <x v="6"/>
    <s v="페이스북/인스타그램"/>
    <x v="1"/>
    <x v="1"/>
    <x v="1"/>
    <m/>
    <m/>
    <m/>
    <n v="30181"/>
    <m/>
  </r>
  <r>
    <x v="265"/>
    <x v="6"/>
    <s v="페이스북/인스타그램"/>
    <x v="1"/>
    <x v="1"/>
    <x v="1"/>
    <m/>
    <m/>
    <m/>
    <n v="200614"/>
    <m/>
  </r>
  <r>
    <x v="265"/>
    <x v="6"/>
    <s v="페이스북/인스타그램"/>
    <x v="1"/>
    <x v="1"/>
    <x v="1"/>
    <m/>
    <m/>
    <m/>
    <n v="100851"/>
    <m/>
  </r>
  <r>
    <x v="265"/>
    <x v="6"/>
    <s v="페이스북/인스타그램"/>
    <x v="1"/>
    <x v="1"/>
    <x v="1"/>
    <m/>
    <m/>
    <m/>
    <n v="301914"/>
    <m/>
  </r>
  <r>
    <x v="265"/>
    <x v="6"/>
    <s v="페이스북/인스타그램"/>
    <x v="1"/>
    <x v="1"/>
    <x v="1"/>
    <m/>
    <m/>
    <m/>
    <n v="301686"/>
    <m/>
  </r>
  <r>
    <x v="265"/>
    <x v="6"/>
    <s v="페이스북/인스타그램"/>
    <x v="1"/>
    <x v="1"/>
    <x v="1"/>
    <m/>
    <m/>
    <m/>
    <n v="150640"/>
    <m/>
  </r>
  <r>
    <x v="265"/>
    <x v="6"/>
    <s v="페이스북/인스타그램"/>
    <x v="1"/>
    <x v="1"/>
    <x v="1"/>
    <m/>
    <m/>
    <m/>
    <n v="150469"/>
    <m/>
  </r>
  <r>
    <x v="265"/>
    <x v="6"/>
    <s v="페이스북/인스타그램"/>
    <x v="1"/>
    <x v="1"/>
    <x v="1"/>
    <m/>
    <m/>
    <m/>
    <n v="150943"/>
    <m/>
  </r>
  <r>
    <x v="266"/>
    <x v="5"/>
    <s v="유튜브 광고"/>
    <x v="1"/>
    <x v="1"/>
    <x v="1"/>
    <m/>
    <m/>
    <m/>
    <n v="300077"/>
    <m/>
  </r>
  <r>
    <x v="266"/>
    <x v="5"/>
    <s v="유튜브 광고"/>
    <x v="1"/>
    <x v="1"/>
    <x v="1"/>
    <m/>
    <m/>
    <m/>
    <n v="22289"/>
    <m/>
  </r>
  <r>
    <x v="266"/>
    <x v="5"/>
    <s v="유튜브 광고"/>
    <x v="1"/>
    <x v="1"/>
    <x v="1"/>
    <m/>
    <m/>
    <m/>
    <n v="492259"/>
    <m/>
  </r>
  <r>
    <x v="266"/>
    <x v="5"/>
    <s v="유튜브 광고"/>
    <x v="1"/>
    <x v="1"/>
    <x v="1"/>
    <m/>
    <m/>
    <m/>
    <n v="409315"/>
    <m/>
  </r>
  <r>
    <x v="266"/>
    <x v="5"/>
    <s v="유튜브 광고"/>
    <x v="1"/>
    <x v="1"/>
    <x v="1"/>
    <m/>
    <m/>
    <m/>
    <n v="490608"/>
    <m/>
  </r>
  <r>
    <x v="266"/>
    <x v="5"/>
    <s v="유튜브 광고"/>
    <x v="1"/>
    <x v="1"/>
    <x v="1"/>
    <m/>
    <m/>
    <m/>
    <n v="249324"/>
    <m/>
  </r>
  <r>
    <x v="266"/>
    <x v="5"/>
    <s v="유튜브 광고"/>
    <x v="1"/>
    <x v="1"/>
    <x v="1"/>
    <m/>
    <m/>
    <m/>
    <n v="496853"/>
    <m/>
  </r>
  <r>
    <x v="266"/>
    <x v="5"/>
    <m/>
    <x v="2"/>
    <x v="1"/>
    <x v="1"/>
    <m/>
    <m/>
    <m/>
    <n v="299588"/>
    <m/>
  </r>
  <r>
    <x v="265"/>
    <x v="6"/>
    <s v="유튜브 광고"/>
    <x v="1"/>
    <x v="1"/>
    <x v="1"/>
    <m/>
    <m/>
    <m/>
    <n v="312049"/>
    <m/>
  </r>
  <r>
    <x v="265"/>
    <x v="6"/>
    <s v="유튜브 광고"/>
    <x v="1"/>
    <x v="1"/>
    <x v="1"/>
    <m/>
    <m/>
    <m/>
    <n v="24936"/>
    <m/>
  </r>
  <r>
    <x v="265"/>
    <x v="6"/>
    <s v="유튜브 광고"/>
    <x v="1"/>
    <x v="1"/>
    <x v="1"/>
    <m/>
    <m/>
    <m/>
    <n v="513089"/>
    <m/>
  </r>
  <r>
    <x v="265"/>
    <x v="6"/>
    <s v="유튜브 광고"/>
    <x v="1"/>
    <x v="1"/>
    <x v="1"/>
    <m/>
    <m/>
    <m/>
    <n v="436680"/>
    <m/>
  </r>
  <r>
    <x v="265"/>
    <x v="6"/>
    <s v="유튜브 광고"/>
    <x v="1"/>
    <x v="1"/>
    <x v="1"/>
    <m/>
    <m/>
    <m/>
    <n v="514547"/>
    <m/>
  </r>
  <r>
    <x v="265"/>
    <x v="6"/>
    <s v="유튜브 광고"/>
    <x v="1"/>
    <x v="1"/>
    <x v="1"/>
    <m/>
    <m/>
    <m/>
    <n v="260372"/>
    <m/>
  </r>
  <r>
    <x v="265"/>
    <x v="6"/>
    <s v="유튜브 광고"/>
    <x v="1"/>
    <x v="1"/>
    <x v="1"/>
    <m/>
    <m/>
    <m/>
    <n v="519033"/>
    <m/>
  </r>
  <r>
    <x v="265"/>
    <x v="6"/>
    <m/>
    <x v="2"/>
    <x v="1"/>
    <x v="1"/>
    <m/>
    <m/>
    <m/>
    <n v="415900"/>
    <m/>
  </r>
  <r>
    <x v="265"/>
    <x v="6"/>
    <m/>
    <x v="2"/>
    <x v="1"/>
    <x v="1"/>
    <m/>
    <m/>
    <m/>
    <n v="104031"/>
    <m/>
  </r>
  <r>
    <x v="265"/>
    <x v="6"/>
    <s v="네이버 쇼핑검색"/>
    <x v="1"/>
    <x v="1"/>
    <x v="1"/>
    <m/>
    <m/>
    <m/>
    <n v="1240"/>
    <m/>
  </r>
  <r>
    <x v="265"/>
    <x v="6"/>
    <s v="네이버 쇼핑검색"/>
    <x v="1"/>
    <x v="1"/>
    <x v="1"/>
    <m/>
    <m/>
    <m/>
    <n v="26710"/>
    <m/>
  </r>
  <r>
    <x v="265"/>
    <x v="6"/>
    <s v="네이버 쇼핑검색"/>
    <x v="1"/>
    <x v="1"/>
    <x v="1"/>
    <m/>
    <m/>
    <m/>
    <n v="869.9999999999999"/>
    <m/>
  </r>
  <r>
    <x v="265"/>
    <x v="6"/>
    <s v="네이버 브랜드검색"/>
    <x v="3"/>
    <x v="1"/>
    <x v="1"/>
    <m/>
    <m/>
    <m/>
    <n v="0"/>
    <m/>
  </r>
  <r>
    <x v="266"/>
    <x v="5"/>
    <s v="네이버 쇼핑검색"/>
    <x v="1"/>
    <x v="1"/>
    <x v="1"/>
    <m/>
    <m/>
    <m/>
    <n v="1040"/>
    <m/>
  </r>
  <r>
    <x v="266"/>
    <x v="5"/>
    <s v="네이버 쇼핑검색"/>
    <x v="1"/>
    <x v="1"/>
    <x v="1"/>
    <m/>
    <m/>
    <m/>
    <n v="28720"/>
    <m/>
  </r>
  <r>
    <x v="266"/>
    <x v="5"/>
    <s v="네이버 쇼핑검색"/>
    <x v="1"/>
    <x v="1"/>
    <x v="1"/>
    <m/>
    <m/>
    <m/>
    <n v="1750"/>
    <m/>
  </r>
  <r>
    <x v="266"/>
    <x v="5"/>
    <s v="네이버 브랜드검색"/>
    <x v="3"/>
    <x v="1"/>
    <x v="1"/>
    <m/>
    <m/>
    <m/>
    <n v="0"/>
    <m/>
  </r>
  <r>
    <x v="266"/>
    <x v="5"/>
    <s v="카카오 배너"/>
    <x v="1"/>
    <x v="1"/>
    <x v="1"/>
    <m/>
    <m/>
    <m/>
    <n v="91169.99999999999"/>
    <m/>
  </r>
  <r>
    <x v="266"/>
    <x v="5"/>
    <s v="카카오 배너"/>
    <x v="1"/>
    <x v="1"/>
    <x v="1"/>
    <m/>
    <m/>
    <m/>
    <n v="713320"/>
    <m/>
  </r>
  <r>
    <x v="265"/>
    <x v="6"/>
    <s v="카카오 배너"/>
    <x v="1"/>
    <x v="1"/>
    <x v="1"/>
    <m/>
    <m/>
    <m/>
    <n v="72460"/>
    <m/>
  </r>
  <r>
    <x v="265"/>
    <x v="6"/>
    <s v="카카오 배너"/>
    <x v="1"/>
    <x v="1"/>
    <x v="1"/>
    <m/>
    <m/>
    <m/>
    <n v="503729.9999999999"/>
    <m/>
  </r>
  <r>
    <x v="266"/>
    <x v="5"/>
    <m/>
    <x v="4"/>
    <x v="3"/>
    <x v="153"/>
    <n v="1"/>
    <s v="0"/>
    <s v="210207"/>
    <m/>
    <n v="0"/>
  </r>
  <r>
    <x v="266"/>
    <x v="5"/>
    <m/>
    <x v="4"/>
    <x v="3"/>
    <x v="150"/>
    <n v="1"/>
    <s v="0"/>
    <s v="210207"/>
    <m/>
    <n v="0"/>
  </r>
  <r>
    <x v="266"/>
    <x v="5"/>
    <m/>
    <x v="4"/>
    <x v="3"/>
    <x v="151"/>
    <n v="2"/>
    <s v="0"/>
    <s v="210207"/>
    <m/>
    <n v="0"/>
  </r>
  <r>
    <x v="266"/>
    <x v="5"/>
    <m/>
    <x v="4"/>
    <x v="3"/>
    <x v="152"/>
    <n v="16"/>
    <s v="0"/>
    <s v="210207"/>
    <m/>
    <n v="0"/>
  </r>
  <r>
    <x v="266"/>
    <x v="5"/>
    <m/>
    <x v="1"/>
    <x v="0"/>
    <x v="134"/>
    <n v="1"/>
    <s v="이그나이트"/>
    <s v="210207"/>
    <m/>
    <n v="34000"/>
  </r>
  <r>
    <x v="266"/>
    <x v="5"/>
    <m/>
    <x v="1"/>
    <x v="0"/>
    <x v="135"/>
    <n v="5"/>
    <s v="스테이포에버"/>
    <s v="210207"/>
    <m/>
    <n v="170000"/>
  </r>
  <r>
    <x v="266"/>
    <x v="5"/>
    <m/>
    <x v="1"/>
    <x v="0"/>
    <x v="136"/>
    <n v="7"/>
    <s v="스테이포에버 2set"/>
    <s v="210207"/>
    <m/>
    <n v="411600"/>
  </r>
  <r>
    <x v="266"/>
    <x v="5"/>
    <m/>
    <x v="1"/>
    <x v="0"/>
    <x v="137"/>
    <n v="15"/>
    <s v="이그나이트 + 스테이포에버"/>
    <s v="210207"/>
    <m/>
    <n v="882000"/>
  </r>
  <r>
    <x v="266"/>
    <x v="5"/>
    <m/>
    <x v="1"/>
    <x v="0"/>
    <x v="144"/>
    <n v="4"/>
    <s v="이그나이트 + 스테이포에버"/>
    <s v="210207"/>
    <m/>
    <n v="235200"/>
  </r>
  <r>
    <x v="266"/>
    <x v="5"/>
    <m/>
    <x v="1"/>
    <x v="0"/>
    <x v="138"/>
    <n v="216"/>
    <s v="스테이포에버"/>
    <s v="210207"/>
    <m/>
    <n v="7344000"/>
  </r>
  <r>
    <x v="266"/>
    <x v="5"/>
    <m/>
    <x v="1"/>
    <x v="0"/>
    <x v="139"/>
    <n v="141"/>
    <s v="스테이포에버 2set"/>
    <s v="210207"/>
    <m/>
    <n v="8290800"/>
  </r>
  <r>
    <x v="266"/>
    <x v="5"/>
    <m/>
    <x v="1"/>
    <x v="0"/>
    <x v="140"/>
    <n v="7"/>
    <s v="이그나이트 + 스테이포에버"/>
    <s v="210207"/>
    <m/>
    <n v="411600"/>
  </r>
  <r>
    <x v="266"/>
    <x v="5"/>
    <m/>
    <x v="0"/>
    <x v="0"/>
    <x v="0"/>
    <n v="8"/>
    <s v="쇼핑백"/>
    <s v="210207"/>
    <m/>
    <m/>
  </r>
  <r>
    <x v="266"/>
    <x v="5"/>
    <m/>
    <x v="1"/>
    <x v="0"/>
    <x v="141"/>
    <n v="2"/>
    <s v="이그나이트"/>
    <s v="210207"/>
    <m/>
    <n v="68000"/>
  </r>
  <r>
    <x v="265"/>
    <x v="6"/>
    <m/>
    <x v="4"/>
    <x v="3"/>
    <x v="150"/>
    <n v="1"/>
    <s v="0"/>
    <s v="210207"/>
    <m/>
    <n v="0"/>
  </r>
  <r>
    <x v="265"/>
    <x v="6"/>
    <m/>
    <x v="4"/>
    <x v="3"/>
    <x v="151"/>
    <n v="3"/>
    <s v="0"/>
    <s v="210207"/>
    <m/>
    <n v="0"/>
  </r>
  <r>
    <x v="265"/>
    <x v="6"/>
    <m/>
    <x v="4"/>
    <x v="3"/>
    <x v="152"/>
    <n v="15"/>
    <s v="0"/>
    <s v="210207"/>
    <m/>
    <n v="0"/>
  </r>
  <r>
    <x v="265"/>
    <x v="6"/>
    <m/>
    <x v="1"/>
    <x v="2"/>
    <x v="41"/>
    <n v="2"/>
    <s v="스테이포에버"/>
    <s v="210207"/>
    <m/>
    <n v="0"/>
  </r>
  <r>
    <x v="265"/>
    <x v="6"/>
    <m/>
    <x v="1"/>
    <x v="0"/>
    <x v="145"/>
    <n v="2"/>
    <s v="이그나이트 2set"/>
    <s v="210207"/>
    <m/>
    <n v="117600"/>
  </r>
  <r>
    <x v="265"/>
    <x v="6"/>
    <m/>
    <x v="1"/>
    <x v="0"/>
    <x v="135"/>
    <n v="4"/>
    <s v="스테이포에버"/>
    <s v="210207"/>
    <m/>
    <n v="136000"/>
  </r>
  <r>
    <x v="265"/>
    <x v="6"/>
    <m/>
    <x v="1"/>
    <x v="0"/>
    <x v="136"/>
    <n v="8"/>
    <s v="스테이포에버 2set"/>
    <s v="210207"/>
    <m/>
    <n v="470400"/>
  </r>
  <r>
    <x v="265"/>
    <x v="6"/>
    <m/>
    <x v="1"/>
    <x v="0"/>
    <x v="137"/>
    <n v="9"/>
    <s v="이그나이트 + 스테이포에버"/>
    <s v="210207"/>
    <m/>
    <n v="529200"/>
  </r>
  <r>
    <x v="265"/>
    <x v="6"/>
    <m/>
    <x v="1"/>
    <x v="0"/>
    <x v="144"/>
    <n v="2"/>
    <s v="이그나이트 + 스테이포에버"/>
    <s v="210207"/>
    <m/>
    <n v="117600"/>
  </r>
  <r>
    <x v="265"/>
    <x v="6"/>
    <m/>
    <x v="1"/>
    <x v="0"/>
    <x v="138"/>
    <n v="192"/>
    <s v="스테이포에버"/>
    <s v="210207"/>
    <m/>
    <n v="6528000"/>
  </r>
  <r>
    <x v="265"/>
    <x v="6"/>
    <m/>
    <x v="1"/>
    <x v="0"/>
    <x v="139"/>
    <n v="114"/>
    <s v="스테이포에버 2set"/>
    <s v="210207"/>
    <m/>
    <n v="6703200"/>
  </r>
  <r>
    <x v="265"/>
    <x v="6"/>
    <m/>
    <x v="1"/>
    <x v="0"/>
    <x v="140"/>
    <n v="12"/>
    <s v="이그나이트 + 스테이포에버"/>
    <s v="210207"/>
    <m/>
    <n v="705600"/>
  </r>
  <r>
    <x v="265"/>
    <x v="6"/>
    <m/>
    <x v="0"/>
    <x v="0"/>
    <x v="0"/>
    <n v="3"/>
    <s v="쇼핑백"/>
    <s v="210207"/>
    <m/>
    <m/>
  </r>
  <r>
    <x v="265"/>
    <x v="6"/>
    <m/>
    <x v="1"/>
    <x v="0"/>
    <x v="41"/>
    <n v="2"/>
    <s v="스테이포에버"/>
    <s v="210207"/>
    <m/>
    <n v="76000"/>
  </r>
  <r>
    <x v="265"/>
    <x v="6"/>
    <m/>
    <x v="1"/>
    <x v="0"/>
    <x v="142"/>
    <n v="2"/>
    <s v="이그나이트 2set"/>
    <s v="210207"/>
    <m/>
    <n v="117600"/>
  </r>
  <r>
    <x v="266"/>
    <x v="5"/>
    <m/>
    <x v="2"/>
    <x v="1"/>
    <x v="1"/>
    <m/>
    <m/>
    <m/>
    <n v="1258963.636363636"/>
    <m/>
  </r>
  <r>
    <x v="265"/>
    <x v="6"/>
    <m/>
    <x v="2"/>
    <x v="1"/>
    <x v="1"/>
    <m/>
    <m/>
    <m/>
    <n v="1165580"/>
    <m/>
  </r>
  <r>
    <x v="265"/>
    <x v="6"/>
    <m/>
    <x v="2"/>
    <x v="1"/>
    <x v="1"/>
    <m/>
    <m/>
    <m/>
    <n v="60465"/>
    <m/>
  </r>
  <r>
    <x v="265"/>
    <x v="6"/>
    <s v="페이스북/인스타그램"/>
    <x v="1"/>
    <x v="1"/>
    <x v="1"/>
    <m/>
    <m/>
    <m/>
    <n v="60447"/>
    <m/>
  </r>
  <r>
    <x v="265"/>
    <x v="6"/>
    <m/>
    <x v="2"/>
    <x v="1"/>
    <x v="1"/>
    <m/>
    <m/>
    <m/>
    <n v="500976"/>
    <m/>
  </r>
  <r>
    <x v="265"/>
    <x v="6"/>
    <s v="페이스북/인스타그램"/>
    <x v="1"/>
    <x v="1"/>
    <x v="1"/>
    <m/>
    <m/>
    <m/>
    <n v="222487"/>
    <m/>
  </r>
  <r>
    <x v="265"/>
    <x v="6"/>
    <s v="페이스북/인스타그램"/>
    <x v="1"/>
    <x v="1"/>
    <x v="1"/>
    <m/>
    <m/>
    <m/>
    <n v="272165"/>
    <m/>
  </r>
  <r>
    <x v="265"/>
    <x v="6"/>
    <s v="페이스북/인스타그램"/>
    <x v="1"/>
    <x v="1"/>
    <x v="1"/>
    <m/>
    <m/>
    <m/>
    <n v="150526"/>
    <m/>
  </r>
  <r>
    <x v="265"/>
    <x v="6"/>
    <s v="페이스북/인스타그램"/>
    <x v="1"/>
    <x v="1"/>
    <x v="1"/>
    <m/>
    <m/>
    <m/>
    <n v="101100"/>
    <m/>
  </r>
  <r>
    <x v="265"/>
    <x v="6"/>
    <s v="페이스북/인스타그램"/>
    <x v="1"/>
    <x v="1"/>
    <x v="1"/>
    <m/>
    <m/>
    <m/>
    <n v="201056"/>
    <m/>
  </r>
  <r>
    <x v="265"/>
    <x v="6"/>
    <s v="페이스북/인스타그램"/>
    <x v="1"/>
    <x v="1"/>
    <x v="1"/>
    <m/>
    <m/>
    <m/>
    <n v="50467"/>
    <m/>
  </r>
  <r>
    <x v="265"/>
    <x v="6"/>
    <s v="페이스북/인스타그램"/>
    <x v="1"/>
    <x v="1"/>
    <x v="1"/>
    <m/>
    <m/>
    <m/>
    <n v="100644"/>
    <m/>
  </r>
  <r>
    <x v="265"/>
    <x v="6"/>
    <s v="페이스북/인스타그램"/>
    <x v="1"/>
    <x v="1"/>
    <x v="1"/>
    <m/>
    <m/>
    <m/>
    <n v="30181"/>
    <m/>
  </r>
  <r>
    <x v="265"/>
    <x v="6"/>
    <s v="페이스북/인스타그램"/>
    <x v="1"/>
    <x v="1"/>
    <x v="1"/>
    <m/>
    <m/>
    <m/>
    <n v="200614"/>
    <m/>
  </r>
  <r>
    <x v="265"/>
    <x v="6"/>
    <s v="페이스북/인스타그램"/>
    <x v="1"/>
    <x v="1"/>
    <x v="1"/>
    <m/>
    <m/>
    <m/>
    <n v="100851"/>
    <m/>
  </r>
  <r>
    <x v="265"/>
    <x v="6"/>
    <s v="페이스북/인스타그램"/>
    <x v="1"/>
    <x v="1"/>
    <x v="1"/>
    <m/>
    <m/>
    <m/>
    <n v="301914"/>
    <m/>
  </r>
  <r>
    <x v="265"/>
    <x v="6"/>
    <s v="페이스북/인스타그램"/>
    <x v="1"/>
    <x v="1"/>
    <x v="1"/>
    <m/>
    <m/>
    <m/>
    <n v="301687"/>
    <m/>
  </r>
  <r>
    <x v="265"/>
    <x v="6"/>
    <s v="페이스북/인스타그램"/>
    <x v="1"/>
    <x v="1"/>
    <x v="1"/>
    <m/>
    <m/>
    <m/>
    <n v="150640"/>
    <m/>
  </r>
  <r>
    <x v="265"/>
    <x v="6"/>
    <s v="페이스북/인스타그램"/>
    <x v="1"/>
    <x v="1"/>
    <x v="1"/>
    <m/>
    <m/>
    <m/>
    <n v="150469"/>
    <m/>
  </r>
  <r>
    <x v="265"/>
    <x v="6"/>
    <s v="페이스북/인스타그램"/>
    <x v="1"/>
    <x v="1"/>
    <x v="1"/>
    <m/>
    <m/>
    <m/>
    <n v="150943"/>
    <m/>
  </r>
  <r>
    <x v="265"/>
    <x v="6"/>
    <s v="유튜브 광고"/>
    <x v="1"/>
    <x v="1"/>
    <x v="1"/>
    <m/>
    <m/>
    <m/>
    <n v="312049"/>
    <m/>
  </r>
  <r>
    <x v="265"/>
    <x v="6"/>
    <s v="유튜브 광고"/>
    <x v="1"/>
    <x v="1"/>
    <x v="1"/>
    <m/>
    <m/>
    <m/>
    <n v="24936"/>
    <m/>
  </r>
  <r>
    <x v="265"/>
    <x v="6"/>
    <s v="유튜브 광고"/>
    <x v="1"/>
    <x v="1"/>
    <x v="1"/>
    <m/>
    <m/>
    <m/>
    <n v="513089"/>
    <m/>
  </r>
  <r>
    <x v="265"/>
    <x v="6"/>
    <s v="유튜브 광고"/>
    <x v="1"/>
    <x v="1"/>
    <x v="1"/>
    <m/>
    <m/>
    <m/>
    <n v="436680"/>
    <m/>
  </r>
  <r>
    <x v="265"/>
    <x v="6"/>
    <s v="유튜브 광고"/>
    <x v="1"/>
    <x v="1"/>
    <x v="1"/>
    <m/>
    <m/>
    <m/>
    <n v="514541"/>
    <m/>
  </r>
  <r>
    <x v="265"/>
    <x v="6"/>
    <s v="유튜브 광고"/>
    <x v="1"/>
    <x v="1"/>
    <x v="1"/>
    <m/>
    <m/>
    <m/>
    <n v="260372"/>
    <m/>
  </r>
  <r>
    <x v="265"/>
    <x v="6"/>
    <s v="유튜브 광고"/>
    <x v="1"/>
    <x v="1"/>
    <x v="1"/>
    <m/>
    <m/>
    <m/>
    <n v="519033"/>
    <m/>
  </r>
  <r>
    <x v="265"/>
    <x v="6"/>
    <m/>
    <x v="2"/>
    <x v="1"/>
    <x v="1"/>
    <m/>
    <m/>
    <m/>
    <n v="415896"/>
    <m/>
  </r>
  <r>
    <x v="265"/>
    <x v="6"/>
    <m/>
    <x v="2"/>
    <x v="1"/>
    <x v="1"/>
    <m/>
    <m/>
    <m/>
    <n v="104031"/>
    <m/>
  </r>
  <r>
    <x v="265"/>
    <x v="6"/>
    <s v="네이버 쇼핑검색"/>
    <x v="1"/>
    <x v="1"/>
    <x v="1"/>
    <m/>
    <m/>
    <m/>
    <n v="1240"/>
    <m/>
  </r>
  <r>
    <x v="265"/>
    <x v="6"/>
    <s v="네이버 쇼핑검색"/>
    <x v="1"/>
    <x v="1"/>
    <x v="1"/>
    <m/>
    <m/>
    <m/>
    <n v="26710"/>
    <m/>
  </r>
  <r>
    <x v="265"/>
    <x v="6"/>
    <s v="네이버 쇼핑검색"/>
    <x v="1"/>
    <x v="1"/>
    <x v="1"/>
    <m/>
    <m/>
    <m/>
    <n v="869.9999999999999"/>
    <m/>
  </r>
  <r>
    <x v="265"/>
    <x v="6"/>
    <s v="네이버 브랜드검색"/>
    <x v="3"/>
    <x v="1"/>
    <x v="1"/>
    <m/>
    <m/>
    <m/>
    <n v="0"/>
    <m/>
  </r>
  <r>
    <x v="265"/>
    <x v="6"/>
    <s v="카카오 배너"/>
    <x v="1"/>
    <x v="1"/>
    <x v="1"/>
    <m/>
    <m/>
    <m/>
    <n v="72460"/>
    <m/>
  </r>
  <r>
    <x v="265"/>
    <x v="6"/>
    <s v="카카오 배너"/>
    <x v="1"/>
    <x v="1"/>
    <x v="1"/>
    <m/>
    <m/>
    <m/>
    <n v="503729.9999999999"/>
    <m/>
  </r>
  <r>
    <x v="265"/>
    <x v="6"/>
    <m/>
    <x v="4"/>
    <x v="3"/>
    <x v="150"/>
    <n v="1"/>
    <s v="0"/>
    <s v="210207"/>
    <m/>
    <n v="0"/>
  </r>
  <r>
    <x v="265"/>
    <x v="6"/>
    <m/>
    <x v="4"/>
    <x v="3"/>
    <x v="151"/>
    <n v="3"/>
    <s v="0"/>
    <s v="210207"/>
    <m/>
    <n v="0"/>
  </r>
  <r>
    <x v="265"/>
    <x v="6"/>
    <m/>
    <x v="4"/>
    <x v="3"/>
    <x v="152"/>
    <n v="15"/>
    <s v="0"/>
    <s v="210207"/>
    <m/>
    <n v="0"/>
  </r>
  <r>
    <x v="265"/>
    <x v="6"/>
    <m/>
    <x v="1"/>
    <x v="2"/>
    <x v="41"/>
    <n v="2"/>
    <s v="스테이포에버"/>
    <s v="210207"/>
    <m/>
    <n v="0"/>
  </r>
  <r>
    <x v="265"/>
    <x v="6"/>
    <m/>
    <x v="1"/>
    <x v="0"/>
    <x v="145"/>
    <n v="2"/>
    <s v="이그나이트 2set"/>
    <s v="210207"/>
    <m/>
    <n v="117600"/>
  </r>
  <r>
    <x v="265"/>
    <x v="6"/>
    <m/>
    <x v="1"/>
    <x v="0"/>
    <x v="135"/>
    <n v="4"/>
    <s v="스테이포에버"/>
    <s v="210207"/>
    <m/>
    <n v="136000"/>
  </r>
  <r>
    <x v="265"/>
    <x v="6"/>
    <m/>
    <x v="1"/>
    <x v="0"/>
    <x v="136"/>
    <n v="8"/>
    <s v="스테이포에버 2set"/>
    <s v="210207"/>
    <m/>
    <n v="470400"/>
  </r>
  <r>
    <x v="265"/>
    <x v="6"/>
    <m/>
    <x v="1"/>
    <x v="0"/>
    <x v="137"/>
    <n v="9"/>
    <s v="이그나이트 + 스테이포에버"/>
    <s v="210207"/>
    <m/>
    <n v="529200"/>
  </r>
  <r>
    <x v="265"/>
    <x v="6"/>
    <m/>
    <x v="1"/>
    <x v="0"/>
    <x v="144"/>
    <n v="2"/>
    <s v="이그나이트 + 스테이포에버"/>
    <s v="210207"/>
    <m/>
    <n v="117600"/>
  </r>
  <r>
    <x v="265"/>
    <x v="6"/>
    <m/>
    <x v="1"/>
    <x v="0"/>
    <x v="138"/>
    <n v="192"/>
    <s v="스테이포에버"/>
    <s v="210207"/>
    <m/>
    <n v="6528000"/>
  </r>
  <r>
    <x v="265"/>
    <x v="6"/>
    <m/>
    <x v="1"/>
    <x v="0"/>
    <x v="139"/>
    <n v="114"/>
    <s v="스테이포에버 2set"/>
    <s v="210207"/>
    <m/>
    <n v="6703200"/>
  </r>
  <r>
    <x v="265"/>
    <x v="6"/>
    <m/>
    <x v="1"/>
    <x v="0"/>
    <x v="140"/>
    <n v="12"/>
    <s v="이그나이트 + 스테이포에버"/>
    <s v="210207"/>
    <m/>
    <n v="705600"/>
  </r>
  <r>
    <x v="265"/>
    <x v="6"/>
    <m/>
    <x v="0"/>
    <x v="0"/>
    <x v="0"/>
    <n v="3"/>
    <s v="쇼핑백"/>
    <s v="210207"/>
    <m/>
    <m/>
  </r>
  <r>
    <x v="265"/>
    <x v="6"/>
    <m/>
    <x v="1"/>
    <x v="0"/>
    <x v="41"/>
    <n v="2"/>
    <s v="스테이포에버"/>
    <s v="210207"/>
    <m/>
    <n v="76000"/>
  </r>
  <r>
    <x v="265"/>
    <x v="6"/>
    <m/>
    <x v="1"/>
    <x v="0"/>
    <x v="142"/>
    <n v="2"/>
    <s v="이그나이트 2set"/>
    <s v="210207"/>
    <m/>
    <n v="117600"/>
  </r>
  <r>
    <x v="265"/>
    <x v="6"/>
    <m/>
    <x v="2"/>
    <x v="1"/>
    <x v="1"/>
    <m/>
    <m/>
    <m/>
    <n v="1165580"/>
    <m/>
  </r>
  <r>
    <x v="267"/>
    <x v="0"/>
    <m/>
    <x v="2"/>
    <x v="1"/>
    <x v="1"/>
    <m/>
    <m/>
    <m/>
    <n v="59959"/>
    <m/>
  </r>
  <r>
    <x v="267"/>
    <x v="0"/>
    <s v="페이스북/인스타그램"/>
    <x v="1"/>
    <x v="1"/>
    <x v="1"/>
    <m/>
    <m/>
    <m/>
    <n v="59420"/>
    <m/>
  </r>
  <r>
    <x v="267"/>
    <x v="0"/>
    <m/>
    <x v="2"/>
    <x v="1"/>
    <x v="1"/>
    <m/>
    <m/>
    <m/>
    <n v="500296"/>
    <m/>
  </r>
  <r>
    <x v="267"/>
    <x v="0"/>
    <s v="페이스북/인스타그램"/>
    <x v="1"/>
    <x v="1"/>
    <x v="1"/>
    <m/>
    <m/>
    <m/>
    <n v="216246"/>
    <m/>
  </r>
  <r>
    <x v="267"/>
    <x v="0"/>
    <s v="페이스북/인스타그램"/>
    <x v="1"/>
    <x v="1"/>
    <x v="1"/>
    <m/>
    <m/>
    <m/>
    <n v="268692"/>
    <m/>
  </r>
  <r>
    <x v="267"/>
    <x v="0"/>
    <s v="페이스북/인스타그램"/>
    <x v="1"/>
    <x v="1"/>
    <x v="1"/>
    <m/>
    <m/>
    <m/>
    <n v="149162"/>
    <m/>
  </r>
  <r>
    <x v="267"/>
    <x v="0"/>
    <s v="페이스북/인스타그램"/>
    <x v="1"/>
    <x v="1"/>
    <x v="1"/>
    <m/>
    <m/>
    <m/>
    <n v="99695"/>
    <m/>
  </r>
  <r>
    <x v="267"/>
    <x v="0"/>
    <s v="페이스북/인스타그램"/>
    <x v="1"/>
    <x v="1"/>
    <x v="1"/>
    <m/>
    <m/>
    <m/>
    <n v="197850"/>
    <m/>
  </r>
  <r>
    <x v="267"/>
    <x v="0"/>
    <s v="페이스북/인스타그램"/>
    <x v="1"/>
    <x v="1"/>
    <x v="1"/>
    <m/>
    <m/>
    <m/>
    <n v="49710"/>
    <m/>
  </r>
  <r>
    <x v="267"/>
    <x v="0"/>
    <s v="페이스북/인스타그램"/>
    <x v="1"/>
    <x v="1"/>
    <x v="1"/>
    <m/>
    <m/>
    <m/>
    <n v="99378"/>
    <m/>
  </r>
  <r>
    <x v="267"/>
    <x v="0"/>
    <s v="페이스북/인스타그램"/>
    <x v="1"/>
    <x v="1"/>
    <x v="1"/>
    <m/>
    <m/>
    <m/>
    <n v="29481"/>
    <m/>
  </r>
  <r>
    <x v="267"/>
    <x v="0"/>
    <s v="페이스북/인스타그램"/>
    <x v="1"/>
    <x v="1"/>
    <x v="1"/>
    <m/>
    <m/>
    <m/>
    <n v="196422"/>
    <m/>
  </r>
  <r>
    <x v="267"/>
    <x v="0"/>
    <s v="페이스북/인스타그램"/>
    <x v="1"/>
    <x v="1"/>
    <x v="1"/>
    <m/>
    <m/>
    <m/>
    <n v="97950"/>
    <m/>
  </r>
  <r>
    <x v="267"/>
    <x v="0"/>
    <s v="페이스북/인스타그램"/>
    <x v="1"/>
    <x v="1"/>
    <x v="1"/>
    <m/>
    <m/>
    <m/>
    <n v="298847"/>
    <m/>
  </r>
  <r>
    <x v="267"/>
    <x v="0"/>
    <s v="페이스북/인스타그램"/>
    <x v="1"/>
    <x v="1"/>
    <x v="1"/>
    <m/>
    <m/>
    <m/>
    <n v="299976"/>
    <m/>
  </r>
  <r>
    <x v="267"/>
    <x v="0"/>
    <s v="페이스북/인스타그램"/>
    <x v="1"/>
    <x v="1"/>
    <x v="1"/>
    <m/>
    <m/>
    <m/>
    <n v="149819"/>
    <m/>
  </r>
  <r>
    <x v="267"/>
    <x v="0"/>
    <s v="페이스북/인스타그램"/>
    <x v="1"/>
    <x v="1"/>
    <x v="1"/>
    <m/>
    <m/>
    <m/>
    <n v="149018"/>
    <m/>
  </r>
  <r>
    <x v="267"/>
    <x v="0"/>
    <s v="페이스북/인스타그램"/>
    <x v="1"/>
    <x v="1"/>
    <x v="1"/>
    <m/>
    <m/>
    <m/>
    <n v="149896"/>
    <m/>
  </r>
  <r>
    <x v="267"/>
    <x v="0"/>
    <s v="유튜브 광고"/>
    <x v="1"/>
    <x v="1"/>
    <x v="1"/>
    <m/>
    <m/>
    <m/>
    <n v="310112"/>
    <m/>
  </r>
  <r>
    <x v="267"/>
    <x v="0"/>
    <s v="유튜브 광고"/>
    <x v="1"/>
    <x v="1"/>
    <x v="1"/>
    <m/>
    <m/>
    <m/>
    <n v="43604"/>
    <m/>
  </r>
  <r>
    <x v="267"/>
    <x v="0"/>
    <s v="유튜브 광고"/>
    <x v="1"/>
    <x v="1"/>
    <x v="1"/>
    <m/>
    <m/>
    <m/>
    <n v="507999"/>
    <m/>
  </r>
  <r>
    <x v="267"/>
    <x v="0"/>
    <s v="유튜브 광고"/>
    <x v="1"/>
    <x v="1"/>
    <x v="1"/>
    <m/>
    <m/>
    <m/>
    <n v="454230"/>
    <m/>
  </r>
  <r>
    <x v="267"/>
    <x v="0"/>
    <s v="유튜브 광고"/>
    <x v="1"/>
    <x v="1"/>
    <x v="1"/>
    <m/>
    <m/>
    <m/>
    <n v="509005"/>
    <m/>
  </r>
  <r>
    <x v="267"/>
    <x v="0"/>
    <s v="유튜브 광고"/>
    <x v="1"/>
    <x v="1"/>
    <x v="1"/>
    <m/>
    <m/>
    <m/>
    <n v="256652"/>
    <m/>
  </r>
  <r>
    <x v="267"/>
    <x v="0"/>
    <s v="유튜브 광고"/>
    <x v="1"/>
    <x v="1"/>
    <x v="1"/>
    <m/>
    <m/>
    <m/>
    <n v="512952"/>
    <m/>
  </r>
  <r>
    <x v="267"/>
    <x v="0"/>
    <m/>
    <x v="2"/>
    <x v="1"/>
    <x v="1"/>
    <m/>
    <m/>
    <m/>
    <n v="413423"/>
    <m/>
  </r>
  <r>
    <x v="267"/>
    <x v="0"/>
    <m/>
    <x v="2"/>
    <x v="1"/>
    <x v="1"/>
    <m/>
    <m/>
    <m/>
    <n v="103535"/>
    <m/>
  </r>
  <r>
    <x v="267"/>
    <x v="0"/>
    <s v="네이버 쇼핑검색"/>
    <x v="1"/>
    <x v="1"/>
    <x v="1"/>
    <m/>
    <m/>
    <m/>
    <n v="1810"/>
    <m/>
  </r>
  <r>
    <x v="267"/>
    <x v="0"/>
    <s v="네이버 쇼핑검색"/>
    <x v="1"/>
    <x v="1"/>
    <x v="1"/>
    <m/>
    <m/>
    <m/>
    <n v="27040"/>
    <m/>
  </r>
  <r>
    <x v="267"/>
    <x v="0"/>
    <s v="네이버 쇼핑검색"/>
    <x v="1"/>
    <x v="1"/>
    <x v="1"/>
    <m/>
    <m/>
    <m/>
    <n v="3130"/>
    <m/>
  </r>
  <r>
    <x v="267"/>
    <x v="0"/>
    <s v="네이버 브랜드검색"/>
    <x v="3"/>
    <x v="1"/>
    <x v="1"/>
    <m/>
    <m/>
    <m/>
    <n v="0"/>
    <m/>
  </r>
  <r>
    <x v="267"/>
    <x v="0"/>
    <s v="카카오 배너"/>
    <x v="1"/>
    <x v="1"/>
    <x v="1"/>
    <m/>
    <m/>
    <m/>
    <n v="90929.99999999999"/>
    <m/>
  </r>
  <r>
    <x v="267"/>
    <x v="0"/>
    <s v="카카오 배너"/>
    <x v="1"/>
    <x v="1"/>
    <x v="1"/>
    <m/>
    <m/>
    <m/>
    <n v="607740"/>
    <m/>
  </r>
  <r>
    <x v="267"/>
    <x v="0"/>
    <m/>
    <x v="4"/>
    <x v="3"/>
    <x v="153"/>
    <n v="1"/>
    <s v="0"/>
    <s v="210207"/>
    <m/>
    <n v="0"/>
  </r>
  <r>
    <x v="267"/>
    <x v="0"/>
    <m/>
    <x v="4"/>
    <x v="3"/>
    <x v="150"/>
    <n v="2"/>
    <s v="0"/>
    <s v="210207"/>
    <m/>
    <n v="0"/>
  </r>
  <r>
    <x v="267"/>
    <x v="0"/>
    <m/>
    <x v="4"/>
    <x v="3"/>
    <x v="151"/>
    <n v="3"/>
    <s v="0"/>
    <s v="210207"/>
    <m/>
    <n v="0"/>
  </r>
  <r>
    <x v="267"/>
    <x v="0"/>
    <m/>
    <x v="4"/>
    <x v="3"/>
    <x v="152"/>
    <n v="15"/>
    <s v="0"/>
    <s v="210207"/>
    <m/>
    <n v="0"/>
  </r>
  <r>
    <x v="267"/>
    <x v="0"/>
    <m/>
    <x v="1"/>
    <x v="2"/>
    <x v="41"/>
    <n v="1"/>
    <s v="스테이포에버"/>
    <s v="210207"/>
    <m/>
    <n v="0"/>
  </r>
  <r>
    <x v="267"/>
    <x v="0"/>
    <m/>
    <x v="1"/>
    <x v="0"/>
    <x v="134"/>
    <n v="3"/>
    <s v="이그나이트"/>
    <s v="210207"/>
    <m/>
    <n v="102000"/>
  </r>
  <r>
    <x v="267"/>
    <x v="0"/>
    <m/>
    <x v="1"/>
    <x v="0"/>
    <x v="145"/>
    <n v="1"/>
    <s v="이그나이트 2set"/>
    <s v="210207"/>
    <m/>
    <n v="58800"/>
  </r>
  <r>
    <x v="267"/>
    <x v="0"/>
    <m/>
    <x v="1"/>
    <x v="0"/>
    <x v="135"/>
    <n v="4"/>
    <s v="스테이포에버"/>
    <s v="210207"/>
    <m/>
    <n v="136000"/>
  </r>
  <r>
    <x v="267"/>
    <x v="0"/>
    <m/>
    <x v="1"/>
    <x v="0"/>
    <x v="136"/>
    <n v="19"/>
    <s v="스테이포에버 2set"/>
    <s v="210207"/>
    <m/>
    <n v="1117200"/>
  </r>
  <r>
    <x v="267"/>
    <x v="0"/>
    <m/>
    <x v="1"/>
    <x v="0"/>
    <x v="137"/>
    <n v="13"/>
    <s v="이그나이트 + 스테이포에버"/>
    <s v="210207"/>
    <m/>
    <n v="764400"/>
  </r>
  <r>
    <x v="267"/>
    <x v="0"/>
    <m/>
    <x v="1"/>
    <x v="0"/>
    <x v="144"/>
    <n v="1"/>
    <s v="이그나이트 + 스테이포에버"/>
    <s v="210207"/>
    <m/>
    <n v="58800"/>
  </r>
  <r>
    <x v="267"/>
    <x v="0"/>
    <m/>
    <x v="1"/>
    <x v="0"/>
    <x v="138"/>
    <n v="209"/>
    <s v="스테이포에버"/>
    <s v="210207"/>
    <m/>
    <n v="7106000"/>
  </r>
  <r>
    <x v="267"/>
    <x v="0"/>
    <m/>
    <x v="1"/>
    <x v="0"/>
    <x v="139"/>
    <n v="122"/>
    <s v="스테이포에버 2set"/>
    <s v="210207"/>
    <m/>
    <n v="7173600"/>
  </r>
  <r>
    <x v="267"/>
    <x v="0"/>
    <m/>
    <x v="1"/>
    <x v="0"/>
    <x v="140"/>
    <n v="14"/>
    <s v="이그나이트 + 스테이포에버"/>
    <s v="210207"/>
    <m/>
    <n v="823200"/>
  </r>
  <r>
    <x v="267"/>
    <x v="0"/>
    <m/>
    <x v="0"/>
    <x v="0"/>
    <x v="0"/>
    <n v="11"/>
    <s v="쇼핑백"/>
    <s v="210207"/>
    <m/>
    <m/>
  </r>
  <r>
    <x v="267"/>
    <x v="0"/>
    <m/>
    <x v="2"/>
    <x v="1"/>
    <x v="1"/>
    <m/>
    <m/>
    <m/>
    <n v="1206736.363636364"/>
    <m/>
  </r>
  <r>
    <x v="268"/>
    <x v="4"/>
    <m/>
    <x v="2"/>
    <x v="1"/>
    <x v="1"/>
    <m/>
    <m/>
    <m/>
    <n v="60067"/>
    <m/>
  </r>
  <r>
    <x v="268"/>
    <x v="4"/>
    <s v="페이스북/인스타그램"/>
    <x v="1"/>
    <x v="1"/>
    <x v="1"/>
    <m/>
    <m/>
    <m/>
    <n v="61216"/>
    <m/>
  </r>
  <r>
    <x v="268"/>
    <x v="4"/>
    <m/>
    <x v="2"/>
    <x v="1"/>
    <x v="1"/>
    <m/>
    <m/>
    <m/>
    <n v="503936"/>
    <m/>
  </r>
  <r>
    <x v="268"/>
    <x v="4"/>
    <s v="페이스북/인스타그램"/>
    <x v="1"/>
    <x v="1"/>
    <x v="1"/>
    <m/>
    <m/>
    <m/>
    <n v="221436"/>
    <m/>
  </r>
  <r>
    <x v="268"/>
    <x v="4"/>
    <s v="페이스북/인스타그램"/>
    <x v="1"/>
    <x v="1"/>
    <x v="1"/>
    <m/>
    <m/>
    <m/>
    <n v="270107"/>
    <m/>
  </r>
  <r>
    <x v="268"/>
    <x v="4"/>
    <s v="페이스북/인스타그램"/>
    <x v="1"/>
    <x v="1"/>
    <x v="1"/>
    <m/>
    <m/>
    <m/>
    <n v="150168"/>
    <m/>
  </r>
  <r>
    <x v="268"/>
    <x v="4"/>
    <s v="페이스북/인스타그램"/>
    <x v="1"/>
    <x v="1"/>
    <x v="1"/>
    <m/>
    <m/>
    <m/>
    <n v="100544"/>
    <m/>
  </r>
  <r>
    <x v="268"/>
    <x v="4"/>
    <s v="페이스북/인스타그램"/>
    <x v="1"/>
    <x v="1"/>
    <x v="1"/>
    <m/>
    <m/>
    <m/>
    <n v="201060"/>
    <m/>
  </r>
  <r>
    <x v="268"/>
    <x v="4"/>
    <s v="페이스북/인스타그램"/>
    <x v="1"/>
    <x v="1"/>
    <x v="1"/>
    <m/>
    <m/>
    <m/>
    <n v="50054"/>
    <m/>
  </r>
  <r>
    <x v="268"/>
    <x v="4"/>
    <s v="페이스북/인스타그램"/>
    <x v="1"/>
    <x v="1"/>
    <x v="1"/>
    <m/>
    <m/>
    <m/>
    <n v="100385"/>
    <m/>
  </r>
  <r>
    <x v="268"/>
    <x v="4"/>
    <s v="페이스북/인스타그램"/>
    <x v="1"/>
    <x v="1"/>
    <x v="1"/>
    <m/>
    <m/>
    <m/>
    <n v="30340"/>
    <m/>
  </r>
  <r>
    <x v="268"/>
    <x v="4"/>
    <s v="페이스북/인스타그램"/>
    <x v="1"/>
    <x v="1"/>
    <x v="1"/>
    <m/>
    <m/>
    <m/>
    <n v="186098"/>
    <m/>
  </r>
  <r>
    <x v="268"/>
    <x v="4"/>
    <s v="페이스북/인스타그램"/>
    <x v="1"/>
    <x v="1"/>
    <x v="1"/>
    <m/>
    <m/>
    <m/>
    <n v="100683"/>
    <m/>
  </r>
  <r>
    <x v="268"/>
    <x v="4"/>
    <s v="페이스북/인스타그램"/>
    <x v="1"/>
    <x v="1"/>
    <x v="1"/>
    <m/>
    <m/>
    <m/>
    <n v="299859"/>
    <m/>
  </r>
  <r>
    <x v="268"/>
    <x v="4"/>
    <s v="페이스북/인스타그램"/>
    <x v="1"/>
    <x v="1"/>
    <x v="1"/>
    <m/>
    <m/>
    <m/>
    <n v="301562"/>
    <m/>
  </r>
  <r>
    <x v="268"/>
    <x v="4"/>
    <s v="페이스북/인스타그램"/>
    <x v="1"/>
    <x v="1"/>
    <x v="1"/>
    <m/>
    <m/>
    <m/>
    <n v="150225"/>
    <m/>
  </r>
  <r>
    <x v="268"/>
    <x v="4"/>
    <s v="페이스북/인스타그램"/>
    <x v="1"/>
    <x v="1"/>
    <x v="1"/>
    <m/>
    <m/>
    <m/>
    <n v="150160"/>
    <m/>
  </r>
  <r>
    <x v="268"/>
    <x v="4"/>
    <s v="페이스북/인스타그램"/>
    <x v="1"/>
    <x v="1"/>
    <x v="1"/>
    <m/>
    <m/>
    <m/>
    <n v="150408"/>
    <m/>
  </r>
  <r>
    <x v="268"/>
    <x v="4"/>
    <m/>
    <x v="2"/>
    <x v="1"/>
    <x v="1"/>
    <m/>
    <m/>
    <m/>
    <n v="298918"/>
    <m/>
  </r>
  <r>
    <x v="268"/>
    <x v="4"/>
    <s v="유튜브 광고"/>
    <x v="1"/>
    <x v="1"/>
    <x v="1"/>
    <m/>
    <m/>
    <m/>
    <n v="34188"/>
    <m/>
  </r>
  <r>
    <x v="268"/>
    <x v="4"/>
    <s v="유튜브 광고"/>
    <x v="1"/>
    <x v="1"/>
    <x v="1"/>
    <m/>
    <m/>
    <m/>
    <n v="500811"/>
    <m/>
  </r>
  <r>
    <x v="268"/>
    <x v="4"/>
    <m/>
    <x v="2"/>
    <x v="1"/>
    <x v="1"/>
    <m/>
    <m/>
    <m/>
    <n v="100388"/>
    <m/>
  </r>
  <r>
    <x v="268"/>
    <x v="4"/>
    <s v="유튜브 광고"/>
    <x v="1"/>
    <x v="1"/>
    <x v="1"/>
    <m/>
    <m/>
    <m/>
    <n v="466715"/>
    <m/>
  </r>
  <r>
    <x v="268"/>
    <x v="4"/>
    <s v="유튜브 광고"/>
    <x v="1"/>
    <x v="1"/>
    <x v="1"/>
    <m/>
    <m/>
    <m/>
    <n v="416052"/>
    <m/>
  </r>
  <r>
    <x v="268"/>
    <x v="4"/>
    <m/>
    <x v="2"/>
    <x v="1"/>
    <x v="1"/>
    <m/>
    <m/>
    <m/>
    <n v="80378"/>
    <m/>
  </r>
  <r>
    <x v="268"/>
    <x v="4"/>
    <s v="유튜브 광고"/>
    <x v="1"/>
    <x v="1"/>
    <x v="1"/>
    <m/>
    <m/>
    <m/>
    <n v="505743"/>
    <m/>
  </r>
  <r>
    <x v="268"/>
    <x v="4"/>
    <m/>
    <x v="2"/>
    <x v="1"/>
    <x v="1"/>
    <m/>
    <m/>
    <m/>
    <n v="309341"/>
    <m/>
  </r>
  <r>
    <x v="268"/>
    <x v="4"/>
    <m/>
    <x v="2"/>
    <x v="1"/>
    <x v="1"/>
    <m/>
    <m/>
    <m/>
    <n v="90391"/>
    <m/>
  </r>
  <r>
    <x v="268"/>
    <x v="4"/>
    <s v="네이버 쇼핑검색"/>
    <x v="1"/>
    <x v="1"/>
    <x v="1"/>
    <m/>
    <m/>
    <m/>
    <n v="2080"/>
    <m/>
  </r>
  <r>
    <x v="268"/>
    <x v="4"/>
    <s v="네이버 쇼핑검색"/>
    <x v="1"/>
    <x v="1"/>
    <x v="1"/>
    <m/>
    <m/>
    <m/>
    <n v="41540"/>
    <m/>
  </r>
  <r>
    <x v="268"/>
    <x v="4"/>
    <s v="네이버 쇼핑검색"/>
    <x v="1"/>
    <x v="1"/>
    <x v="1"/>
    <m/>
    <m/>
    <m/>
    <n v="2390"/>
    <m/>
  </r>
  <r>
    <x v="268"/>
    <x v="4"/>
    <s v="네이버 브랜드검색"/>
    <x v="3"/>
    <x v="1"/>
    <x v="1"/>
    <m/>
    <m/>
    <m/>
    <n v="0"/>
    <m/>
  </r>
  <r>
    <x v="268"/>
    <x v="4"/>
    <s v="카카오 배너"/>
    <x v="1"/>
    <x v="1"/>
    <x v="1"/>
    <m/>
    <m/>
    <m/>
    <n v="90989.99999999999"/>
    <m/>
  </r>
  <r>
    <x v="268"/>
    <x v="4"/>
    <s v="카카오 배너"/>
    <x v="1"/>
    <x v="1"/>
    <x v="1"/>
    <m/>
    <m/>
    <m/>
    <n v="407709.9999999999"/>
    <m/>
  </r>
  <r>
    <x v="268"/>
    <x v="4"/>
    <m/>
    <x v="4"/>
    <x v="3"/>
    <x v="150"/>
    <n v="3"/>
    <s v="0"/>
    <s v="210207"/>
    <m/>
    <n v="0"/>
  </r>
  <r>
    <x v="268"/>
    <x v="4"/>
    <m/>
    <x v="4"/>
    <x v="3"/>
    <x v="151"/>
    <n v="2"/>
    <s v="0"/>
    <s v="210207"/>
    <m/>
    <n v="0"/>
  </r>
  <r>
    <x v="268"/>
    <x v="4"/>
    <m/>
    <x v="4"/>
    <x v="3"/>
    <x v="152"/>
    <n v="18"/>
    <s v="0"/>
    <s v="210207"/>
    <m/>
    <n v="0"/>
  </r>
  <r>
    <x v="268"/>
    <x v="4"/>
    <m/>
    <x v="4"/>
    <x v="3"/>
    <x v="154"/>
    <n v="1"/>
    <s v="0"/>
    <s v="210207"/>
    <m/>
    <n v="0"/>
  </r>
  <r>
    <x v="268"/>
    <x v="4"/>
    <m/>
    <x v="1"/>
    <x v="2"/>
    <x v="41"/>
    <n v="1"/>
    <s v="스테이포에버"/>
    <s v="210207"/>
    <m/>
    <n v="0"/>
  </r>
  <r>
    <x v="268"/>
    <x v="4"/>
    <m/>
    <x v="1"/>
    <x v="0"/>
    <x v="134"/>
    <n v="1"/>
    <s v="이그나이트"/>
    <s v="210207"/>
    <m/>
    <n v="34000"/>
  </r>
  <r>
    <x v="268"/>
    <x v="4"/>
    <m/>
    <x v="1"/>
    <x v="0"/>
    <x v="145"/>
    <n v="1"/>
    <s v="이그나이트 2set"/>
    <s v="210207"/>
    <m/>
    <n v="58800"/>
  </r>
  <r>
    <x v="268"/>
    <x v="4"/>
    <m/>
    <x v="1"/>
    <x v="0"/>
    <x v="135"/>
    <n v="6"/>
    <s v="스테이포에버"/>
    <s v="210207"/>
    <m/>
    <n v="204000"/>
  </r>
  <r>
    <x v="268"/>
    <x v="4"/>
    <m/>
    <x v="1"/>
    <x v="0"/>
    <x v="136"/>
    <n v="6"/>
    <s v="스테이포에버 2set"/>
    <s v="210207"/>
    <m/>
    <n v="352800"/>
  </r>
  <r>
    <x v="268"/>
    <x v="4"/>
    <m/>
    <x v="1"/>
    <x v="0"/>
    <x v="137"/>
    <n v="15"/>
    <s v="이그나이트 + 스테이포에버"/>
    <s v="210207"/>
    <m/>
    <n v="882000"/>
  </r>
  <r>
    <x v="268"/>
    <x v="4"/>
    <m/>
    <x v="1"/>
    <x v="0"/>
    <x v="138"/>
    <n v="176"/>
    <s v="스테이포에버"/>
    <s v="210207"/>
    <m/>
    <n v="5984000"/>
  </r>
  <r>
    <x v="268"/>
    <x v="4"/>
    <m/>
    <x v="1"/>
    <x v="0"/>
    <x v="139"/>
    <n v="131"/>
    <s v="스테이포에버 2set"/>
    <s v="210207"/>
    <m/>
    <n v="7702800"/>
  </r>
  <r>
    <x v="268"/>
    <x v="4"/>
    <m/>
    <x v="1"/>
    <x v="0"/>
    <x v="140"/>
    <n v="12"/>
    <s v="이그나이트 + 스테이포에버"/>
    <s v="210207"/>
    <m/>
    <n v="705600"/>
  </r>
  <r>
    <x v="268"/>
    <x v="4"/>
    <m/>
    <x v="0"/>
    <x v="0"/>
    <x v="0"/>
    <n v="4"/>
    <s v="쇼핑백"/>
    <s v="210207"/>
    <m/>
    <m/>
  </r>
  <r>
    <x v="268"/>
    <x v="4"/>
    <m/>
    <x v="1"/>
    <x v="0"/>
    <x v="41"/>
    <n v="2"/>
    <s v="스테이포에버"/>
    <s v="210207"/>
    <m/>
    <n v="76000"/>
  </r>
  <r>
    <x v="268"/>
    <x v="4"/>
    <m/>
    <x v="1"/>
    <x v="0"/>
    <x v="141"/>
    <n v="5"/>
    <s v="이그나이트"/>
    <s v="210207"/>
    <m/>
    <n v="170000"/>
  </r>
  <r>
    <x v="268"/>
    <x v="4"/>
    <m/>
    <x v="2"/>
    <x v="1"/>
    <x v="1"/>
    <m/>
    <m/>
    <m/>
    <n v="1035301.818181818"/>
    <m/>
  </r>
  <r>
    <x v="262"/>
    <x v="7"/>
    <m/>
    <x v="2"/>
    <x v="1"/>
    <x v="1"/>
    <m/>
    <m/>
    <m/>
    <m/>
    <m/>
  </r>
  <r>
    <x v="269"/>
    <x v="1"/>
    <s v="페이스북/인스타그램"/>
    <x v="1"/>
    <x v="1"/>
    <x v="1"/>
    <m/>
    <m/>
    <m/>
    <n v="28903"/>
    <m/>
  </r>
  <r>
    <x v="269"/>
    <x v="1"/>
    <s v="페이스북/인스타그램"/>
    <x v="1"/>
    <x v="1"/>
    <x v="1"/>
    <m/>
    <m/>
    <m/>
    <n v="57372"/>
    <m/>
  </r>
  <r>
    <x v="269"/>
    <x v="1"/>
    <s v="페이스북/인스타그램"/>
    <x v="1"/>
    <x v="1"/>
    <x v="1"/>
    <m/>
    <m/>
    <m/>
    <n v="490059"/>
    <m/>
  </r>
  <r>
    <x v="269"/>
    <x v="1"/>
    <s v="페이스북/인스타그램"/>
    <x v="1"/>
    <x v="1"/>
    <x v="1"/>
    <m/>
    <m/>
    <m/>
    <n v="210969"/>
    <m/>
  </r>
  <r>
    <x v="269"/>
    <x v="1"/>
    <s v="페이스북/인스타그램"/>
    <x v="1"/>
    <x v="1"/>
    <x v="1"/>
    <m/>
    <m/>
    <m/>
    <n v="260468"/>
    <m/>
  </r>
  <r>
    <x v="269"/>
    <x v="1"/>
    <s v="페이스북/인스타그램"/>
    <x v="1"/>
    <x v="1"/>
    <x v="1"/>
    <m/>
    <m/>
    <m/>
    <n v="145445"/>
    <m/>
  </r>
  <r>
    <x v="269"/>
    <x v="1"/>
    <s v="페이스북/인스타그램"/>
    <x v="1"/>
    <x v="1"/>
    <x v="1"/>
    <m/>
    <m/>
    <m/>
    <n v="97961"/>
    <m/>
  </r>
  <r>
    <x v="269"/>
    <x v="1"/>
    <s v="페이스북/인스타그램"/>
    <x v="1"/>
    <x v="1"/>
    <x v="1"/>
    <m/>
    <m/>
    <m/>
    <n v="195515"/>
    <m/>
  </r>
  <r>
    <x v="269"/>
    <x v="1"/>
    <s v="페이스북/인스타그램"/>
    <x v="1"/>
    <x v="1"/>
    <x v="1"/>
    <m/>
    <m/>
    <m/>
    <n v="48588"/>
    <m/>
  </r>
  <r>
    <x v="269"/>
    <x v="1"/>
    <s v="페이스북/인스타그램"/>
    <x v="1"/>
    <x v="1"/>
    <x v="1"/>
    <m/>
    <m/>
    <m/>
    <n v="96471"/>
    <m/>
  </r>
  <r>
    <x v="269"/>
    <x v="1"/>
    <s v="페이스북/인스타그램"/>
    <x v="1"/>
    <x v="1"/>
    <x v="1"/>
    <m/>
    <m/>
    <m/>
    <n v="29338"/>
    <m/>
  </r>
  <r>
    <x v="269"/>
    <x v="1"/>
    <s v="페이스북/인스타그램"/>
    <x v="1"/>
    <x v="1"/>
    <x v="1"/>
    <m/>
    <m/>
    <m/>
    <n v="97418"/>
    <m/>
  </r>
  <r>
    <x v="269"/>
    <x v="1"/>
    <s v="페이스북/인스타그램"/>
    <x v="1"/>
    <x v="1"/>
    <x v="1"/>
    <m/>
    <m/>
    <m/>
    <n v="97720"/>
    <m/>
  </r>
  <r>
    <x v="269"/>
    <x v="1"/>
    <s v="페이스북/인스타그램"/>
    <x v="1"/>
    <x v="1"/>
    <x v="1"/>
    <m/>
    <m/>
    <m/>
    <n v="291281"/>
    <m/>
  </r>
  <r>
    <x v="269"/>
    <x v="1"/>
    <s v="페이스북/인스타그램"/>
    <x v="1"/>
    <x v="1"/>
    <x v="1"/>
    <m/>
    <m/>
    <m/>
    <n v="293790"/>
    <m/>
  </r>
  <r>
    <x v="269"/>
    <x v="1"/>
    <s v="페이스북/인스타그램"/>
    <x v="1"/>
    <x v="1"/>
    <x v="1"/>
    <m/>
    <m/>
    <m/>
    <n v="145902"/>
    <m/>
  </r>
  <r>
    <x v="269"/>
    <x v="1"/>
    <s v="페이스북/인스타그램"/>
    <x v="1"/>
    <x v="1"/>
    <x v="1"/>
    <m/>
    <m/>
    <m/>
    <n v="146174"/>
    <m/>
  </r>
  <r>
    <x v="269"/>
    <x v="1"/>
    <s v="페이스북/인스타그램"/>
    <x v="1"/>
    <x v="1"/>
    <x v="1"/>
    <m/>
    <m/>
    <m/>
    <n v="145448"/>
    <m/>
  </r>
  <r>
    <x v="270"/>
    <x v="2"/>
    <s v="페이스북/인스타그램"/>
    <x v="1"/>
    <x v="1"/>
    <x v="1"/>
    <m/>
    <m/>
    <m/>
    <n v="31330"/>
    <m/>
  </r>
  <r>
    <x v="270"/>
    <x v="2"/>
    <s v="페이스북/인스타그램"/>
    <x v="1"/>
    <x v="1"/>
    <x v="1"/>
    <m/>
    <m/>
    <m/>
    <n v="60297"/>
    <m/>
  </r>
  <r>
    <x v="270"/>
    <x v="2"/>
    <s v="페이스북/인스타그램"/>
    <x v="1"/>
    <x v="1"/>
    <x v="1"/>
    <m/>
    <m/>
    <m/>
    <n v="512087"/>
    <m/>
  </r>
  <r>
    <x v="270"/>
    <x v="2"/>
    <s v="페이스북/인스타그램"/>
    <x v="1"/>
    <x v="1"/>
    <x v="1"/>
    <m/>
    <m/>
    <m/>
    <n v="221911"/>
    <m/>
  </r>
  <r>
    <x v="270"/>
    <x v="2"/>
    <s v="페이스북/인스타그램"/>
    <x v="1"/>
    <x v="1"/>
    <x v="1"/>
    <m/>
    <m/>
    <m/>
    <n v="275883"/>
    <m/>
  </r>
  <r>
    <x v="270"/>
    <x v="2"/>
    <s v="페이스북/인스타그램"/>
    <x v="1"/>
    <x v="1"/>
    <x v="1"/>
    <m/>
    <m/>
    <m/>
    <n v="153608"/>
    <m/>
  </r>
  <r>
    <x v="270"/>
    <x v="2"/>
    <s v="페이스북/인스타그램"/>
    <x v="1"/>
    <x v="1"/>
    <x v="1"/>
    <m/>
    <m/>
    <m/>
    <n v="99436"/>
    <m/>
  </r>
  <r>
    <x v="270"/>
    <x v="2"/>
    <s v="페이스북/인스타그램"/>
    <x v="1"/>
    <x v="1"/>
    <x v="1"/>
    <m/>
    <m/>
    <m/>
    <n v="203747"/>
    <m/>
  </r>
  <r>
    <x v="270"/>
    <x v="2"/>
    <s v="페이스북/인스타그램"/>
    <x v="1"/>
    <x v="1"/>
    <x v="1"/>
    <m/>
    <m/>
    <m/>
    <n v="50374"/>
    <m/>
  </r>
  <r>
    <x v="270"/>
    <x v="2"/>
    <s v="페이스북/인스타그램"/>
    <x v="1"/>
    <x v="1"/>
    <x v="1"/>
    <m/>
    <m/>
    <m/>
    <n v="101581"/>
    <m/>
  </r>
  <r>
    <x v="270"/>
    <x v="2"/>
    <s v="페이스북/인스타그램"/>
    <x v="1"/>
    <x v="1"/>
    <x v="1"/>
    <m/>
    <m/>
    <m/>
    <n v="29829"/>
    <m/>
  </r>
  <r>
    <x v="270"/>
    <x v="2"/>
    <s v="페이스북/인스타그램"/>
    <x v="1"/>
    <x v="1"/>
    <x v="1"/>
    <m/>
    <m/>
    <m/>
    <n v="101128"/>
    <m/>
  </r>
  <r>
    <x v="270"/>
    <x v="2"/>
    <s v="페이스북/인스타그램"/>
    <x v="1"/>
    <x v="1"/>
    <x v="1"/>
    <m/>
    <m/>
    <m/>
    <n v="100808"/>
    <m/>
  </r>
  <r>
    <x v="270"/>
    <x v="2"/>
    <s v="페이스북/인스타그램"/>
    <x v="1"/>
    <x v="1"/>
    <x v="1"/>
    <m/>
    <m/>
    <m/>
    <n v="305151"/>
    <m/>
  </r>
  <r>
    <x v="270"/>
    <x v="2"/>
    <s v="페이스북/인스타그램"/>
    <x v="1"/>
    <x v="1"/>
    <x v="1"/>
    <m/>
    <m/>
    <m/>
    <n v="306597"/>
    <m/>
  </r>
  <r>
    <x v="270"/>
    <x v="2"/>
    <s v="페이스북/인스타그램"/>
    <x v="1"/>
    <x v="1"/>
    <x v="1"/>
    <m/>
    <m/>
    <m/>
    <n v="152733"/>
    <m/>
  </r>
  <r>
    <x v="270"/>
    <x v="2"/>
    <s v="페이스북/인스타그램"/>
    <x v="1"/>
    <x v="1"/>
    <x v="1"/>
    <m/>
    <m/>
    <m/>
    <n v="152605"/>
    <m/>
  </r>
  <r>
    <x v="270"/>
    <x v="2"/>
    <s v="페이스북/인스타그램"/>
    <x v="1"/>
    <x v="1"/>
    <x v="1"/>
    <m/>
    <m/>
    <m/>
    <n v="150860"/>
    <m/>
  </r>
  <r>
    <x v="271"/>
    <x v="5"/>
    <s v="페이스북/인스타그램"/>
    <x v="1"/>
    <x v="1"/>
    <x v="1"/>
    <m/>
    <m/>
    <m/>
    <n v="30143"/>
    <m/>
  </r>
  <r>
    <x v="271"/>
    <x v="5"/>
    <s v="페이스북/인스타그램"/>
    <x v="1"/>
    <x v="1"/>
    <x v="1"/>
    <m/>
    <m/>
    <m/>
    <n v="60351"/>
    <m/>
  </r>
  <r>
    <x v="271"/>
    <x v="5"/>
    <s v="페이스북/인스타그램"/>
    <x v="1"/>
    <x v="1"/>
    <x v="1"/>
    <m/>
    <m/>
    <m/>
    <n v="500920"/>
    <m/>
  </r>
  <r>
    <x v="271"/>
    <x v="5"/>
    <s v="페이스북/인스타그램"/>
    <x v="1"/>
    <x v="1"/>
    <x v="1"/>
    <m/>
    <m/>
    <m/>
    <n v="222348"/>
    <m/>
  </r>
  <r>
    <x v="271"/>
    <x v="5"/>
    <s v="페이스북/인스타그램"/>
    <x v="1"/>
    <x v="1"/>
    <x v="1"/>
    <m/>
    <m/>
    <m/>
    <n v="272017"/>
    <m/>
  </r>
  <r>
    <x v="271"/>
    <x v="5"/>
    <s v="페이스북/인스타그램"/>
    <x v="1"/>
    <x v="1"/>
    <x v="1"/>
    <m/>
    <m/>
    <m/>
    <n v="150188"/>
    <m/>
  </r>
  <r>
    <x v="271"/>
    <x v="5"/>
    <s v="페이스북/인스타그램"/>
    <x v="1"/>
    <x v="1"/>
    <x v="1"/>
    <m/>
    <m/>
    <m/>
    <n v="100851"/>
    <m/>
  </r>
  <r>
    <x v="271"/>
    <x v="5"/>
    <s v="페이스북/인스타그램"/>
    <x v="1"/>
    <x v="1"/>
    <x v="1"/>
    <m/>
    <m/>
    <m/>
    <n v="201276"/>
    <m/>
  </r>
  <r>
    <x v="271"/>
    <x v="5"/>
    <s v="페이스북/인스타그램"/>
    <x v="1"/>
    <x v="1"/>
    <x v="1"/>
    <m/>
    <m/>
    <m/>
    <n v="50320"/>
    <m/>
  </r>
  <r>
    <x v="271"/>
    <x v="5"/>
    <s v="페이스북/인스타그램"/>
    <x v="1"/>
    <x v="1"/>
    <x v="1"/>
    <m/>
    <m/>
    <m/>
    <n v="100694"/>
    <m/>
  </r>
  <r>
    <x v="271"/>
    <x v="5"/>
    <s v="페이스북/인스타그램"/>
    <x v="1"/>
    <x v="1"/>
    <x v="1"/>
    <m/>
    <m/>
    <m/>
    <n v="30307"/>
    <m/>
  </r>
  <r>
    <x v="271"/>
    <x v="5"/>
    <s v="페이스북/인스타그램"/>
    <x v="1"/>
    <x v="1"/>
    <x v="1"/>
    <m/>
    <m/>
    <m/>
    <n v="100489"/>
    <m/>
  </r>
  <r>
    <x v="271"/>
    <x v="5"/>
    <s v="페이스북/인스타그램"/>
    <x v="1"/>
    <x v="1"/>
    <x v="1"/>
    <m/>
    <m/>
    <m/>
    <n v="100947"/>
    <m/>
  </r>
  <r>
    <x v="271"/>
    <x v="5"/>
    <s v="페이스북/인스타그램"/>
    <x v="1"/>
    <x v="1"/>
    <x v="1"/>
    <m/>
    <m/>
    <m/>
    <n v="302618"/>
    <m/>
  </r>
  <r>
    <x v="271"/>
    <x v="5"/>
    <s v="페이스북/인스타그램"/>
    <x v="1"/>
    <x v="1"/>
    <x v="1"/>
    <m/>
    <m/>
    <m/>
    <n v="300573"/>
    <m/>
  </r>
  <r>
    <x v="271"/>
    <x v="5"/>
    <s v="페이스북/인스타그램"/>
    <x v="1"/>
    <x v="1"/>
    <x v="1"/>
    <m/>
    <m/>
    <m/>
    <n v="150545"/>
    <m/>
  </r>
  <r>
    <x v="271"/>
    <x v="5"/>
    <s v="페이스북/인스타그램"/>
    <x v="1"/>
    <x v="1"/>
    <x v="1"/>
    <m/>
    <m/>
    <m/>
    <n v="150318"/>
    <m/>
  </r>
  <r>
    <x v="271"/>
    <x v="5"/>
    <s v="페이스북/인스타그램"/>
    <x v="1"/>
    <x v="1"/>
    <x v="1"/>
    <m/>
    <m/>
    <m/>
    <n v="150648"/>
    <m/>
  </r>
  <r>
    <x v="272"/>
    <x v="6"/>
    <s v="페이스북/인스타그램"/>
    <x v="1"/>
    <x v="1"/>
    <x v="1"/>
    <m/>
    <m/>
    <m/>
    <n v="30001"/>
    <m/>
  </r>
  <r>
    <x v="272"/>
    <x v="6"/>
    <s v="페이스북/인스타그램"/>
    <x v="1"/>
    <x v="1"/>
    <x v="1"/>
    <m/>
    <m/>
    <m/>
    <n v="60276"/>
    <m/>
  </r>
  <r>
    <x v="272"/>
    <x v="6"/>
    <s v="페이스북/인스타그램"/>
    <x v="1"/>
    <x v="1"/>
    <x v="1"/>
    <m/>
    <m/>
    <m/>
    <n v="500432"/>
    <m/>
  </r>
  <r>
    <x v="272"/>
    <x v="6"/>
    <s v="페이스북/인스타그램"/>
    <x v="1"/>
    <x v="1"/>
    <x v="1"/>
    <m/>
    <m/>
    <m/>
    <n v="220659"/>
    <m/>
  </r>
  <r>
    <x v="272"/>
    <x v="6"/>
    <s v="페이스북/인스타그램"/>
    <x v="1"/>
    <x v="1"/>
    <x v="1"/>
    <m/>
    <m/>
    <m/>
    <n v="270500"/>
    <m/>
  </r>
  <r>
    <x v="272"/>
    <x v="6"/>
    <s v="페이스북/인스타그램"/>
    <x v="1"/>
    <x v="1"/>
    <x v="1"/>
    <m/>
    <m/>
    <m/>
    <n v="150620"/>
    <m/>
  </r>
  <r>
    <x v="272"/>
    <x v="6"/>
    <s v="페이스북/인스타그램"/>
    <x v="1"/>
    <x v="1"/>
    <x v="1"/>
    <m/>
    <m/>
    <m/>
    <n v="100114"/>
    <m/>
  </r>
  <r>
    <x v="272"/>
    <x v="6"/>
    <s v="페이스북/인스타그램"/>
    <x v="1"/>
    <x v="1"/>
    <x v="1"/>
    <m/>
    <m/>
    <m/>
    <n v="200556"/>
    <m/>
  </r>
  <r>
    <x v="272"/>
    <x v="6"/>
    <s v="페이스북/인스타그램"/>
    <x v="1"/>
    <x v="1"/>
    <x v="1"/>
    <m/>
    <m/>
    <m/>
    <n v="50762"/>
    <m/>
  </r>
  <r>
    <x v="272"/>
    <x v="6"/>
    <s v="페이스북/인스타그램"/>
    <x v="1"/>
    <x v="1"/>
    <x v="1"/>
    <m/>
    <m/>
    <m/>
    <n v="100549"/>
    <m/>
  </r>
  <r>
    <x v="272"/>
    <x v="6"/>
    <s v="페이스북/인스타그램"/>
    <x v="1"/>
    <x v="1"/>
    <x v="1"/>
    <m/>
    <m/>
    <m/>
    <n v="30028"/>
    <m/>
  </r>
  <r>
    <x v="272"/>
    <x v="6"/>
    <s v="페이스북/인스타그램"/>
    <x v="1"/>
    <x v="1"/>
    <x v="1"/>
    <m/>
    <m/>
    <m/>
    <n v="100245"/>
    <m/>
  </r>
  <r>
    <x v="272"/>
    <x v="6"/>
    <s v="페이스북/인스타그램"/>
    <x v="1"/>
    <x v="1"/>
    <x v="1"/>
    <m/>
    <m/>
    <m/>
    <n v="100456"/>
    <m/>
  </r>
  <r>
    <x v="272"/>
    <x v="6"/>
    <s v="페이스북/인스타그램"/>
    <x v="1"/>
    <x v="1"/>
    <x v="1"/>
    <m/>
    <m/>
    <m/>
    <n v="301568"/>
    <m/>
  </r>
  <r>
    <x v="272"/>
    <x v="6"/>
    <s v="페이스북/인스타그램"/>
    <x v="1"/>
    <x v="1"/>
    <x v="1"/>
    <m/>
    <m/>
    <m/>
    <n v="300433"/>
    <m/>
  </r>
  <r>
    <x v="272"/>
    <x v="6"/>
    <s v="페이스북/인스타그램"/>
    <x v="1"/>
    <x v="1"/>
    <x v="1"/>
    <m/>
    <m/>
    <m/>
    <n v="150314"/>
    <m/>
  </r>
  <r>
    <x v="272"/>
    <x v="6"/>
    <s v="페이스북/인스타그램"/>
    <x v="1"/>
    <x v="1"/>
    <x v="1"/>
    <m/>
    <m/>
    <m/>
    <n v="150240"/>
    <m/>
  </r>
  <r>
    <x v="272"/>
    <x v="6"/>
    <s v="페이스북/인스타그램"/>
    <x v="1"/>
    <x v="1"/>
    <x v="1"/>
    <m/>
    <m/>
    <m/>
    <n v="150532"/>
    <m/>
  </r>
  <r>
    <x v="269"/>
    <x v="1"/>
    <s v="유튜브 광고"/>
    <x v="1"/>
    <x v="1"/>
    <x v="1"/>
    <m/>
    <m/>
    <m/>
    <n v="286674"/>
    <m/>
  </r>
  <r>
    <x v="269"/>
    <x v="1"/>
    <s v="유튜브 광고"/>
    <x v="1"/>
    <x v="1"/>
    <x v="1"/>
    <m/>
    <m/>
    <m/>
    <n v="22645"/>
    <m/>
  </r>
  <r>
    <x v="269"/>
    <x v="1"/>
    <s v="유튜브 광고"/>
    <x v="1"/>
    <x v="1"/>
    <x v="1"/>
    <m/>
    <m/>
    <m/>
    <n v="486950"/>
    <m/>
  </r>
  <r>
    <x v="269"/>
    <x v="1"/>
    <s v="유튜브 광고"/>
    <x v="1"/>
    <x v="1"/>
    <x v="1"/>
    <m/>
    <m/>
    <m/>
    <n v="154574"/>
    <m/>
  </r>
  <r>
    <x v="269"/>
    <x v="1"/>
    <s v="유튜브 광고"/>
    <x v="1"/>
    <x v="1"/>
    <x v="1"/>
    <m/>
    <m/>
    <m/>
    <n v="450033"/>
    <m/>
  </r>
  <r>
    <x v="269"/>
    <x v="1"/>
    <s v="유튜브 광고"/>
    <x v="1"/>
    <x v="1"/>
    <x v="1"/>
    <m/>
    <m/>
    <m/>
    <n v="405751"/>
    <m/>
  </r>
  <r>
    <x v="269"/>
    <x v="1"/>
    <s v="유튜브 광고"/>
    <x v="1"/>
    <x v="1"/>
    <x v="1"/>
    <m/>
    <m/>
    <m/>
    <n v="13583"/>
    <m/>
  </r>
  <r>
    <x v="269"/>
    <x v="1"/>
    <s v="유튜브 광고"/>
    <x v="1"/>
    <x v="1"/>
    <x v="1"/>
    <m/>
    <m/>
    <m/>
    <n v="492136"/>
    <m/>
  </r>
  <r>
    <x v="269"/>
    <x v="1"/>
    <s v="유튜브 광고"/>
    <x v="1"/>
    <x v="1"/>
    <x v="1"/>
    <m/>
    <m/>
    <m/>
    <n v="301600"/>
    <m/>
  </r>
  <r>
    <x v="270"/>
    <x v="2"/>
    <s v="유튜브 광고"/>
    <x v="1"/>
    <x v="1"/>
    <x v="1"/>
    <m/>
    <m/>
    <m/>
    <n v="296225"/>
    <m/>
  </r>
  <r>
    <x v="270"/>
    <x v="2"/>
    <s v="유튜브 광고"/>
    <x v="1"/>
    <x v="1"/>
    <x v="1"/>
    <m/>
    <m/>
    <m/>
    <n v="26056"/>
    <m/>
  </r>
  <r>
    <x v="270"/>
    <x v="2"/>
    <s v="유튜브 광고"/>
    <x v="1"/>
    <x v="1"/>
    <x v="1"/>
    <m/>
    <m/>
    <m/>
    <n v="465636"/>
    <m/>
  </r>
  <r>
    <x v="270"/>
    <x v="2"/>
    <s v="유튜브 광고"/>
    <x v="1"/>
    <x v="1"/>
    <x v="1"/>
    <m/>
    <m/>
    <m/>
    <n v="148167"/>
    <m/>
  </r>
  <r>
    <x v="270"/>
    <x v="2"/>
    <s v="유튜브 광고"/>
    <x v="1"/>
    <x v="1"/>
    <x v="1"/>
    <m/>
    <m/>
    <m/>
    <n v="411339"/>
    <m/>
  </r>
  <r>
    <x v="270"/>
    <x v="2"/>
    <s v="유튜브 광고"/>
    <x v="1"/>
    <x v="1"/>
    <x v="1"/>
    <m/>
    <m/>
    <m/>
    <n v="499741"/>
    <m/>
  </r>
  <r>
    <x v="270"/>
    <x v="2"/>
    <s v="유튜브 광고"/>
    <x v="1"/>
    <x v="1"/>
    <x v="1"/>
    <m/>
    <m/>
    <m/>
    <n v="111250"/>
    <m/>
  </r>
  <r>
    <x v="270"/>
    <x v="2"/>
    <s v="유튜브 광고"/>
    <x v="1"/>
    <x v="1"/>
    <x v="1"/>
    <m/>
    <m/>
    <m/>
    <n v="470571"/>
    <m/>
  </r>
  <r>
    <x v="270"/>
    <x v="2"/>
    <s v="유튜브 광고"/>
    <x v="1"/>
    <x v="1"/>
    <x v="1"/>
    <m/>
    <m/>
    <m/>
    <n v="400214"/>
    <m/>
  </r>
  <r>
    <x v="271"/>
    <x v="5"/>
    <s v="유튜브 광고"/>
    <x v="1"/>
    <x v="1"/>
    <x v="1"/>
    <m/>
    <m/>
    <m/>
    <n v="285064"/>
    <m/>
  </r>
  <r>
    <x v="271"/>
    <x v="5"/>
    <s v="유튜브 광고"/>
    <x v="1"/>
    <x v="1"/>
    <x v="1"/>
    <m/>
    <m/>
    <m/>
    <n v="36207"/>
    <m/>
  </r>
  <r>
    <x v="271"/>
    <x v="5"/>
    <s v="유튜브 광고"/>
    <x v="1"/>
    <x v="1"/>
    <x v="1"/>
    <m/>
    <m/>
    <m/>
    <n v="466052"/>
    <m/>
  </r>
  <r>
    <x v="271"/>
    <x v="5"/>
    <s v="유튜브 광고"/>
    <x v="1"/>
    <x v="1"/>
    <x v="1"/>
    <m/>
    <m/>
    <m/>
    <n v="22046"/>
    <m/>
  </r>
  <r>
    <x v="271"/>
    <x v="5"/>
    <s v="유튜브 광고"/>
    <x v="1"/>
    <x v="1"/>
    <x v="1"/>
    <m/>
    <m/>
    <m/>
    <n v="308811"/>
    <m/>
  </r>
  <r>
    <x v="271"/>
    <x v="5"/>
    <s v="유튜브 광고"/>
    <x v="1"/>
    <x v="1"/>
    <x v="1"/>
    <m/>
    <m/>
    <m/>
    <n v="500187"/>
    <m/>
  </r>
  <r>
    <x v="271"/>
    <x v="5"/>
    <s v="유튜브 광고"/>
    <x v="1"/>
    <x v="1"/>
    <x v="1"/>
    <m/>
    <m/>
    <m/>
    <n v="798725"/>
    <m/>
  </r>
  <r>
    <x v="271"/>
    <x v="5"/>
    <s v="유튜브 광고"/>
    <x v="1"/>
    <x v="1"/>
    <x v="1"/>
    <m/>
    <m/>
    <m/>
    <n v="399459"/>
    <m/>
  </r>
  <r>
    <x v="271"/>
    <x v="5"/>
    <s v="유튜브 광고"/>
    <x v="1"/>
    <x v="1"/>
    <x v="1"/>
    <m/>
    <m/>
    <m/>
    <n v="399843"/>
    <m/>
  </r>
  <r>
    <x v="272"/>
    <x v="6"/>
    <s v="유튜브 광고"/>
    <x v="1"/>
    <x v="1"/>
    <x v="1"/>
    <m/>
    <m/>
    <m/>
    <n v="310010"/>
    <m/>
  </r>
  <r>
    <x v="272"/>
    <x v="6"/>
    <s v="유튜브 광고"/>
    <x v="1"/>
    <x v="1"/>
    <x v="1"/>
    <m/>
    <m/>
    <m/>
    <n v="32604"/>
    <m/>
  </r>
  <r>
    <x v="272"/>
    <x v="6"/>
    <s v="유튜브 광고"/>
    <x v="1"/>
    <x v="1"/>
    <x v="1"/>
    <m/>
    <m/>
    <m/>
    <n v="509975"/>
    <m/>
  </r>
  <r>
    <x v="272"/>
    <x v="6"/>
    <s v="유튜브 광고"/>
    <x v="1"/>
    <x v="1"/>
    <x v="1"/>
    <m/>
    <m/>
    <m/>
    <n v="15474"/>
    <m/>
  </r>
  <r>
    <x v="272"/>
    <x v="6"/>
    <s v="유튜브 광고"/>
    <x v="1"/>
    <x v="1"/>
    <x v="1"/>
    <m/>
    <m/>
    <m/>
    <n v="292984"/>
    <m/>
  </r>
  <r>
    <x v="272"/>
    <x v="6"/>
    <s v="유튜브 광고"/>
    <x v="1"/>
    <x v="1"/>
    <x v="1"/>
    <m/>
    <m/>
    <m/>
    <n v="509181"/>
    <m/>
  </r>
  <r>
    <x v="272"/>
    <x v="6"/>
    <s v="유튜브 광고"/>
    <x v="1"/>
    <x v="1"/>
    <x v="1"/>
    <m/>
    <m/>
    <m/>
    <n v="489475"/>
    <m/>
  </r>
  <r>
    <x v="272"/>
    <x v="6"/>
    <s v="유튜브 광고"/>
    <x v="1"/>
    <x v="1"/>
    <x v="1"/>
    <m/>
    <m/>
    <m/>
    <n v="404116"/>
    <m/>
  </r>
  <r>
    <x v="272"/>
    <x v="6"/>
    <s v="유튜브 광고"/>
    <x v="1"/>
    <x v="1"/>
    <x v="1"/>
    <m/>
    <m/>
    <m/>
    <n v="406641"/>
    <m/>
  </r>
  <r>
    <x v="272"/>
    <x v="6"/>
    <s v="네이버 쇼핑검색"/>
    <x v="1"/>
    <x v="1"/>
    <x v="1"/>
    <m/>
    <m/>
    <m/>
    <n v="3250"/>
    <m/>
  </r>
  <r>
    <x v="272"/>
    <x v="6"/>
    <s v="네이버 쇼핑검색"/>
    <x v="1"/>
    <x v="1"/>
    <x v="1"/>
    <m/>
    <m/>
    <m/>
    <n v="128130"/>
    <m/>
  </r>
  <r>
    <x v="272"/>
    <x v="6"/>
    <s v="네이버 쇼핑검색"/>
    <x v="1"/>
    <x v="1"/>
    <x v="1"/>
    <m/>
    <m/>
    <m/>
    <n v="4110"/>
    <m/>
  </r>
  <r>
    <x v="272"/>
    <x v="6"/>
    <s v="네이버 브랜드검색"/>
    <x v="3"/>
    <x v="1"/>
    <x v="1"/>
    <m/>
    <m/>
    <m/>
    <n v="0"/>
    <m/>
  </r>
  <r>
    <x v="271"/>
    <x v="5"/>
    <s v="네이버 쇼핑검색"/>
    <x v="1"/>
    <x v="1"/>
    <x v="1"/>
    <m/>
    <m/>
    <m/>
    <n v="3740"/>
    <m/>
  </r>
  <r>
    <x v="271"/>
    <x v="5"/>
    <s v="네이버 쇼핑검색"/>
    <x v="1"/>
    <x v="1"/>
    <x v="1"/>
    <m/>
    <m/>
    <m/>
    <n v="121470"/>
    <m/>
  </r>
  <r>
    <x v="271"/>
    <x v="5"/>
    <s v="네이버 쇼핑검색"/>
    <x v="1"/>
    <x v="1"/>
    <x v="1"/>
    <m/>
    <m/>
    <m/>
    <n v="2450"/>
    <m/>
  </r>
  <r>
    <x v="271"/>
    <x v="5"/>
    <s v="네이버 브랜드검색"/>
    <x v="3"/>
    <x v="1"/>
    <x v="1"/>
    <m/>
    <m/>
    <m/>
    <n v="0"/>
    <m/>
  </r>
  <r>
    <x v="270"/>
    <x v="2"/>
    <s v="네이버 쇼핑검색"/>
    <x v="1"/>
    <x v="1"/>
    <x v="1"/>
    <m/>
    <m/>
    <m/>
    <n v="1750"/>
    <m/>
  </r>
  <r>
    <x v="270"/>
    <x v="2"/>
    <s v="네이버 쇼핑검색"/>
    <x v="1"/>
    <x v="1"/>
    <x v="1"/>
    <m/>
    <m/>
    <m/>
    <n v="99949.99999999999"/>
    <m/>
  </r>
  <r>
    <x v="270"/>
    <x v="2"/>
    <s v="네이버 쇼핑검색"/>
    <x v="1"/>
    <x v="1"/>
    <x v="1"/>
    <m/>
    <m/>
    <m/>
    <n v="2450"/>
    <m/>
  </r>
  <r>
    <x v="270"/>
    <x v="2"/>
    <s v="네이버 브랜드검색"/>
    <x v="3"/>
    <x v="1"/>
    <x v="1"/>
    <m/>
    <m/>
    <m/>
    <n v="0"/>
    <m/>
  </r>
  <r>
    <x v="269"/>
    <x v="1"/>
    <s v="네이버 쇼핑검색"/>
    <x v="1"/>
    <x v="1"/>
    <x v="1"/>
    <m/>
    <m/>
    <m/>
    <n v="1260"/>
    <m/>
  </r>
  <r>
    <x v="269"/>
    <x v="1"/>
    <s v="네이버 쇼핑검색"/>
    <x v="1"/>
    <x v="1"/>
    <x v="1"/>
    <m/>
    <m/>
    <m/>
    <n v="49819.99999999999"/>
    <m/>
  </r>
  <r>
    <x v="269"/>
    <x v="1"/>
    <s v="네이버 쇼핑검색"/>
    <x v="1"/>
    <x v="1"/>
    <x v="1"/>
    <m/>
    <m/>
    <m/>
    <n v="989.9999999999999"/>
    <m/>
  </r>
  <r>
    <x v="269"/>
    <x v="1"/>
    <s v="네이버 브랜드검색"/>
    <x v="3"/>
    <x v="1"/>
    <x v="1"/>
    <m/>
    <m/>
    <m/>
    <n v="0"/>
    <m/>
  </r>
  <r>
    <x v="269"/>
    <x v="1"/>
    <s v="카카오 배너"/>
    <x v="1"/>
    <x v="1"/>
    <x v="1"/>
    <m/>
    <m/>
    <m/>
    <n v="90889.99999999999"/>
    <m/>
  </r>
  <r>
    <x v="269"/>
    <x v="1"/>
    <s v="카카오 배너"/>
    <x v="1"/>
    <x v="1"/>
    <x v="1"/>
    <m/>
    <m/>
    <m/>
    <n v="409429.9999999999"/>
    <m/>
  </r>
  <r>
    <x v="270"/>
    <x v="2"/>
    <s v="카카오 배너"/>
    <x v="1"/>
    <x v="1"/>
    <x v="1"/>
    <m/>
    <m/>
    <m/>
    <n v="90969.99999999999"/>
    <m/>
  </r>
  <r>
    <x v="270"/>
    <x v="2"/>
    <s v="카카오 배너"/>
    <x v="1"/>
    <x v="1"/>
    <x v="1"/>
    <m/>
    <m/>
    <m/>
    <n v="695260"/>
    <m/>
  </r>
  <r>
    <x v="271"/>
    <x v="5"/>
    <s v="카카오 배너"/>
    <x v="1"/>
    <x v="1"/>
    <x v="1"/>
    <m/>
    <m/>
    <m/>
    <n v="90769.99999999999"/>
    <m/>
  </r>
  <r>
    <x v="271"/>
    <x v="5"/>
    <s v="카카오 배너"/>
    <x v="1"/>
    <x v="1"/>
    <x v="1"/>
    <m/>
    <m/>
    <m/>
    <n v="666570"/>
    <m/>
  </r>
  <r>
    <x v="272"/>
    <x v="6"/>
    <s v="카카오 배너"/>
    <x v="1"/>
    <x v="1"/>
    <x v="1"/>
    <m/>
    <m/>
    <m/>
    <n v="90869.99999999999"/>
    <m/>
  </r>
  <r>
    <x v="272"/>
    <x v="6"/>
    <s v="카카오 배너"/>
    <x v="1"/>
    <x v="1"/>
    <x v="1"/>
    <m/>
    <m/>
    <m/>
    <n v="952689.9999999999"/>
    <m/>
  </r>
  <r>
    <x v="269"/>
    <x v="1"/>
    <m/>
    <x v="1"/>
    <x v="3"/>
    <x v="150"/>
    <n v="1"/>
    <s v="이그나이트 + 스테이포에버"/>
    <s v="210207"/>
    <m/>
    <n v="58800"/>
  </r>
  <r>
    <x v="269"/>
    <x v="1"/>
    <m/>
    <x v="1"/>
    <x v="3"/>
    <x v="151"/>
    <n v="2"/>
    <s v="스테이포에버 2set"/>
    <s v="210207"/>
    <m/>
    <n v="117600"/>
  </r>
  <r>
    <x v="269"/>
    <x v="1"/>
    <m/>
    <x v="1"/>
    <x v="3"/>
    <x v="152"/>
    <n v="12"/>
    <s v="스테이포에버"/>
    <s v="210207"/>
    <m/>
    <n v="408000"/>
  </r>
  <r>
    <x v="269"/>
    <x v="1"/>
    <m/>
    <x v="1"/>
    <x v="0"/>
    <x v="135"/>
    <n v="3"/>
    <s v="스테이포에버"/>
    <s v="210207"/>
    <m/>
    <n v="102000"/>
  </r>
  <r>
    <x v="269"/>
    <x v="1"/>
    <m/>
    <x v="1"/>
    <x v="0"/>
    <x v="136"/>
    <n v="5"/>
    <s v="스테이포에버 2set"/>
    <s v="210207"/>
    <m/>
    <n v="294000"/>
  </r>
  <r>
    <x v="269"/>
    <x v="1"/>
    <m/>
    <x v="1"/>
    <x v="0"/>
    <x v="137"/>
    <n v="10"/>
    <s v="이그나이트 + 스테이포에버"/>
    <s v="210207"/>
    <m/>
    <n v="588000"/>
  </r>
  <r>
    <x v="269"/>
    <x v="1"/>
    <m/>
    <x v="1"/>
    <x v="0"/>
    <x v="144"/>
    <n v="1"/>
    <s v="이그나이트 + 스테이포에버"/>
    <s v="210207"/>
    <m/>
    <n v="58800"/>
  </r>
  <r>
    <x v="269"/>
    <x v="1"/>
    <m/>
    <x v="1"/>
    <x v="0"/>
    <x v="138"/>
    <n v="181"/>
    <s v="스테이포에버"/>
    <s v="210207"/>
    <m/>
    <n v="6154000"/>
  </r>
  <r>
    <x v="269"/>
    <x v="1"/>
    <m/>
    <x v="1"/>
    <x v="0"/>
    <x v="139"/>
    <n v="110"/>
    <s v="스테이포에버 2set"/>
    <s v="210207"/>
    <m/>
    <n v="6468000"/>
  </r>
  <r>
    <x v="269"/>
    <x v="1"/>
    <m/>
    <x v="1"/>
    <x v="0"/>
    <x v="140"/>
    <n v="11"/>
    <s v="이그나이트 + 스테이포에버"/>
    <s v="210207"/>
    <m/>
    <n v="646800"/>
  </r>
  <r>
    <x v="269"/>
    <x v="1"/>
    <m/>
    <x v="0"/>
    <x v="0"/>
    <x v="0"/>
    <n v="11"/>
    <s v="쇼핑백"/>
    <s v="210207"/>
    <m/>
    <n v="22000"/>
  </r>
  <r>
    <x v="269"/>
    <x v="1"/>
    <m/>
    <x v="1"/>
    <x v="0"/>
    <x v="41"/>
    <n v="1"/>
    <s v="스테이포에버"/>
    <s v="210207"/>
    <m/>
    <n v="38000"/>
  </r>
  <r>
    <x v="269"/>
    <x v="1"/>
    <m/>
    <x v="1"/>
    <x v="0"/>
    <x v="141"/>
    <n v="2"/>
    <s v="이그나이트"/>
    <s v="210207"/>
    <m/>
    <n v="68000"/>
  </r>
  <r>
    <x v="269"/>
    <x v="1"/>
    <m/>
    <x v="1"/>
    <x v="0"/>
    <x v="142"/>
    <n v="2"/>
    <s v="이그나이트 2set"/>
    <s v="210207"/>
    <m/>
    <n v="117600"/>
  </r>
  <r>
    <x v="270"/>
    <x v="2"/>
    <m/>
    <x v="1"/>
    <x v="3"/>
    <x v="150"/>
    <n v="4"/>
    <s v="이그나이트 + 스테이포에버"/>
    <s v="210207"/>
    <m/>
    <n v="235200"/>
  </r>
  <r>
    <x v="270"/>
    <x v="2"/>
    <m/>
    <x v="1"/>
    <x v="3"/>
    <x v="151"/>
    <n v="3"/>
    <s v="스테이포에버 2set"/>
    <s v="210207"/>
    <m/>
    <n v="176400"/>
  </r>
  <r>
    <x v="270"/>
    <x v="2"/>
    <m/>
    <x v="1"/>
    <x v="3"/>
    <x v="152"/>
    <n v="21"/>
    <s v="스테이포에버"/>
    <s v="210207"/>
    <m/>
    <n v="714000"/>
  </r>
  <r>
    <x v="270"/>
    <x v="2"/>
    <m/>
    <x v="1"/>
    <x v="0"/>
    <x v="134"/>
    <n v="1"/>
    <s v="이그나이트"/>
    <s v="210207"/>
    <m/>
    <n v="34000"/>
  </r>
  <r>
    <x v="270"/>
    <x v="2"/>
    <m/>
    <x v="1"/>
    <x v="0"/>
    <x v="145"/>
    <n v="1"/>
    <s v="이그나이트 2set"/>
    <s v="210207"/>
    <m/>
    <n v="58800"/>
  </r>
  <r>
    <x v="270"/>
    <x v="2"/>
    <m/>
    <x v="1"/>
    <x v="0"/>
    <x v="135"/>
    <n v="7"/>
    <s v="스테이포에버"/>
    <s v="210207"/>
    <m/>
    <n v="238000"/>
  </r>
  <r>
    <x v="270"/>
    <x v="2"/>
    <m/>
    <x v="1"/>
    <x v="0"/>
    <x v="136"/>
    <n v="8"/>
    <s v="스테이포에버 2set"/>
    <s v="210207"/>
    <m/>
    <n v="470400"/>
  </r>
  <r>
    <x v="270"/>
    <x v="2"/>
    <m/>
    <x v="1"/>
    <x v="0"/>
    <x v="137"/>
    <n v="19"/>
    <s v="이그나이트 + 스테이포에버"/>
    <s v="210207"/>
    <m/>
    <n v="1117200"/>
  </r>
  <r>
    <x v="270"/>
    <x v="2"/>
    <m/>
    <x v="1"/>
    <x v="0"/>
    <x v="144"/>
    <n v="4"/>
    <s v="이그나이트 + 스테이포에버"/>
    <s v="210207"/>
    <m/>
    <n v="235200"/>
  </r>
  <r>
    <x v="270"/>
    <x v="2"/>
    <m/>
    <x v="1"/>
    <x v="0"/>
    <x v="138"/>
    <n v="228"/>
    <s v="스테이포에버"/>
    <s v="210207"/>
    <m/>
    <n v="7752000"/>
  </r>
  <r>
    <x v="270"/>
    <x v="2"/>
    <m/>
    <x v="1"/>
    <x v="0"/>
    <x v="139"/>
    <n v="161"/>
    <s v="스테이포에버 2set"/>
    <s v="210207"/>
    <m/>
    <n v="9466800"/>
  </r>
  <r>
    <x v="270"/>
    <x v="2"/>
    <m/>
    <x v="1"/>
    <x v="0"/>
    <x v="140"/>
    <n v="18"/>
    <s v="이그나이트 + 스테이포에버"/>
    <s v="210207"/>
    <m/>
    <n v="1058400"/>
  </r>
  <r>
    <x v="270"/>
    <x v="2"/>
    <m/>
    <x v="0"/>
    <x v="0"/>
    <x v="0"/>
    <n v="5"/>
    <s v="쇼핑백"/>
    <s v="210207"/>
    <m/>
    <n v="10000"/>
  </r>
  <r>
    <x v="270"/>
    <x v="2"/>
    <m/>
    <x v="1"/>
    <x v="0"/>
    <x v="141"/>
    <n v="2"/>
    <s v="이그나이트"/>
    <s v="210207"/>
    <m/>
    <n v="68000"/>
  </r>
  <r>
    <x v="271"/>
    <x v="5"/>
    <m/>
    <x v="1"/>
    <x v="3"/>
    <x v="150"/>
    <n v="2"/>
    <s v="이그나이트 + 스테이포에버"/>
    <s v="210207"/>
    <m/>
    <n v="117600"/>
  </r>
  <r>
    <x v="271"/>
    <x v="5"/>
    <m/>
    <x v="1"/>
    <x v="3"/>
    <x v="151"/>
    <n v="3"/>
    <s v="스테이포에버 2set"/>
    <s v="210207"/>
    <m/>
    <n v="176400"/>
  </r>
  <r>
    <x v="271"/>
    <x v="5"/>
    <m/>
    <x v="1"/>
    <x v="3"/>
    <x v="152"/>
    <n v="22"/>
    <s v="스테이포에버"/>
    <s v="210207"/>
    <m/>
    <n v="748000"/>
  </r>
  <r>
    <x v="271"/>
    <x v="5"/>
    <m/>
    <x v="1"/>
    <x v="3"/>
    <x v="154"/>
    <n v="1"/>
    <s v="이그나이트"/>
    <s v="210207"/>
    <m/>
    <n v="34000"/>
  </r>
  <r>
    <x v="271"/>
    <x v="5"/>
    <m/>
    <x v="1"/>
    <x v="0"/>
    <x v="145"/>
    <n v="2"/>
    <s v="이그나이트 2set"/>
    <s v="210207"/>
    <m/>
    <n v="117600"/>
  </r>
  <r>
    <x v="271"/>
    <x v="5"/>
    <m/>
    <x v="1"/>
    <x v="0"/>
    <x v="135"/>
    <n v="6"/>
    <s v="스테이포에버"/>
    <s v="210207"/>
    <m/>
    <n v="204000"/>
  </r>
  <r>
    <x v="271"/>
    <x v="5"/>
    <m/>
    <x v="1"/>
    <x v="0"/>
    <x v="136"/>
    <n v="10"/>
    <s v="스테이포에버 2set"/>
    <s v="210207"/>
    <m/>
    <n v="588000"/>
  </r>
  <r>
    <x v="271"/>
    <x v="5"/>
    <m/>
    <x v="1"/>
    <x v="0"/>
    <x v="137"/>
    <n v="16"/>
    <s v="이그나이트 + 스테이포에버"/>
    <s v="210207"/>
    <m/>
    <n v="940800"/>
  </r>
  <r>
    <x v="271"/>
    <x v="5"/>
    <m/>
    <x v="1"/>
    <x v="0"/>
    <x v="144"/>
    <n v="5"/>
    <s v="이그나이트 + 스테이포에버"/>
    <s v="210207"/>
    <m/>
    <n v="294000"/>
  </r>
  <r>
    <x v="271"/>
    <x v="5"/>
    <m/>
    <x v="1"/>
    <x v="0"/>
    <x v="138"/>
    <n v="250"/>
    <s v="스테이포에버"/>
    <s v="210207"/>
    <m/>
    <n v="8500000"/>
  </r>
  <r>
    <x v="271"/>
    <x v="5"/>
    <m/>
    <x v="1"/>
    <x v="0"/>
    <x v="139"/>
    <n v="147"/>
    <s v="스테이포에버 2set"/>
    <s v="210207"/>
    <m/>
    <n v="8643600"/>
  </r>
  <r>
    <x v="271"/>
    <x v="5"/>
    <m/>
    <x v="1"/>
    <x v="0"/>
    <x v="140"/>
    <n v="6"/>
    <s v="이그나이트 + 스테이포에버"/>
    <s v="210207"/>
    <m/>
    <n v="352800"/>
  </r>
  <r>
    <x v="271"/>
    <x v="5"/>
    <m/>
    <x v="0"/>
    <x v="0"/>
    <x v="0"/>
    <n v="9"/>
    <s v="쇼핑백"/>
    <s v="210207"/>
    <m/>
    <n v="18000"/>
  </r>
  <r>
    <x v="271"/>
    <x v="5"/>
    <m/>
    <x v="1"/>
    <x v="0"/>
    <x v="141"/>
    <n v="3"/>
    <s v="이그나이트"/>
    <s v="210207"/>
    <m/>
    <n v="102000"/>
  </r>
  <r>
    <x v="272"/>
    <x v="6"/>
    <m/>
    <x v="1"/>
    <x v="3"/>
    <x v="150"/>
    <n v="2"/>
    <s v="이그나이트 + 스테이포에버"/>
    <s v="210207"/>
    <m/>
    <n v="117600"/>
  </r>
  <r>
    <x v="272"/>
    <x v="6"/>
    <m/>
    <x v="1"/>
    <x v="3"/>
    <x v="151"/>
    <n v="3"/>
    <s v="스테이포에버 2set"/>
    <s v="210207"/>
    <m/>
    <n v="176400"/>
  </r>
  <r>
    <x v="272"/>
    <x v="6"/>
    <m/>
    <x v="1"/>
    <x v="3"/>
    <x v="152"/>
    <n v="21"/>
    <s v="스테이포에버"/>
    <s v="210207"/>
    <m/>
    <n v="714000"/>
  </r>
  <r>
    <x v="272"/>
    <x v="6"/>
    <m/>
    <x v="1"/>
    <x v="3"/>
    <x v="154"/>
    <n v="1"/>
    <s v="이그나이트"/>
    <s v="210207"/>
    <m/>
    <n v="34000"/>
  </r>
  <r>
    <x v="272"/>
    <x v="6"/>
    <m/>
    <x v="1"/>
    <x v="0"/>
    <x v="135"/>
    <n v="7"/>
    <s v="스테이포에버"/>
    <s v="210207"/>
    <m/>
    <n v="238000"/>
  </r>
  <r>
    <x v="272"/>
    <x v="6"/>
    <m/>
    <x v="1"/>
    <x v="0"/>
    <x v="136"/>
    <n v="15"/>
    <s v="스테이포에버 2set"/>
    <s v="210207"/>
    <m/>
    <n v="882000"/>
  </r>
  <r>
    <x v="272"/>
    <x v="6"/>
    <m/>
    <x v="1"/>
    <x v="0"/>
    <x v="137"/>
    <n v="14"/>
    <s v="이그나이트 + 스테이포에버"/>
    <s v="210207"/>
    <m/>
    <n v="823200"/>
  </r>
  <r>
    <x v="272"/>
    <x v="6"/>
    <m/>
    <x v="1"/>
    <x v="0"/>
    <x v="144"/>
    <n v="4"/>
    <s v="이그나이트 + 스테이포에버"/>
    <s v="210207"/>
    <m/>
    <n v="235200"/>
  </r>
  <r>
    <x v="272"/>
    <x v="6"/>
    <m/>
    <x v="1"/>
    <x v="0"/>
    <x v="138"/>
    <n v="319"/>
    <s v="스테이포에버"/>
    <s v="210207"/>
    <m/>
    <n v="10846000"/>
  </r>
  <r>
    <x v="272"/>
    <x v="6"/>
    <m/>
    <x v="1"/>
    <x v="0"/>
    <x v="139"/>
    <n v="171"/>
    <s v="스테이포에버 2set"/>
    <s v="210207"/>
    <m/>
    <n v="10054800"/>
  </r>
  <r>
    <x v="272"/>
    <x v="6"/>
    <m/>
    <x v="1"/>
    <x v="0"/>
    <x v="140"/>
    <n v="19"/>
    <s v="이그나이트 + 스테이포에버"/>
    <s v="210207"/>
    <m/>
    <n v="1117200"/>
  </r>
  <r>
    <x v="272"/>
    <x v="6"/>
    <m/>
    <x v="0"/>
    <x v="0"/>
    <x v="0"/>
    <n v="7"/>
    <s v="쇼핑백"/>
    <s v="210207"/>
    <m/>
    <n v="14000"/>
  </r>
  <r>
    <x v="272"/>
    <x v="6"/>
    <m/>
    <x v="1"/>
    <x v="0"/>
    <x v="142"/>
    <n v="3"/>
    <s v="이그나이트 2set"/>
    <s v="210207"/>
    <m/>
    <n v="176400"/>
  </r>
  <r>
    <x v="269"/>
    <x v="1"/>
    <s v="네이버 배너"/>
    <x v="1"/>
    <x v="1"/>
    <x v="1"/>
    <m/>
    <m/>
    <m/>
    <n v="1276858.181818182"/>
    <m/>
  </r>
  <r>
    <x v="270"/>
    <x v="2"/>
    <s v="네이버 배너"/>
    <x v="1"/>
    <x v="1"/>
    <x v="1"/>
    <m/>
    <m/>
    <m/>
    <n v="1281479.090909091"/>
    <m/>
  </r>
  <r>
    <x v="271"/>
    <x v="5"/>
    <s v="네이버 배너"/>
    <x v="1"/>
    <x v="1"/>
    <x v="1"/>
    <m/>
    <m/>
    <m/>
    <n v="1349502.727272727"/>
    <m/>
  </r>
  <r>
    <x v="272"/>
    <x v="6"/>
    <s v="네이버 배너"/>
    <x v="1"/>
    <x v="1"/>
    <x v="1"/>
    <m/>
    <m/>
    <m/>
    <n v="1455170"/>
    <m/>
  </r>
  <r>
    <x v="273"/>
    <x v="0"/>
    <s v="페이스북/인스타그램"/>
    <x v="1"/>
    <x v="1"/>
    <x v="1"/>
    <m/>
    <m/>
    <m/>
    <n v="10801"/>
    <m/>
  </r>
  <r>
    <x v="273"/>
    <x v="0"/>
    <s v="페이스북/인스타그램"/>
    <x v="1"/>
    <x v="1"/>
    <x v="1"/>
    <m/>
    <m/>
    <m/>
    <n v="29004"/>
    <m/>
  </r>
  <r>
    <x v="273"/>
    <x v="0"/>
    <s v="페이스북/인스타그램"/>
    <x v="1"/>
    <x v="1"/>
    <x v="1"/>
    <m/>
    <m/>
    <m/>
    <n v="58769"/>
    <m/>
  </r>
  <r>
    <x v="273"/>
    <x v="0"/>
    <s v="페이스북/인스타그램"/>
    <x v="1"/>
    <x v="1"/>
    <x v="1"/>
    <m/>
    <m/>
    <m/>
    <n v="394908"/>
    <m/>
  </r>
  <r>
    <x v="273"/>
    <x v="0"/>
    <s v="페이스북/인스타그램"/>
    <x v="1"/>
    <x v="1"/>
    <x v="1"/>
    <m/>
    <m/>
    <m/>
    <n v="215748"/>
    <m/>
  </r>
  <r>
    <x v="273"/>
    <x v="0"/>
    <s v="페이스북/인스타그램"/>
    <x v="1"/>
    <x v="1"/>
    <x v="1"/>
    <m/>
    <m/>
    <m/>
    <n v="267536"/>
    <m/>
  </r>
  <r>
    <x v="273"/>
    <x v="0"/>
    <s v="페이스북/인스타그램"/>
    <x v="1"/>
    <x v="1"/>
    <x v="1"/>
    <m/>
    <m/>
    <m/>
    <n v="149935"/>
    <m/>
  </r>
  <r>
    <x v="273"/>
    <x v="0"/>
    <s v="페이스북/인스타그램"/>
    <x v="1"/>
    <x v="1"/>
    <x v="1"/>
    <m/>
    <m/>
    <m/>
    <n v="98529"/>
    <m/>
  </r>
  <r>
    <x v="273"/>
    <x v="0"/>
    <s v="페이스북/인스타그램"/>
    <x v="1"/>
    <x v="1"/>
    <x v="1"/>
    <m/>
    <m/>
    <m/>
    <n v="196784"/>
    <m/>
  </r>
  <r>
    <x v="273"/>
    <x v="0"/>
    <s v="페이스북/인스타그램"/>
    <x v="1"/>
    <x v="1"/>
    <x v="1"/>
    <m/>
    <m/>
    <m/>
    <n v="49077"/>
    <m/>
  </r>
  <r>
    <x v="273"/>
    <x v="0"/>
    <s v="페이스북/인스타그램"/>
    <x v="1"/>
    <x v="1"/>
    <x v="1"/>
    <m/>
    <m/>
    <m/>
    <n v="99421"/>
    <m/>
  </r>
  <r>
    <x v="273"/>
    <x v="0"/>
    <s v="페이스북/인스타그램"/>
    <x v="1"/>
    <x v="1"/>
    <x v="1"/>
    <m/>
    <m/>
    <m/>
    <n v="29591"/>
    <m/>
  </r>
  <r>
    <x v="273"/>
    <x v="0"/>
    <s v="페이스북/인스타그램"/>
    <x v="1"/>
    <x v="1"/>
    <x v="1"/>
    <m/>
    <m/>
    <m/>
    <n v="97118"/>
    <m/>
  </r>
  <r>
    <x v="273"/>
    <x v="0"/>
    <s v="페이스북/인스타그램"/>
    <x v="1"/>
    <x v="1"/>
    <x v="1"/>
    <m/>
    <m/>
    <m/>
    <n v="98844"/>
    <m/>
  </r>
  <r>
    <x v="273"/>
    <x v="0"/>
    <s v="페이스북/인스타그램"/>
    <x v="1"/>
    <x v="1"/>
    <x v="1"/>
    <m/>
    <m/>
    <m/>
    <n v="294773"/>
    <m/>
  </r>
  <r>
    <x v="273"/>
    <x v="0"/>
    <s v="페이스북/인스타그램"/>
    <x v="1"/>
    <x v="1"/>
    <x v="1"/>
    <m/>
    <m/>
    <m/>
    <n v="292835"/>
    <m/>
  </r>
  <r>
    <x v="273"/>
    <x v="0"/>
    <s v="페이스북/인스타그램"/>
    <x v="1"/>
    <x v="1"/>
    <x v="1"/>
    <m/>
    <m/>
    <m/>
    <n v="149416"/>
    <m/>
  </r>
  <r>
    <x v="273"/>
    <x v="0"/>
    <s v="페이스북/인스타그램"/>
    <x v="1"/>
    <x v="1"/>
    <x v="1"/>
    <m/>
    <m/>
    <m/>
    <n v="147782"/>
    <m/>
  </r>
  <r>
    <x v="273"/>
    <x v="0"/>
    <s v="페이스북/인스타그램"/>
    <x v="1"/>
    <x v="1"/>
    <x v="1"/>
    <m/>
    <m/>
    <m/>
    <n v="147463"/>
    <m/>
  </r>
  <r>
    <x v="273"/>
    <x v="0"/>
    <s v="유튜브 광고"/>
    <x v="1"/>
    <x v="1"/>
    <x v="1"/>
    <m/>
    <m/>
    <m/>
    <n v="307799"/>
    <m/>
  </r>
  <r>
    <x v="273"/>
    <x v="0"/>
    <s v="유튜브 광고"/>
    <x v="1"/>
    <x v="1"/>
    <x v="1"/>
    <m/>
    <m/>
    <m/>
    <n v="36530"/>
    <m/>
  </r>
  <r>
    <x v="273"/>
    <x v="0"/>
    <s v="유튜브 광고"/>
    <x v="1"/>
    <x v="1"/>
    <x v="1"/>
    <m/>
    <m/>
    <m/>
    <n v="504462"/>
    <m/>
  </r>
  <r>
    <x v="273"/>
    <x v="0"/>
    <s v="유튜브 광고"/>
    <x v="1"/>
    <x v="1"/>
    <x v="1"/>
    <m/>
    <m/>
    <m/>
    <n v="4476"/>
    <m/>
  </r>
  <r>
    <x v="273"/>
    <x v="0"/>
    <s v="유튜브 광고"/>
    <x v="1"/>
    <x v="1"/>
    <x v="1"/>
    <m/>
    <m/>
    <m/>
    <n v="566855"/>
    <m/>
  </r>
  <r>
    <x v="273"/>
    <x v="0"/>
    <s v="유튜브 광고"/>
    <x v="1"/>
    <x v="1"/>
    <x v="1"/>
    <m/>
    <m/>
    <m/>
    <n v="505166"/>
    <m/>
  </r>
  <r>
    <x v="273"/>
    <x v="0"/>
    <s v="유튜브 광고"/>
    <x v="1"/>
    <x v="1"/>
    <x v="1"/>
    <m/>
    <m/>
    <m/>
    <n v="479952"/>
    <m/>
  </r>
  <r>
    <x v="273"/>
    <x v="0"/>
    <s v="유튜브 광고"/>
    <x v="1"/>
    <x v="1"/>
    <x v="1"/>
    <m/>
    <m/>
    <m/>
    <n v="251817"/>
    <m/>
  </r>
  <r>
    <x v="273"/>
    <x v="0"/>
    <s v="유튜브 광고"/>
    <x v="1"/>
    <x v="1"/>
    <x v="1"/>
    <m/>
    <m/>
    <m/>
    <n v="404982"/>
    <m/>
  </r>
  <r>
    <x v="273"/>
    <x v="0"/>
    <s v="네이버 쇼핑검색"/>
    <x v="1"/>
    <x v="1"/>
    <x v="1"/>
    <m/>
    <m/>
    <m/>
    <n v="989.9999999999999"/>
    <m/>
  </r>
  <r>
    <x v="273"/>
    <x v="0"/>
    <s v="네이버 쇼핑검색"/>
    <x v="1"/>
    <x v="1"/>
    <x v="1"/>
    <m/>
    <m/>
    <m/>
    <n v="112330"/>
    <m/>
  </r>
  <r>
    <x v="273"/>
    <x v="0"/>
    <s v="네이버 쇼핑검색"/>
    <x v="1"/>
    <x v="1"/>
    <x v="1"/>
    <m/>
    <m/>
    <m/>
    <n v="2090"/>
    <m/>
  </r>
  <r>
    <x v="273"/>
    <x v="0"/>
    <s v="네이버 브랜드검색"/>
    <x v="3"/>
    <x v="1"/>
    <x v="1"/>
    <m/>
    <m/>
    <m/>
    <n v="0"/>
    <m/>
  </r>
  <r>
    <x v="273"/>
    <x v="0"/>
    <s v="카카오 배너"/>
    <x v="1"/>
    <x v="1"/>
    <x v="1"/>
    <m/>
    <m/>
    <m/>
    <n v="91019.99999999999"/>
    <m/>
  </r>
  <r>
    <x v="273"/>
    <x v="0"/>
    <s v="카카오 배너"/>
    <x v="1"/>
    <x v="1"/>
    <x v="1"/>
    <m/>
    <m/>
    <m/>
    <n v="661520"/>
    <m/>
  </r>
  <r>
    <x v="273"/>
    <x v="0"/>
    <m/>
    <x v="1"/>
    <x v="3"/>
    <x v="150"/>
    <n v="2"/>
    <s v="이그나이트 + 스테이포에버"/>
    <s v="210207"/>
    <m/>
    <n v="117600"/>
  </r>
  <r>
    <x v="273"/>
    <x v="0"/>
    <m/>
    <x v="1"/>
    <x v="3"/>
    <x v="152"/>
    <n v="32"/>
    <s v="스테이포에버"/>
    <s v="210207"/>
    <m/>
    <n v="1088000"/>
  </r>
  <r>
    <x v="273"/>
    <x v="0"/>
    <m/>
    <x v="1"/>
    <x v="2"/>
    <x v="146"/>
    <n v="2"/>
    <s v="이그나이트"/>
    <s v="210207"/>
    <m/>
    <n v="0"/>
  </r>
  <r>
    <x v="273"/>
    <x v="0"/>
    <m/>
    <x v="0"/>
    <x v="0"/>
    <x v="148"/>
    <n v="1"/>
    <s v="쇼핑백"/>
    <s v="210207"/>
    <m/>
    <n v="2000"/>
  </r>
  <r>
    <x v="273"/>
    <x v="0"/>
    <m/>
    <x v="1"/>
    <x v="0"/>
    <x v="134"/>
    <n v="1"/>
    <s v="이그나이트"/>
    <s v="210207"/>
    <m/>
    <n v="34000"/>
  </r>
  <r>
    <x v="273"/>
    <x v="0"/>
    <m/>
    <x v="1"/>
    <x v="0"/>
    <x v="135"/>
    <n v="6"/>
    <s v="스테이포에버"/>
    <s v="210207"/>
    <m/>
    <n v="204000"/>
  </r>
  <r>
    <x v="273"/>
    <x v="0"/>
    <m/>
    <x v="1"/>
    <x v="0"/>
    <x v="136"/>
    <n v="14"/>
    <s v="스테이포에버 2set"/>
    <s v="210207"/>
    <m/>
    <n v="823200"/>
  </r>
  <r>
    <x v="273"/>
    <x v="0"/>
    <m/>
    <x v="1"/>
    <x v="0"/>
    <x v="137"/>
    <n v="17"/>
    <s v="이그나이트 + 스테이포에버"/>
    <s v="210207"/>
    <m/>
    <n v="999600"/>
  </r>
  <r>
    <x v="273"/>
    <x v="0"/>
    <m/>
    <x v="1"/>
    <x v="0"/>
    <x v="138"/>
    <n v="247"/>
    <s v="스테이포에버"/>
    <s v="210207"/>
    <m/>
    <n v="8398000"/>
  </r>
  <r>
    <x v="273"/>
    <x v="0"/>
    <m/>
    <x v="1"/>
    <x v="0"/>
    <x v="139"/>
    <n v="130"/>
    <s v="스테이포에버 2set"/>
    <s v="210207"/>
    <m/>
    <n v="7644000"/>
  </r>
  <r>
    <x v="273"/>
    <x v="0"/>
    <m/>
    <x v="1"/>
    <x v="0"/>
    <x v="140"/>
    <n v="12"/>
    <s v="이그나이트 + 스테이포에버"/>
    <s v="210207"/>
    <m/>
    <n v="705600"/>
  </r>
  <r>
    <x v="273"/>
    <x v="0"/>
    <m/>
    <x v="0"/>
    <x v="0"/>
    <x v="0"/>
    <n v="2"/>
    <s v="쇼핑백"/>
    <s v="210207"/>
    <m/>
    <n v="4000"/>
  </r>
  <r>
    <x v="273"/>
    <x v="0"/>
    <m/>
    <x v="1"/>
    <x v="0"/>
    <x v="141"/>
    <n v="3"/>
    <s v="이그나이트"/>
    <s v="210207"/>
    <m/>
    <n v="102000"/>
  </r>
  <r>
    <x v="273"/>
    <x v="0"/>
    <m/>
    <x v="1"/>
    <x v="0"/>
    <x v="142"/>
    <n v="2"/>
    <s v="이그나이트 2set"/>
    <s v="210207"/>
    <m/>
    <n v="117600"/>
  </r>
  <r>
    <x v="273"/>
    <x v="0"/>
    <s v="네이버 배너"/>
    <x v="1"/>
    <x v="1"/>
    <x v="1"/>
    <m/>
    <m/>
    <m/>
    <n v="1496918.181818182"/>
    <m/>
  </r>
  <r>
    <x v="274"/>
    <x v="3"/>
    <s v="페이스북/인스타그램"/>
    <x v="1"/>
    <x v="1"/>
    <x v="1"/>
    <m/>
    <m/>
    <m/>
    <n v="29992"/>
    <m/>
  </r>
  <r>
    <x v="274"/>
    <x v="3"/>
    <s v="페이스북/인스타그램"/>
    <x v="1"/>
    <x v="1"/>
    <x v="1"/>
    <m/>
    <m/>
    <m/>
    <n v="30363"/>
    <m/>
  </r>
  <r>
    <x v="274"/>
    <x v="3"/>
    <s v="페이스북/인스타그램"/>
    <x v="1"/>
    <x v="1"/>
    <x v="1"/>
    <m/>
    <m/>
    <m/>
    <n v="60115"/>
    <m/>
  </r>
  <r>
    <x v="274"/>
    <x v="3"/>
    <s v="페이스북/인스타그램"/>
    <x v="1"/>
    <x v="1"/>
    <x v="1"/>
    <m/>
    <m/>
    <m/>
    <n v="396413"/>
    <m/>
  </r>
  <r>
    <x v="274"/>
    <x v="3"/>
    <s v="페이스북/인스타그램"/>
    <x v="1"/>
    <x v="1"/>
    <x v="1"/>
    <m/>
    <m/>
    <m/>
    <n v="222481"/>
    <m/>
  </r>
  <r>
    <x v="274"/>
    <x v="3"/>
    <s v="페이스북/인스타그램"/>
    <x v="1"/>
    <x v="1"/>
    <x v="1"/>
    <m/>
    <m/>
    <m/>
    <n v="271083"/>
    <m/>
  </r>
  <r>
    <x v="274"/>
    <x v="3"/>
    <s v="페이스북/인스타그램"/>
    <x v="1"/>
    <x v="1"/>
    <x v="1"/>
    <m/>
    <m/>
    <m/>
    <n v="149993"/>
    <m/>
  </r>
  <r>
    <x v="274"/>
    <x v="3"/>
    <s v="페이스북/인스타그램"/>
    <x v="1"/>
    <x v="1"/>
    <x v="1"/>
    <m/>
    <m/>
    <m/>
    <n v="99687"/>
    <m/>
  </r>
  <r>
    <x v="274"/>
    <x v="3"/>
    <s v="페이스북/인스타그램"/>
    <x v="1"/>
    <x v="1"/>
    <x v="1"/>
    <m/>
    <m/>
    <m/>
    <n v="198946"/>
    <m/>
  </r>
  <r>
    <x v="274"/>
    <x v="3"/>
    <s v="페이스북/인스타그램"/>
    <x v="1"/>
    <x v="1"/>
    <x v="1"/>
    <m/>
    <m/>
    <m/>
    <n v="50072"/>
    <m/>
  </r>
  <r>
    <x v="274"/>
    <x v="3"/>
    <s v="페이스북/인스타그램"/>
    <x v="1"/>
    <x v="1"/>
    <x v="1"/>
    <m/>
    <m/>
    <m/>
    <n v="98358"/>
    <m/>
  </r>
  <r>
    <x v="274"/>
    <x v="3"/>
    <s v="페이스북/인스타그램"/>
    <x v="1"/>
    <x v="1"/>
    <x v="1"/>
    <m/>
    <m/>
    <m/>
    <n v="29806"/>
    <m/>
  </r>
  <r>
    <x v="274"/>
    <x v="3"/>
    <s v="페이스북/인스타그램"/>
    <x v="1"/>
    <x v="1"/>
    <x v="1"/>
    <m/>
    <m/>
    <m/>
    <n v="99699"/>
    <m/>
  </r>
  <r>
    <x v="274"/>
    <x v="3"/>
    <s v="페이스북/인스타그램"/>
    <x v="1"/>
    <x v="1"/>
    <x v="1"/>
    <m/>
    <m/>
    <m/>
    <n v="100664"/>
    <m/>
  </r>
  <r>
    <x v="274"/>
    <x v="3"/>
    <s v="페이스북/인스타그램"/>
    <x v="1"/>
    <x v="1"/>
    <x v="1"/>
    <m/>
    <m/>
    <m/>
    <n v="301881"/>
    <m/>
  </r>
  <r>
    <x v="274"/>
    <x v="3"/>
    <s v="페이스북/인스타그램"/>
    <x v="1"/>
    <x v="1"/>
    <x v="1"/>
    <m/>
    <m/>
    <m/>
    <n v="298581"/>
    <m/>
  </r>
  <r>
    <x v="274"/>
    <x v="3"/>
    <s v="페이스북/인스타그램"/>
    <x v="1"/>
    <x v="1"/>
    <x v="1"/>
    <m/>
    <m/>
    <m/>
    <n v="150361"/>
    <m/>
  </r>
  <r>
    <x v="274"/>
    <x v="3"/>
    <s v="페이스북/인스타그램"/>
    <x v="1"/>
    <x v="1"/>
    <x v="1"/>
    <m/>
    <m/>
    <m/>
    <n v="150742"/>
    <m/>
  </r>
  <r>
    <x v="274"/>
    <x v="3"/>
    <s v="페이스북/인스타그램"/>
    <x v="1"/>
    <x v="1"/>
    <x v="1"/>
    <m/>
    <m/>
    <m/>
    <n v="150608"/>
    <m/>
  </r>
  <r>
    <x v="274"/>
    <x v="3"/>
    <s v="유튜브 광고"/>
    <x v="1"/>
    <x v="1"/>
    <x v="1"/>
    <m/>
    <m/>
    <m/>
    <n v="303532"/>
    <m/>
  </r>
  <r>
    <x v="274"/>
    <x v="3"/>
    <s v="유튜브 광고"/>
    <x v="1"/>
    <x v="1"/>
    <x v="1"/>
    <m/>
    <m/>
    <m/>
    <n v="47594"/>
    <m/>
  </r>
  <r>
    <x v="274"/>
    <x v="3"/>
    <s v="유튜브 광고"/>
    <x v="1"/>
    <x v="1"/>
    <x v="1"/>
    <m/>
    <m/>
    <m/>
    <n v="499076"/>
    <m/>
  </r>
  <r>
    <x v="274"/>
    <x v="3"/>
    <s v="유튜브 광고"/>
    <x v="1"/>
    <x v="1"/>
    <x v="1"/>
    <m/>
    <m/>
    <m/>
    <n v="1330"/>
    <m/>
  </r>
  <r>
    <x v="274"/>
    <x v="3"/>
    <s v="유튜브 광고"/>
    <x v="1"/>
    <x v="1"/>
    <x v="1"/>
    <m/>
    <m/>
    <m/>
    <n v="479110"/>
    <m/>
  </r>
  <r>
    <x v="274"/>
    <x v="3"/>
    <s v="유튜브 광고"/>
    <x v="1"/>
    <x v="1"/>
    <x v="1"/>
    <m/>
    <m/>
    <m/>
    <n v="499048"/>
    <m/>
  </r>
  <r>
    <x v="274"/>
    <x v="3"/>
    <s v="유튜브 광고"/>
    <x v="1"/>
    <x v="1"/>
    <x v="1"/>
    <m/>
    <m/>
    <m/>
    <n v="305968"/>
    <m/>
  </r>
  <r>
    <x v="274"/>
    <x v="3"/>
    <s v="유튜브 광고"/>
    <x v="1"/>
    <x v="1"/>
    <x v="1"/>
    <m/>
    <m/>
    <m/>
    <n v="408008"/>
    <m/>
  </r>
  <r>
    <x v="274"/>
    <x v="3"/>
    <s v="유튜브 광고"/>
    <x v="1"/>
    <x v="1"/>
    <x v="1"/>
    <m/>
    <m/>
    <m/>
    <n v="399175"/>
    <m/>
  </r>
  <r>
    <x v="274"/>
    <x v="3"/>
    <s v="네이버 쇼핑검색"/>
    <x v="1"/>
    <x v="1"/>
    <x v="1"/>
    <m/>
    <m/>
    <m/>
    <n v="3740"/>
    <m/>
  </r>
  <r>
    <x v="274"/>
    <x v="3"/>
    <s v="네이버 쇼핑검색"/>
    <x v="1"/>
    <x v="1"/>
    <x v="1"/>
    <m/>
    <m/>
    <m/>
    <n v="117480"/>
    <m/>
  </r>
  <r>
    <x v="274"/>
    <x v="3"/>
    <s v="네이버 쇼핑검색"/>
    <x v="1"/>
    <x v="1"/>
    <x v="1"/>
    <m/>
    <m/>
    <m/>
    <n v="2270"/>
    <m/>
  </r>
  <r>
    <x v="274"/>
    <x v="3"/>
    <s v="네이버 브랜드검색"/>
    <x v="3"/>
    <x v="1"/>
    <x v="1"/>
    <m/>
    <m/>
    <m/>
    <n v="0"/>
    <m/>
  </r>
  <r>
    <x v="274"/>
    <x v="3"/>
    <s v="카카오 배너"/>
    <x v="1"/>
    <x v="1"/>
    <x v="1"/>
    <m/>
    <m/>
    <m/>
    <n v="91479.99999999999"/>
    <m/>
  </r>
  <r>
    <x v="274"/>
    <x v="3"/>
    <s v="카카오 배너"/>
    <x v="1"/>
    <x v="1"/>
    <x v="1"/>
    <m/>
    <m/>
    <m/>
    <n v="516409.9999999999"/>
    <m/>
  </r>
  <r>
    <x v="274"/>
    <x v="3"/>
    <m/>
    <x v="1"/>
    <x v="4"/>
    <x v="155"/>
    <n v="3"/>
    <s v="스테이포에버"/>
    <s v="210207"/>
    <m/>
    <n v="102000"/>
  </r>
  <r>
    <x v="274"/>
    <x v="3"/>
    <m/>
    <x v="1"/>
    <x v="3"/>
    <x v="153"/>
    <n v="2"/>
    <s v="스테이포에버"/>
    <s v="210207"/>
    <m/>
    <n v="68000"/>
  </r>
  <r>
    <x v="274"/>
    <x v="3"/>
    <m/>
    <x v="1"/>
    <x v="3"/>
    <x v="150"/>
    <n v="3"/>
    <s v="이그나이트 + 스테이포에버"/>
    <s v="210207"/>
    <m/>
    <n v="176400"/>
  </r>
  <r>
    <x v="274"/>
    <x v="3"/>
    <m/>
    <x v="1"/>
    <x v="3"/>
    <x v="156"/>
    <n v="1"/>
    <s v="이그나이트"/>
    <s v="210207"/>
    <m/>
    <n v="34000"/>
  </r>
  <r>
    <x v="274"/>
    <x v="3"/>
    <m/>
    <x v="1"/>
    <x v="3"/>
    <x v="152"/>
    <n v="23"/>
    <s v="스테이포에버"/>
    <s v="210207"/>
    <m/>
    <n v="782000"/>
  </r>
  <r>
    <x v="274"/>
    <x v="3"/>
    <m/>
    <x v="1"/>
    <x v="2"/>
    <x v="146"/>
    <n v="2"/>
    <s v="이그나이트"/>
    <s v="210207"/>
    <m/>
    <n v="0"/>
  </r>
  <r>
    <x v="274"/>
    <x v="3"/>
    <m/>
    <x v="1"/>
    <x v="0"/>
    <x v="134"/>
    <n v="2"/>
    <s v="이그나이트"/>
    <s v="210207"/>
    <m/>
    <n v="68000"/>
  </r>
  <r>
    <x v="274"/>
    <x v="3"/>
    <m/>
    <x v="1"/>
    <x v="0"/>
    <x v="135"/>
    <n v="3"/>
    <s v="스테이포에버"/>
    <s v="210207"/>
    <m/>
    <n v="102000"/>
  </r>
  <r>
    <x v="274"/>
    <x v="3"/>
    <m/>
    <x v="1"/>
    <x v="0"/>
    <x v="136"/>
    <n v="15"/>
    <s v="스테이포에버 2set"/>
    <s v="210207"/>
    <m/>
    <n v="882000"/>
  </r>
  <r>
    <x v="274"/>
    <x v="3"/>
    <m/>
    <x v="1"/>
    <x v="0"/>
    <x v="137"/>
    <n v="19"/>
    <s v="이그나이트 + 스테이포에버"/>
    <s v="210207"/>
    <m/>
    <n v="1117200"/>
  </r>
  <r>
    <x v="274"/>
    <x v="3"/>
    <m/>
    <x v="1"/>
    <x v="0"/>
    <x v="144"/>
    <n v="4"/>
    <s v="이그나이트 + 스테이포에버"/>
    <s v="210207"/>
    <m/>
    <n v="235200"/>
  </r>
  <r>
    <x v="274"/>
    <x v="3"/>
    <m/>
    <x v="1"/>
    <x v="0"/>
    <x v="138"/>
    <n v="240"/>
    <s v="스테이포에버"/>
    <s v="210207"/>
    <m/>
    <n v="8160000"/>
  </r>
  <r>
    <x v="274"/>
    <x v="3"/>
    <m/>
    <x v="1"/>
    <x v="0"/>
    <x v="139"/>
    <n v="173"/>
    <s v="스테이포에버 2set"/>
    <s v="210207"/>
    <m/>
    <n v="10172400"/>
  </r>
  <r>
    <x v="274"/>
    <x v="3"/>
    <m/>
    <x v="1"/>
    <x v="0"/>
    <x v="140"/>
    <n v="12"/>
    <s v="이그나이트 + 스테이포에버"/>
    <s v="210207"/>
    <m/>
    <n v="705600"/>
  </r>
  <r>
    <x v="274"/>
    <x v="3"/>
    <m/>
    <x v="0"/>
    <x v="0"/>
    <x v="0"/>
    <n v="2"/>
    <s v="쇼핑백"/>
    <s v="210207"/>
    <m/>
    <n v="4000"/>
  </r>
  <r>
    <x v="274"/>
    <x v="3"/>
    <m/>
    <x v="1"/>
    <x v="0"/>
    <x v="141"/>
    <n v="3"/>
    <s v="이그나이트"/>
    <s v="210207"/>
    <m/>
    <n v="102000"/>
  </r>
  <r>
    <x v="274"/>
    <x v="3"/>
    <m/>
    <x v="1"/>
    <x v="0"/>
    <x v="142"/>
    <n v="1"/>
    <s v="이그나이트 2set"/>
    <s v="210207"/>
    <m/>
    <n v="58800"/>
  </r>
  <r>
    <x v="274"/>
    <x v="3"/>
    <s v="네이버 배너"/>
    <x v="1"/>
    <x v="1"/>
    <x v="1"/>
    <m/>
    <m/>
    <m/>
    <n v="1331852.727272727"/>
    <m/>
  </r>
  <r>
    <x v="275"/>
    <x v="4"/>
    <s v="페이스북/인스타그램"/>
    <x v="1"/>
    <x v="1"/>
    <x v="1"/>
    <m/>
    <m/>
    <m/>
    <n v="29636"/>
    <m/>
  </r>
  <r>
    <x v="275"/>
    <x v="4"/>
    <s v="페이스북/인스타그램"/>
    <x v="1"/>
    <x v="1"/>
    <x v="1"/>
    <m/>
    <m/>
    <m/>
    <n v="29487"/>
    <m/>
  </r>
  <r>
    <x v="275"/>
    <x v="4"/>
    <s v="페이스북/인스타그램"/>
    <x v="1"/>
    <x v="1"/>
    <x v="1"/>
    <m/>
    <m/>
    <m/>
    <n v="61158"/>
    <m/>
  </r>
  <r>
    <x v="275"/>
    <x v="4"/>
    <s v="페이스북/인스타그램"/>
    <x v="1"/>
    <x v="1"/>
    <x v="1"/>
    <m/>
    <m/>
    <m/>
    <n v="396004"/>
    <m/>
  </r>
  <r>
    <x v="275"/>
    <x v="4"/>
    <s v="페이스북/인스타그램"/>
    <x v="1"/>
    <x v="1"/>
    <x v="1"/>
    <m/>
    <m/>
    <m/>
    <n v="219716"/>
    <m/>
  </r>
  <r>
    <x v="275"/>
    <x v="4"/>
    <s v="페이스북/인스타그램"/>
    <x v="1"/>
    <x v="1"/>
    <x v="1"/>
    <m/>
    <m/>
    <m/>
    <n v="270164"/>
    <m/>
  </r>
  <r>
    <x v="275"/>
    <x v="4"/>
    <s v="페이스북/인스타그램"/>
    <x v="1"/>
    <x v="1"/>
    <x v="1"/>
    <m/>
    <m/>
    <m/>
    <n v="150361"/>
    <m/>
  </r>
  <r>
    <x v="275"/>
    <x v="4"/>
    <s v="페이스북/인스타그램"/>
    <x v="1"/>
    <x v="1"/>
    <x v="1"/>
    <m/>
    <m/>
    <m/>
    <n v="100947"/>
    <m/>
  </r>
  <r>
    <x v="275"/>
    <x v="4"/>
    <s v="페이스북/인스타그램"/>
    <x v="1"/>
    <x v="1"/>
    <x v="1"/>
    <m/>
    <m/>
    <m/>
    <n v="201885"/>
    <m/>
  </r>
  <r>
    <x v="275"/>
    <x v="4"/>
    <s v="페이스북/인스타그램"/>
    <x v="1"/>
    <x v="1"/>
    <x v="1"/>
    <m/>
    <m/>
    <m/>
    <n v="50272"/>
    <m/>
  </r>
  <r>
    <x v="275"/>
    <x v="4"/>
    <s v="페이스북/인스타그램"/>
    <x v="1"/>
    <x v="1"/>
    <x v="1"/>
    <m/>
    <m/>
    <m/>
    <n v="100831"/>
    <m/>
  </r>
  <r>
    <x v="275"/>
    <x v="4"/>
    <s v="페이스북/인스타그램"/>
    <x v="1"/>
    <x v="1"/>
    <x v="1"/>
    <m/>
    <m/>
    <m/>
    <n v="30212"/>
    <m/>
  </r>
  <r>
    <x v="275"/>
    <x v="4"/>
    <s v="페이스북/인스타그램"/>
    <x v="1"/>
    <x v="1"/>
    <x v="1"/>
    <m/>
    <m/>
    <m/>
    <n v="98844"/>
    <m/>
  </r>
  <r>
    <x v="275"/>
    <x v="4"/>
    <s v="페이스북/인스타그램"/>
    <x v="1"/>
    <x v="1"/>
    <x v="1"/>
    <m/>
    <m/>
    <m/>
    <n v="100193"/>
    <m/>
  </r>
  <r>
    <x v="275"/>
    <x v="4"/>
    <s v="페이스북/인스타그램"/>
    <x v="1"/>
    <x v="1"/>
    <x v="1"/>
    <m/>
    <m/>
    <m/>
    <n v="302876"/>
    <m/>
  </r>
  <r>
    <x v="275"/>
    <x v="4"/>
    <s v="페이스북/인스타그램"/>
    <x v="1"/>
    <x v="1"/>
    <x v="1"/>
    <m/>
    <m/>
    <m/>
    <n v="303006"/>
    <m/>
  </r>
  <r>
    <x v="275"/>
    <x v="4"/>
    <s v="페이스북/인스타그램"/>
    <x v="1"/>
    <x v="1"/>
    <x v="1"/>
    <m/>
    <m/>
    <m/>
    <n v="150302"/>
    <m/>
  </r>
  <r>
    <x v="275"/>
    <x v="4"/>
    <s v="페이스북/인스타그램"/>
    <x v="1"/>
    <x v="1"/>
    <x v="1"/>
    <m/>
    <m/>
    <m/>
    <n v="150632"/>
    <m/>
  </r>
  <r>
    <x v="275"/>
    <x v="4"/>
    <s v="페이스북/인스타그램"/>
    <x v="1"/>
    <x v="1"/>
    <x v="1"/>
    <m/>
    <m/>
    <m/>
    <n v="150897"/>
    <m/>
  </r>
  <r>
    <x v="275"/>
    <x v="4"/>
    <s v="유튜브 광고"/>
    <x v="1"/>
    <x v="1"/>
    <x v="1"/>
    <m/>
    <m/>
    <m/>
    <n v="276415"/>
    <m/>
  </r>
  <r>
    <x v="275"/>
    <x v="4"/>
    <s v="유튜브 광고"/>
    <x v="1"/>
    <x v="1"/>
    <x v="1"/>
    <m/>
    <m/>
    <m/>
    <n v="28956"/>
    <m/>
  </r>
  <r>
    <x v="275"/>
    <x v="4"/>
    <s v="유튜브 광고"/>
    <x v="1"/>
    <x v="1"/>
    <x v="1"/>
    <m/>
    <m/>
    <m/>
    <n v="500550"/>
    <m/>
  </r>
  <r>
    <x v="275"/>
    <x v="4"/>
    <s v="유튜브 광고"/>
    <x v="1"/>
    <x v="1"/>
    <x v="1"/>
    <m/>
    <m/>
    <m/>
    <n v="484933"/>
    <m/>
  </r>
  <r>
    <x v="275"/>
    <x v="4"/>
    <s v="유튜브 광고"/>
    <x v="1"/>
    <x v="1"/>
    <x v="1"/>
    <m/>
    <m/>
    <m/>
    <n v="501394"/>
    <m/>
  </r>
  <r>
    <x v="275"/>
    <x v="4"/>
    <s v="유튜브 광고"/>
    <x v="1"/>
    <x v="1"/>
    <x v="1"/>
    <m/>
    <m/>
    <m/>
    <n v="266606"/>
    <m/>
  </r>
  <r>
    <x v="275"/>
    <x v="4"/>
    <s v="유튜브 광고"/>
    <x v="1"/>
    <x v="1"/>
    <x v="1"/>
    <m/>
    <m/>
    <m/>
    <n v="374395"/>
    <m/>
  </r>
  <r>
    <x v="275"/>
    <x v="4"/>
    <s v="유튜브 광고"/>
    <x v="1"/>
    <x v="1"/>
    <x v="1"/>
    <m/>
    <m/>
    <m/>
    <n v="400521"/>
    <m/>
  </r>
  <r>
    <x v="275"/>
    <x v="4"/>
    <s v="유튜브 광고"/>
    <x v="1"/>
    <x v="1"/>
    <x v="1"/>
    <m/>
    <m/>
    <m/>
    <n v="104398"/>
    <m/>
  </r>
  <r>
    <x v="275"/>
    <x v="4"/>
    <s v="유튜브 광고"/>
    <x v="1"/>
    <x v="1"/>
    <x v="1"/>
    <m/>
    <m/>
    <m/>
    <n v="102291"/>
    <m/>
  </r>
  <r>
    <x v="275"/>
    <x v="4"/>
    <s v="네이버 쇼핑검색"/>
    <x v="1"/>
    <x v="1"/>
    <x v="1"/>
    <m/>
    <m/>
    <m/>
    <n v="3750"/>
    <m/>
  </r>
  <r>
    <x v="275"/>
    <x v="4"/>
    <s v="네이버 쇼핑검색"/>
    <x v="1"/>
    <x v="1"/>
    <x v="1"/>
    <m/>
    <m/>
    <m/>
    <n v="95519.99999999999"/>
    <m/>
  </r>
  <r>
    <x v="275"/>
    <x v="4"/>
    <s v="네이버 쇼핑검색"/>
    <x v="1"/>
    <x v="1"/>
    <x v="1"/>
    <m/>
    <m/>
    <m/>
    <n v="3010"/>
    <m/>
  </r>
  <r>
    <x v="275"/>
    <x v="4"/>
    <s v="네이버 브랜드검색"/>
    <x v="3"/>
    <x v="1"/>
    <x v="1"/>
    <m/>
    <m/>
    <m/>
    <n v="0"/>
    <m/>
  </r>
  <r>
    <x v="275"/>
    <x v="4"/>
    <s v="카카오 배너"/>
    <x v="1"/>
    <x v="1"/>
    <x v="1"/>
    <m/>
    <m/>
    <m/>
    <n v="91239.99999999999"/>
    <m/>
  </r>
  <r>
    <x v="275"/>
    <x v="4"/>
    <s v="카카오 배너"/>
    <x v="1"/>
    <x v="1"/>
    <x v="1"/>
    <m/>
    <m/>
    <m/>
    <n v="574800"/>
    <m/>
  </r>
  <r>
    <x v="275"/>
    <x v="4"/>
    <m/>
    <x v="1"/>
    <x v="4"/>
    <x v="155"/>
    <n v="8"/>
    <s v="스테이포에버"/>
    <s v="210207"/>
    <m/>
    <n v="272000"/>
  </r>
  <r>
    <x v="275"/>
    <x v="4"/>
    <m/>
    <x v="1"/>
    <x v="4"/>
    <x v="157"/>
    <n v="4"/>
    <s v="이그나이트 + 스테이포에버"/>
    <s v="210207"/>
    <m/>
    <n v="235200"/>
  </r>
  <r>
    <x v="275"/>
    <x v="4"/>
    <m/>
    <x v="1"/>
    <x v="3"/>
    <x v="153"/>
    <n v="2"/>
    <s v="스테이포에버"/>
    <s v="210207"/>
    <m/>
    <n v="68000"/>
  </r>
  <r>
    <x v="275"/>
    <x v="4"/>
    <m/>
    <x v="1"/>
    <x v="3"/>
    <x v="150"/>
    <n v="3"/>
    <s v="이그나이트 + 스테이포에버"/>
    <s v="210207"/>
    <m/>
    <n v="176400"/>
  </r>
  <r>
    <x v="275"/>
    <x v="4"/>
    <m/>
    <x v="1"/>
    <x v="3"/>
    <x v="151"/>
    <n v="2"/>
    <s v="스테이포에버 2set"/>
    <s v="210207"/>
    <m/>
    <n v="117600"/>
  </r>
  <r>
    <x v="275"/>
    <x v="4"/>
    <m/>
    <x v="1"/>
    <x v="3"/>
    <x v="152"/>
    <n v="28"/>
    <s v="스테이포에버"/>
    <s v="210207"/>
    <m/>
    <n v="952000"/>
  </r>
  <r>
    <x v="275"/>
    <x v="4"/>
    <m/>
    <x v="1"/>
    <x v="3"/>
    <x v="154"/>
    <n v="1"/>
    <s v="이그나이트"/>
    <s v="210207"/>
    <m/>
    <n v="34000"/>
  </r>
  <r>
    <x v="275"/>
    <x v="4"/>
    <m/>
    <x v="1"/>
    <x v="2"/>
    <x v="41"/>
    <n v="2"/>
    <s v="스테이포에버"/>
    <s v="210207"/>
    <m/>
    <n v="0"/>
  </r>
  <r>
    <x v="275"/>
    <x v="4"/>
    <m/>
    <x v="1"/>
    <x v="0"/>
    <x v="134"/>
    <n v="1"/>
    <s v="이그나이트"/>
    <s v="210207"/>
    <m/>
    <n v="34000"/>
  </r>
  <r>
    <x v="275"/>
    <x v="4"/>
    <m/>
    <x v="1"/>
    <x v="0"/>
    <x v="135"/>
    <n v="6"/>
    <s v="스테이포에버"/>
    <s v="210207"/>
    <m/>
    <n v="204000"/>
  </r>
  <r>
    <x v="275"/>
    <x v="4"/>
    <m/>
    <x v="1"/>
    <x v="0"/>
    <x v="136"/>
    <n v="12"/>
    <s v="스테이포에버 2set"/>
    <s v="210207"/>
    <m/>
    <n v="705600"/>
  </r>
  <r>
    <x v="275"/>
    <x v="4"/>
    <m/>
    <x v="1"/>
    <x v="0"/>
    <x v="137"/>
    <n v="17"/>
    <s v="이그나이트 + 스테이포에버"/>
    <s v="210207"/>
    <m/>
    <n v="999600"/>
  </r>
  <r>
    <x v="275"/>
    <x v="4"/>
    <m/>
    <x v="1"/>
    <x v="0"/>
    <x v="144"/>
    <n v="2"/>
    <s v="이그나이트 + 스테이포에버"/>
    <s v="210207"/>
    <m/>
    <n v="117600"/>
  </r>
  <r>
    <x v="275"/>
    <x v="4"/>
    <m/>
    <x v="1"/>
    <x v="0"/>
    <x v="138"/>
    <n v="227"/>
    <s v="스테이포에버"/>
    <s v="210207"/>
    <m/>
    <n v="7718000"/>
  </r>
  <r>
    <x v="275"/>
    <x v="4"/>
    <m/>
    <x v="1"/>
    <x v="0"/>
    <x v="139"/>
    <n v="121"/>
    <s v="스테이포에버 2set"/>
    <s v="210207"/>
    <m/>
    <n v="7114800"/>
  </r>
  <r>
    <x v="275"/>
    <x v="4"/>
    <m/>
    <x v="1"/>
    <x v="0"/>
    <x v="140"/>
    <n v="20"/>
    <s v="이그나이트 + 스테이포에버"/>
    <s v="210207"/>
    <m/>
    <n v="1176000"/>
  </r>
  <r>
    <x v="275"/>
    <x v="4"/>
    <m/>
    <x v="0"/>
    <x v="0"/>
    <x v="0"/>
    <n v="9"/>
    <s v="쇼핑백"/>
    <s v="210207"/>
    <m/>
    <n v="18000"/>
  </r>
  <r>
    <x v="275"/>
    <x v="4"/>
    <m/>
    <x v="1"/>
    <x v="0"/>
    <x v="141"/>
    <n v="3"/>
    <s v="이그나이트"/>
    <s v="210207"/>
    <m/>
    <n v="102000"/>
  </r>
  <r>
    <x v="275"/>
    <x v="4"/>
    <m/>
    <x v="1"/>
    <x v="0"/>
    <x v="142"/>
    <n v="1"/>
    <s v="이그나이트 2set"/>
    <s v="210207"/>
    <m/>
    <n v="58800"/>
  </r>
  <r>
    <x v="275"/>
    <x v="4"/>
    <m/>
    <x v="0"/>
    <x v="0"/>
    <x v="143"/>
    <n v="1"/>
    <s v="쇼핑백"/>
    <s v="210207"/>
    <m/>
    <n v="2000"/>
  </r>
  <r>
    <x v="275"/>
    <x v="4"/>
    <s v="네이버 배너"/>
    <x v="1"/>
    <x v="1"/>
    <x v="1"/>
    <m/>
    <m/>
    <m/>
    <n v="1331852.727272727"/>
    <m/>
  </r>
  <r>
    <x v="276"/>
    <x v="1"/>
    <s v="페이스북/인스타그램"/>
    <x v="1"/>
    <x v="1"/>
    <x v="1"/>
    <m/>
    <m/>
    <m/>
    <n v="59306"/>
    <m/>
  </r>
  <r>
    <x v="276"/>
    <x v="1"/>
    <s v="페이스북/인스타그램"/>
    <x v="1"/>
    <x v="1"/>
    <x v="1"/>
    <m/>
    <m/>
    <m/>
    <n v="30351"/>
    <m/>
  </r>
  <r>
    <x v="276"/>
    <x v="1"/>
    <s v="페이스북/인스타그램"/>
    <x v="1"/>
    <x v="1"/>
    <x v="1"/>
    <m/>
    <m/>
    <m/>
    <n v="58299"/>
    <m/>
  </r>
  <r>
    <x v="276"/>
    <x v="1"/>
    <s v="페이스북/인스타그램"/>
    <x v="1"/>
    <x v="1"/>
    <x v="1"/>
    <m/>
    <m/>
    <m/>
    <n v="288723"/>
    <m/>
  </r>
  <r>
    <x v="276"/>
    <x v="1"/>
    <s v="페이스북/인스타그램"/>
    <x v="1"/>
    <x v="1"/>
    <x v="1"/>
    <m/>
    <m/>
    <m/>
    <n v="196815"/>
    <m/>
  </r>
  <r>
    <x v="276"/>
    <x v="1"/>
    <s v="페이스북/인스타그램"/>
    <x v="1"/>
    <x v="1"/>
    <x v="1"/>
    <m/>
    <m/>
    <m/>
    <n v="266635"/>
    <m/>
  </r>
  <r>
    <x v="276"/>
    <x v="1"/>
    <s v="페이스북/인스타그램"/>
    <x v="1"/>
    <x v="1"/>
    <x v="1"/>
    <m/>
    <m/>
    <m/>
    <n v="147712"/>
    <m/>
  </r>
  <r>
    <x v="276"/>
    <x v="1"/>
    <s v="페이스북/인스타그램"/>
    <x v="1"/>
    <x v="1"/>
    <x v="1"/>
    <m/>
    <m/>
    <m/>
    <n v="97966"/>
    <m/>
  </r>
  <r>
    <x v="276"/>
    <x v="1"/>
    <s v="페이스북/인스타그램"/>
    <x v="1"/>
    <x v="1"/>
    <x v="1"/>
    <m/>
    <m/>
    <m/>
    <n v="195917"/>
    <m/>
  </r>
  <r>
    <x v="276"/>
    <x v="1"/>
    <s v="페이스북/인스타그램"/>
    <x v="1"/>
    <x v="1"/>
    <x v="1"/>
    <m/>
    <m/>
    <m/>
    <n v="49960"/>
    <m/>
  </r>
  <r>
    <x v="276"/>
    <x v="1"/>
    <s v="페이스북/인스타그램"/>
    <x v="1"/>
    <x v="1"/>
    <x v="1"/>
    <m/>
    <m/>
    <m/>
    <n v="97790"/>
    <m/>
  </r>
  <r>
    <x v="276"/>
    <x v="1"/>
    <s v="페이스북/인스타그램"/>
    <x v="1"/>
    <x v="1"/>
    <x v="1"/>
    <m/>
    <m/>
    <m/>
    <n v="29464"/>
    <m/>
  </r>
  <r>
    <x v="276"/>
    <x v="1"/>
    <s v="페이스북/인스타그램"/>
    <x v="1"/>
    <x v="1"/>
    <x v="1"/>
    <m/>
    <m/>
    <m/>
    <n v="69566"/>
    <m/>
  </r>
  <r>
    <x v="276"/>
    <x v="1"/>
    <s v="페이스북/인스타그램"/>
    <x v="1"/>
    <x v="1"/>
    <x v="1"/>
    <m/>
    <m/>
    <m/>
    <n v="97744"/>
    <m/>
  </r>
  <r>
    <x v="276"/>
    <x v="1"/>
    <s v="페이스북/인스타그램"/>
    <x v="1"/>
    <x v="1"/>
    <x v="1"/>
    <m/>
    <m/>
    <m/>
    <n v="294929"/>
    <m/>
  </r>
  <r>
    <x v="276"/>
    <x v="1"/>
    <s v="페이스북/인스타그램"/>
    <x v="1"/>
    <x v="1"/>
    <x v="1"/>
    <m/>
    <m/>
    <m/>
    <n v="297517"/>
    <m/>
  </r>
  <r>
    <x v="276"/>
    <x v="1"/>
    <s v="페이스북/인스타그램"/>
    <x v="1"/>
    <x v="1"/>
    <x v="1"/>
    <m/>
    <m/>
    <m/>
    <n v="147088"/>
    <m/>
  </r>
  <r>
    <x v="276"/>
    <x v="1"/>
    <s v="페이스북/인스타그램"/>
    <x v="1"/>
    <x v="1"/>
    <x v="1"/>
    <m/>
    <m/>
    <m/>
    <n v="146253"/>
    <m/>
  </r>
  <r>
    <x v="276"/>
    <x v="1"/>
    <s v="페이스북/인스타그램"/>
    <x v="1"/>
    <x v="1"/>
    <x v="1"/>
    <m/>
    <m/>
    <m/>
    <n v="148815"/>
    <m/>
  </r>
  <r>
    <x v="277"/>
    <x v="2"/>
    <s v="페이스북/인스타그램"/>
    <x v="1"/>
    <x v="1"/>
    <x v="1"/>
    <m/>
    <m/>
    <m/>
    <n v="61511"/>
    <m/>
  </r>
  <r>
    <x v="277"/>
    <x v="2"/>
    <s v="페이스북/인스타그램"/>
    <x v="1"/>
    <x v="1"/>
    <x v="1"/>
    <m/>
    <m/>
    <m/>
    <n v="30630"/>
    <m/>
  </r>
  <r>
    <x v="277"/>
    <x v="2"/>
    <s v="페이스북/인스타그램"/>
    <x v="1"/>
    <x v="1"/>
    <x v="1"/>
    <m/>
    <m/>
    <m/>
    <n v="60486"/>
    <m/>
  </r>
  <r>
    <x v="277"/>
    <x v="2"/>
    <s v="페이스북/인스타그램"/>
    <x v="1"/>
    <x v="1"/>
    <x v="1"/>
    <m/>
    <m/>
    <m/>
    <n v="273807"/>
    <m/>
  </r>
  <r>
    <x v="277"/>
    <x v="2"/>
    <s v="페이스북/인스타그램"/>
    <x v="1"/>
    <x v="1"/>
    <x v="1"/>
    <m/>
    <m/>
    <m/>
    <n v="201820"/>
    <m/>
  </r>
  <r>
    <x v="277"/>
    <x v="2"/>
    <s v="페이스북/인스타그램"/>
    <x v="1"/>
    <x v="1"/>
    <x v="1"/>
    <m/>
    <m/>
    <m/>
    <n v="271560"/>
    <m/>
  </r>
  <r>
    <x v="277"/>
    <x v="2"/>
    <s v="페이스북/인스타그램"/>
    <x v="1"/>
    <x v="1"/>
    <x v="1"/>
    <m/>
    <m/>
    <m/>
    <n v="151095"/>
    <m/>
  </r>
  <r>
    <x v="277"/>
    <x v="2"/>
    <s v="페이스북/인스타그램"/>
    <x v="1"/>
    <x v="1"/>
    <x v="1"/>
    <m/>
    <m/>
    <m/>
    <n v="101624"/>
    <m/>
  </r>
  <r>
    <x v="277"/>
    <x v="2"/>
    <s v="페이스북/인스타그램"/>
    <x v="1"/>
    <x v="1"/>
    <x v="1"/>
    <m/>
    <m/>
    <m/>
    <n v="204005"/>
    <m/>
  </r>
  <r>
    <x v="277"/>
    <x v="2"/>
    <s v="페이스북/인스타그램"/>
    <x v="1"/>
    <x v="1"/>
    <x v="1"/>
    <m/>
    <m/>
    <m/>
    <n v="49494"/>
    <m/>
  </r>
  <r>
    <x v="277"/>
    <x v="2"/>
    <s v="페이스북/인스타그램"/>
    <x v="1"/>
    <x v="1"/>
    <x v="1"/>
    <m/>
    <m/>
    <m/>
    <n v="102106"/>
    <m/>
  </r>
  <r>
    <x v="277"/>
    <x v="2"/>
    <s v="페이스북/인스타그램"/>
    <x v="1"/>
    <x v="1"/>
    <x v="1"/>
    <m/>
    <m/>
    <m/>
    <n v="30576"/>
    <m/>
  </r>
  <r>
    <x v="277"/>
    <x v="2"/>
    <s v="페이스북/인스타그램"/>
    <x v="1"/>
    <x v="1"/>
    <x v="1"/>
    <m/>
    <m/>
    <m/>
    <n v="71291"/>
    <m/>
  </r>
  <r>
    <x v="277"/>
    <x v="2"/>
    <s v="페이스북/인스타그램"/>
    <x v="1"/>
    <x v="1"/>
    <x v="1"/>
    <m/>
    <m/>
    <m/>
    <n v="100887"/>
    <m/>
  </r>
  <r>
    <x v="277"/>
    <x v="2"/>
    <s v="페이스북/인스타그램"/>
    <x v="1"/>
    <x v="1"/>
    <x v="1"/>
    <m/>
    <m/>
    <m/>
    <n v="300533"/>
    <m/>
  </r>
  <r>
    <x v="277"/>
    <x v="2"/>
    <s v="페이스북/인스타그램"/>
    <x v="1"/>
    <x v="1"/>
    <x v="1"/>
    <m/>
    <m/>
    <m/>
    <n v="306871"/>
    <m/>
  </r>
  <r>
    <x v="277"/>
    <x v="2"/>
    <s v="페이스북/인스타그램"/>
    <x v="1"/>
    <x v="1"/>
    <x v="1"/>
    <m/>
    <m/>
    <m/>
    <n v="151911"/>
    <m/>
  </r>
  <r>
    <x v="277"/>
    <x v="2"/>
    <s v="페이스북/인스타그램"/>
    <x v="1"/>
    <x v="1"/>
    <x v="1"/>
    <m/>
    <m/>
    <m/>
    <n v="153971"/>
    <m/>
  </r>
  <r>
    <x v="277"/>
    <x v="2"/>
    <s v="페이스북/인스타그램"/>
    <x v="1"/>
    <x v="1"/>
    <x v="1"/>
    <m/>
    <m/>
    <m/>
    <n v="150873"/>
    <m/>
  </r>
  <r>
    <x v="278"/>
    <x v="5"/>
    <s v="페이스북/인스타그램"/>
    <x v="1"/>
    <x v="1"/>
    <x v="1"/>
    <m/>
    <m/>
    <m/>
    <n v="60611"/>
    <m/>
  </r>
  <r>
    <x v="278"/>
    <x v="5"/>
    <s v="페이스북/인스타그램"/>
    <x v="1"/>
    <x v="1"/>
    <x v="1"/>
    <m/>
    <m/>
    <m/>
    <n v="30384"/>
    <m/>
  </r>
  <r>
    <x v="278"/>
    <x v="5"/>
    <s v="페이스북/인스타그램"/>
    <x v="1"/>
    <x v="1"/>
    <x v="1"/>
    <m/>
    <m/>
    <m/>
    <n v="60533"/>
    <m/>
  </r>
  <r>
    <x v="278"/>
    <x v="5"/>
    <s v="페이스북/인스타그램"/>
    <x v="1"/>
    <x v="1"/>
    <x v="1"/>
    <m/>
    <m/>
    <m/>
    <n v="300518"/>
    <m/>
  </r>
  <r>
    <x v="278"/>
    <x v="5"/>
    <s v="페이스북/인스타그램"/>
    <x v="1"/>
    <x v="1"/>
    <x v="1"/>
    <m/>
    <m/>
    <m/>
    <n v="166854"/>
    <m/>
  </r>
  <r>
    <x v="278"/>
    <x v="5"/>
    <s v="페이스북/인스타그램"/>
    <x v="1"/>
    <x v="1"/>
    <x v="1"/>
    <m/>
    <m/>
    <m/>
    <n v="271090"/>
    <m/>
  </r>
  <r>
    <x v="278"/>
    <x v="5"/>
    <s v="페이스북/인스타그램"/>
    <x v="1"/>
    <x v="1"/>
    <x v="1"/>
    <m/>
    <m/>
    <m/>
    <n v="150383"/>
    <m/>
  </r>
  <r>
    <x v="278"/>
    <x v="5"/>
    <s v="페이스북/인스타그램"/>
    <x v="1"/>
    <x v="1"/>
    <x v="1"/>
    <m/>
    <m/>
    <m/>
    <n v="100489"/>
    <m/>
  </r>
  <r>
    <x v="278"/>
    <x v="5"/>
    <s v="페이스북/인스타그램"/>
    <x v="1"/>
    <x v="1"/>
    <x v="1"/>
    <m/>
    <m/>
    <m/>
    <n v="200502"/>
    <m/>
  </r>
  <r>
    <x v="278"/>
    <x v="5"/>
    <s v="페이스북/인스타그램"/>
    <x v="1"/>
    <x v="1"/>
    <x v="1"/>
    <m/>
    <m/>
    <m/>
    <n v="50353"/>
    <m/>
  </r>
  <r>
    <x v="278"/>
    <x v="5"/>
    <s v="페이스북/인스타그램"/>
    <x v="1"/>
    <x v="1"/>
    <x v="1"/>
    <m/>
    <m/>
    <m/>
    <n v="100403"/>
    <m/>
  </r>
  <r>
    <x v="278"/>
    <x v="5"/>
    <s v="페이스북/인스타그램"/>
    <x v="1"/>
    <x v="1"/>
    <x v="1"/>
    <m/>
    <m/>
    <m/>
    <n v="30270"/>
    <m/>
  </r>
  <r>
    <x v="278"/>
    <x v="5"/>
    <s v="페이스북/인스타그램"/>
    <x v="1"/>
    <x v="1"/>
    <x v="1"/>
    <m/>
    <m/>
    <m/>
    <n v="70244"/>
    <m/>
  </r>
  <r>
    <x v="278"/>
    <x v="5"/>
    <s v="페이스북/인스타그램"/>
    <x v="1"/>
    <x v="1"/>
    <x v="1"/>
    <m/>
    <m/>
    <m/>
    <n v="101688"/>
    <m/>
  </r>
  <r>
    <x v="278"/>
    <x v="5"/>
    <s v="페이스북/인스타그램"/>
    <x v="1"/>
    <x v="1"/>
    <x v="1"/>
    <m/>
    <m/>
    <m/>
    <n v="302242"/>
    <m/>
  </r>
  <r>
    <x v="278"/>
    <x v="5"/>
    <s v="페이스북/인스타그램"/>
    <x v="1"/>
    <x v="1"/>
    <x v="1"/>
    <m/>
    <m/>
    <m/>
    <n v="300540"/>
    <m/>
  </r>
  <r>
    <x v="278"/>
    <x v="5"/>
    <s v="페이스북/인스타그램"/>
    <x v="1"/>
    <x v="1"/>
    <x v="1"/>
    <m/>
    <m/>
    <m/>
    <n v="150651"/>
    <m/>
  </r>
  <r>
    <x v="278"/>
    <x v="5"/>
    <s v="페이스북/인스타그램"/>
    <x v="1"/>
    <x v="1"/>
    <x v="1"/>
    <m/>
    <m/>
    <m/>
    <n v="151278"/>
    <m/>
  </r>
  <r>
    <x v="278"/>
    <x v="5"/>
    <s v="페이스북/인스타그램"/>
    <x v="1"/>
    <x v="1"/>
    <x v="1"/>
    <m/>
    <m/>
    <m/>
    <n v="150600"/>
    <m/>
  </r>
  <r>
    <x v="276"/>
    <x v="1"/>
    <s v="유튜브 광고"/>
    <x v="1"/>
    <x v="1"/>
    <x v="1"/>
    <m/>
    <m/>
    <m/>
    <n v="276745"/>
    <m/>
  </r>
  <r>
    <x v="276"/>
    <x v="1"/>
    <s v="유튜브 광고"/>
    <x v="1"/>
    <x v="1"/>
    <x v="1"/>
    <m/>
    <m/>
    <m/>
    <n v="28114"/>
    <m/>
  </r>
  <r>
    <x v="276"/>
    <x v="1"/>
    <s v="유튜브 광고"/>
    <x v="1"/>
    <x v="1"/>
    <x v="1"/>
    <m/>
    <m/>
    <m/>
    <n v="487085"/>
    <m/>
  </r>
  <r>
    <x v="276"/>
    <x v="1"/>
    <s v="유튜브 광고"/>
    <x v="1"/>
    <x v="1"/>
    <x v="1"/>
    <m/>
    <m/>
    <m/>
    <n v="320276"/>
    <m/>
  </r>
  <r>
    <x v="276"/>
    <x v="1"/>
    <s v="유튜브 광고"/>
    <x v="1"/>
    <x v="1"/>
    <x v="1"/>
    <m/>
    <m/>
    <m/>
    <n v="487955"/>
    <m/>
  </r>
  <r>
    <x v="276"/>
    <x v="1"/>
    <s v="유튜브 광고"/>
    <x v="1"/>
    <x v="1"/>
    <x v="1"/>
    <m/>
    <m/>
    <m/>
    <n v="208366"/>
    <m/>
  </r>
  <r>
    <x v="276"/>
    <x v="1"/>
    <s v="유튜브 광고"/>
    <x v="1"/>
    <x v="1"/>
    <x v="1"/>
    <m/>
    <m/>
    <m/>
    <n v="411119"/>
    <m/>
  </r>
  <r>
    <x v="276"/>
    <x v="1"/>
    <s v="유튜브 광고"/>
    <x v="1"/>
    <x v="1"/>
    <x v="1"/>
    <m/>
    <m/>
    <m/>
    <n v="389505"/>
    <m/>
  </r>
  <r>
    <x v="276"/>
    <x v="1"/>
    <s v="유튜브 광고"/>
    <x v="1"/>
    <x v="1"/>
    <x v="1"/>
    <m/>
    <m/>
    <m/>
    <n v="99591"/>
    <m/>
  </r>
  <r>
    <x v="276"/>
    <x v="1"/>
    <s v="유튜브 광고"/>
    <x v="1"/>
    <x v="1"/>
    <x v="1"/>
    <m/>
    <m/>
    <m/>
    <n v="99877"/>
    <m/>
  </r>
  <r>
    <x v="277"/>
    <x v="2"/>
    <s v="유튜브 광고"/>
    <x v="1"/>
    <x v="1"/>
    <x v="1"/>
    <m/>
    <m/>
    <m/>
    <n v="192885"/>
    <m/>
  </r>
  <r>
    <x v="277"/>
    <x v="2"/>
    <s v="유튜브 광고"/>
    <x v="1"/>
    <x v="1"/>
    <x v="1"/>
    <m/>
    <m/>
    <m/>
    <n v="27536"/>
    <m/>
  </r>
  <r>
    <x v="277"/>
    <x v="2"/>
    <s v="유튜브 광고"/>
    <x v="1"/>
    <x v="1"/>
    <x v="1"/>
    <m/>
    <m/>
    <m/>
    <n v="488972"/>
    <m/>
  </r>
  <r>
    <x v="277"/>
    <x v="2"/>
    <s v="유튜브 광고"/>
    <x v="1"/>
    <x v="1"/>
    <x v="1"/>
    <m/>
    <m/>
    <m/>
    <n v="492622"/>
    <m/>
  </r>
  <r>
    <x v="277"/>
    <x v="2"/>
    <s v="유튜브 광고"/>
    <x v="1"/>
    <x v="1"/>
    <x v="1"/>
    <m/>
    <m/>
    <m/>
    <n v="488181"/>
    <m/>
  </r>
  <r>
    <x v="277"/>
    <x v="2"/>
    <s v="유튜브 광고"/>
    <x v="1"/>
    <x v="1"/>
    <x v="1"/>
    <m/>
    <m/>
    <m/>
    <n v="180097"/>
    <m/>
  </r>
  <r>
    <x v="277"/>
    <x v="2"/>
    <s v="유튜브 광고"/>
    <x v="1"/>
    <x v="1"/>
    <x v="1"/>
    <m/>
    <m/>
    <m/>
    <n v="384286"/>
    <m/>
  </r>
  <r>
    <x v="277"/>
    <x v="2"/>
    <s v="유튜브 광고"/>
    <x v="1"/>
    <x v="1"/>
    <x v="1"/>
    <m/>
    <m/>
    <m/>
    <n v="391370"/>
    <m/>
  </r>
  <r>
    <x v="277"/>
    <x v="2"/>
    <s v="유튜브 광고"/>
    <x v="1"/>
    <x v="1"/>
    <x v="1"/>
    <m/>
    <m/>
    <m/>
    <n v="99798"/>
    <m/>
  </r>
  <r>
    <x v="277"/>
    <x v="2"/>
    <s v="유튜브 광고"/>
    <x v="1"/>
    <x v="1"/>
    <x v="1"/>
    <m/>
    <m/>
    <m/>
    <n v="100017"/>
    <m/>
  </r>
  <r>
    <x v="278"/>
    <x v="5"/>
    <s v="유튜브 광고"/>
    <x v="1"/>
    <x v="1"/>
    <x v="1"/>
    <m/>
    <m/>
    <m/>
    <n v="160123"/>
    <m/>
  </r>
  <r>
    <x v="278"/>
    <x v="5"/>
    <s v="유튜브 광고"/>
    <x v="1"/>
    <x v="1"/>
    <x v="1"/>
    <m/>
    <m/>
    <m/>
    <n v="25064"/>
    <m/>
  </r>
  <r>
    <x v="278"/>
    <x v="5"/>
    <s v="유튜브 광고"/>
    <x v="1"/>
    <x v="1"/>
    <x v="1"/>
    <m/>
    <m/>
    <m/>
    <n v="491099"/>
    <m/>
  </r>
  <r>
    <x v="278"/>
    <x v="5"/>
    <s v="유튜브 광고"/>
    <x v="1"/>
    <x v="1"/>
    <x v="1"/>
    <m/>
    <m/>
    <m/>
    <n v="490264"/>
    <m/>
  </r>
  <r>
    <x v="278"/>
    <x v="5"/>
    <s v="유튜브 광고"/>
    <x v="1"/>
    <x v="1"/>
    <x v="1"/>
    <m/>
    <m/>
    <m/>
    <n v="488616"/>
    <m/>
  </r>
  <r>
    <x v="278"/>
    <x v="5"/>
    <s v="유튜브 광고"/>
    <x v="1"/>
    <x v="1"/>
    <x v="1"/>
    <m/>
    <m/>
    <m/>
    <n v="106307"/>
    <m/>
  </r>
  <r>
    <x v="278"/>
    <x v="5"/>
    <s v="유튜브 광고"/>
    <x v="1"/>
    <x v="1"/>
    <x v="1"/>
    <m/>
    <m/>
    <m/>
    <n v="299087"/>
    <m/>
  </r>
  <r>
    <x v="278"/>
    <x v="5"/>
    <s v="유튜브 광고"/>
    <x v="1"/>
    <x v="1"/>
    <x v="1"/>
    <m/>
    <m/>
    <m/>
    <n v="295110"/>
    <m/>
  </r>
  <r>
    <x v="278"/>
    <x v="5"/>
    <s v="유튜브 광고"/>
    <x v="1"/>
    <x v="1"/>
    <x v="1"/>
    <m/>
    <m/>
    <m/>
    <n v="99851"/>
    <m/>
  </r>
  <r>
    <x v="278"/>
    <x v="5"/>
    <s v="유튜브 광고"/>
    <x v="1"/>
    <x v="1"/>
    <x v="1"/>
    <m/>
    <m/>
    <m/>
    <n v="250064"/>
    <m/>
  </r>
  <r>
    <x v="278"/>
    <x v="5"/>
    <s v="네이버 쇼핑검색"/>
    <x v="1"/>
    <x v="1"/>
    <x v="1"/>
    <m/>
    <m/>
    <m/>
    <n v="2400"/>
    <m/>
  </r>
  <r>
    <x v="278"/>
    <x v="5"/>
    <s v="네이버 쇼핑검색"/>
    <x v="1"/>
    <x v="1"/>
    <x v="1"/>
    <m/>
    <m/>
    <m/>
    <n v="128610"/>
    <m/>
  </r>
  <r>
    <x v="278"/>
    <x v="5"/>
    <s v="네이버 쇼핑검색"/>
    <x v="1"/>
    <x v="1"/>
    <x v="1"/>
    <m/>
    <m/>
    <m/>
    <n v="2450"/>
    <m/>
  </r>
  <r>
    <x v="278"/>
    <x v="5"/>
    <s v="네이버 브랜드검색"/>
    <x v="3"/>
    <x v="1"/>
    <x v="1"/>
    <m/>
    <m/>
    <m/>
    <n v="0"/>
    <m/>
  </r>
  <r>
    <x v="277"/>
    <x v="2"/>
    <s v="네이버 쇼핑검색"/>
    <x v="1"/>
    <x v="1"/>
    <x v="1"/>
    <m/>
    <m/>
    <m/>
    <n v="1930"/>
    <m/>
  </r>
  <r>
    <x v="277"/>
    <x v="2"/>
    <s v="네이버 쇼핑검색"/>
    <x v="1"/>
    <x v="1"/>
    <x v="1"/>
    <m/>
    <m/>
    <m/>
    <n v="130940"/>
    <m/>
  </r>
  <r>
    <x v="277"/>
    <x v="2"/>
    <s v="네이버 쇼핑검색"/>
    <x v="1"/>
    <x v="1"/>
    <x v="1"/>
    <m/>
    <m/>
    <m/>
    <n v="2800"/>
    <m/>
  </r>
  <r>
    <x v="277"/>
    <x v="2"/>
    <s v="네이버 브랜드검색"/>
    <x v="3"/>
    <x v="1"/>
    <x v="1"/>
    <m/>
    <m/>
    <m/>
    <n v="0"/>
    <m/>
  </r>
  <r>
    <x v="276"/>
    <x v="1"/>
    <s v="네이버 쇼핑검색"/>
    <x v="1"/>
    <x v="1"/>
    <x v="1"/>
    <m/>
    <m/>
    <m/>
    <n v="4480"/>
    <m/>
  </r>
  <r>
    <x v="276"/>
    <x v="1"/>
    <s v="네이버 쇼핑검색"/>
    <x v="1"/>
    <x v="1"/>
    <x v="1"/>
    <m/>
    <m/>
    <m/>
    <n v="116720"/>
    <m/>
  </r>
  <r>
    <x v="276"/>
    <x v="1"/>
    <s v="네이버 쇼핑검색"/>
    <x v="1"/>
    <x v="1"/>
    <x v="1"/>
    <m/>
    <m/>
    <m/>
    <n v="1750"/>
    <m/>
  </r>
  <r>
    <x v="276"/>
    <x v="1"/>
    <s v="네이버 브랜드검색"/>
    <x v="3"/>
    <x v="1"/>
    <x v="1"/>
    <m/>
    <m/>
    <m/>
    <n v="0"/>
    <m/>
  </r>
  <r>
    <x v="276"/>
    <x v="1"/>
    <m/>
    <x v="4"/>
    <x v="4"/>
    <x v="158"/>
    <n v="1"/>
    <s v="0"/>
    <s v="210101"/>
    <m/>
    <n v="0"/>
  </r>
  <r>
    <x v="276"/>
    <x v="1"/>
    <m/>
    <x v="1"/>
    <x v="4"/>
    <x v="155"/>
    <n v="8"/>
    <s v="스테이포에버"/>
    <s v="210101"/>
    <m/>
    <n v="0"/>
  </r>
  <r>
    <x v="276"/>
    <x v="1"/>
    <m/>
    <x v="1"/>
    <x v="4"/>
    <x v="157"/>
    <n v="1"/>
    <s v="이그나이트 + 스테이포에버"/>
    <s v="210101"/>
    <m/>
    <n v="0"/>
  </r>
  <r>
    <x v="276"/>
    <x v="1"/>
    <m/>
    <x v="1"/>
    <x v="3"/>
    <x v="150"/>
    <n v="2"/>
    <s v="이그나이트 + 스테이포에버"/>
    <s v="210101"/>
    <m/>
    <n v="0"/>
  </r>
  <r>
    <x v="276"/>
    <x v="1"/>
    <m/>
    <x v="1"/>
    <x v="3"/>
    <x v="151"/>
    <n v="3"/>
    <s v="스테이포에버 2set"/>
    <s v="210101"/>
    <m/>
    <n v="0"/>
  </r>
  <r>
    <x v="276"/>
    <x v="1"/>
    <m/>
    <x v="4"/>
    <x v="3"/>
    <x v="159"/>
    <n v="1"/>
    <s v="0"/>
    <s v="210101"/>
    <m/>
    <n v="0"/>
  </r>
  <r>
    <x v="276"/>
    <x v="1"/>
    <m/>
    <x v="1"/>
    <x v="3"/>
    <x v="152"/>
    <n v="16"/>
    <s v="스테이포에버"/>
    <s v="210101"/>
    <m/>
    <n v="0"/>
  </r>
  <r>
    <x v="276"/>
    <x v="1"/>
    <m/>
    <x v="1"/>
    <x v="3"/>
    <x v="154"/>
    <n v="1"/>
    <s v="이그나이트"/>
    <s v="210101"/>
    <m/>
    <n v="0"/>
  </r>
  <r>
    <x v="276"/>
    <x v="1"/>
    <m/>
    <x v="0"/>
    <x v="0"/>
    <x v="148"/>
    <n v="1"/>
    <s v="쇼핑백"/>
    <s v="210101"/>
    <m/>
    <n v="0"/>
  </r>
  <r>
    <x v="276"/>
    <x v="1"/>
    <m/>
    <x v="1"/>
    <x v="0"/>
    <x v="134"/>
    <n v="2"/>
    <s v="이그나이트"/>
    <s v="210101"/>
    <m/>
    <n v="0"/>
  </r>
  <r>
    <x v="276"/>
    <x v="1"/>
    <m/>
    <x v="1"/>
    <x v="0"/>
    <x v="145"/>
    <n v="2"/>
    <s v="이그나이트 2set"/>
    <s v="210101"/>
    <m/>
    <n v="0"/>
  </r>
  <r>
    <x v="276"/>
    <x v="1"/>
    <m/>
    <x v="1"/>
    <x v="0"/>
    <x v="135"/>
    <n v="6"/>
    <s v="스테이포에버"/>
    <s v="210101"/>
    <m/>
    <n v="0"/>
  </r>
  <r>
    <x v="276"/>
    <x v="1"/>
    <m/>
    <x v="1"/>
    <x v="0"/>
    <x v="136"/>
    <n v="5"/>
    <s v="스테이포에버 2set"/>
    <s v="210101"/>
    <m/>
    <n v="0"/>
  </r>
  <r>
    <x v="276"/>
    <x v="1"/>
    <m/>
    <x v="1"/>
    <x v="0"/>
    <x v="137"/>
    <n v="12"/>
    <s v="이그나이트 + 스테이포에버"/>
    <s v="210101"/>
    <m/>
    <n v="0"/>
  </r>
  <r>
    <x v="276"/>
    <x v="1"/>
    <m/>
    <x v="1"/>
    <x v="0"/>
    <x v="144"/>
    <n v="1"/>
    <s v="이그나이트 + 스테이포에버"/>
    <s v="210101"/>
    <m/>
    <n v="0"/>
  </r>
  <r>
    <x v="276"/>
    <x v="1"/>
    <m/>
    <x v="1"/>
    <x v="0"/>
    <x v="138"/>
    <n v="203"/>
    <s v="스테이포에버"/>
    <s v="210101"/>
    <m/>
    <n v="0"/>
  </r>
  <r>
    <x v="276"/>
    <x v="1"/>
    <m/>
    <x v="1"/>
    <x v="0"/>
    <x v="139"/>
    <n v="135"/>
    <s v="스테이포에버 2set"/>
    <s v="210101"/>
    <m/>
    <n v="0"/>
  </r>
  <r>
    <x v="276"/>
    <x v="1"/>
    <m/>
    <x v="1"/>
    <x v="0"/>
    <x v="140"/>
    <n v="18"/>
    <s v="이그나이트 + 스테이포에버"/>
    <s v="210101"/>
    <m/>
    <n v="0"/>
  </r>
  <r>
    <x v="276"/>
    <x v="1"/>
    <m/>
    <x v="0"/>
    <x v="0"/>
    <x v="0"/>
    <n v="6"/>
    <s v="쇼핑백"/>
    <s v="210101"/>
    <m/>
    <n v="0"/>
  </r>
  <r>
    <x v="276"/>
    <x v="1"/>
    <m/>
    <x v="1"/>
    <x v="0"/>
    <x v="141"/>
    <n v="4"/>
    <s v="이그나이트"/>
    <s v="210101"/>
    <m/>
    <n v="0"/>
  </r>
  <r>
    <x v="276"/>
    <x v="1"/>
    <m/>
    <x v="1"/>
    <x v="0"/>
    <x v="142"/>
    <n v="2"/>
    <s v="이그나이트 2set"/>
    <s v="210101"/>
    <m/>
    <n v="0"/>
  </r>
  <r>
    <x v="277"/>
    <x v="2"/>
    <m/>
    <x v="1"/>
    <x v="3"/>
    <x v="150"/>
    <n v="2"/>
    <s v="이그나이트 + 스테이포에버"/>
    <s v="210101"/>
    <m/>
    <n v="0"/>
  </r>
  <r>
    <x v="277"/>
    <x v="2"/>
    <m/>
    <x v="1"/>
    <x v="3"/>
    <x v="151"/>
    <n v="4"/>
    <s v="스테이포에버 2set"/>
    <s v="210101"/>
    <m/>
    <n v="0"/>
  </r>
  <r>
    <x v="277"/>
    <x v="2"/>
    <m/>
    <x v="4"/>
    <x v="3"/>
    <x v="159"/>
    <n v="1"/>
    <s v="0"/>
    <s v="210101"/>
    <m/>
    <n v="0"/>
  </r>
  <r>
    <x v="277"/>
    <x v="2"/>
    <m/>
    <x v="1"/>
    <x v="3"/>
    <x v="152"/>
    <n v="21"/>
    <s v="스테이포에버"/>
    <s v="210101"/>
    <m/>
    <n v="0"/>
  </r>
  <r>
    <x v="277"/>
    <x v="2"/>
    <m/>
    <x v="1"/>
    <x v="0"/>
    <x v="145"/>
    <n v="1"/>
    <s v="이그나이트 2set"/>
    <s v="210101"/>
    <m/>
    <n v="0"/>
  </r>
  <r>
    <x v="277"/>
    <x v="2"/>
    <m/>
    <x v="1"/>
    <x v="0"/>
    <x v="135"/>
    <n v="6"/>
    <s v="스테이포에버"/>
    <s v="210101"/>
    <m/>
    <n v="0"/>
  </r>
  <r>
    <x v="277"/>
    <x v="2"/>
    <m/>
    <x v="1"/>
    <x v="0"/>
    <x v="136"/>
    <n v="10"/>
    <s v="스테이포에버 2set"/>
    <s v="210101"/>
    <m/>
    <n v="0"/>
  </r>
  <r>
    <x v="277"/>
    <x v="2"/>
    <m/>
    <x v="1"/>
    <x v="0"/>
    <x v="137"/>
    <n v="14"/>
    <s v="이그나이트 + 스테이포에버"/>
    <s v="210101"/>
    <m/>
    <n v="0"/>
  </r>
  <r>
    <x v="277"/>
    <x v="2"/>
    <m/>
    <x v="1"/>
    <x v="0"/>
    <x v="144"/>
    <n v="2"/>
    <s v="이그나이트 + 스테이포에버"/>
    <s v="210101"/>
    <m/>
    <n v="0"/>
  </r>
  <r>
    <x v="277"/>
    <x v="2"/>
    <m/>
    <x v="1"/>
    <x v="0"/>
    <x v="138"/>
    <n v="266"/>
    <s v="스테이포에버"/>
    <s v="210101"/>
    <m/>
    <n v="0"/>
  </r>
  <r>
    <x v="277"/>
    <x v="2"/>
    <m/>
    <x v="1"/>
    <x v="0"/>
    <x v="139"/>
    <n v="148"/>
    <s v="스테이포에버 2set"/>
    <s v="210101"/>
    <m/>
    <n v="0"/>
  </r>
  <r>
    <x v="277"/>
    <x v="2"/>
    <m/>
    <x v="1"/>
    <x v="0"/>
    <x v="140"/>
    <n v="20"/>
    <s v="이그나이트 + 스테이포에버"/>
    <s v="210101"/>
    <m/>
    <n v="0"/>
  </r>
  <r>
    <x v="277"/>
    <x v="2"/>
    <m/>
    <x v="0"/>
    <x v="0"/>
    <x v="0"/>
    <n v="10"/>
    <s v="쇼핑백"/>
    <s v="210101"/>
    <m/>
    <n v="0"/>
  </r>
  <r>
    <x v="277"/>
    <x v="2"/>
    <m/>
    <x v="1"/>
    <x v="0"/>
    <x v="141"/>
    <n v="2"/>
    <s v="이그나이트"/>
    <s v="210101"/>
    <m/>
    <n v="0"/>
  </r>
  <r>
    <x v="277"/>
    <x v="2"/>
    <m/>
    <x v="1"/>
    <x v="0"/>
    <x v="142"/>
    <n v="1"/>
    <s v="이그나이트 2set"/>
    <s v="210101"/>
    <m/>
    <n v="0"/>
  </r>
  <r>
    <x v="276"/>
    <x v="1"/>
    <s v="네이버 배너"/>
    <x v="1"/>
    <x v="1"/>
    <x v="1"/>
    <m/>
    <m/>
    <m/>
    <n v="1331852.727272727"/>
    <m/>
  </r>
  <r>
    <x v="277"/>
    <x v="2"/>
    <s v="네이버 배너"/>
    <x v="1"/>
    <x v="1"/>
    <x v="1"/>
    <m/>
    <m/>
    <m/>
    <n v="1331852.727272727"/>
    <m/>
  </r>
  <r>
    <x v="278"/>
    <x v="5"/>
    <s v="네이버 배너"/>
    <x v="1"/>
    <x v="1"/>
    <x v="1"/>
    <m/>
    <m/>
    <m/>
    <n v="1331852.727272727"/>
    <m/>
  </r>
  <r>
    <x v="276"/>
    <x v="1"/>
    <s v="카카오 배너"/>
    <x v="1"/>
    <x v="1"/>
    <x v="1"/>
    <m/>
    <m/>
    <m/>
    <n v="91139.99999999999"/>
    <m/>
  </r>
  <r>
    <x v="276"/>
    <x v="1"/>
    <s v="카카오 배너"/>
    <x v="1"/>
    <x v="1"/>
    <x v="1"/>
    <m/>
    <m/>
    <m/>
    <n v="2208230"/>
    <m/>
  </r>
  <r>
    <x v="277"/>
    <x v="2"/>
    <s v="카카오 배너"/>
    <x v="1"/>
    <x v="1"/>
    <x v="1"/>
    <m/>
    <m/>
    <m/>
    <n v="91329.99999999999"/>
    <m/>
  </r>
  <r>
    <x v="277"/>
    <x v="2"/>
    <s v="카카오 배너"/>
    <x v="1"/>
    <x v="1"/>
    <x v="1"/>
    <m/>
    <m/>
    <m/>
    <n v="2277130"/>
    <m/>
  </r>
  <r>
    <x v="278"/>
    <x v="5"/>
    <s v="카카오 배너"/>
    <x v="1"/>
    <x v="1"/>
    <x v="1"/>
    <m/>
    <m/>
    <m/>
    <n v="91099.99999999999"/>
    <m/>
  </r>
  <r>
    <x v="278"/>
    <x v="5"/>
    <s v="카카오 배너"/>
    <x v="1"/>
    <x v="1"/>
    <x v="1"/>
    <m/>
    <m/>
    <m/>
    <n v="2277770"/>
    <m/>
  </r>
  <r>
    <x v="279"/>
    <x v="0"/>
    <s v="페이스북/인스타그램"/>
    <x v="1"/>
    <x v="1"/>
    <x v="1"/>
    <m/>
    <m/>
    <m/>
    <n v="10801"/>
    <m/>
  </r>
  <r>
    <x v="279"/>
    <x v="0"/>
    <s v="페이스북/인스타그램"/>
    <x v="1"/>
    <x v="1"/>
    <x v="1"/>
    <m/>
    <m/>
    <m/>
    <n v="29007"/>
    <m/>
  </r>
  <r>
    <x v="279"/>
    <x v="0"/>
    <s v="페이스북/인스타그램"/>
    <x v="1"/>
    <x v="1"/>
    <x v="1"/>
    <m/>
    <m/>
    <m/>
    <n v="58868"/>
    <m/>
  </r>
  <r>
    <x v="279"/>
    <x v="0"/>
    <s v="페이스북/인스타그램"/>
    <x v="1"/>
    <x v="1"/>
    <x v="1"/>
    <m/>
    <m/>
    <m/>
    <n v="394937"/>
    <m/>
  </r>
  <r>
    <x v="279"/>
    <x v="0"/>
    <s v="페이스북/인스타그램"/>
    <x v="1"/>
    <x v="1"/>
    <x v="1"/>
    <m/>
    <m/>
    <m/>
    <n v="215802"/>
    <m/>
  </r>
  <r>
    <x v="279"/>
    <x v="0"/>
    <s v="페이스북/인스타그램"/>
    <x v="1"/>
    <x v="1"/>
    <x v="1"/>
    <m/>
    <m/>
    <m/>
    <n v="267589"/>
    <m/>
  </r>
  <r>
    <x v="279"/>
    <x v="0"/>
    <s v="페이스북/인스타그램"/>
    <x v="1"/>
    <x v="1"/>
    <x v="1"/>
    <m/>
    <m/>
    <m/>
    <n v="150031"/>
    <m/>
  </r>
  <r>
    <x v="279"/>
    <x v="0"/>
    <s v="페이스북/인스타그램"/>
    <x v="1"/>
    <x v="1"/>
    <x v="1"/>
    <m/>
    <m/>
    <m/>
    <n v="98680"/>
    <m/>
  </r>
  <r>
    <x v="279"/>
    <x v="0"/>
    <s v="페이스북/인스타그램"/>
    <x v="1"/>
    <x v="1"/>
    <x v="1"/>
    <m/>
    <m/>
    <m/>
    <n v="196820"/>
    <m/>
  </r>
  <r>
    <x v="279"/>
    <x v="0"/>
    <s v="페이스북/인스타그램"/>
    <x v="1"/>
    <x v="1"/>
    <x v="1"/>
    <m/>
    <m/>
    <m/>
    <n v="49077"/>
    <m/>
  </r>
  <r>
    <x v="279"/>
    <x v="0"/>
    <s v="페이스북/인스타그램"/>
    <x v="1"/>
    <x v="1"/>
    <x v="1"/>
    <m/>
    <m/>
    <m/>
    <n v="99481"/>
    <m/>
  </r>
  <r>
    <x v="279"/>
    <x v="0"/>
    <s v="페이스북/인스타그램"/>
    <x v="1"/>
    <x v="1"/>
    <x v="1"/>
    <m/>
    <m/>
    <m/>
    <n v="29591"/>
    <m/>
  </r>
  <r>
    <x v="279"/>
    <x v="0"/>
    <s v="페이스북/인스타그램"/>
    <x v="1"/>
    <x v="1"/>
    <x v="1"/>
    <m/>
    <m/>
    <m/>
    <n v="97118"/>
    <m/>
  </r>
  <r>
    <x v="279"/>
    <x v="0"/>
    <s v="페이스북/인스타그램"/>
    <x v="1"/>
    <x v="1"/>
    <x v="1"/>
    <m/>
    <m/>
    <m/>
    <n v="98934"/>
    <m/>
  </r>
  <r>
    <x v="279"/>
    <x v="0"/>
    <s v="페이스북/인스타그램"/>
    <x v="1"/>
    <x v="1"/>
    <x v="1"/>
    <m/>
    <m/>
    <m/>
    <n v="294889"/>
    <m/>
  </r>
  <r>
    <x v="279"/>
    <x v="0"/>
    <s v="페이스북/인스타그램"/>
    <x v="1"/>
    <x v="1"/>
    <x v="1"/>
    <m/>
    <m/>
    <m/>
    <n v="292944"/>
    <m/>
  </r>
  <r>
    <x v="279"/>
    <x v="0"/>
    <s v="페이스북/인스타그램"/>
    <x v="1"/>
    <x v="1"/>
    <x v="1"/>
    <m/>
    <m/>
    <m/>
    <n v="149416"/>
    <m/>
  </r>
  <r>
    <x v="279"/>
    <x v="0"/>
    <s v="페이스북/인스타그램"/>
    <x v="1"/>
    <x v="1"/>
    <x v="1"/>
    <m/>
    <m/>
    <m/>
    <n v="147785"/>
    <m/>
  </r>
  <r>
    <x v="279"/>
    <x v="0"/>
    <s v="페이스북/인스타그램"/>
    <x v="1"/>
    <x v="1"/>
    <x v="1"/>
    <m/>
    <m/>
    <m/>
    <n v="147493"/>
    <m/>
  </r>
  <r>
    <x v="280"/>
    <x v="3"/>
    <s v="페이스북/인스타그램"/>
    <x v="1"/>
    <x v="1"/>
    <x v="1"/>
    <m/>
    <m/>
    <m/>
    <n v="30016"/>
    <m/>
  </r>
  <r>
    <x v="280"/>
    <x v="3"/>
    <s v="페이스북/인스타그램"/>
    <x v="1"/>
    <x v="1"/>
    <x v="1"/>
    <m/>
    <m/>
    <m/>
    <n v="30368"/>
    <m/>
  </r>
  <r>
    <x v="280"/>
    <x v="3"/>
    <s v="페이스북/인스타그램"/>
    <x v="1"/>
    <x v="1"/>
    <x v="1"/>
    <m/>
    <m/>
    <m/>
    <n v="60543"/>
    <m/>
  </r>
  <r>
    <x v="280"/>
    <x v="3"/>
    <s v="페이스북/인스타그램"/>
    <x v="1"/>
    <x v="1"/>
    <x v="1"/>
    <m/>
    <m/>
    <m/>
    <n v="396510"/>
    <m/>
  </r>
  <r>
    <x v="280"/>
    <x v="3"/>
    <s v="페이스북/인스타그램"/>
    <x v="1"/>
    <x v="1"/>
    <x v="1"/>
    <m/>
    <m/>
    <m/>
    <n v="222750"/>
    <m/>
  </r>
  <r>
    <x v="280"/>
    <x v="3"/>
    <s v="페이스북/인스타그램"/>
    <x v="1"/>
    <x v="1"/>
    <x v="1"/>
    <m/>
    <m/>
    <m/>
    <n v="271379"/>
    <m/>
  </r>
  <r>
    <x v="280"/>
    <x v="3"/>
    <s v="페이스북/인스타그램"/>
    <x v="1"/>
    <x v="1"/>
    <x v="1"/>
    <m/>
    <m/>
    <m/>
    <n v="149993"/>
    <m/>
  </r>
  <r>
    <x v="280"/>
    <x v="3"/>
    <s v="페이스북/인스타그램"/>
    <x v="1"/>
    <x v="1"/>
    <x v="1"/>
    <m/>
    <m/>
    <m/>
    <n v="99694"/>
    <m/>
  </r>
  <r>
    <x v="280"/>
    <x v="3"/>
    <s v="페이스북/인스타그램"/>
    <x v="1"/>
    <x v="1"/>
    <x v="1"/>
    <m/>
    <m/>
    <m/>
    <n v="199284"/>
    <m/>
  </r>
  <r>
    <x v="280"/>
    <x v="3"/>
    <s v="페이스북/인스타그램"/>
    <x v="1"/>
    <x v="1"/>
    <x v="1"/>
    <m/>
    <m/>
    <m/>
    <n v="50111"/>
    <m/>
  </r>
  <r>
    <x v="280"/>
    <x v="3"/>
    <s v="페이스북/인스타그램"/>
    <x v="1"/>
    <x v="1"/>
    <x v="1"/>
    <m/>
    <m/>
    <m/>
    <n v="98358"/>
    <m/>
  </r>
  <r>
    <x v="280"/>
    <x v="3"/>
    <s v="페이스북/인스타그램"/>
    <x v="1"/>
    <x v="1"/>
    <x v="1"/>
    <m/>
    <m/>
    <m/>
    <n v="29806"/>
    <m/>
  </r>
  <r>
    <x v="280"/>
    <x v="3"/>
    <s v="페이스북/인스타그램"/>
    <x v="1"/>
    <x v="1"/>
    <x v="1"/>
    <m/>
    <m/>
    <m/>
    <n v="99725"/>
    <m/>
  </r>
  <r>
    <x v="280"/>
    <x v="3"/>
    <s v="페이스북/인스타그램"/>
    <x v="1"/>
    <x v="1"/>
    <x v="1"/>
    <m/>
    <m/>
    <m/>
    <n v="100777"/>
    <m/>
  </r>
  <r>
    <x v="280"/>
    <x v="3"/>
    <s v="페이스북/인스타그램"/>
    <x v="1"/>
    <x v="1"/>
    <x v="1"/>
    <m/>
    <m/>
    <m/>
    <n v="302220"/>
    <m/>
  </r>
  <r>
    <x v="280"/>
    <x v="3"/>
    <s v="페이스북/인스타그램"/>
    <x v="1"/>
    <x v="1"/>
    <x v="1"/>
    <m/>
    <m/>
    <m/>
    <n v="298610"/>
    <m/>
  </r>
  <r>
    <x v="280"/>
    <x v="3"/>
    <s v="페이스북/인스타그램"/>
    <x v="1"/>
    <x v="1"/>
    <x v="1"/>
    <m/>
    <m/>
    <m/>
    <n v="150407"/>
    <m/>
  </r>
  <r>
    <x v="280"/>
    <x v="3"/>
    <s v="페이스북/인스타그램"/>
    <x v="1"/>
    <x v="1"/>
    <x v="1"/>
    <m/>
    <m/>
    <m/>
    <n v="150786"/>
    <m/>
  </r>
  <r>
    <x v="280"/>
    <x v="3"/>
    <s v="페이스북/인스타그램"/>
    <x v="1"/>
    <x v="1"/>
    <x v="1"/>
    <m/>
    <m/>
    <m/>
    <n v="150691"/>
    <m/>
  </r>
  <r>
    <x v="281"/>
    <x v="4"/>
    <s v="페이스북/인스타그램"/>
    <x v="1"/>
    <x v="1"/>
    <x v="1"/>
    <m/>
    <m/>
    <m/>
    <n v="29698"/>
    <m/>
  </r>
  <r>
    <x v="281"/>
    <x v="4"/>
    <s v="페이스북/인스타그램"/>
    <x v="1"/>
    <x v="1"/>
    <x v="1"/>
    <m/>
    <m/>
    <m/>
    <n v="29487"/>
    <m/>
  </r>
  <r>
    <x v="281"/>
    <x v="4"/>
    <s v="페이스북/인스타그램"/>
    <x v="1"/>
    <x v="1"/>
    <x v="1"/>
    <m/>
    <m/>
    <m/>
    <n v="61177"/>
    <m/>
  </r>
  <r>
    <x v="281"/>
    <x v="4"/>
    <s v="페이스북/인스타그램"/>
    <x v="1"/>
    <x v="1"/>
    <x v="1"/>
    <m/>
    <m/>
    <m/>
    <n v="396076"/>
    <m/>
  </r>
  <r>
    <x v="281"/>
    <x v="4"/>
    <s v="페이스북/인스타그램"/>
    <x v="1"/>
    <x v="1"/>
    <x v="1"/>
    <m/>
    <m/>
    <m/>
    <n v="219925"/>
    <m/>
  </r>
  <r>
    <x v="281"/>
    <x v="4"/>
    <s v="페이스북/인스타그램"/>
    <x v="1"/>
    <x v="1"/>
    <x v="1"/>
    <m/>
    <m/>
    <m/>
    <n v="270193"/>
    <m/>
  </r>
  <r>
    <x v="281"/>
    <x v="4"/>
    <s v="페이스북/인스타그램"/>
    <x v="1"/>
    <x v="1"/>
    <x v="1"/>
    <m/>
    <m/>
    <m/>
    <n v="150361"/>
    <m/>
  </r>
  <r>
    <x v="281"/>
    <x v="4"/>
    <s v="페이스북/인스타그램"/>
    <x v="1"/>
    <x v="1"/>
    <x v="1"/>
    <m/>
    <m/>
    <m/>
    <n v="101039"/>
    <m/>
  </r>
  <r>
    <x v="281"/>
    <x v="4"/>
    <s v="페이스북/인스타그램"/>
    <x v="1"/>
    <x v="1"/>
    <x v="1"/>
    <m/>
    <m/>
    <m/>
    <n v="202079"/>
    <m/>
  </r>
  <r>
    <x v="281"/>
    <x v="4"/>
    <s v="페이스북/인스타그램"/>
    <x v="1"/>
    <x v="1"/>
    <x v="1"/>
    <m/>
    <m/>
    <m/>
    <n v="50272"/>
    <m/>
  </r>
  <r>
    <x v="281"/>
    <x v="4"/>
    <s v="페이스북/인스타그램"/>
    <x v="1"/>
    <x v="1"/>
    <x v="1"/>
    <m/>
    <m/>
    <m/>
    <n v="100831"/>
    <m/>
  </r>
  <r>
    <x v="281"/>
    <x v="4"/>
    <s v="페이스북/인스타그램"/>
    <x v="1"/>
    <x v="1"/>
    <x v="1"/>
    <m/>
    <m/>
    <m/>
    <n v="30212"/>
    <m/>
  </r>
  <r>
    <x v="281"/>
    <x v="4"/>
    <s v="페이스북/인스타그램"/>
    <x v="1"/>
    <x v="1"/>
    <x v="1"/>
    <m/>
    <m/>
    <m/>
    <n v="98855"/>
    <m/>
  </r>
  <r>
    <x v="281"/>
    <x v="4"/>
    <s v="페이스북/인스타그램"/>
    <x v="1"/>
    <x v="1"/>
    <x v="1"/>
    <m/>
    <m/>
    <m/>
    <n v="100205"/>
    <m/>
  </r>
  <r>
    <x v="281"/>
    <x v="4"/>
    <s v="페이스북/인스타그램"/>
    <x v="1"/>
    <x v="1"/>
    <x v="1"/>
    <m/>
    <m/>
    <m/>
    <n v="303082"/>
    <m/>
  </r>
  <r>
    <x v="281"/>
    <x v="4"/>
    <s v="페이스북/인스타그램"/>
    <x v="1"/>
    <x v="1"/>
    <x v="1"/>
    <m/>
    <m/>
    <m/>
    <n v="303025"/>
    <m/>
  </r>
  <r>
    <x v="281"/>
    <x v="4"/>
    <s v="페이스북/인스타그램"/>
    <x v="1"/>
    <x v="1"/>
    <x v="1"/>
    <m/>
    <m/>
    <m/>
    <n v="150302"/>
    <m/>
  </r>
  <r>
    <x v="281"/>
    <x v="4"/>
    <s v="페이스북/인스타그램"/>
    <x v="1"/>
    <x v="1"/>
    <x v="1"/>
    <m/>
    <m/>
    <m/>
    <n v="150646"/>
    <m/>
  </r>
  <r>
    <x v="281"/>
    <x v="4"/>
    <s v="페이스북/인스타그램"/>
    <x v="1"/>
    <x v="1"/>
    <x v="1"/>
    <m/>
    <m/>
    <m/>
    <n v="150948"/>
    <m/>
  </r>
  <r>
    <x v="282"/>
    <x v="1"/>
    <s v="페이스북/인스타그램"/>
    <x v="1"/>
    <x v="1"/>
    <x v="1"/>
    <m/>
    <m/>
    <m/>
    <n v="59306"/>
    <m/>
  </r>
  <r>
    <x v="282"/>
    <x v="1"/>
    <s v="페이스북/인스타그램"/>
    <x v="1"/>
    <x v="1"/>
    <x v="1"/>
    <m/>
    <m/>
    <m/>
    <n v="30351"/>
    <m/>
  </r>
  <r>
    <x v="282"/>
    <x v="1"/>
    <s v="페이스북/인스타그램"/>
    <x v="1"/>
    <x v="1"/>
    <x v="1"/>
    <m/>
    <m/>
    <m/>
    <n v="58299"/>
    <m/>
  </r>
  <r>
    <x v="282"/>
    <x v="1"/>
    <s v="페이스북/인스타그램"/>
    <x v="1"/>
    <x v="1"/>
    <x v="1"/>
    <m/>
    <m/>
    <m/>
    <n v="288723"/>
    <m/>
  </r>
  <r>
    <x v="282"/>
    <x v="1"/>
    <s v="페이스북/인스타그램"/>
    <x v="1"/>
    <x v="1"/>
    <x v="1"/>
    <m/>
    <m/>
    <m/>
    <n v="196815"/>
    <m/>
  </r>
  <r>
    <x v="282"/>
    <x v="1"/>
    <s v="페이스북/인스타그램"/>
    <x v="1"/>
    <x v="1"/>
    <x v="1"/>
    <m/>
    <m/>
    <m/>
    <n v="266635"/>
    <m/>
  </r>
  <r>
    <x v="282"/>
    <x v="1"/>
    <s v="페이스북/인스타그램"/>
    <x v="1"/>
    <x v="1"/>
    <x v="1"/>
    <m/>
    <m/>
    <m/>
    <n v="147712"/>
    <m/>
  </r>
  <r>
    <x v="282"/>
    <x v="1"/>
    <s v="페이스북/인스타그램"/>
    <x v="1"/>
    <x v="1"/>
    <x v="1"/>
    <m/>
    <m/>
    <m/>
    <n v="97966"/>
    <m/>
  </r>
  <r>
    <x v="282"/>
    <x v="1"/>
    <s v="페이스북/인스타그램"/>
    <x v="1"/>
    <x v="1"/>
    <x v="1"/>
    <m/>
    <m/>
    <m/>
    <n v="195917"/>
    <m/>
  </r>
  <r>
    <x v="282"/>
    <x v="1"/>
    <s v="페이스북/인스타그램"/>
    <x v="1"/>
    <x v="1"/>
    <x v="1"/>
    <m/>
    <m/>
    <m/>
    <n v="49960"/>
    <m/>
  </r>
  <r>
    <x v="282"/>
    <x v="1"/>
    <s v="페이스북/인스타그램"/>
    <x v="1"/>
    <x v="1"/>
    <x v="1"/>
    <m/>
    <m/>
    <m/>
    <n v="97790"/>
    <m/>
  </r>
  <r>
    <x v="282"/>
    <x v="1"/>
    <s v="페이스북/인스타그램"/>
    <x v="1"/>
    <x v="1"/>
    <x v="1"/>
    <m/>
    <m/>
    <m/>
    <n v="29464"/>
    <m/>
  </r>
  <r>
    <x v="282"/>
    <x v="1"/>
    <s v="페이스북/인스타그램"/>
    <x v="1"/>
    <x v="1"/>
    <x v="1"/>
    <m/>
    <m/>
    <m/>
    <n v="69566"/>
    <m/>
  </r>
  <r>
    <x v="282"/>
    <x v="1"/>
    <s v="페이스북/인스타그램"/>
    <x v="1"/>
    <x v="1"/>
    <x v="1"/>
    <m/>
    <m/>
    <m/>
    <n v="97744"/>
    <m/>
  </r>
  <r>
    <x v="282"/>
    <x v="1"/>
    <s v="페이스북/인스타그램"/>
    <x v="1"/>
    <x v="1"/>
    <x v="1"/>
    <m/>
    <m/>
    <m/>
    <n v="294929"/>
    <m/>
  </r>
  <r>
    <x v="282"/>
    <x v="1"/>
    <s v="페이스북/인스타그램"/>
    <x v="1"/>
    <x v="1"/>
    <x v="1"/>
    <m/>
    <m/>
    <m/>
    <n v="297517"/>
    <m/>
  </r>
  <r>
    <x v="282"/>
    <x v="1"/>
    <s v="페이스북/인스타그램"/>
    <x v="1"/>
    <x v="1"/>
    <x v="1"/>
    <m/>
    <m/>
    <m/>
    <n v="147088"/>
    <m/>
  </r>
  <r>
    <x v="282"/>
    <x v="1"/>
    <s v="페이스북/인스타그램"/>
    <x v="1"/>
    <x v="1"/>
    <x v="1"/>
    <m/>
    <m/>
    <m/>
    <n v="146253"/>
    <m/>
  </r>
  <r>
    <x v="282"/>
    <x v="1"/>
    <s v="페이스북/인스타그램"/>
    <x v="1"/>
    <x v="1"/>
    <x v="1"/>
    <m/>
    <m/>
    <m/>
    <n v="148815"/>
    <m/>
  </r>
  <r>
    <x v="283"/>
    <x v="2"/>
    <s v="페이스북/인스타그램"/>
    <x v="1"/>
    <x v="1"/>
    <x v="1"/>
    <m/>
    <m/>
    <m/>
    <n v="61511"/>
    <m/>
  </r>
  <r>
    <x v="283"/>
    <x v="2"/>
    <s v="페이스북/인스타그램"/>
    <x v="1"/>
    <x v="1"/>
    <x v="1"/>
    <m/>
    <m/>
    <m/>
    <n v="30630"/>
    <m/>
  </r>
  <r>
    <x v="283"/>
    <x v="2"/>
    <s v="페이스북/인스타그램"/>
    <x v="1"/>
    <x v="1"/>
    <x v="1"/>
    <m/>
    <m/>
    <m/>
    <n v="60486"/>
    <m/>
  </r>
  <r>
    <x v="283"/>
    <x v="2"/>
    <s v="페이스북/인스타그램"/>
    <x v="1"/>
    <x v="1"/>
    <x v="1"/>
    <m/>
    <m/>
    <m/>
    <n v="273807"/>
    <m/>
  </r>
  <r>
    <x v="283"/>
    <x v="2"/>
    <s v="페이스북/인스타그램"/>
    <x v="1"/>
    <x v="1"/>
    <x v="1"/>
    <m/>
    <m/>
    <m/>
    <n v="201820"/>
    <m/>
  </r>
  <r>
    <x v="283"/>
    <x v="2"/>
    <s v="페이스북/인스타그램"/>
    <x v="1"/>
    <x v="1"/>
    <x v="1"/>
    <m/>
    <m/>
    <m/>
    <n v="271560"/>
    <m/>
  </r>
  <r>
    <x v="283"/>
    <x v="2"/>
    <s v="페이스북/인스타그램"/>
    <x v="1"/>
    <x v="1"/>
    <x v="1"/>
    <m/>
    <m/>
    <m/>
    <n v="151095"/>
    <m/>
  </r>
  <r>
    <x v="283"/>
    <x v="2"/>
    <s v="페이스북/인스타그램"/>
    <x v="1"/>
    <x v="1"/>
    <x v="1"/>
    <m/>
    <m/>
    <m/>
    <n v="101624"/>
    <m/>
  </r>
  <r>
    <x v="283"/>
    <x v="2"/>
    <s v="페이스북/인스타그램"/>
    <x v="1"/>
    <x v="1"/>
    <x v="1"/>
    <m/>
    <m/>
    <m/>
    <n v="204005"/>
    <m/>
  </r>
  <r>
    <x v="283"/>
    <x v="2"/>
    <s v="페이스북/인스타그램"/>
    <x v="1"/>
    <x v="1"/>
    <x v="1"/>
    <m/>
    <m/>
    <m/>
    <n v="49494"/>
    <m/>
  </r>
  <r>
    <x v="283"/>
    <x v="2"/>
    <s v="페이스북/인스타그램"/>
    <x v="1"/>
    <x v="1"/>
    <x v="1"/>
    <m/>
    <m/>
    <m/>
    <n v="102106"/>
    <m/>
  </r>
  <r>
    <x v="283"/>
    <x v="2"/>
    <s v="페이스북/인스타그램"/>
    <x v="1"/>
    <x v="1"/>
    <x v="1"/>
    <m/>
    <m/>
    <m/>
    <n v="30576"/>
    <m/>
  </r>
  <r>
    <x v="283"/>
    <x v="2"/>
    <s v="페이스북/인스타그램"/>
    <x v="1"/>
    <x v="1"/>
    <x v="1"/>
    <m/>
    <m/>
    <m/>
    <n v="71291"/>
    <m/>
  </r>
  <r>
    <x v="283"/>
    <x v="2"/>
    <s v="페이스북/인스타그램"/>
    <x v="1"/>
    <x v="1"/>
    <x v="1"/>
    <m/>
    <m/>
    <m/>
    <n v="100887"/>
    <m/>
  </r>
  <r>
    <x v="283"/>
    <x v="2"/>
    <s v="페이스북/인스타그램"/>
    <x v="1"/>
    <x v="1"/>
    <x v="1"/>
    <m/>
    <m/>
    <m/>
    <n v="300533"/>
    <m/>
  </r>
  <r>
    <x v="283"/>
    <x v="2"/>
    <s v="페이스북/인스타그램"/>
    <x v="1"/>
    <x v="1"/>
    <x v="1"/>
    <m/>
    <m/>
    <m/>
    <n v="306871"/>
    <m/>
  </r>
  <r>
    <x v="283"/>
    <x v="2"/>
    <s v="페이스북/인스타그램"/>
    <x v="1"/>
    <x v="1"/>
    <x v="1"/>
    <m/>
    <m/>
    <m/>
    <n v="151911"/>
    <m/>
  </r>
  <r>
    <x v="283"/>
    <x v="2"/>
    <s v="페이스북/인스타그램"/>
    <x v="1"/>
    <x v="1"/>
    <x v="1"/>
    <m/>
    <m/>
    <m/>
    <n v="153971"/>
    <m/>
  </r>
  <r>
    <x v="283"/>
    <x v="2"/>
    <s v="페이스북/인스타그램"/>
    <x v="1"/>
    <x v="1"/>
    <x v="1"/>
    <m/>
    <m/>
    <m/>
    <n v="150873"/>
    <m/>
  </r>
  <r>
    <x v="284"/>
    <x v="5"/>
    <s v="페이스북/인스타그램"/>
    <x v="1"/>
    <x v="1"/>
    <x v="1"/>
    <m/>
    <m/>
    <m/>
    <n v="60904"/>
    <m/>
  </r>
  <r>
    <x v="284"/>
    <x v="5"/>
    <s v="페이스북/인스타그램"/>
    <x v="1"/>
    <x v="1"/>
    <x v="1"/>
    <m/>
    <m/>
    <m/>
    <n v="30393"/>
    <m/>
  </r>
  <r>
    <x v="284"/>
    <x v="5"/>
    <s v="페이스북/인스타그램"/>
    <x v="1"/>
    <x v="1"/>
    <x v="1"/>
    <m/>
    <m/>
    <m/>
    <n v="60533"/>
    <m/>
  </r>
  <r>
    <x v="284"/>
    <x v="5"/>
    <s v="페이스북/인스타그램"/>
    <x v="1"/>
    <x v="1"/>
    <x v="1"/>
    <m/>
    <m/>
    <m/>
    <n v="300539"/>
    <m/>
  </r>
  <r>
    <x v="284"/>
    <x v="5"/>
    <s v="페이스북/인스타그램"/>
    <x v="1"/>
    <x v="1"/>
    <x v="1"/>
    <m/>
    <m/>
    <m/>
    <n v="166889"/>
    <m/>
  </r>
  <r>
    <x v="284"/>
    <x v="5"/>
    <s v="페이스북/인스타그램"/>
    <x v="1"/>
    <x v="1"/>
    <x v="1"/>
    <m/>
    <m/>
    <m/>
    <n v="271100"/>
    <m/>
  </r>
  <r>
    <x v="284"/>
    <x v="5"/>
    <s v="페이스북/인스타그램"/>
    <x v="1"/>
    <x v="1"/>
    <x v="1"/>
    <m/>
    <m/>
    <m/>
    <n v="150383"/>
    <m/>
  </r>
  <r>
    <x v="284"/>
    <x v="5"/>
    <s v="페이스북/인스타그램"/>
    <x v="1"/>
    <x v="1"/>
    <x v="1"/>
    <m/>
    <m/>
    <m/>
    <n v="100491"/>
    <m/>
  </r>
  <r>
    <x v="284"/>
    <x v="5"/>
    <s v="페이스북/인스타그램"/>
    <x v="1"/>
    <x v="1"/>
    <x v="1"/>
    <m/>
    <m/>
    <m/>
    <n v="200743"/>
    <m/>
  </r>
  <r>
    <x v="284"/>
    <x v="5"/>
    <s v="페이스북/인스타그램"/>
    <x v="1"/>
    <x v="1"/>
    <x v="1"/>
    <m/>
    <m/>
    <m/>
    <n v="50353"/>
    <m/>
  </r>
  <r>
    <x v="284"/>
    <x v="5"/>
    <s v="페이스북/인스타그램"/>
    <x v="1"/>
    <x v="1"/>
    <x v="1"/>
    <m/>
    <m/>
    <m/>
    <n v="100507"/>
    <m/>
  </r>
  <r>
    <x v="284"/>
    <x v="5"/>
    <s v="페이스북/인스타그램"/>
    <x v="1"/>
    <x v="1"/>
    <x v="1"/>
    <m/>
    <m/>
    <m/>
    <n v="30364"/>
    <m/>
  </r>
  <r>
    <x v="284"/>
    <x v="5"/>
    <s v="페이스북/인스타그램"/>
    <x v="1"/>
    <x v="1"/>
    <x v="1"/>
    <m/>
    <m/>
    <m/>
    <n v="70269"/>
    <m/>
  </r>
  <r>
    <x v="284"/>
    <x v="5"/>
    <s v="페이스북/인스타그램"/>
    <x v="1"/>
    <x v="1"/>
    <x v="1"/>
    <m/>
    <m/>
    <m/>
    <n v="101699"/>
    <m/>
  </r>
  <r>
    <x v="284"/>
    <x v="5"/>
    <s v="페이스북/인스타그램"/>
    <x v="1"/>
    <x v="1"/>
    <x v="1"/>
    <m/>
    <m/>
    <m/>
    <n v="302358"/>
    <m/>
  </r>
  <r>
    <x v="284"/>
    <x v="5"/>
    <s v="페이스북/인스타그램"/>
    <x v="1"/>
    <x v="1"/>
    <x v="1"/>
    <m/>
    <m/>
    <m/>
    <n v="300546"/>
    <m/>
  </r>
  <r>
    <x v="284"/>
    <x v="5"/>
    <s v="페이스북/인스타그램"/>
    <x v="1"/>
    <x v="1"/>
    <x v="1"/>
    <m/>
    <m/>
    <m/>
    <n v="150667"/>
    <m/>
  </r>
  <r>
    <x v="284"/>
    <x v="5"/>
    <s v="페이스북/인스타그램"/>
    <x v="1"/>
    <x v="1"/>
    <x v="1"/>
    <m/>
    <m/>
    <m/>
    <n v="151430"/>
    <m/>
  </r>
  <r>
    <x v="284"/>
    <x v="5"/>
    <s v="페이스북/인스타그램"/>
    <x v="1"/>
    <x v="1"/>
    <x v="1"/>
    <m/>
    <m/>
    <m/>
    <n v="150699"/>
    <m/>
  </r>
  <r>
    <x v="279"/>
    <x v="0"/>
    <s v="유튜브 광고"/>
    <x v="1"/>
    <x v="1"/>
    <x v="1"/>
    <m/>
    <m/>
    <m/>
    <n v="307606"/>
    <m/>
  </r>
  <r>
    <x v="279"/>
    <x v="0"/>
    <s v="유튜브 광고"/>
    <x v="1"/>
    <x v="1"/>
    <x v="1"/>
    <m/>
    <m/>
    <m/>
    <n v="36530"/>
    <m/>
  </r>
  <r>
    <x v="279"/>
    <x v="0"/>
    <s v="유튜브 광고"/>
    <x v="1"/>
    <x v="1"/>
    <x v="1"/>
    <m/>
    <m/>
    <m/>
    <n v="502346"/>
    <m/>
  </r>
  <r>
    <x v="279"/>
    <x v="0"/>
    <s v="유튜브 광고"/>
    <x v="1"/>
    <x v="1"/>
    <x v="1"/>
    <m/>
    <m/>
    <m/>
    <n v="4475"/>
    <m/>
  </r>
  <r>
    <x v="279"/>
    <x v="0"/>
    <s v="유튜브 광고"/>
    <x v="1"/>
    <x v="1"/>
    <x v="1"/>
    <m/>
    <m/>
    <m/>
    <n v="566785"/>
    <m/>
  </r>
  <r>
    <x v="279"/>
    <x v="0"/>
    <s v="유튜브 광고"/>
    <x v="1"/>
    <x v="1"/>
    <x v="1"/>
    <m/>
    <m/>
    <m/>
    <n v="504339"/>
    <m/>
  </r>
  <r>
    <x v="279"/>
    <x v="0"/>
    <s v="유튜브 광고"/>
    <x v="1"/>
    <x v="1"/>
    <x v="1"/>
    <m/>
    <m/>
    <m/>
    <n v="477403"/>
    <m/>
  </r>
  <r>
    <x v="279"/>
    <x v="0"/>
    <s v="유튜브 광고"/>
    <x v="1"/>
    <x v="1"/>
    <x v="1"/>
    <m/>
    <m/>
    <m/>
    <n v="250121"/>
    <m/>
  </r>
  <r>
    <x v="279"/>
    <x v="0"/>
    <s v="유튜브 광고"/>
    <x v="1"/>
    <x v="1"/>
    <x v="1"/>
    <m/>
    <m/>
    <m/>
    <n v="403735"/>
    <m/>
  </r>
  <r>
    <x v="280"/>
    <x v="3"/>
    <s v="유튜브 광고"/>
    <x v="1"/>
    <x v="1"/>
    <x v="1"/>
    <m/>
    <m/>
    <m/>
    <n v="303302"/>
    <m/>
  </r>
  <r>
    <x v="280"/>
    <x v="3"/>
    <s v="유튜브 광고"/>
    <x v="1"/>
    <x v="1"/>
    <x v="1"/>
    <m/>
    <m/>
    <m/>
    <n v="47576"/>
    <m/>
  </r>
  <r>
    <x v="280"/>
    <x v="3"/>
    <s v="유튜브 광고"/>
    <x v="1"/>
    <x v="1"/>
    <x v="1"/>
    <m/>
    <m/>
    <m/>
    <n v="497355"/>
    <m/>
  </r>
  <r>
    <x v="280"/>
    <x v="3"/>
    <s v="유튜브 광고"/>
    <x v="1"/>
    <x v="1"/>
    <x v="1"/>
    <m/>
    <m/>
    <m/>
    <n v="1330"/>
    <m/>
  </r>
  <r>
    <x v="280"/>
    <x v="3"/>
    <s v="유튜브 광고"/>
    <x v="1"/>
    <x v="1"/>
    <x v="1"/>
    <m/>
    <m/>
    <m/>
    <n v="476363"/>
    <m/>
  </r>
  <r>
    <x v="280"/>
    <x v="3"/>
    <s v="유튜브 광고"/>
    <x v="1"/>
    <x v="1"/>
    <x v="1"/>
    <m/>
    <m/>
    <m/>
    <n v="498433"/>
    <m/>
  </r>
  <r>
    <x v="280"/>
    <x v="3"/>
    <s v="유튜브 광고"/>
    <x v="1"/>
    <x v="1"/>
    <x v="1"/>
    <m/>
    <m/>
    <m/>
    <n v="303689"/>
    <m/>
  </r>
  <r>
    <x v="280"/>
    <x v="3"/>
    <s v="유튜브 광고"/>
    <x v="1"/>
    <x v="1"/>
    <x v="1"/>
    <m/>
    <m/>
    <m/>
    <n v="405319"/>
    <m/>
  </r>
  <r>
    <x v="280"/>
    <x v="3"/>
    <s v="유튜브 광고"/>
    <x v="1"/>
    <x v="1"/>
    <x v="1"/>
    <m/>
    <m/>
    <m/>
    <n v="397001"/>
    <m/>
  </r>
  <r>
    <x v="281"/>
    <x v="4"/>
    <s v="유튜브 광고"/>
    <x v="1"/>
    <x v="1"/>
    <x v="1"/>
    <m/>
    <m/>
    <m/>
    <n v="276320"/>
    <m/>
  </r>
  <r>
    <x v="281"/>
    <x v="4"/>
    <s v="유튜브 광고"/>
    <x v="1"/>
    <x v="1"/>
    <x v="1"/>
    <m/>
    <m/>
    <m/>
    <n v="28956"/>
    <m/>
  </r>
  <r>
    <x v="281"/>
    <x v="4"/>
    <s v="유튜브 광고"/>
    <x v="1"/>
    <x v="1"/>
    <x v="1"/>
    <m/>
    <m/>
    <m/>
    <n v="498136"/>
    <m/>
  </r>
  <r>
    <x v="281"/>
    <x v="4"/>
    <s v="유튜브 광고"/>
    <x v="1"/>
    <x v="1"/>
    <x v="1"/>
    <m/>
    <m/>
    <m/>
    <n v="484098"/>
    <m/>
  </r>
  <r>
    <x v="281"/>
    <x v="4"/>
    <s v="유튜브 광고"/>
    <x v="1"/>
    <x v="1"/>
    <x v="1"/>
    <m/>
    <m/>
    <m/>
    <n v="500440"/>
    <m/>
  </r>
  <r>
    <x v="281"/>
    <x v="4"/>
    <s v="유튜브 광고"/>
    <x v="1"/>
    <x v="1"/>
    <x v="1"/>
    <m/>
    <m/>
    <m/>
    <n v="265348"/>
    <m/>
  </r>
  <r>
    <x v="281"/>
    <x v="4"/>
    <s v="유튜브 광고"/>
    <x v="1"/>
    <x v="1"/>
    <x v="1"/>
    <m/>
    <m/>
    <m/>
    <n v="372763"/>
    <m/>
  </r>
  <r>
    <x v="281"/>
    <x v="4"/>
    <s v="유튜브 광고"/>
    <x v="1"/>
    <x v="1"/>
    <x v="1"/>
    <m/>
    <m/>
    <m/>
    <n v="398098"/>
    <m/>
  </r>
  <r>
    <x v="281"/>
    <x v="4"/>
    <s v="유튜브 광고"/>
    <x v="1"/>
    <x v="1"/>
    <x v="1"/>
    <m/>
    <m/>
    <m/>
    <n v="104118"/>
    <m/>
  </r>
  <r>
    <x v="281"/>
    <x v="4"/>
    <s v="유튜브 광고"/>
    <x v="1"/>
    <x v="1"/>
    <x v="1"/>
    <m/>
    <m/>
    <m/>
    <n v="102043"/>
    <m/>
  </r>
  <r>
    <x v="282"/>
    <x v="1"/>
    <s v="유튜브 광고"/>
    <x v="1"/>
    <x v="1"/>
    <x v="1"/>
    <m/>
    <m/>
    <m/>
    <n v="276745"/>
    <m/>
  </r>
  <r>
    <x v="282"/>
    <x v="1"/>
    <s v="유튜브 광고"/>
    <x v="1"/>
    <x v="1"/>
    <x v="1"/>
    <m/>
    <m/>
    <m/>
    <n v="28114"/>
    <m/>
  </r>
  <r>
    <x v="282"/>
    <x v="1"/>
    <s v="유튜브 광고"/>
    <x v="1"/>
    <x v="1"/>
    <x v="1"/>
    <m/>
    <m/>
    <m/>
    <n v="487085"/>
    <m/>
  </r>
  <r>
    <x v="282"/>
    <x v="1"/>
    <s v="유튜브 광고"/>
    <x v="1"/>
    <x v="1"/>
    <x v="1"/>
    <m/>
    <m/>
    <m/>
    <n v="320276"/>
    <m/>
  </r>
  <r>
    <x v="282"/>
    <x v="1"/>
    <s v="유튜브 광고"/>
    <x v="1"/>
    <x v="1"/>
    <x v="1"/>
    <m/>
    <m/>
    <m/>
    <n v="487955"/>
    <m/>
  </r>
  <r>
    <x v="282"/>
    <x v="1"/>
    <s v="유튜브 광고"/>
    <x v="1"/>
    <x v="1"/>
    <x v="1"/>
    <m/>
    <m/>
    <m/>
    <n v="208364"/>
    <m/>
  </r>
  <r>
    <x v="282"/>
    <x v="1"/>
    <s v="유튜브 광고"/>
    <x v="1"/>
    <x v="1"/>
    <x v="1"/>
    <m/>
    <m/>
    <m/>
    <n v="411119"/>
    <m/>
  </r>
  <r>
    <x v="282"/>
    <x v="1"/>
    <s v="유튜브 광고"/>
    <x v="1"/>
    <x v="1"/>
    <x v="1"/>
    <m/>
    <m/>
    <m/>
    <n v="389505"/>
    <m/>
  </r>
  <r>
    <x v="282"/>
    <x v="1"/>
    <s v="유튜브 광고"/>
    <x v="1"/>
    <x v="1"/>
    <x v="1"/>
    <m/>
    <m/>
    <m/>
    <n v="99591"/>
    <m/>
  </r>
  <r>
    <x v="282"/>
    <x v="1"/>
    <s v="유튜브 광고"/>
    <x v="1"/>
    <x v="1"/>
    <x v="1"/>
    <m/>
    <m/>
    <m/>
    <n v="99877"/>
    <m/>
  </r>
  <r>
    <x v="283"/>
    <x v="2"/>
    <s v="유튜브 광고"/>
    <x v="1"/>
    <x v="1"/>
    <x v="1"/>
    <m/>
    <m/>
    <m/>
    <n v="192885"/>
    <m/>
  </r>
  <r>
    <x v="283"/>
    <x v="2"/>
    <s v="유튜브 광고"/>
    <x v="1"/>
    <x v="1"/>
    <x v="1"/>
    <m/>
    <m/>
    <m/>
    <n v="27536"/>
    <m/>
  </r>
  <r>
    <x v="283"/>
    <x v="2"/>
    <s v="유튜브 광고"/>
    <x v="1"/>
    <x v="1"/>
    <x v="1"/>
    <m/>
    <m/>
    <m/>
    <n v="488951"/>
    <m/>
  </r>
  <r>
    <x v="283"/>
    <x v="2"/>
    <s v="유튜브 광고"/>
    <x v="1"/>
    <x v="1"/>
    <x v="1"/>
    <m/>
    <m/>
    <m/>
    <n v="492622"/>
    <m/>
  </r>
  <r>
    <x v="283"/>
    <x v="2"/>
    <s v="유튜브 광고"/>
    <x v="1"/>
    <x v="1"/>
    <x v="1"/>
    <m/>
    <m/>
    <m/>
    <n v="488181"/>
    <m/>
  </r>
  <r>
    <x v="283"/>
    <x v="2"/>
    <s v="유튜브 광고"/>
    <x v="1"/>
    <x v="1"/>
    <x v="1"/>
    <m/>
    <m/>
    <m/>
    <n v="180092"/>
    <m/>
  </r>
  <r>
    <x v="283"/>
    <x v="2"/>
    <s v="유튜브 광고"/>
    <x v="1"/>
    <x v="1"/>
    <x v="1"/>
    <m/>
    <m/>
    <m/>
    <n v="384244"/>
    <m/>
  </r>
  <r>
    <x v="283"/>
    <x v="2"/>
    <s v="유튜브 광고"/>
    <x v="1"/>
    <x v="1"/>
    <x v="1"/>
    <m/>
    <m/>
    <m/>
    <n v="391307"/>
    <m/>
  </r>
  <r>
    <x v="283"/>
    <x v="2"/>
    <s v="유튜브 광고"/>
    <x v="1"/>
    <x v="1"/>
    <x v="1"/>
    <m/>
    <m/>
    <m/>
    <n v="99798"/>
    <m/>
  </r>
  <r>
    <x v="283"/>
    <x v="2"/>
    <s v="유튜브 광고"/>
    <x v="1"/>
    <x v="1"/>
    <x v="1"/>
    <m/>
    <m/>
    <m/>
    <n v="100017"/>
    <m/>
  </r>
  <r>
    <x v="284"/>
    <x v="5"/>
    <s v="유튜브 광고"/>
    <x v="1"/>
    <x v="1"/>
    <x v="1"/>
    <m/>
    <m/>
    <m/>
    <n v="160121"/>
    <m/>
  </r>
  <r>
    <x v="284"/>
    <x v="5"/>
    <s v="유튜브 광고"/>
    <x v="1"/>
    <x v="1"/>
    <x v="1"/>
    <m/>
    <m/>
    <m/>
    <n v="25064"/>
    <m/>
  </r>
  <r>
    <x v="284"/>
    <x v="5"/>
    <s v="유튜브 광고"/>
    <x v="1"/>
    <x v="1"/>
    <x v="1"/>
    <m/>
    <m/>
    <m/>
    <n v="491037"/>
    <m/>
  </r>
  <r>
    <x v="284"/>
    <x v="5"/>
    <s v="유튜브 광고"/>
    <x v="1"/>
    <x v="1"/>
    <x v="1"/>
    <m/>
    <m/>
    <m/>
    <n v="490264"/>
    <m/>
  </r>
  <r>
    <x v="284"/>
    <x v="5"/>
    <s v="유튜브 광고"/>
    <x v="1"/>
    <x v="1"/>
    <x v="1"/>
    <m/>
    <m/>
    <m/>
    <n v="488616"/>
    <m/>
  </r>
  <r>
    <x v="284"/>
    <x v="5"/>
    <s v="유튜브 광고"/>
    <x v="1"/>
    <x v="1"/>
    <x v="1"/>
    <m/>
    <m/>
    <m/>
    <n v="106275"/>
    <m/>
  </r>
  <r>
    <x v="284"/>
    <x v="5"/>
    <s v="유튜브 광고"/>
    <x v="1"/>
    <x v="1"/>
    <x v="1"/>
    <m/>
    <m/>
    <m/>
    <n v="298976"/>
    <m/>
  </r>
  <r>
    <x v="284"/>
    <x v="5"/>
    <s v="유튜브 광고"/>
    <x v="1"/>
    <x v="1"/>
    <x v="1"/>
    <m/>
    <m/>
    <m/>
    <n v="295110"/>
    <m/>
  </r>
  <r>
    <x v="284"/>
    <x v="5"/>
    <s v="유튜브 광고"/>
    <x v="1"/>
    <x v="1"/>
    <x v="1"/>
    <m/>
    <m/>
    <m/>
    <n v="99851"/>
    <m/>
  </r>
  <r>
    <x v="284"/>
    <x v="5"/>
    <s v="유튜브 광고"/>
    <x v="1"/>
    <x v="1"/>
    <x v="1"/>
    <m/>
    <m/>
    <m/>
    <n v="250064"/>
    <m/>
  </r>
  <r>
    <x v="284"/>
    <x v="5"/>
    <s v="네이버 쇼핑검색"/>
    <x v="1"/>
    <x v="1"/>
    <x v="1"/>
    <m/>
    <m/>
    <m/>
    <n v="2400"/>
    <m/>
  </r>
  <r>
    <x v="284"/>
    <x v="5"/>
    <s v="네이버 쇼핑검색"/>
    <x v="1"/>
    <x v="1"/>
    <x v="1"/>
    <m/>
    <m/>
    <m/>
    <n v="128610"/>
    <m/>
  </r>
  <r>
    <x v="284"/>
    <x v="5"/>
    <s v="네이버 쇼핑검색"/>
    <x v="1"/>
    <x v="1"/>
    <x v="1"/>
    <m/>
    <m/>
    <m/>
    <n v="2450"/>
    <m/>
  </r>
  <r>
    <x v="284"/>
    <x v="5"/>
    <s v="네이버 브랜드검색"/>
    <x v="3"/>
    <x v="1"/>
    <x v="1"/>
    <m/>
    <m/>
    <m/>
    <n v="0"/>
    <m/>
  </r>
  <r>
    <x v="283"/>
    <x v="2"/>
    <s v="네이버 쇼핑검색"/>
    <x v="1"/>
    <x v="1"/>
    <x v="1"/>
    <m/>
    <m/>
    <m/>
    <n v="1930"/>
    <m/>
  </r>
  <r>
    <x v="283"/>
    <x v="2"/>
    <s v="네이버 쇼핑검색"/>
    <x v="1"/>
    <x v="1"/>
    <x v="1"/>
    <m/>
    <m/>
    <m/>
    <n v="130940"/>
    <m/>
  </r>
  <r>
    <x v="283"/>
    <x v="2"/>
    <s v="네이버 쇼핑검색"/>
    <x v="1"/>
    <x v="1"/>
    <x v="1"/>
    <m/>
    <m/>
    <m/>
    <n v="2800"/>
    <m/>
  </r>
  <r>
    <x v="283"/>
    <x v="2"/>
    <s v="네이버 브랜드검색"/>
    <x v="3"/>
    <x v="1"/>
    <x v="1"/>
    <m/>
    <m/>
    <m/>
    <n v="0"/>
    <m/>
  </r>
  <r>
    <x v="282"/>
    <x v="1"/>
    <s v="네이버 쇼핑검색"/>
    <x v="1"/>
    <x v="1"/>
    <x v="1"/>
    <m/>
    <m/>
    <m/>
    <n v="4480"/>
    <m/>
  </r>
  <r>
    <x v="282"/>
    <x v="1"/>
    <s v="네이버 쇼핑검색"/>
    <x v="1"/>
    <x v="1"/>
    <x v="1"/>
    <m/>
    <m/>
    <m/>
    <n v="116720"/>
    <m/>
  </r>
  <r>
    <x v="282"/>
    <x v="1"/>
    <s v="네이버 쇼핑검색"/>
    <x v="1"/>
    <x v="1"/>
    <x v="1"/>
    <m/>
    <m/>
    <m/>
    <n v="1750"/>
    <m/>
  </r>
  <r>
    <x v="282"/>
    <x v="1"/>
    <s v="네이버 브랜드검색"/>
    <x v="3"/>
    <x v="1"/>
    <x v="1"/>
    <m/>
    <m/>
    <m/>
    <n v="0"/>
    <m/>
  </r>
  <r>
    <x v="281"/>
    <x v="4"/>
    <s v="네이버 쇼핑검색"/>
    <x v="1"/>
    <x v="1"/>
    <x v="1"/>
    <m/>
    <m/>
    <m/>
    <n v="3750"/>
    <m/>
  </r>
  <r>
    <x v="281"/>
    <x v="4"/>
    <s v="네이버 쇼핑검색"/>
    <x v="1"/>
    <x v="1"/>
    <x v="1"/>
    <m/>
    <m/>
    <m/>
    <n v="95519.99999999999"/>
    <m/>
  </r>
  <r>
    <x v="281"/>
    <x v="4"/>
    <s v="네이버 쇼핑검색"/>
    <x v="1"/>
    <x v="1"/>
    <x v="1"/>
    <m/>
    <m/>
    <m/>
    <n v="3010"/>
    <m/>
  </r>
  <r>
    <x v="281"/>
    <x v="4"/>
    <s v="네이버 브랜드검색"/>
    <x v="3"/>
    <x v="1"/>
    <x v="1"/>
    <m/>
    <m/>
    <m/>
    <n v="0"/>
    <m/>
  </r>
  <r>
    <x v="280"/>
    <x v="3"/>
    <s v="네이버 쇼핑검색"/>
    <x v="1"/>
    <x v="1"/>
    <x v="1"/>
    <m/>
    <m/>
    <m/>
    <n v="3740"/>
    <m/>
  </r>
  <r>
    <x v="280"/>
    <x v="3"/>
    <s v="네이버 쇼핑검색"/>
    <x v="1"/>
    <x v="1"/>
    <x v="1"/>
    <m/>
    <m/>
    <m/>
    <n v="117480"/>
    <m/>
  </r>
  <r>
    <x v="280"/>
    <x v="3"/>
    <s v="네이버 쇼핑검색"/>
    <x v="1"/>
    <x v="1"/>
    <x v="1"/>
    <m/>
    <m/>
    <m/>
    <n v="2270"/>
    <m/>
  </r>
  <r>
    <x v="280"/>
    <x v="3"/>
    <s v="네이버 브랜드검색"/>
    <x v="3"/>
    <x v="1"/>
    <x v="1"/>
    <m/>
    <m/>
    <m/>
    <n v="0"/>
    <m/>
  </r>
  <r>
    <x v="279"/>
    <x v="0"/>
    <s v="네이버 쇼핑검색"/>
    <x v="1"/>
    <x v="1"/>
    <x v="1"/>
    <m/>
    <m/>
    <m/>
    <n v="989.9999999999999"/>
    <m/>
  </r>
  <r>
    <x v="279"/>
    <x v="0"/>
    <s v="네이버 쇼핑검색"/>
    <x v="1"/>
    <x v="1"/>
    <x v="1"/>
    <m/>
    <m/>
    <m/>
    <n v="112330"/>
    <m/>
  </r>
  <r>
    <x v="279"/>
    <x v="0"/>
    <s v="네이버 쇼핑검색"/>
    <x v="1"/>
    <x v="1"/>
    <x v="1"/>
    <m/>
    <m/>
    <m/>
    <n v="2090"/>
    <m/>
  </r>
  <r>
    <x v="279"/>
    <x v="0"/>
    <s v="네이버 브랜드검색"/>
    <x v="3"/>
    <x v="1"/>
    <x v="1"/>
    <m/>
    <m/>
    <m/>
    <n v="0"/>
    <m/>
  </r>
  <r>
    <x v="279"/>
    <x v="0"/>
    <s v="카카오 배너"/>
    <x v="1"/>
    <x v="1"/>
    <x v="1"/>
    <m/>
    <m/>
    <m/>
    <n v="91019.99999999999"/>
    <m/>
  </r>
  <r>
    <x v="279"/>
    <x v="0"/>
    <s v="카카오 배너"/>
    <x v="1"/>
    <x v="1"/>
    <x v="1"/>
    <m/>
    <m/>
    <m/>
    <n v="661520"/>
    <m/>
  </r>
  <r>
    <x v="280"/>
    <x v="3"/>
    <s v="카카오 배너"/>
    <x v="1"/>
    <x v="1"/>
    <x v="1"/>
    <m/>
    <m/>
    <m/>
    <n v="91479.99999999999"/>
    <m/>
  </r>
  <r>
    <x v="280"/>
    <x v="3"/>
    <s v="카카오 배너"/>
    <x v="1"/>
    <x v="1"/>
    <x v="1"/>
    <m/>
    <m/>
    <m/>
    <n v="516409.9999999999"/>
    <m/>
  </r>
  <r>
    <x v="281"/>
    <x v="4"/>
    <s v="카카오 배너"/>
    <x v="1"/>
    <x v="1"/>
    <x v="1"/>
    <m/>
    <m/>
    <m/>
    <n v="91239.99999999999"/>
    <m/>
  </r>
  <r>
    <x v="281"/>
    <x v="4"/>
    <s v="카카오 배너"/>
    <x v="1"/>
    <x v="1"/>
    <x v="1"/>
    <m/>
    <m/>
    <m/>
    <n v="574800"/>
    <m/>
  </r>
  <r>
    <x v="282"/>
    <x v="1"/>
    <s v="카카오 배너"/>
    <x v="1"/>
    <x v="1"/>
    <x v="1"/>
    <m/>
    <m/>
    <m/>
    <n v="91139.99999999999"/>
    <m/>
  </r>
  <r>
    <x v="282"/>
    <x v="1"/>
    <s v="카카오 배너"/>
    <x v="1"/>
    <x v="1"/>
    <x v="1"/>
    <m/>
    <m/>
    <m/>
    <n v="2208230"/>
    <m/>
  </r>
  <r>
    <x v="283"/>
    <x v="2"/>
    <s v="카카오 배너"/>
    <x v="1"/>
    <x v="1"/>
    <x v="1"/>
    <m/>
    <m/>
    <m/>
    <n v="91329.99999999999"/>
    <m/>
  </r>
  <r>
    <x v="283"/>
    <x v="2"/>
    <s v="카카오 배너"/>
    <x v="1"/>
    <x v="1"/>
    <x v="1"/>
    <m/>
    <m/>
    <m/>
    <n v="2277130"/>
    <m/>
  </r>
  <r>
    <x v="284"/>
    <x v="5"/>
    <s v="카카오 배너"/>
    <x v="1"/>
    <x v="1"/>
    <x v="1"/>
    <m/>
    <m/>
    <m/>
    <n v="91099.99999999999"/>
    <m/>
  </r>
  <r>
    <x v="284"/>
    <x v="5"/>
    <s v="카카오 배너"/>
    <x v="1"/>
    <x v="1"/>
    <x v="1"/>
    <m/>
    <m/>
    <m/>
    <n v="2277770"/>
    <m/>
  </r>
  <r>
    <x v="279"/>
    <x v="0"/>
    <m/>
    <x v="1"/>
    <x v="3"/>
    <x v="150"/>
    <n v="2"/>
    <s v="이그나이트 + 스테이포에버"/>
    <n v="210207"/>
    <m/>
    <n v="117600"/>
  </r>
  <r>
    <x v="279"/>
    <x v="0"/>
    <m/>
    <x v="1"/>
    <x v="3"/>
    <x v="152"/>
    <n v="32"/>
    <s v="스테이포에버"/>
    <n v="210207"/>
    <m/>
    <n v="1088000"/>
  </r>
  <r>
    <x v="279"/>
    <x v="0"/>
    <m/>
    <x v="1"/>
    <x v="2"/>
    <x v="146"/>
    <n v="2"/>
    <s v="이그나이트"/>
    <n v="210207"/>
    <m/>
    <n v="0"/>
  </r>
  <r>
    <x v="279"/>
    <x v="0"/>
    <m/>
    <x v="0"/>
    <x v="0"/>
    <x v="148"/>
    <n v="1"/>
    <s v="쇼핑백"/>
    <n v="210207"/>
    <m/>
    <n v="2000"/>
  </r>
  <r>
    <x v="279"/>
    <x v="0"/>
    <m/>
    <x v="1"/>
    <x v="0"/>
    <x v="134"/>
    <n v="1"/>
    <s v="이그나이트"/>
    <n v="210207"/>
    <m/>
    <n v="34000"/>
  </r>
  <r>
    <x v="279"/>
    <x v="0"/>
    <m/>
    <x v="1"/>
    <x v="0"/>
    <x v="135"/>
    <n v="6"/>
    <s v="스테이포에버"/>
    <n v="210207"/>
    <m/>
    <n v="204000"/>
  </r>
  <r>
    <x v="279"/>
    <x v="0"/>
    <m/>
    <x v="1"/>
    <x v="0"/>
    <x v="136"/>
    <n v="14"/>
    <s v="스테이포에버 2set"/>
    <n v="210207"/>
    <m/>
    <n v="823200"/>
  </r>
  <r>
    <x v="279"/>
    <x v="0"/>
    <m/>
    <x v="1"/>
    <x v="0"/>
    <x v="137"/>
    <n v="17"/>
    <s v="이그나이트 + 스테이포에버"/>
    <n v="210207"/>
    <m/>
    <n v="999600"/>
  </r>
  <r>
    <x v="279"/>
    <x v="0"/>
    <m/>
    <x v="1"/>
    <x v="0"/>
    <x v="138"/>
    <n v="247"/>
    <s v="스테이포에버"/>
    <n v="210207"/>
    <m/>
    <n v="8398000"/>
  </r>
  <r>
    <x v="279"/>
    <x v="0"/>
    <m/>
    <x v="1"/>
    <x v="0"/>
    <x v="139"/>
    <n v="130"/>
    <s v="스테이포에버 2set"/>
    <n v="210207"/>
    <m/>
    <n v="7644000"/>
  </r>
  <r>
    <x v="279"/>
    <x v="0"/>
    <m/>
    <x v="1"/>
    <x v="0"/>
    <x v="140"/>
    <n v="12"/>
    <s v="이그나이트 + 스테이포에버"/>
    <n v="210207"/>
    <m/>
    <n v="705600"/>
  </r>
  <r>
    <x v="279"/>
    <x v="0"/>
    <m/>
    <x v="0"/>
    <x v="0"/>
    <x v="0"/>
    <n v="2"/>
    <s v="쇼핑백"/>
    <n v="210207"/>
    <m/>
    <n v="4000"/>
  </r>
  <r>
    <x v="279"/>
    <x v="0"/>
    <m/>
    <x v="1"/>
    <x v="0"/>
    <x v="141"/>
    <n v="3"/>
    <s v="이그나이트"/>
    <n v="210207"/>
    <m/>
    <n v="102000"/>
  </r>
  <r>
    <x v="279"/>
    <x v="0"/>
    <m/>
    <x v="1"/>
    <x v="0"/>
    <x v="142"/>
    <n v="2"/>
    <s v="이그나이트 2set"/>
    <n v="210207"/>
    <m/>
    <n v="117600"/>
  </r>
  <r>
    <x v="280"/>
    <x v="3"/>
    <m/>
    <x v="1"/>
    <x v="4"/>
    <x v="155"/>
    <n v="3"/>
    <s v="스테이포에버"/>
    <n v="210207"/>
    <m/>
    <n v="102000"/>
  </r>
  <r>
    <x v="280"/>
    <x v="3"/>
    <m/>
    <x v="1"/>
    <x v="3"/>
    <x v="153"/>
    <n v="2"/>
    <s v="스테이포에버"/>
    <n v="210207"/>
    <m/>
    <n v="68000"/>
  </r>
  <r>
    <x v="280"/>
    <x v="3"/>
    <m/>
    <x v="1"/>
    <x v="3"/>
    <x v="150"/>
    <n v="3"/>
    <s v="이그나이트 + 스테이포에버"/>
    <n v="210207"/>
    <m/>
    <n v="176400"/>
  </r>
  <r>
    <x v="280"/>
    <x v="3"/>
    <m/>
    <x v="1"/>
    <x v="3"/>
    <x v="156"/>
    <n v="1"/>
    <s v="이그나이트"/>
    <n v="210207"/>
    <m/>
    <n v="34000"/>
  </r>
  <r>
    <x v="280"/>
    <x v="3"/>
    <m/>
    <x v="1"/>
    <x v="3"/>
    <x v="152"/>
    <n v="23"/>
    <s v="스테이포에버"/>
    <n v="210207"/>
    <m/>
    <n v="782000"/>
  </r>
  <r>
    <x v="280"/>
    <x v="3"/>
    <m/>
    <x v="1"/>
    <x v="2"/>
    <x v="146"/>
    <n v="2"/>
    <s v="이그나이트"/>
    <n v="210207"/>
    <m/>
    <n v="0"/>
  </r>
  <r>
    <x v="280"/>
    <x v="3"/>
    <m/>
    <x v="1"/>
    <x v="0"/>
    <x v="134"/>
    <n v="2"/>
    <s v="이그나이트"/>
    <n v="210207"/>
    <m/>
    <n v="68000"/>
  </r>
  <r>
    <x v="280"/>
    <x v="3"/>
    <m/>
    <x v="1"/>
    <x v="0"/>
    <x v="135"/>
    <n v="3"/>
    <s v="스테이포에버"/>
    <n v="210207"/>
    <m/>
    <n v="102000"/>
  </r>
  <r>
    <x v="280"/>
    <x v="3"/>
    <m/>
    <x v="1"/>
    <x v="0"/>
    <x v="136"/>
    <n v="15"/>
    <s v="스테이포에버 2set"/>
    <n v="210207"/>
    <m/>
    <n v="882000"/>
  </r>
  <r>
    <x v="280"/>
    <x v="3"/>
    <m/>
    <x v="1"/>
    <x v="0"/>
    <x v="137"/>
    <n v="19"/>
    <s v="이그나이트 + 스테이포에버"/>
    <n v="210207"/>
    <m/>
    <n v="1117200"/>
  </r>
  <r>
    <x v="280"/>
    <x v="3"/>
    <m/>
    <x v="1"/>
    <x v="0"/>
    <x v="144"/>
    <n v="4"/>
    <s v="이그나이트 + 스테이포에버"/>
    <n v="210207"/>
    <m/>
    <n v="235200"/>
  </r>
  <r>
    <x v="280"/>
    <x v="3"/>
    <m/>
    <x v="1"/>
    <x v="0"/>
    <x v="138"/>
    <n v="240"/>
    <s v="스테이포에버"/>
    <n v="210207"/>
    <m/>
    <n v="8160000"/>
  </r>
  <r>
    <x v="280"/>
    <x v="3"/>
    <m/>
    <x v="1"/>
    <x v="0"/>
    <x v="139"/>
    <n v="173"/>
    <s v="스테이포에버 2set"/>
    <n v="210207"/>
    <m/>
    <n v="10172400"/>
  </r>
  <r>
    <x v="280"/>
    <x v="3"/>
    <m/>
    <x v="1"/>
    <x v="0"/>
    <x v="140"/>
    <n v="12"/>
    <s v="이그나이트 + 스테이포에버"/>
    <n v="210207"/>
    <m/>
    <n v="705600"/>
  </r>
  <r>
    <x v="280"/>
    <x v="3"/>
    <m/>
    <x v="0"/>
    <x v="0"/>
    <x v="0"/>
    <n v="2"/>
    <s v="쇼핑백"/>
    <n v="210207"/>
    <m/>
    <n v="4000"/>
  </r>
  <r>
    <x v="280"/>
    <x v="3"/>
    <m/>
    <x v="1"/>
    <x v="0"/>
    <x v="141"/>
    <n v="3"/>
    <s v="이그나이트"/>
    <n v="210207"/>
    <m/>
    <n v="102000"/>
  </r>
  <r>
    <x v="280"/>
    <x v="3"/>
    <m/>
    <x v="1"/>
    <x v="0"/>
    <x v="142"/>
    <n v="1"/>
    <s v="이그나이트 2set"/>
    <n v="210207"/>
    <m/>
    <n v="58800"/>
  </r>
  <r>
    <x v="281"/>
    <x v="4"/>
    <m/>
    <x v="1"/>
    <x v="4"/>
    <x v="155"/>
    <n v="8"/>
    <s v="스테이포에버"/>
    <n v="210207"/>
    <m/>
    <n v="272000"/>
  </r>
  <r>
    <x v="281"/>
    <x v="4"/>
    <m/>
    <x v="1"/>
    <x v="4"/>
    <x v="157"/>
    <n v="4"/>
    <s v="이그나이트 + 스테이포에버"/>
    <n v="210207"/>
    <m/>
    <n v="235200"/>
  </r>
  <r>
    <x v="281"/>
    <x v="4"/>
    <m/>
    <x v="1"/>
    <x v="3"/>
    <x v="153"/>
    <n v="2"/>
    <s v="스테이포에버"/>
    <n v="210207"/>
    <m/>
    <n v="68000"/>
  </r>
  <r>
    <x v="281"/>
    <x v="4"/>
    <m/>
    <x v="1"/>
    <x v="3"/>
    <x v="150"/>
    <n v="3"/>
    <s v="이그나이트 + 스테이포에버"/>
    <n v="210207"/>
    <m/>
    <n v="176400"/>
  </r>
  <r>
    <x v="281"/>
    <x v="4"/>
    <m/>
    <x v="1"/>
    <x v="3"/>
    <x v="151"/>
    <n v="2"/>
    <s v="스테이포에버 2set"/>
    <n v="210207"/>
    <m/>
    <n v="117600"/>
  </r>
  <r>
    <x v="281"/>
    <x v="4"/>
    <m/>
    <x v="1"/>
    <x v="3"/>
    <x v="152"/>
    <n v="28"/>
    <s v="스테이포에버"/>
    <n v="210207"/>
    <m/>
    <n v="952000"/>
  </r>
  <r>
    <x v="281"/>
    <x v="4"/>
    <m/>
    <x v="1"/>
    <x v="3"/>
    <x v="154"/>
    <n v="1"/>
    <s v="이그나이트"/>
    <n v="210207"/>
    <m/>
    <n v="34000"/>
  </r>
  <r>
    <x v="281"/>
    <x v="4"/>
    <m/>
    <x v="1"/>
    <x v="2"/>
    <x v="41"/>
    <n v="2"/>
    <s v="스테이포에버"/>
    <n v="210207"/>
    <m/>
    <n v="0"/>
  </r>
  <r>
    <x v="281"/>
    <x v="4"/>
    <m/>
    <x v="1"/>
    <x v="0"/>
    <x v="134"/>
    <n v="1"/>
    <s v="이그나이트"/>
    <n v="210207"/>
    <m/>
    <n v="34000"/>
  </r>
  <r>
    <x v="281"/>
    <x v="4"/>
    <m/>
    <x v="1"/>
    <x v="0"/>
    <x v="135"/>
    <n v="6"/>
    <s v="스테이포에버"/>
    <n v="210207"/>
    <m/>
    <n v="204000"/>
  </r>
  <r>
    <x v="281"/>
    <x v="4"/>
    <m/>
    <x v="1"/>
    <x v="0"/>
    <x v="136"/>
    <n v="12"/>
    <s v="스테이포에버 2set"/>
    <n v="210207"/>
    <m/>
    <n v="705600"/>
  </r>
  <r>
    <x v="281"/>
    <x v="4"/>
    <m/>
    <x v="1"/>
    <x v="0"/>
    <x v="137"/>
    <n v="17"/>
    <s v="이그나이트 + 스테이포에버"/>
    <n v="210207"/>
    <m/>
    <n v="999600"/>
  </r>
  <r>
    <x v="281"/>
    <x v="4"/>
    <m/>
    <x v="1"/>
    <x v="0"/>
    <x v="144"/>
    <n v="2"/>
    <s v="이그나이트 + 스테이포에버"/>
    <n v="210207"/>
    <m/>
    <n v="117600"/>
  </r>
  <r>
    <x v="281"/>
    <x v="4"/>
    <m/>
    <x v="1"/>
    <x v="0"/>
    <x v="138"/>
    <n v="227"/>
    <s v="스테이포에버"/>
    <n v="210207"/>
    <m/>
    <n v="7718000"/>
  </r>
  <r>
    <x v="281"/>
    <x v="4"/>
    <m/>
    <x v="1"/>
    <x v="0"/>
    <x v="139"/>
    <n v="121"/>
    <s v="스테이포에버 2set"/>
    <n v="210207"/>
    <m/>
    <n v="7114800"/>
  </r>
  <r>
    <x v="281"/>
    <x v="4"/>
    <m/>
    <x v="1"/>
    <x v="0"/>
    <x v="140"/>
    <n v="20"/>
    <s v="이그나이트 + 스테이포에버"/>
    <n v="210207"/>
    <m/>
    <n v="1176000"/>
  </r>
  <r>
    <x v="281"/>
    <x v="4"/>
    <m/>
    <x v="0"/>
    <x v="0"/>
    <x v="0"/>
    <n v="9"/>
    <s v="쇼핑백"/>
    <n v="210207"/>
    <m/>
    <n v="18000"/>
  </r>
  <r>
    <x v="281"/>
    <x v="4"/>
    <m/>
    <x v="1"/>
    <x v="0"/>
    <x v="141"/>
    <n v="3"/>
    <s v="이그나이트"/>
    <n v="210207"/>
    <m/>
    <n v="102000"/>
  </r>
  <r>
    <x v="281"/>
    <x v="4"/>
    <m/>
    <x v="1"/>
    <x v="0"/>
    <x v="142"/>
    <n v="1"/>
    <s v="이그나이트 2set"/>
    <n v="210207"/>
    <m/>
    <n v="58800"/>
  </r>
  <r>
    <x v="281"/>
    <x v="4"/>
    <m/>
    <x v="0"/>
    <x v="0"/>
    <x v="143"/>
    <n v="1"/>
    <s v="쇼핑백"/>
    <n v="210207"/>
    <m/>
    <n v="2000"/>
  </r>
  <r>
    <x v="282"/>
    <x v="1"/>
    <m/>
    <x v="1"/>
    <x v="4"/>
    <x v="158"/>
    <n v="1"/>
    <s v="이그나이트"/>
    <n v="210207"/>
    <m/>
    <n v="34000"/>
  </r>
  <r>
    <x v="282"/>
    <x v="1"/>
    <m/>
    <x v="1"/>
    <x v="4"/>
    <x v="155"/>
    <n v="8"/>
    <s v="스테이포에버"/>
    <n v="210207"/>
    <m/>
    <n v="272000"/>
  </r>
  <r>
    <x v="282"/>
    <x v="1"/>
    <m/>
    <x v="1"/>
    <x v="4"/>
    <x v="157"/>
    <n v="1"/>
    <s v="이그나이트 + 스테이포에버"/>
    <n v="210207"/>
    <m/>
    <n v="58800"/>
  </r>
  <r>
    <x v="282"/>
    <x v="1"/>
    <m/>
    <x v="1"/>
    <x v="3"/>
    <x v="150"/>
    <n v="2"/>
    <s v="이그나이트 + 스테이포에버"/>
    <n v="210207"/>
    <m/>
    <n v="117600"/>
  </r>
  <r>
    <x v="282"/>
    <x v="1"/>
    <m/>
    <x v="1"/>
    <x v="3"/>
    <x v="151"/>
    <n v="3"/>
    <s v="스테이포에버 2set"/>
    <n v="210207"/>
    <m/>
    <n v="176400"/>
  </r>
  <r>
    <x v="282"/>
    <x v="1"/>
    <m/>
    <x v="1"/>
    <x v="3"/>
    <x v="159"/>
    <n v="1"/>
    <s v="이그나이트 2set"/>
    <n v="210207"/>
    <m/>
    <n v="58800"/>
  </r>
  <r>
    <x v="282"/>
    <x v="1"/>
    <m/>
    <x v="1"/>
    <x v="3"/>
    <x v="152"/>
    <n v="16"/>
    <s v="스테이포에버"/>
    <n v="210207"/>
    <m/>
    <n v="544000"/>
  </r>
  <r>
    <x v="282"/>
    <x v="1"/>
    <m/>
    <x v="1"/>
    <x v="3"/>
    <x v="154"/>
    <n v="1"/>
    <s v="이그나이트"/>
    <n v="210207"/>
    <m/>
    <n v="34000"/>
  </r>
  <r>
    <x v="282"/>
    <x v="1"/>
    <m/>
    <x v="0"/>
    <x v="0"/>
    <x v="148"/>
    <n v="1"/>
    <s v="쇼핑백"/>
    <n v="210207"/>
    <m/>
    <n v="2000"/>
  </r>
  <r>
    <x v="282"/>
    <x v="1"/>
    <m/>
    <x v="1"/>
    <x v="0"/>
    <x v="134"/>
    <n v="2"/>
    <s v="이그나이트"/>
    <n v="210207"/>
    <m/>
    <n v="68000"/>
  </r>
  <r>
    <x v="282"/>
    <x v="1"/>
    <m/>
    <x v="1"/>
    <x v="0"/>
    <x v="145"/>
    <n v="2"/>
    <s v="이그나이트 2set"/>
    <n v="210207"/>
    <m/>
    <n v="117600"/>
  </r>
  <r>
    <x v="282"/>
    <x v="1"/>
    <m/>
    <x v="1"/>
    <x v="0"/>
    <x v="135"/>
    <n v="6"/>
    <s v="스테이포에버"/>
    <n v="210207"/>
    <m/>
    <n v="204000"/>
  </r>
  <r>
    <x v="282"/>
    <x v="1"/>
    <m/>
    <x v="1"/>
    <x v="0"/>
    <x v="136"/>
    <n v="5"/>
    <s v="스테이포에버 2set"/>
    <n v="210207"/>
    <m/>
    <n v="294000"/>
  </r>
  <r>
    <x v="282"/>
    <x v="1"/>
    <m/>
    <x v="1"/>
    <x v="0"/>
    <x v="137"/>
    <n v="12"/>
    <s v="이그나이트 + 스테이포에버"/>
    <n v="210207"/>
    <m/>
    <n v="705600"/>
  </r>
  <r>
    <x v="282"/>
    <x v="1"/>
    <m/>
    <x v="1"/>
    <x v="0"/>
    <x v="144"/>
    <n v="1"/>
    <s v="이그나이트 + 스테이포에버"/>
    <n v="210207"/>
    <m/>
    <n v="58800"/>
  </r>
  <r>
    <x v="282"/>
    <x v="1"/>
    <m/>
    <x v="1"/>
    <x v="0"/>
    <x v="138"/>
    <n v="203"/>
    <s v="스테이포에버"/>
    <n v="210207"/>
    <m/>
    <n v="6902000"/>
  </r>
  <r>
    <x v="282"/>
    <x v="1"/>
    <m/>
    <x v="1"/>
    <x v="0"/>
    <x v="139"/>
    <n v="134"/>
    <s v="스테이포에버 2set"/>
    <n v="210207"/>
    <m/>
    <n v="7879200"/>
  </r>
  <r>
    <x v="282"/>
    <x v="1"/>
    <m/>
    <x v="1"/>
    <x v="0"/>
    <x v="140"/>
    <n v="18"/>
    <s v="이그나이트 + 스테이포에버"/>
    <n v="210207"/>
    <m/>
    <n v="1058400"/>
  </r>
  <r>
    <x v="282"/>
    <x v="1"/>
    <m/>
    <x v="0"/>
    <x v="0"/>
    <x v="0"/>
    <n v="6"/>
    <s v="쇼핑백"/>
    <n v="210207"/>
    <m/>
    <n v="12000"/>
  </r>
  <r>
    <x v="282"/>
    <x v="1"/>
    <m/>
    <x v="1"/>
    <x v="0"/>
    <x v="141"/>
    <n v="4"/>
    <s v="이그나이트"/>
    <n v="210207"/>
    <m/>
    <n v="136000"/>
  </r>
  <r>
    <x v="282"/>
    <x v="1"/>
    <m/>
    <x v="1"/>
    <x v="0"/>
    <x v="142"/>
    <n v="2"/>
    <s v="이그나이트 2set"/>
    <n v="210207"/>
    <m/>
    <n v="117600"/>
  </r>
  <r>
    <x v="283"/>
    <x v="2"/>
    <m/>
    <x v="1"/>
    <x v="3"/>
    <x v="150"/>
    <n v="2"/>
    <s v="이그나이트 + 스테이포에버"/>
    <n v="210207"/>
    <m/>
    <n v="117600"/>
  </r>
  <r>
    <x v="283"/>
    <x v="2"/>
    <m/>
    <x v="1"/>
    <x v="3"/>
    <x v="151"/>
    <n v="4"/>
    <s v="스테이포에버 2set"/>
    <n v="210207"/>
    <m/>
    <n v="235200"/>
  </r>
  <r>
    <x v="283"/>
    <x v="2"/>
    <m/>
    <x v="1"/>
    <x v="3"/>
    <x v="159"/>
    <n v="1"/>
    <s v="이그나이트 2set"/>
    <n v="210207"/>
    <m/>
    <n v="58800"/>
  </r>
  <r>
    <x v="283"/>
    <x v="2"/>
    <m/>
    <x v="1"/>
    <x v="3"/>
    <x v="152"/>
    <n v="21"/>
    <s v="스테이포에버"/>
    <n v="210207"/>
    <m/>
    <n v="714000"/>
  </r>
  <r>
    <x v="283"/>
    <x v="2"/>
    <m/>
    <x v="1"/>
    <x v="0"/>
    <x v="145"/>
    <n v="1"/>
    <s v="이그나이트 2set"/>
    <n v="210207"/>
    <m/>
    <n v="58800"/>
  </r>
  <r>
    <x v="283"/>
    <x v="2"/>
    <m/>
    <x v="1"/>
    <x v="0"/>
    <x v="135"/>
    <n v="6"/>
    <s v="스테이포에버"/>
    <n v="210207"/>
    <m/>
    <n v="204000"/>
  </r>
  <r>
    <x v="283"/>
    <x v="2"/>
    <m/>
    <x v="1"/>
    <x v="0"/>
    <x v="136"/>
    <n v="10"/>
    <s v="스테이포에버 2set"/>
    <n v="210207"/>
    <m/>
    <n v="588000"/>
  </r>
  <r>
    <x v="283"/>
    <x v="2"/>
    <m/>
    <x v="1"/>
    <x v="0"/>
    <x v="137"/>
    <n v="14"/>
    <s v="이그나이트 + 스테이포에버"/>
    <n v="210207"/>
    <m/>
    <n v="823200"/>
  </r>
  <r>
    <x v="283"/>
    <x v="2"/>
    <m/>
    <x v="1"/>
    <x v="0"/>
    <x v="144"/>
    <n v="2"/>
    <s v="이그나이트 + 스테이포에버"/>
    <n v="210207"/>
    <m/>
    <n v="117600"/>
  </r>
  <r>
    <x v="283"/>
    <x v="2"/>
    <m/>
    <x v="1"/>
    <x v="0"/>
    <x v="138"/>
    <n v="266"/>
    <s v="스테이포에버"/>
    <n v="210207"/>
    <m/>
    <n v="9044000"/>
  </r>
  <r>
    <x v="283"/>
    <x v="2"/>
    <m/>
    <x v="1"/>
    <x v="0"/>
    <x v="139"/>
    <n v="148"/>
    <s v="스테이포에버 2set"/>
    <n v="210207"/>
    <m/>
    <n v="8702400"/>
  </r>
  <r>
    <x v="283"/>
    <x v="2"/>
    <m/>
    <x v="1"/>
    <x v="0"/>
    <x v="140"/>
    <n v="20"/>
    <s v="이그나이트 + 스테이포에버"/>
    <n v="210207"/>
    <m/>
    <n v="1176000"/>
  </r>
  <r>
    <x v="283"/>
    <x v="2"/>
    <m/>
    <x v="0"/>
    <x v="0"/>
    <x v="0"/>
    <n v="10"/>
    <s v="쇼핑백"/>
    <n v="210207"/>
    <m/>
    <n v="20000"/>
  </r>
  <r>
    <x v="283"/>
    <x v="2"/>
    <m/>
    <x v="1"/>
    <x v="0"/>
    <x v="141"/>
    <n v="2"/>
    <s v="이그나이트"/>
    <n v="210207"/>
    <m/>
    <n v="68000"/>
  </r>
  <r>
    <x v="283"/>
    <x v="2"/>
    <m/>
    <x v="1"/>
    <x v="0"/>
    <x v="142"/>
    <n v="1"/>
    <s v="이그나이트 2set"/>
    <n v="210207"/>
    <m/>
    <n v="58800"/>
  </r>
  <r>
    <x v="284"/>
    <x v="5"/>
    <m/>
    <x v="1"/>
    <x v="3"/>
    <x v="150"/>
    <n v="2"/>
    <s v="이그나이트 + 스테이포에버"/>
    <n v="210207"/>
    <m/>
    <n v="117600"/>
  </r>
  <r>
    <x v="284"/>
    <x v="5"/>
    <m/>
    <x v="1"/>
    <x v="3"/>
    <x v="151"/>
    <n v="5"/>
    <s v="스테이포에버 2set"/>
    <n v="210207"/>
    <m/>
    <n v="294000"/>
  </r>
  <r>
    <x v="284"/>
    <x v="5"/>
    <m/>
    <x v="1"/>
    <x v="3"/>
    <x v="159"/>
    <n v="1"/>
    <s v="이그나이트 2set"/>
    <n v="210207"/>
    <m/>
    <n v="58800"/>
  </r>
  <r>
    <x v="284"/>
    <x v="5"/>
    <m/>
    <x v="1"/>
    <x v="3"/>
    <x v="152"/>
    <n v="28"/>
    <s v="스테이포에버"/>
    <n v="210207"/>
    <m/>
    <n v="952000"/>
  </r>
  <r>
    <x v="284"/>
    <x v="5"/>
    <m/>
    <x v="0"/>
    <x v="0"/>
    <x v="148"/>
    <n v="1"/>
    <s v="쇼핑백"/>
    <n v="210207"/>
    <m/>
    <n v="2000"/>
  </r>
  <r>
    <x v="284"/>
    <x v="5"/>
    <m/>
    <x v="1"/>
    <x v="0"/>
    <x v="134"/>
    <n v="3"/>
    <s v="이그나이트"/>
    <n v="210207"/>
    <m/>
    <n v="102000"/>
  </r>
  <r>
    <x v="284"/>
    <x v="5"/>
    <m/>
    <x v="1"/>
    <x v="0"/>
    <x v="145"/>
    <n v="1"/>
    <s v="이그나이트 2set"/>
    <n v="210207"/>
    <m/>
    <n v="58800"/>
  </r>
  <r>
    <x v="284"/>
    <x v="5"/>
    <m/>
    <x v="1"/>
    <x v="0"/>
    <x v="135"/>
    <n v="14"/>
    <s v="스테이포에버"/>
    <n v="210207"/>
    <m/>
    <n v="476000"/>
  </r>
  <r>
    <x v="284"/>
    <x v="5"/>
    <m/>
    <x v="1"/>
    <x v="0"/>
    <x v="136"/>
    <n v="16"/>
    <s v="스테이포에버 2set"/>
    <n v="210207"/>
    <m/>
    <n v="940800"/>
  </r>
  <r>
    <x v="284"/>
    <x v="5"/>
    <m/>
    <x v="1"/>
    <x v="0"/>
    <x v="137"/>
    <n v="17"/>
    <s v="이그나이트 + 스테이포에버"/>
    <n v="210207"/>
    <m/>
    <n v="999600"/>
  </r>
  <r>
    <x v="284"/>
    <x v="5"/>
    <m/>
    <x v="1"/>
    <x v="0"/>
    <x v="138"/>
    <n v="263"/>
    <s v="스테이포에버"/>
    <n v="210207"/>
    <m/>
    <n v="8942000"/>
  </r>
  <r>
    <x v="284"/>
    <x v="5"/>
    <m/>
    <x v="1"/>
    <x v="0"/>
    <x v="139"/>
    <n v="134"/>
    <s v="스테이포에버 2set"/>
    <n v="210207"/>
    <m/>
    <n v="7879200"/>
  </r>
  <r>
    <x v="284"/>
    <x v="5"/>
    <m/>
    <x v="1"/>
    <x v="0"/>
    <x v="140"/>
    <n v="12"/>
    <s v="이그나이트 + 스테이포에버"/>
    <n v="210207"/>
    <m/>
    <n v="705600"/>
  </r>
  <r>
    <x v="284"/>
    <x v="5"/>
    <m/>
    <x v="0"/>
    <x v="0"/>
    <x v="0"/>
    <n v="6"/>
    <s v="쇼핑백"/>
    <n v="210207"/>
    <m/>
    <n v="12000"/>
  </r>
  <r>
    <x v="284"/>
    <x v="5"/>
    <m/>
    <x v="1"/>
    <x v="0"/>
    <x v="141"/>
    <n v="3"/>
    <s v="이그나이트"/>
    <n v="210207"/>
    <m/>
    <n v="102000"/>
  </r>
  <r>
    <x v="284"/>
    <x v="5"/>
    <m/>
    <x v="0"/>
    <x v="0"/>
    <x v="143"/>
    <n v="1"/>
    <s v="쇼핑백"/>
    <n v="210207"/>
    <m/>
    <n v="2000"/>
  </r>
  <r>
    <x v="279"/>
    <x v="0"/>
    <s v="네이버 배너"/>
    <x v="1"/>
    <x v="1"/>
    <x v="1"/>
    <m/>
    <m/>
    <m/>
    <n v="1496918.181818182"/>
    <m/>
  </r>
  <r>
    <x v="280"/>
    <x v="3"/>
    <s v="네이버 배너"/>
    <x v="1"/>
    <x v="1"/>
    <x v="1"/>
    <m/>
    <m/>
    <m/>
    <n v="1331852.727272727"/>
    <m/>
  </r>
  <r>
    <x v="281"/>
    <x v="4"/>
    <s v="네이버 배너"/>
    <x v="1"/>
    <x v="1"/>
    <x v="1"/>
    <m/>
    <m/>
    <m/>
    <n v="1300603.636363636"/>
    <m/>
  </r>
  <r>
    <x v="282"/>
    <x v="1"/>
    <s v="네이버 배너"/>
    <x v="1"/>
    <x v="1"/>
    <x v="1"/>
    <m/>
    <m/>
    <m/>
    <n v="1228050"/>
    <m/>
  </r>
  <r>
    <x v="283"/>
    <x v="2"/>
    <s v="네이버 배너"/>
    <x v="1"/>
    <x v="1"/>
    <x v="1"/>
    <m/>
    <m/>
    <m/>
    <n v="1424686.363636364"/>
    <m/>
  </r>
  <r>
    <x v="284"/>
    <x v="5"/>
    <s v="네이버 배너"/>
    <x v="1"/>
    <x v="1"/>
    <x v="1"/>
    <m/>
    <m/>
    <m/>
    <n v="1407141.818181818"/>
    <m/>
  </r>
  <r>
    <x v="285"/>
    <x v="6"/>
    <s v="페이스북/인스타그램"/>
    <x v="1"/>
    <x v="1"/>
    <x v="1"/>
    <m/>
    <m/>
    <m/>
    <n v="58047"/>
    <m/>
  </r>
  <r>
    <x v="285"/>
    <x v="6"/>
    <s v="페이스북/인스타그램"/>
    <x v="1"/>
    <x v="1"/>
    <x v="1"/>
    <m/>
    <m/>
    <m/>
    <n v="29464"/>
    <m/>
  </r>
  <r>
    <x v="285"/>
    <x v="6"/>
    <s v="페이스북/인스타그램"/>
    <x v="1"/>
    <x v="1"/>
    <x v="1"/>
    <m/>
    <m/>
    <m/>
    <n v="57969"/>
    <m/>
  </r>
  <r>
    <x v="285"/>
    <x v="6"/>
    <s v="페이스북/인스타그램"/>
    <x v="1"/>
    <x v="1"/>
    <x v="1"/>
    <m/>
    <m/>
    <m/>
    <n v="292629"/>
    <m/>
  </r>
  <r>
    <x v="285"/>
    <x v="6"/>
    <s v="페이스북/인스타그램"/>
    <x v="1"/>
    <x v="1"/>
    <x v="1"/>
    <m/>
    <m/>
    <m/>
    <n v="146001"/>
    <m/>
  </r>
  <r>
    <x v="285"/>
    <x v="6"/>
    <s v="페이스북/인스타그램"/>
    <x v="1"/>
    <x v="1"/>
    <x v="1"/>
    <m/>
    <m/>
    <m/>
    <n v="263778"/>
    <m/>
  </r>
  <r>
    <x v="285"/>
    <x v="6"/>
    <s v="페이스북/인스타그램"/>
    <x v="1"/>
    <x v="1"/>
    <x v="1"/>
    <m/>
    <m/>
    <m/>
    <n v="146739"/>
    <m/>
  </r>
  <r>
    <x v="285"/>
    <x v="6"/>
    <s v="페이스북/인스타그램"/>
    <x v="1"/>
    <x v="1"/>
    <x v="1"/>
    <m/>
    <m/>
    <m/>
    <n v="97290"/>
    <m/>
  </r>
  <r>
    <x v="285"/>
    <x v="6"/>
    <s v="페이스북/인스타그램"/>
    <x v="1"/>
    <x v="1"/>
    <x v="1"/>
    <m/>
    <m/>
    <m/>
    <n v="193609"/>
    <m/>
  </r>
  <r>
    <x v="285"/>
    <x v="6"/>
    <s v="페이스북/인스타그램"/>
    <x v="1"/>
    <x v="1"/>
    <x v="1"/>
    <m/>
    <m/>
    <m/>
    <n v="97502"/>
    <m/>
  </r>
  <r>
    <x v="285"/>
    <x v="6"/>
    <s v="페이스북/인스타그램"/>
    <x v="1"/>
    <x v="1"/>
    <x v="1"/>
    <m/>
    <m/>
    <m/>
    <n v="29189"/>
    <m/>
  </r>
  <r>
    <x v="285"/>
    <x v="6"/>
    <s v="페이스북/인스타그램"/>
    <x v="1"/>
    <x v="1"/>
    <x v="1"/>
    <m/>
    <m/>
    <m/>
    <n v="67560"/>
    <m/>
  </r>
  <r>
    <x v="285"/>
    <x v="6"/>
    <s v="페이스북/인스타그램"/>
    <x v="1"/>
    <x v="1"/>
    <x v="1"/>
    <m/>
    <m/>
    <m/>
    <n v="97281"/>
    <m/>
  </r>
  <r>
    <x v="285"/>
    <x v="6"/>
    <s v="페이스북/인스타그램"/>
    <x v="1"/>
    <x v="1"/>
    <x v="1"/>
    <m/>
    <m/>
    <m/>
    <n v="290461"/>
    <m/>
  </r>
  <r>
    <x v="285"/>
    <x v="6"/>
    <s v="페이스북/인스타그램"/>
    <x v="1"/>
    <x v="1"/>
    <x v="1"/>
    <m/>
    <m/>
    <m/>
    <n v="290896"/>
    <m/>
  </r>
  <r>
    <x v="285"/>
    <x v="6"/>
    <s v="페이스북/인스타그램"/>
    <x v="1"/>
    <x v="1"/>
    <x v="1"/>
    <m/>
    <m/>
    <m/>
    <n v="147316"/>
    <m/>
  </r>
  <r>
    <x v="285"/>
    <x v="6"/>
    <s v="페이스북/인스타그램"/>
    <x v="1"/>
    <x v="1"/>
    <x v="1"/>
    <m/>
    <m/>
    <m/>
    <n v="145477"/>
    <m/>
  </r>
  <r>
    <x v="285"/>
    <x v="6"/>
    <s v="페이스북/인스타그램"/>
    <x v="1"/>
    <x v="1"/>
    <x v="1"/>
    <m/>
    <m/>
    <m/>
    <n v="146935"/>
    <m/>
  </r>
  <r>
    <x v="285"/>
    <x v="6"/>
    <s v="유튜브 광고"/>
    <x v="1"/>
    <x v="1"/>
    <x v="1"/>
    <m/>
    <m/>
    <m/>
    <n v="30948"/>
    <m/>
  </r>
  <r>
    <x v="285"/>
    <x v="6"/>
    <s v="유튜브 광고"/>
    <x v="1"/>
    <x v="1"/>
    <x v="1"/>
    <m/>
    <m/>
    <m/>
    <n v="31149"/>
    <m/>
  </r>
  <r>
    <x v="285"/>
    <x v="6"/>
    <s v="유튜브 광고"/>
    <x v="1"/>
    <x v="1"/>
    <x v="1"/>
    <m/>
    <m/>
    <m/>
    <n v="519488"/>
    <m/>
  </r>
  <r>
    <x v="285"/>
    <x v="6"/>
    <s v="유튜브 광고"/>
    <x v="1"/>
    <x v="1"/>
    <x v="1"/>
    <m/>
    <m/>
    <m/>
    <n v="513409"/>
    <m/>
  </r>
  <r>
    <x v="285"/>
    <x v="6"/>
    <s v="유튜브 광고"/>
    <x v="1"/>
    <x v="1"/>
    <x v="1"/>
    <m/>
    <m/>
    <m/>
    <n v="520896"/>
    <m/>
  </r>
  <r>
    <x v="285"/>
    <x v="6"/>
    <s v="유튜브 광고"/>
    <x v="1"/>
    <x v="1"/>
    <x v="1"/>
    <m/>
    <m/>
    <m/>
    <n v="28922"/>
    <m/>
  </r>
  <r>
    <x v="285"/>
    <x v="6"/>
    <s v="유튜브 광고"/>
    <x v="1"/>
    <x v="1"/>
    <x v="1"/>
    <m/>
    <m/>
    <m/>
    <n v="224026"/>
    <m/>
  </r>
  <r>
    <x v="285"/>
    <x v="6"/>
    <s v="유튜브 광고"/>
    <x v="1"/>
    <x v="1"/>
    <x v="1"/>
    <m/>
    <m/>
    <m/>
    <n v="194496"/>
    <m/>
  </r>
  <r>
    <x v="285"/>
    <x v="6"/>
    <s v="유튜브 광고"/>
    <x v="1"/>
    <x v="1"/>
    <x v="1"/>
    <m/>
    <m/>
    <m/>
    <n v="103852"/>
    <m/>
  </r>
  <r>
    <x v="285"/>
    <x v="6"/>
    <s v="유튜브 광고"/>
    <x v="1"/>
    <x v="1"/>
    <x v="1"/>
    <m/>
    <m/>
    <m/>
    <n v="259936"/>
    <m/>
  </r>
  <r>
    <x v="285"/>
    <x v="6"/>
    <s v="네이버 쇼핑검색"/>
    <x v="1"/>
    <x v="1"/>
    <x v="1"/>
    <m/>
    <m/>
    <m/>
    <n v="1920"/>
    <m/>
  </r>
  <r>
    <x v="285"/>
    <x v="6"/>
    <s v="네이버 쇼핑검색"/>
    <x v="1"/>
    <x v="1"/>
    <x v="1"/>
    <m/>
    <m/>
    <m/>
    <n v="127820"/>
    <m/>
  </r>
  <r>
    <x v="285"/>
    <x v="6"/>
    <s v="네이버 쇼핑검색"/>
    <x v="1"/>
    <x v="1"/>
    <x v="1"/>
    <m/>
    <m/>
    <m/>
    <n v="2830"/>
    <m/>
  </r>
  <r>
    <x v="285"/>
    <x v="6"/>
    <s v="네이버 브랜드검색"/>
    <x v="3"/>
    <x v="1"/>
    <x v="1"/>
    <m/>
    <m/>
    <m/>
    <n v="140000"/>
    <m/>
  </r>
  <r>
    <x v="285"/>
    <x v="6"/>
    <m/>
    <x v="1"/>
    <x v="4"/>
    <x v="158"/>
    <n v="2"/>
    <s v="이그나이트"/>
    <s v="210207"/>
    <m/>
    <n v="68000"/>
  </r>
  <r>
    <x v="285"/>
    <x v="6"/>
    <m/>
    <x v="1"/>
    <x v="4"/>
    <x v="155"/>
    <n v="16"/>
    <s v="스테이포에버"/>
    <s v="210207"/>
    <m/>
    <n v="544000"/>
  </r>
  <r>
    <x v="285"/>
    <x v="6"/>
    <m/>
    <x v="1"/>
    <x v="3"/>
    <x v="153"/>
    <n v="1"/>
    <s v="스테이포에버"/>
    <s v="210207"/>
    <m/>
    <n v="34000"/>
  </r>
  <r>
    <x v="285"/>
    <x v="6"/>
    <m/>
    <x v="1"/>
    <x v="3"/>
    <x v="150"/>
    <n v="2"/>
    <s v="이그나이트 + 스테이포에버"/>
    <s v="210207"/>
    <m/>
    <n v="117600"/>
  </r>
  <r>
    <x v="285"/>
    <x v="6"/>
    <m/>
    <x v="1"/>
    <x v="3"/>
    <x v="151"/>
    <n v="2"/>
    <s v="스테이포에버 2set"/>
    <s v="210207"/>
    <m/>
    <n v="117600"/>
  </r>
  <r>
    <x v="285"/>
    <x v="6"/>
    <m/>
    <x v="1"/>
    <x v="3"/>
    <x v="152"/>
    <n v="22"/>
    <s v="스테이포에버"/>
    <s v="210207"/>
    <m/>
    <n v="748000"/>
  </r>
  <r>
    <x v="285"/>
    <x v="6"/>
    <m/>
    <x v="1"/>
    <x v="2"/>
    <x v="41"/>
    <n v="1"/>
    <s v="스테이포에버"/>
    <s v="210207"/>
    <m/>
    <n v="0"/>
  </r>
  <r>
    <x v="285"/>
    <x v="6"/>
    <m/>
    <x v="0"/>
    <x v="0"/>
    <x v="148"/>
    <n v="4"/>
    <s v="쇼핑백"/>
    <s v="210207"/>
    <m/>
    <n v="8000"/>
  </r>
  <r>
    <x v="285"/>
    <x v="6"/>
    <m/>
    <x v="1"/>
    <x v="0"/>
    <x v="135"/>
    <n v="3"/>
    <s v="스테이포에버"/>
    <s v="210207"/>
    <m/>
    <n v="102000"/>
  </r>
  <r>
    <x v="285"/>
    <x v="6"/>
    <m/>
    <x v="1"/>
    <x v="0"/>
    <x v="136"/>
    <n v="9"/>
    <s v="스테이포에버 2set"/>
    <s v="210207"/>
    <m/>
    <n v="529200"/>
  </r>
  <r>
    <x v="285"/>
    <x v="6"/>
    <m/>
    <x v="1"/>
    <x v="0"/>
    <x v="137"/>
    <n v="16"/>
    <s v="이그나이트 + 스테이포에버"/>
    <s v="210207"/>
    <m/>
    <n v="940800"/>
  </r>
  <r>
    <x v="285"/>
    <x v="6"/>
    <m/>
    <x v="1"/>
    <x v="0"/>
    <x v="144"/>
    <n v="1"/>
    <s v="이그나이트 + 스테이포에버"/>
    <s v="210207"/>
    <m/>
    <n v="58800"/>
  </r>
  <r>
    <x v="285"/>
    <x v="6"/>
    <m/>
    <x v="1"/>
    <x v="0"/>
    <x v="138"/>
    <n v="171"/>
    <s v="스테이포에버"/>
    <s v="210207"/>
    <m/>
    <n v="5814000"/>
  </r>
  <r>
    <x v="285"/>
    <x v="6"/>
    <m/>
    <x v="1"/>
    <x v="0"/>
    <x v="139"/>
    <n v="99"/>
    <s v="스테이포에버 2set"/>
    <s v="210207"/>
    <m/>
    <n v="5821200"/>
  </r>
  <r>
    <x v="285"/>
    <x v="6"/>
    <m/>
    <x v="1"/>
    <x v="0"/>
    <x v="140"/>
    <n v="8"/>
    <s v="이그나이트 + 스테이포에버"/>
    <s v="210207"/>
    <m/>
    <n v="470400"/>
  </r>
  <r>
    <x v="285"/>
    <x v="6"/>
    <m/>
    <x v="0"/>
    <x v="0"/>
    <x v="0"/>
    <n v="4"/>
    <s v="쇼핑백"/>
    <s v="210207"/>
    <m/>
    <n v="8000"/>
  </r>
  <r>
    <x v="285"/>
    <x v="6"/>
    <m/>
    <x v="1"/>
    <x v="0"/>
    <x v="141"/>
    <n v="2"/>
    <s v="이그나이트"/>
    <s v="210207"/>
    <m/>
    <n v="68000"/>
  </r>
  <r>
    <x v="285"/>
    <x v="6"/>
    <m/>
    <x v="1"/>
    <x v="0"/>
    <x v="142"/>
    <n v="1"/>
    <s v="이그나이트 2set"/>
    <s v="210207"/>
    <m/>
    <n v="58800"/>
  </r>
  <r>
    <x v="285"/>
    <x v="6"/>
    <s v="네이버 배너"/>
    <x v="1"/>
    <x v="1"/>
    <x v="1"/>
    <m/>
    <m/>
    <m/>
    <n v="31443.63636363636"/>
    <m/>
  </r>
  <r>
    <x v="285"/>
    <x v="6"/>
    <s v="네이버 배너"/>
    <x v="1"/>
    <x v="1"/>
    <x v="1"/>
    <m/>
    <m/>
    <m/>
    <n v="1295517.272727273"/>
    <m/>
  </r>
  <r>
    <x v="285"/>
    <x v="6"/>
    <s v="카카오 배너"/>
    <x v="1"/>
    <x v="1"/>
    <x v="1"/>
    <m/>
    <m/>
    <m/>
    <n v="91069.99999999999"/>
    <m/>
  </r>
  <r>
    <x v="285"/>
    <x v="6"/>
    <s v="카카오 배너"/>
    <x v="1"/>
    <x v="1"/>
    <x v="1"/>
    <m/>
    <m/>
    <m/>
    <n v="591670"/>
    <m/>
  </r>
  <r>
    <x v="285"/>
    <x v="6"/>
    <s v="네이버 배너(대행사)"/>
    <x v="1"/>
    <x v="1"/>
    <x v="1"/>
    <m/>
    <m/>
    <m/>
    <n v="440830.9090909091"/>
    <m/>
  </r>
  <r>
    <x v="286"/>
    <x v="0"/>
    <s v="페이스북/인스타그램"/>
    <x v="1"/>
    <x v="1"/>
    <x v="1"/>
    <m/>
    <m/>
    <m/>
    <n v="35889"/>
    <m/>
  </r>
  <r>
    <x v="286"/>
    <x v="0"/>
    <s v="페이스북/인스타그램"/>
    <x v="1"/>
    <x v="1"/>
    <x v="1"/>
    <m/>
    <m/>
    <m/>
    <n v="17601"/>
    <m/>
  </r>
  <r>
    <x v="286"/>
    <x v="0"/>
    <s v="페이스북/인스타그램"/>
    <x v="1"/>
    <x v="1"/>
    <x v="1"/>
    <m/>
    <m/>
    <m/>
    <n v="58989"/>
    <m/>
  </r>
  <r>
    <x v="286"/>
    <x v="0"/>
    <s v="페이스북/인스타그램"/>
    <x v="1"/>
    <x v="1"/>
    <x v="160"/>
    <m/>
    <m/>
    <m/>
    <n v="29876"/>
    <m/>
  </r>
  <r>
    <x v="286"/>
    <x v="0"/>
    <s v="페이스북/인스타그램"/>
    <x v="1"/>
    <x v="1"/>
    <x v="1"/>
    <m/>
    <m/>
    <m/>
    <n v="59588"/>
    <m/>
  </r>
  <r>
    <x v="286"/>
    <x v="0"/>
    <s v="페이스북/인스타그램"/>
    <x v="1"/>
    <x v="1"/>
    <x v="1"/>
    <m/>
    <m/>
    <m/>
    <n v="236425"/>
    <m/>
  </r>
  <r>
    <x v="286"/>
    <x v="0"/>
    <s v="페이스북/인스타그램"/>
    <x v="1"/>
    <x v="1"/>
    <x v="1"/>
    <m/>
    <m/>
    <m/>
    <n v="161677"/>
    <m/>
  </r>
  <r>
    <x v="286"/>
    <x v="0"/>
    <s v="페이스북/인스타그램"/>
    <x v="1"/>
    <x v="1"/>
    <x v="1"/>
    <m/>
    <m/>
    <m/>
    <n v="223595"/>
    <m/>
  </r>
  <r>
    <x v="286"/>
    <x v="0"/>
    <s v="페이스북/인스타그램"/>
    <x v="1"/>
    <x v="1"/>
    <x v="1"/>
    <m/>
    <m/>
    <m/>
    <n v="159619"/>
    <m/>
  </r>
  <r>
    <x v="286"/>
    <x v="0"/>
    <s v="페이스북/인스타그램"/>
    <x v="1"/>
    <x v="1"/>
    <x v="1"/>
    <m/>
    <m/>
    <m/>
    <n v="99299"/>
    <m/>
  </r>
  <r>
    <x v="286"/>
    <x v="0"/>
    <s v="페이스북/인스타그램"/>
    <x v="1"/>
    <x v="1"/>
    <x v="1"/>
    <m/>
    <m/>
    <m/>
    <n v="199293"/>
    <m/>
  </r>
  <r>
    <x v="286"/>
    <x v="0"/>
    <s v="페이스북/인스타그램"/>
    <x v="1"/>
    <x v="1"/>
    <x v="1"/>
    <m/>
    <m/>
    <m/>
    <n v="100790"/>
    <m/>
  </r>
  <r>
    <x v="286"/>
    <x v="0"/>
    <s v="페이스북/인스타그램"/>
    <x v="1"/>
    <x v="1"/>
    <x v="1"/>
    <m/>
    <m/>
    <m/>
    <n v="30530"/>
    <m/>
  </r>
  <r>
    <x v="286"/>
    <x v="0"/>
    <s v="페이스북/인스타그램"/>
    <x v="1"/>
    <x v="1"/>
    <x v="1"/>
    <m/>
    <m/>
    <m/>
    <n v="68878"/>
    <m/>
  </r>
  <r>
    <x v="286"/>
    <x v="0"/>
    <s v="페이스북/인스타그램"/>
    <x v="1"/>
    <x v="1"/>
    <x v="1"/>
    <m/>
    <m/>
    <m/>
    <n v="129485"/>
    <m/>
  </r>
  <r>
    <x v="286"/>
    <x v="0"/>
    <s v="페이스북/인스타그램"/>
    <x v="1"/>
    <x v="1"/>
    <x v="1"/>
    <m/>
    <m/>
    <m/>
    <n v="299152"/>
    <m/>
  </r>
  <r>
    <x v="286"/>
    <x v="0"/>
    <s v="페이스북/인스타그램"/>
    <x v="1"/>
    <x v="1"/>
    <x v="1"/>
    <m/>
    <m/>
    <m/>
    <n v="245260"/>
    <m/>
  </r>
  <r>
    <x v="286"/>
    <x v="0"/>
    <s v="페이스북/인스타그램"/>
    <x v="1"/>
    <x v="1"/>
    <x v="1"/>
    <m/>
    <m/>
    <m/>
    <n v="150012"/>
    <m/>
  </r>
  <r>
    <x v="286"/>
    <x v="0"/>
    <s v="페이스북/인스타그램"/>
    <x v="1"/>
    <x v="1"/>
    <x v="1"/>
    <m/>
    <m/>
    <m/>
    <n v="149196"/>
    <m/>
  </r>
  <r>
    <x v="286"/>
    <x v="0"/>
    <s v="페이스북/인스타그램"/>
    <x v="1"/>
    <x v="1"/>
    <x v="1"/>
    <m/>
    <m/>
    <m/>
    <n v="149366"/>
    <m/>
  </r>
  <r>
    <x v="286"/>
    <x v="0"/>
    <s v="유튜브 광고"/>
    <x v="1"/>
    <x v="1"/>
    <x v="1"/>
    <m/>
    <m/>
    <m/>
    <n v="9533"/>
    <m/>
  </r>
  <r>
    <x v="286"/>
    <x v="0"/>
    <s v="유튜브 광고"/>
    <x v="1"/>
    <x v="1"/>
    <x v="1"/>
    <m/>
    <m/>
    <m/>
    <n v="45073"/>
    <m/>
  </r>
  <r>
    <x v="286"/>
    <x v="0"/>
    <s v="유튜브 광고"/>
    <x v="1"/>
    <x v="1"/>
    <x v="1"/>
    <m/>
    <m/>
    <m/>
    <n v="511982"/>
    <m/>
  </r>
  <r>
    <x v="286"/>
    <x v="0"/>
    <s v="유튜브 광고"/>
    <x v="1"/>
    <x v="1"/>
    <x v="1"/>
    <m/>
    <m/>
    <m/>
    <n v="489613"/>
    <m/>
  </r>
  <r>
    <x v="286"/>
    <x v="0"/>
    <s v="유튜브 광고"/>
    <x v="1"/>
    <x v="1"/>
    <x v="1"/>
    <m/>
    <m/>
    <m/>
    <n v="514141"/>
    <m/>
  </r>
  <r>
    <x v="286"/>
    <x v="0"/>
    <s v="유튜브 광고"/>
    <x v="1"/>
    <x v="1"/>
    <x v="1"/>
    <m/>
    <m/>
    <m/>
    <n v="10114"/>
    <m/>
  </r>
  <r>
    <x v="286"/>
    <x v="0"/>
    <s v="유튜브 광고"/>
    <x v="1"/>
    <x v="1"/>
    <x v="1"/>
    <m/>
    <m/>
    <m/>
    <n v="284226"/>
    <m/>
  </r>
  <r>
    <x v="286"/>
    <x v="0"/>
    <s v="유튜브 광고"/>
    <x v="1"/>
    <x v="1"/>
    <x v="1"/>
    <m/>
    <m/>
    <m/>
    <n v="200533"/>
    <m/>
  </r>
  <r>
    <x v="286"/>
    <x v="0"/>
    <s v="유튜브 광고"/>
    <x v="1"/>
    <x v="1"/>
    <x v="1"/>
    <m/>
    <m/>
    <m/>
    <n v="102508"/>
    <m/>
  </r>
  <r>
    <x v="286"/>
    <x v="0"/>
    <s v="유튜브 광고"/>
    <x v="1"/>
    <x v="1"/>
    <x v="1"/>
    <m/>
    <m/>
    <m/>
    <n v="257229"/>
    <m/>
  </r>
  <r>
    <x v="286"/>
    <x v="0"/>
    <s v="유튜브 광고"/>
    <x v="1"/>
    <x v="1"/>
    <x v="1"/>
    <m/>
    <m/>
    <m/>
    <n v="104005"/>
    <m/>
  </r>
  <r>
    <x v="286"/>
    <x v="0"/>
    <s v="네이버 쇼핑검색"/>
    <x v="1"/>
    <x v="1"/>
    <x v="1"/>
    <m/>
    <m/>
    <m/>
    <n v="1680"/>
    <m/>
  </r>
  <r>
    <x v="286"/>
    <x v="0"/>
    <s v="네이버 쇼핑검색"/>
    <x v="1"/>
    <x v="1"/>
    <x v="1"/>
    <m/>
    <m/>
    <m/>
    <n v="111530"/>
    <m/>
  </r>
  <r>
    <x v="286"/>
    <x v="0"/>
    <s v="네이버 쇼핑검색"/>
    <x v="1"/>
    <x v="1"/>
    <x v="1"/>
    <m/>
    <m/>
    <m/>
    <n v="1400"/>
    <m/>
  </r>
  <r>
    <x v="286"/>
    <x v="0"/>
    <s v="네이버 브랜드검색"/>
    <x v="3"/>
    <x v="1"/>
    <x v="1"/>
    <m/>
    <m/>
    <m/>
    <n v="140000"/>
    <m/>
  </r>
  <r>
    <x v="286"/>
    <x v="0"/>
    <m/>
    <x v="1"/>
    <x v="4"/>
    <x v="155"/>
    <n v="6"/>
    <s v="스테이포에버"/>
    <s v="210207"/>
    <m/>
    <n v="204000"/>
  </r>
  <r>
    <x v="286"/>
    <x v="0"/>
    <m/>
    <x v="1"/>
    <x v="4"/>
    <x v="157"/>
    <n v="2"/>
    <s v="이그나이트 + 스테이포에버"/>
    <s v="210207"/>
    <m/>
    <n v="117600"/>
  </r>
  <r>
    <x v="286"/>
    <x v="0"/>
    <m/>
    <x v="1"/>
    <x v="3"/>
    <x v="150"/>
    <n v="2"/>
    <s v="이그나이트 + 스테이포에버"/>
    <s v="210207"/>
    <m/>
    <n v="117600"/>
  </r>
  <r>
    <x v="286"/>
    <x v="0"/>
    <m/>
    <x v="1"/>
    <x v="3"/>
    <x v="151"/>
    <n v="2"/>
    <s v="스테이포에버 2set"/>
    <s v="210207"/>
    <m/>
    <n v="117600"/>
  </r>
  <r>
    <x v="286"/>
    <x v="0"/>
    <m/>
    <x v="1"/>
    <x v="3"/>
    <x v="152"/>
    <n v="30"/>
    <s v="스테이포에버"/>
    <s v="210207"/>
    <m/>
    <n v="1020000"/>
  </r>
  <r>
    <x v="286"/>
    <x v="0"/>
    <m/>
    <x v="1"/>
    <x v="0"/>
    <x v="135"/>
    <n v="3"/>
    <s v="스테이포에버"/>
    <s v="210207"/>
    <m/>
    <n v="102000"/>
  </r>
  <r>
    <x v="286"/>
    <x v="0"/>
    <m/>
    <x v="1"/>
    <x v="0"/>
    <x v="136"/>
    <n v="1"/>
    <s v="스테이포에버 2set"/>
    <s v="210207"/>
    <m/>
    <n v="58800"/>
  </r>
  <r>
    <x v="286"/>
    <x v="0"/>
    <m/>
    <x v="1"/>
    <x v="0"/>
    <x v="137"/>
    <n v="12"/>
    <s v="이그나이트 + 스테이포에버"/>
    <s v="210207"/>
    <m/>
    <n v="705600"/>
  </r>
  <r>
    <x v="286"/>
    <x v="0"/>
    <m/>
    <x v="1"/>
    <x v="0"/>
    <x v="144"/>
    <n v="2"/>
    <s v="이그나이트 + 스테이포에버"/>
    <s v="210207"/>
    <m/>
    <n v="117600"/>
  </r>
  <r>
    <x v="286"/>
    <x v="0"/>
    <m/>
    <x v="1"/>
    <x v="0"/>
    <x v="138"/>
    <n v="161"/>
    <s v="스테이포에버"/>
    <s v="210207"/>
    <m/>
    <n v="5474000"/>
  </r>
  <r>
    <x v="286"/>
    <x v="0"/>
    <m/>
    <x v="1"/>
    <x v="0"/>
    <x v="139"/>
    <n v="86"/>
    <s v="스테이포에버 2set"/>
    <s v="210207"/>
    <m/>
    <n v="5056800"/>
  </r>
  <r>
    <x v="286"/>
    <x v="0"/>
    <m/>
    <x v="1"/>
    <x v="0"/>
    <x v="140"/>
    <n v="6"/>
    <s v="이그나이트 + 스테이포에버"/>
    <s v="210207"/>
    <m/>
    <n v="352800"/>
  </r>
  <r>
    <x v="286"/>
    <x v="0"/>
    <m/>
    <x v="0"/>
    <x v="0"/>
    <x v="0"/>
    <n v="6"/>
    <s v="쇼핑백"/>
    <s v="210207"/>
    <m/>
    <n v="12000"/>
  </r>
  <r>
    <x v="286"/>
    <x v="0"/>
    <m/>
    <x v="1"/>
    <x v="0"/>
    <x v="141"/>
    <n v="1"/>
    <s v="이그나이트"/>
    <s v="210207"/>
    <m/>
    <n v="34000"/>
  </r>
  <r>
    <x v="286"/>
    <x v="0"/>
    <s v="네이버 배너"/>
    <x v="1"/>
    <x v="1"/>
    <x v="1"/>
    <m/>
    <m/>
    <m/>
    <n v="30398.18181818182"/>
    <m/>
  </r>
  <r>
    <x v="286"/>
    <x v="0"/>
    <s v="네이버 배너"/>
    <x v="1"/>
    <x v="1"/>
    <x v="1"/>
    <m/>
    <m/>
    <m/>
    <n v="1064410"/>
    <m/>
  </r>
  <r>
    <x v="286"/>
    <x v="0"/>
    <s v="네이버 배너(대행사)"/>
    <x v="1"/>
    <x v="1"/>
    <x v="1"/>
    <m/>
    <m/>
    <m/>
    <n v="657521.8181818181"/>
    <m/>
  </r>
  <r>
    <x v="286"/>
    <x v="0"/>
    <s v="카카오 배너"/>
    <x v="1"/>
    <x v="1"/>
    <x v="1"/>
    <m/>
    <m/>
    <m/>
    <n v="109730"/>
    <m/>
  </r>
  <r>
    <x v="286"/>
    <x v="0"/>
    <s v="카카오 배너"/>
    <x v="1"/>
    <x v="1"/>
    <x v="1"/>
    <m/>
    <m/>
    <m/>
    <n v="787519.9999999999"/>
    <m/>
  </r>
  <r>
    <x v="286"/>
    <x v="0"/>
    <s v="카카오 배너"/>
    <x v="1"/>
    <x v="1"/>
    <x v="1"/>
    <m/>
    <m/>
    <m/>
    <n v="0"/>
    <m/>
  </r>
  <r>
    <x v="286"/>
    <x v="0"/>
    <s v="카카오 배너"/>
    <x v="1"/>
    <x v="1"/>
    <x v="1"/>
    <m/>
    <m/>
    <m/>
    <n v="0"/>
    <m/>
  </r>
  <r>
    <x v="287"/>
    <x v="3"/>
    <s v="페이스북/인스타그램"/>
    <x v="1"/>
    <x v="1"/>
    <x v="1"/>
    <m/>
    <m/>
    <m/>
    <n v="18325"/>
    <m/>
  </r>
  <r>
    <x v="287"/>
    <x v="3"/>
    <s v="페이스북/인스타그램"/>
    <x v="1"/>
    <x v="1"/>
    <x v="1"/>
    <m/>
    <m/>
    <m/>
    <n v="98897"/>
    <m/>
  </r>
  <r>
    <x v="287"/>
    <x v="3"/>
    <s v="페이스북/인스타그램"/>
    <x v="1"/>
    <x v="1"/>
    <x v="1"/>
    <m/>
    <m/>
    <m/>
    <n v="48834"/>
    <m/>
  </r>
  <r>
    <x v="287"/>
    <x v="3"/>
    <s v="페이스북/인스타그램"/>
    <x v="1"/>
    <x v="1"/>
    <x v="1"/>
    <m/>
    <m/>
    <m/>
    <n v="59122"/>
    <m/>
  </r>
  <r>
    <x v="287"/>
    <x v="3"/>
    <s v="페이스북/인스타그램"/>
    <x v="1"/>
    <x v="1"/>
    <x v="1"/>
    <m/>
    <m/>
    <m/>
    <n v="29275"/>
    <m/>
  </r>
  <r>
    <x v="287"/>
    <x v="3"/>
    <s v="페이스북/인스타그램"/>
    <x v="1"/>
    <x v="1"/>
    <x v="1"/>
    <m/>
    <m/>
    <m/>
    <n v="60592"/>
    <m/>
  </r>
  <r>
    <x v="287"/>
    <x v="3"/>
    <s v="페이스북/인스타그램"/>
    <x v="1"/>
    <x v="1"/>
    <x v="1"/>
    <m/>
    <m/>
    <m/>
    <n v="198235"/>
    <m/>
  </r>
  <r>
    <x v="287"/>
    <x v="3"/>
    <s v="페이스북/인스타그램"/>
    <x v="1"/>
    <x v="1"/>
    <x v="1"/>
    <m/>
    <m/>
    <m/>
    <n v="153652"/>
    <m/>
  </r>
  <r>
    <x v="287"/>
    <x v="3"/>
    <s v="페이스북/인스타그램"/>
    <x v="1"/>
    <x v="1"/>
    <x v="1"/>
    <m/>
    <m/>
    <m/>
    <n v="179064"/>
    <m/>
  </r>
  <r>
    <x v="287"/>
    <x v="3"/>
    <s v="페이스북/인스타그램"/>
    <x v="1"/>
    <x v="1"/>
    <x v="1"/>
    <m/>
    <m/>
    <m/>
    <n v="194974"/>
    <m/>
  </r>
  <r>
    <x v="287"/>
    <x v="3"/>
    <s v="페이스북/인스타그램"/>
    <x v="1"/>
    <x v="1"/>
    <x v="1"/>
    <m/>
    <m/>
    <m/>
    <n v="100115"/>
    <m/>
  </r>
  <r>
    <x v="287"/>
    <x v="3"/>
    <s v="페이스북/인스타그램"/>
    <x v="1"/>
    <x v="1"/>
    <x v="1"/>
    <m/>
    <m/>
    <m/>
    <n v="197334"/>
    <m/>
  </r>
  <r>
    <x v="287"/>
    <x v="3"/>
    <s v="페이스북/인스타그램"/>
    <x v="1"/>
    <x v="1"/>
    <x v="1"/>
    <m/>
    <m/>
    <m/>
    <n v="100020"/>
    <m/>
  </r>
  <r>
    <x v="287"/>
    <x v="3"/>
    <s v="페이스북/인스타그램"/>
    <x v="1"/>
    <x v="1"/>
    <x v="1"/>
    <m/>
    <m/>
    <m/>
    <n v="42120"/>
    <m/>
  </r>
  <r>
    <x v="287"/>
    <x v="3"/>
    <s v="페이스북/인스타그램"/>
    <x v="1"/>
    <x v="1"/>
    <x v="1"/>
    <m/>
    <m/>
    <m/>
    <n v="70737"/>
    <m/>
  </r>
  <r>
    <x v="287"/>
    <x v="3"/>
    <s v="페이스북/인스타그램"/>
    <x v="1"/>
    <x v="1"/>
    <x v="1"/>
    <m/>
    <m/>
    <m/>
    <n v="143787"/>
    <m/>
  </r>
  <r>
    <x v="287"/>
    <x v="3"/>
    <s v="페이스북/인스타그램"/>
    <x v="1"/>
    <x v="1"/>
    <x v="1"/>
    <m/>
    <m/>
    <m/>
    <n v="297066"/>
    <m/>
  </r>
  <r>
    <x v="287"/>
    <x v="3"/>
    <s v="페이스북/인스타그램"/>
    <x v="1"/>
    <x v="1"/>
    <x v="1"/>
    <m/>
    <m/>
    <m/>
    <n v="198292"/>
    <m/>
  </r>
  <r>
    <x v="287"/>
    <x v="3"/>
    <s v="페이스북/인스타그램"/>
    <x v="1"/>
    <x v="1"/>
    <x v="1"/>
    <m/>
    <m/>
    <m/>
    <n v="150554"/>
    <m/>
  </r>
  <r>
    <x v="287"/>
    <x v="3"/>
    <s v="페이스북/인스타그램"/>
    <x v="1"/>
    <x v="1"/>
    <x v="1"/>
    <m/>
    <m/>
    <m/>
    <n v="147495"/>
    <m/>
  </r>
  <r>
    <x v="287"/>
    <x v="3"/>
    <s v="페이스북/인스타그램"/>
    <x v="1"/>
    <x v="1"/>
    <x v="1"/>
    <m/>
    <m/>
    <m/>
    <n v="150875"/>
    <m/>
  </r>
  <r>
    <x v="287"/>
    <x v="3"/>
    <s v="유튜브 광고"/>
    <x v="1"/>
    <x v="1"/>
    <x v="1"/>
    <m/>
    <m/>
    <m/>
    <n v="6500"/>
    <m/>
  </r>
  <r>
    <x v="287"/>
    <x v="3"/>
    <s v="유튜브 광고"/>
    <x v="1"/>
    <x v="1"/>
    <x v="1"/>
    <m/>
    <m/>
    <m/>
    <n v="42216"/>
    <m/>
  </r>
  <r>
    <x v="287"/>
    <x v="3"/>
    <s v="유튜브 광고"/>
    <x v="1"/>
    <x v="1"/>
    <x v="1"/>
    <m/>
    <m/>
    <m/>
    <n v="296590"/>
    <m/>
  </r>
  <r>
    <x v="287"/>
    <x v="3"/>
    <s v="유튜브 광고"/>
    <x v="1"/>
    <x v="1"/>
    <x v="1"/>
    <m/>
    <m/>
    <m/>
    <n v="463847"/>
    <m/>
  </r>
  <r>
    <x v="287"/>
    <x v="3"/>
    <s v="유튜브 광고"/>
    <x v="1"/>
    <x v="1"/>
    <x v="1"/>
    <m/>
    <m/>
    <m/>
    <n v="306111"/>
    <m/>
  </r>
  <r>
    <x v="287"/>
    <x v="3"/>
    <s v="유튜브 광고"/>
    <x v="1"/>
    <x v="1"/>
    <x v="1"/>
    <m/>
    <m/>
    <m/>
    <n v="37148"/>
    <m/>
  </r>
  <r>
    <x v="287"/>
    <x v="3"/>
    <s v="유튜브 광고"/>
    <x v="1"/>
    <x v="1"/>
    <x v="1"/>
    <m/>
    <m/>
    <m/>
    <n v="129891"/>
    <m/>
  </r>
  <r>
    <x v="287"/>
    <x v="3"/>
    <s v="유튜브 광고"/>
    <x v="1"/>
    <x v="1"/>
    <x v="1"/>
    <m/>
    <m/>
    <m/>
    <n v="97350"/>
    <m/>
  </r>
  <r>
    <x v="287"/>
    <x v="3"/>
    <s v="유튜브 광고"/>
    <x v="1"/>
    <x v="1"/>
    <x v="1"/>
    <m/>
    <m/>
    <m/>
    <n v="98708"/>
    <m/>
  </r>
  <r>
    <x v="287"/>
    <x v="3"/>
    <s v="유튜브 광고"/>
    <x v="1"/>
    <x v="1"/>
    <x v="1"/>
    <m/>
    <m/>
    <m/>
    <n v="102015"/>
    <m/>
  </r>
  <r>
    <x v="287"/>
    <x v="3"/>
    <s v="유튜브 광고"/>
    <x v="1"/>
    <x v="1"/>
    <x v="1"/>
    <m/>
    <m/>
    <m/>
    <n v="101823"/>
    <m/>
  </r>
  <r>
    <x v="287"/>
    <x v="3"/>
    <s v="네이버 쇼핑검색"/>
    <x v="1"/>
    <x v="1"/>
    <x v="1"/>
    <m/>
    <m/>
    <m/>
    <n v="1270"/>
    <m/>
  </r>
  <r>
    <x v="287"/>
    <x v="3"/>
    <s v="네이버 쇼핑검색"/>
    <x v="1"/>
    <x v="1"/>
    <x v="1"/>
    <m/>
    <m/>
    <m/>
    <n v="109490"/>
    <m/>
  </r>
  <r>
    <x v="287"/>
    <x v="3"/>
    <s v="네이버 쇼핑검색"/>
    <x v="1"/>
    <x v="1"/>
    <x v="1"/>
    <m/>
    <m/>
    <m/>
    <n v="2540"/>
    <m/>
  </r>
  <r>
    <x v="287"/>
    <x v="3"/>
    <s v="네이버 브랜드검색"/>
    <x v="3"/>
    <x v="1"/>
    <x v="1"/>
    <m/>
    <m/>
    <m/>
    <n v="140000"/>
    <m/>
  </r>
  <r>
    <x v="287"/>
    <x v="3"/>
    <m/>
    <x v="1"/>
    <x v="4"/>
    <x v="155"/>
    <n v="7"/>
    <s v="스테이포에버"/>
    <s v="210207"/>
    <m/>
    <n v="238000"/>
  </r>
  <r>
    <x v="287"/>
    <x v="3"/>
    <m/>
    <x v="1"/>
    <x v="4"/>
    <x v="157"/>
    <n v="1"/>
    <s v="이그나이트 + 스테이포에버"/>
    <s v="210207"/>
    <m/>
    <n v="58800"/>
  </r>
  <r>
    <x v="287"/>
    <x v="3"/>
    <m/>
    <x v="1"/>
    <x v="3"/>
    <x v="153"/>
    <n v="1"/>
    <s v="스테이포에버"/>
    <s v="210207"/>
    <m/>
    <n v="34000"/>
  </r>
  <r>
    <x v="287"/>
    <x v="3"/>
    <m/>
    <x v="1"/>
    <x v="3"/>
    <x v="150"/>
    <n v="1"/>
    <s v="이그나이트 + 스테이포에버"/>
    <s v="210207"/>
    <m/>
    <n v="58800"/>
  </r>
  <r>
    <x v="287"/>
    <x v="3"/>
    <m/>
    <x v="1"/>
    <x v="3"/>
    <x v="151"/>
    <n v="3"/>
    <s v="스테이포에버 2set"/>
    <s v="210207"/>
    <m/>
    <n v="176400"/>
  </r>
  <r>
    <x v="287"/>
    <x v="3"/>
    <m/>
    <x v="1"/>
    <x v="3"/>
    <x v="152"/>
    <n v="17"/>
    <s v="스테이포에버"/>
    <s v="210207"/>
    <m/>
    <n v="578000"/>
  </r>
  <r>
    <x v="287"/>
    <x v="3"/>
    <m/>
    <x v="1"/>
    <x v="2"/>
    <x v="41"/>
    <n v="4"/>
    <s v="스테이포에버"/>
    <s v="210207"/>
    <m/>
    <n v="0"/>
  </r>
  <r>
    <x v="287"/>
    <x v="3"/>
    <m/>
    <x v="1"/>
    <x v="0"/>
    <x v="134"/>
    <n v="1"/>
    <s v="이그나이트"/>
    <s v="210207"/>
    <m/>
    <n v="34000"/>
  </r>
  <r>
    <x v="287"/>
    <x v="3"/>
    <m/>
    <x v="1"/>
    <x v="0"/>
    <x v="135"/>
    <n v="3"/>
    <s v="스테이포에버"/>
    <s v="210207"/>
    <m/>
    <n v="102000"/>
  </r>
  <r>
    <x v="287"/>
    <x v="3"/>
    <m/>
    <x v="1"/>
    <x v="0"/>
    <x v="136"/>
    <n v="7"/>
    <s v="스테이포에버 2set"/>
    <s v="210207"/>
    <m/>
    <n v="411600"/>
  </r>
  <r>
    <x v="287"/>
    <x v="3"/>
    <m/>
    <x v="1"/>
    <x v="0"/>
    <x v="137"/>
    <n v="14"/>
    <s v="이그나이트 + 스테이포에버"/>
    <s v="210207"/>
    <m/>
    <n v="823200"/>
  </r>
  <r>
    <x v="287"/>
    <x v="3"/>
    <m/>
    <x v="1"/>
    <x v="0"/>
    <x v="138"/>
    <n v="171"/>
    <s v="스테이포에버"/>
    <s v="210207"/>
    <m/>
    <n v="5814000"/>
  </r>
  <r>
    <x v="287"/>
    <x v="3"/>
    <m/>
    <x v="1"/>
    <x v="0"/>
    <x v="139"/>
    <n v="108"/>
    <s v="스테이포에버 2set"/>
    <s v="210207"/>
    <m/>
    <n v="6350400"/>
  </r>
  <r>
    <x v="287"/>
    <x v="3"/>
    <m/>
    <x v="1"/>
    <x v="0"/>
    <x v="140"/>
    <n v="8"/>
    <s v="이그나이트 + 스테이포에버"/>
    <s v="210207"/>
    <m/>
    <n v="470400"/>
  </r>
  <r>
    <x v="287"/>
    <x v="3"/>
    <m/>
    <x v="0"/>
    <x v="0"/>
    <x v="0"/>
    <n v="8"/>
    <s v="쇼핑백"/>
    <s v="210207"/>
    <m/>
    <n v="16000"/>
  </r>
  <r>
    <x v="287"/>
    <x v="3"/>
    <m/>
    <x v="1"/>
    <x v="0"/>
    <x v="141"/>
    <n v="4"/>
    <s v="이그나이트"/>
    <s v="210207"/>
    <m/>
    <n v="136000"/>
  </r>
  <r>
    <x v="287"/>
    <x v="3"/>
    <m/>
    <x v="1"/>
    <x v="0"/>
    <x v="142"/>
    <n v="2"/>
    <s v="이그나이트 2set"/>
    <s v="210207"/>
    <m/>
    <n v="117600"/>
  </r>
  <r>
    <x v="287"/>
    <x v="3"/>
    <s v="네이버 배너"/>
    <x v="1"/>
    <x v="1"/>
    <x v="1"/>
    <m/>
    <m/>
    <m/>
    <n v="278886.3636363636"/>
    <m/>
  </r>
  <r>
    <x v="287"/>
    <x v="3"/>
    <s v="네이버 배너"/>
    <x v="1"/>
    <x v="1"/>
    <x v="1"/>
    <m/>
    <m/>
    <m/>
    <n v="1190590"/>
    <m/>
  </r>
  <r>
    <x v="287"/>
    <x v="3"/>
    <s v="카카오 배너"/>
    <x v="1"/>
    <x v="1"/>
    <x v="1"/>
    <m/>
    <m/>
    <m/>
    <n v="181920"/>
    <m/>
  </r>
  <r>
    <x v="287"/>
    <x v="3"/>
    <s v="카카오 배너"/>
    <x v="1"/>
    <x v="1"/>
    <x v="1"/>
    <m/>
    <m/>
    <m/>
    <n v="493659.9999999999"/>
    <m/>
  </r>
  <r>
    <x v="287"/>
    <x v="3"/>
    <s v="네이버 배너(대행사)"/>
    <x v="1"/>
    <x v="1"/>
    <x v="1"/>
    <m/>
    <m/>
    <m/>
    <n v="644419.0909090908"/>
    <m/>
  </r>
  <r>
    <x v="288"/>
    <x v="4"/>
    <s v="페이스북/인스타그램"/>
    <x v="1"/>
    <x v="1"/>
    <x v="1"/>
    <m/>
    <m/>
    <m/>
    <n v="11459"/>
    <m/>
  </r>
  <r>
    <x v="288"/>
    <x v="4"/>
    <s v="페이스북/인스타그램"/>
    <x v="1"/>
    <x v="1"/>
    <x v="1"/>
    <m/>
    <m/>
    <m/>
    <n v="32854"/>
    <m/>
  </r>
  <r>
    <x v="288"/>
    <x v="4"/>
    <s v="페이스북/인스타그램"/>
    <x v="1"/>
    <x v="1"/>
    <x v="1"/>
    <m/>
    <m/>
    <m/>
    <n v="49255"/>
    <m/>
  </r>
  <r>
    <x v="288"/>
    <x v="4"/>
    <s v="페이스북/인스타그램"/>
    <x v="1"/>
    <x v="1"/>
    <x v="1"/>
    <m/>
    <m/>
    <m/>
    <n v="59477"/>
    <m/>
  </r>
  <r>
    <x v="288"/>
    <x v="4"/>
    <s v="페이스북/인스타그램"/>
    <x v="1"/>
    <x v="1"/>
    <x v="1"/>
    <m/>
    <m/>
    <m/>
    <n v="30146"/>
    <m/>
  </r>
  <r>
    <x v="288"/>
    <x v="4"/>
    <s v="페이스북/인스타그램"/>
    <x v="1"/>
    <x v="1"/>
    <x v="1"/>
    <m/>
    <m/>
    <m/>
    <n v="59833"/>
    <m/>
  </r>
  <r>
    <x v="288"/>
    <x v="4"/>
    <s v="페이스북/인스타그램"/>
    <x v="1"/>
    <x v="1"/>
    <x v="1"/>
    <m/>
    <m/>
    <m/>
    <n v="192837"/>
    <m/>
  </r>
  <r>
    <x v="288"/>
    <x v="4"/>
    <s v="페이스북/인스타그램"/>
    <x v="1"/>
    <x v="1"/>
    <x v="1"/>
    <m/>
    <m/>
    <m/>
    <n v="156480"/>
    <m/>
  </r>
  <r>
    <x v="288"/>
    <x v="4"/>
    <s v="페이스북/인스타그램"/>
    <x v="1"/>
    <x v="1"/>
    <x v="1"/>
    <m/>
    <m/>
    <m/>
    <n v="177568"/>
    <m/>
  </r>
  <r>
    <x v="288"/>
    <x v="4"/>
    <s v="페이스북/인스타그램"/>
    <x v="1"/>
    <x v="1"/>
    <x v="1"/>
    <m/>
    <m/>
    <m/>
    <n v="86695"/>
    <m/>
  </r>
  <r>
    <x v="288"/>
    <x v="4"/>
    <s v="페이스북/인스타그램"/>
    <x v="1"/>
    <x v="1"/>
    <x v="1"/>
    <m/>
    <m/>
    <m/>
    <n v="99071"/>
    <m/>
  </r>
  <r>
    <x v="288"/>
    <x v="4"/>
    <s v="페이스북/인스타그램"/>
    <x v="1"/>
    <x v="1"/>
    <x v="1"/>
    <m/>
    <m/>
    <m/>
    <n v="87292"/>
    <m/>
  </r>
  <r>
    <x v="288"/>
    <x v="4"/>
    <s v="페이스북/인스타그램"/>
    <x v="1"/>
    <x v="1"/>
    <x v="1"/>
    <m/>
    <m/>
    <m/>
    <n v="99579"/>
    <m/>
  </r>
  <r>
    <x v="288"/>
    <x v="4"/>
    <s v="페이스북/인스타그램"/>
    <x v="1"/>
    <x v="1"/>
    <x v="1"/>
    <m/>
    <m/>
    <m/>
    <n v="47627"/>
    <m/>
  </r>
  <r>
    <x v="288"/>
    <x v="4"/>
    <s v="페이스북/인스타그램"/>
    <x v="1"/>
    <x v="1"/>
    <x v="1"/>
    <m/>
    <m/>
    <m/>
    <n v="69470"/>
    <m/>
  </r>
  <r>
    <x v="288"/>
    <x v="4"/>
    <s v="페이스북/인스타그램"/>
    <x v="1"/>
    <x v="1"/>
    <x v="1"/>
    <m/>
    <m/>
    <m/>
    <n v="146005"/>
    <m/>
  </r>
  <r>
    <x v="288"/>
    <x v="4"/>
    <s v="페이스북/인스타그램"/>
    <x v="1"/>
    <x v="1"/>
    <x v="1"/>
    <m/>
    <m/>
    <m/>
    <n v="299468"/>
    <m/>
  </r>
  <r>
    <x v="288"/>
    <x v="4"/>
    <s v="페이스북/인스타그램"/>
    <x v="1"/>
    <x v="1"/>
    <x v="1"/>
    <m/>
    <m/>
    <m/>
    <n v="193961"/>
    <m/>
  </r>
  <r>
    <x v="288"/>
    <x v="4"/>
    <s v="페이스북/인스타그램"/>
    <x v="1"/>
    <x v="1"/>
    <x v="1"/>
    <m/>
    <m/>
    <m/>
    <n v="149662"/>
    <m/>
  </r>
  <r>
    <x v="288"/>
    <x v="4"/>
    <s v="페이스북/인스타그램"/>
    <x v="1"/>
    <x v="1"/>
    <x v="1"/>
    <m/>
    <m/>
    <m/>
    <n v="149920"/>
    <m/>
  </r>
  <r>
    <x v="288"/>
    <x v="4"/>
    <s v="페이스북/인스타그램"/>
    <x v="1"/>
    <x v="1"/>
    <x v="1"/>
    <m/>
    <m/>
    <m/>
    <n v="150388"/>
    <m/>
  </r>
  <r>
    <x v="288"/>
    <x v="4"/>
    <s v="유튜브 광고"/>
    <x v="1"/>
    <x v="1"/>
    <x v="1"/>
    <m/>
    <m/>
    <m/>
    <n v="668"/>
    <m/>
  </r>
  <r>
    <x v="288"/>
    <x v="4"/>
    <s v="유튜브 광고"/>
    <x v="1"/>
    <x v="1"/>
    <x v="1"/>
    <m/>
    <m/>
    <m/>
    <n v="40900"/>
    <m/>
  </r>
  <r>
    <x v="288"/>
    <x v="4"/>
    <s v="유튜브 광고"/>
    <x v="1"/>
    <x v="1"/>
    <x v="1"/>
    <m/>
    <m/>
    <m/>
    <n v="146833"/>
    <m/>
  </r>
  <r>
    <x v="288"/>
    <x v="4"/>
    <s v="유튜브 광고"/>
    <x v="1"/>
    <x v="1"/>
    <x v="1"/>
    <m/>
    <m/>
    <m/>
    <n v="450223"/>
    <m/>
  </r>
  <r>
    <x v="288"/>
    <x v="4"/>
    <s v="유튜브 광고"/>
    <x v="1"/>
    <x v="1"/>
    <x v="1"/>
    <m/>
    <m/>
    <m/>
    <n v="305858"/>
    <m/>
  </r>
  <r>
    <x v="288"/>
    <x v="4"/>
    <s v="유튜브 광고"/>
    <x v="1"/>
    <x v="1"/>
    <x v="1"/>
    <m/>
    <m/>
    <m/>
    <n v="64742"/>
    <m/>
  </r>
  <r>
    <x v="288"/>
    <x v="4"/>
    <s v="유튜브 광고"/>
    <x v="1"/>
    <x v="1"/>
    <x v="1"/>
    <m/>
    <m/>
    <m/>
    <n v="43628"/>
    <m/>
  </r>
  <r>
    <x v="288"/>
    <x v="4"/>
    <s v="유튜브 광고"/>
    <x v="1"/>
    <x v="1"/>
    <x v="1"/>
    <m/>
    <m/>
    <m/>
    <n v="58297"/>
    <m/>
  </r>
  <r>
    <x v="288"/>
    <x v="4"/>
    <s v="유튜브 광고"/>
    <x v="1"/>
    <x v="1"/>
    <x v="1"/>
    <m/>
    <m/>
    <m/>
    <n v="104507"/>
    <m/>
  </r>
  <r>
    <x v="288"/>
    <x v="4"/>
    <s v="유튜브 광고"/>
    <x v="1"/>
    <x v="1"/>
    <x v="1"/>
    <m/>
    <m/>
    <m/>
    <n v="57674"/>
    <m/>
  </r>
  <r>
    <x v="288"/>
    <x v="4"/>
    <s v="유튜브 광고"/>
    <x v="1"/>
    <x v="1"/>
    <x v="1"/>
    <m/>
    <m/>
    <m/>
    <n v="101744"/>
    <m/>
  </r>
  <r>
    <x v="288"/>
    <x v="4"/>
    <s v="네이버 쇼핑검색"/>
    <x v="1"/>
    <x v="1"/>
    <x v="1"/>
    <m/>
    <m/>
    <m/>
    <n v="1780"/>
    <m/>
  </r>
  <r>
    <x v="288"/>
    <x v="4"/>
    <s v="네이버 쇼핑검색"/>
    <x v="1"/>
    <x v="1"/>
    <x v="1"/>
    <m/>
    <m/>
    <m/>
    <n v="92179.99999999999"/>
    <m/>
  </r>
  <r>
    <x v="288"/>
    <x v="4"/>
    <s v="네이버 쇼핑검색"/>
    <x v="1"/>
    <x v="1"/>
    <x v="1"/>
    <m/>
    <m/>
    <m/>
    <n v="700"/>
    <m/>
  </r>
  <r>
    <x v="288"/>
    <x v="4"/>
    <s v="네이버 브랜드검색"/>
    <x v="3"/>
    <x v="1"/>
    <x v="1"/>
    <m/>
    <m/>
    <m/>
    <n v="140000"/>
    <m/>
  </r>
  <r>
    <x v="288"/>
    <x v="4"/>
    <s v="네이버 배너"/>
    <x v="1"/>
    <x v="1"/>
    <x v="1"/>
    <m/>
    <m/>
    <m/>
    <n v="160217.2727272727"/>
    <m/>
  </r>
  <r>
    <x v="288"/>
    <x v="4"/>
    <s v="네이버 배너"/>
    <x v="1"/>
    <x v="1"/>
    <x v="1"/>
    <m/>
    <m/>
    <m/>
    <n v="828712.7272727272"/>
    <m/>
  </r>
  <r>
    <x v="288"/>
    <x v="4"/>
    <s v="카카오 배너"/>
    <x v="1"/>
    <x v="1"/>
    <x v="1"/>
    <m/>
    <m/>
    <m/>
    <n v="273790"/>
    <m/>
  </r>
  <r>
    <x v="288"/>
    <x v="4"/>
    <s v="카카오 배너"/>
    <x v="1"/>
    <x v="1"/>
    <x v="1"/>
    <m/>
    <m/>
    <m/>
    <n v="500409.9999999999"/>
    <m/>
  </r>
  <r>
    <x v="288"/>
    <x v="4"/>
    <m/>
    <x v="1"/>
    <x v="4"/>
    <x v="155"/>
    <n v="2"/>
    <s v="스테이포에버"/>
    <s v="210207"/>
    <m/>
    <n v="68000"/>
  </r>
  <r>
    <x v="288"/>
    <x v="4"/>
    <m/>
    <x v="1"/>
    <x v="4"/>
    <x v="157"/>
    <n v="1"/>
    <s v="이그나이트 + 스테이포에버"/>
    <s v="210207"/>
    <m/>
    <n v="58800"/>
  </r>
  <r>
    <x v="288"/>
    <x v="4"/>
    <m/>
    <x v="1"/>
    <x v="3"/>
    <x v="150"/>
    <n v="1"/>
    <s v="이그나이트 + 스테이포에버"/>
    <s v="210207"/>
    <m/>
    <n v="58800"/>
  </r>
  <r>
    <x v="288"/>
    <x v="4"/>
    <m/>
    <x v="1"/>
    <x v="3"/>
    <x v="151"/>
    <n v="1"/>
    <s v="스테이포에버 2set"/>
    <s v="210207"/>
    <m/>
    <n v="58800"/>
  </r>
  <r>
    <x v="288"/>
    <x v="4"/>
    <m/>
    <x v="1"/>
    <x v="3"/>
    <x v="152"/>
    <n v="20"/>
    <s v="스테이포에버"/>
    <s v="210207"/>
    <m/>
    <n v="680000"/>
  </r>
  <r>
    <x v="288"/>
    <x v="4"/>
    <m/>
    <x v="1"/>
    <x v="2"/>
    <x v="139"/>
    <n v="1"/>
    <s v="스테이포에버 2set"/>
    <s v="210207"/>
    <m/>
    <n v="0"/>
  </r>
  <r>
    <x v="288"/>
    <x v="4"/>
    <m/>
    <x v="1"/>
    <x v="0"/>
    <x v="134"/>
    <n v="1"/>
    <s v="이그나이트"/>
    <s v="210207"/>
    <m/>
    <n v="34000"/>
  </r>
  <r>
    <x v="288"/>
    <x v="4"/>
    <m/>
    <x v="1"/>
    <x v="0"/>
    <x v="145"/>
    <n v="1"/>
    <s v="이그나이트 2set"/>
    <s v="210207"/>
    <m/>
    <n v="58800"/>
  </r>
  <r>
    <x v="288"/>
    <x v="4"/>
    <m/>
    <x v="1"/>
    <x v="0"/>
    <x v="135"/>
    <n v="7"/>
    <s v="스테이포에버"/>
    <s v="210207"/>
    <m/>
    <n v="238000"/>
  </r>
  <r>
    <x v="288"/>
    <x v="4"/>
    <m/>
    <x v="1"/>
    <x v="0"/>
    <x v="136"/>
    <n v="8"/>
    <s v="스테이포에버 2set"/>
    <s v="210207"/>
    <m/>
    <n v="470400"/>
  </r>
  <r>
    <x v="288"/>
    <x v="4"/>
    <m/>
    <x v="1"/>
    <x v="0"/>
    <x v="137"/>
    <n v="13"/>
    <s v="이그나이트 + 스테이포에버"/>
    <s v="210207"/>
    <m/>
    <n v="764400"/>
  </r>
  <r>
    <x v="288"/>
    <x v="4"/>
    <m/>
    <x v="1"/>
    <x v="0"/>
    <x v="144"/>
    <n v="1"/>
    <s v="이그나이트 + 스테이포에버"/>
    <s v="210207"/>
    <m/>
    <n v="58800"/>
  </r>
  <r>
    <x v="288"/>
    <x v="4"/>
    <m/>
    <x v="1"/>
    <x v="0"/>
    <x v="138"/>
    <n v="163"/>
    <s v="스테이포에버"/>
    <s v="210207"/>
    <m/>
    <n v="5542000"/>
  </r>
  <r>
    <x v="288"/>
    <x v="4"/>
    <m/>
    <x v="1"/>
    <x v="0"/>
    <x v="139"/>
    <n v="78"/>
    <s v="스테이포에버 2set"/>
    <s v="210207"/>
    <m/>
    <n v="4586400"/>
  </r>
  <r>
    <x v="288"/>
    <x v="4"/>
    <m/>
    <x v="1"/>
    <x v="0"/>
    <x v="140"/>
    <n v="11"/>
    <s v="이그나이트 + 스테이포에버"/>
    <s v="210207"/>
    <m/>
    <n v="646800"/>
  </r>
  <r>
    <x v="288"/>
    <x v="4"/>
    <m/>
    <x v="0"/>
    <x v="0"/>
    <x v="0"/>
    <n v="7"/>
    <s v="쇼핑백"/>
    <s v="210207"/>
    <m/>
    <n v="14000"/>
  </r>
  <r>
    <x v="288"/>
    <x v="4"/>
    <m/>
    <x v="1"/>
    <x v="0"/>
    <x v="141"/>
    <n v="2"/>
    <s v="이그나이트"/>
    <s v="210207"/>
    <m/>
    <n v="68000"/>
  </r>
  <r>
    <x v="288"/>
    <x v="4"/>
    <s v="네이버 배너(대행사)"/>
    <x v="2"/>
    <x v="1"/>
    <x v="1"/>
    <m/>
    <m/>
    <m/>
    <n v="454408.1818181818"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89"/>
    <x v="6"/>
    <s v="페이스북/인스타그램"/>
    <x v="1"/>
    <x v="1"/>
    <x v="1"/>
    <m/>
    <m/>
    <m/>
    <n v="53722"/>
    <m/>
  </r>
  <r>
    <x v="289"/>
    <x v="6"/>
    <s v="페이스북/인스타그램"/>
    <x v="1"/>
    <x v="1"/>
    <x v="1"/>
    <m/>
    <m/>
    <m/>
    <n v="11985"/>
    <m/>
  </r>
  <r>
    <x v="289"/>
    <x v="6"/>
    <s v="페이스북/인스타그램"/>
    <x v="1"/>
    <x v="1"/>
    <x v="1"/>
    <m/>
    <m/>
    <m/>
    <n v="48717"/>
    <m/>
  </r>
  <r>
    <x v="289"/>
    <x v="6"/>
    <s v="페이스북/인스타그램"/>
    <x v="1"/>
    <x v="1"/>
    <x v="1"/>
    <m/>
    <m/>
    <m/>
    <n v="56997"/>
    <m/>
  </r>
  <r>
    <x v="289"/>
    <x v="6"/>
    <s v="페이스북/인스타그램"/>
    <x v="1"/>
    <x v="1"/>
    <x v="1"/>
    <m/>
    <m/>
    <m/>
    <n v="37175"/>
    <m/>
  </r>
  <r>
    <x v="289"/>
    <x v="6"/>
    <s v="페이스북/인스타그램"/>
    <x v="1"/>
    <x v="1"/>
    <x v="1"/>
    <m/>
    <m/>
    <m/>
    <n v="57761"/>
    <m/>
  </r>
  <r>
    <x v="289"/>
    <x v="6"/>
    <s v="페이스북/인스타그램"/>
    <x v="1"/>
    <x v="1"/>
    <x v="1"/>
    <m/>
    <m/>
    <m/>
    <n v="192967"/>
    <m/>
  </r>
  <r>
    <x v="289"/>
    <x v="6"/>
    <s v="페이스북/인스타그램"/>
    <x v="1"/>
    <x v="1"/>
    <x v="1"/>
    <m/>
    <m/>
    <m/>
    <n v="153316"/>
    <m/>
  </r>
  <r>
    <x v="289"/>
    <x v="6"/>
    <s v="페이스북/인스타그램"/>
    <x v="1"/>
    <x v="1"/>
    <x v="1"/>
    <m/>
    <m/>
    <m/>
    <n v="154885"/>
    <m/>
  </r>
  <r>
    <x v="289"/>
    <x v="6"/>
    <s v="페이스북/인스타그램"/>
    <x v="1"/>
    <x v="1"/>
    <x v="1"/>
    <m/>
    <m/>
    <m/>
    <n v="48166"/>
    <m/>
  </r>
  <r>
    <x v="289"/>
    <x v="6"/>
    <s v="페이스북/인스타그램"/>
    <x v="1"/>
    <x v="1"/>
    <x v="1"/>
    <m/>
    <m/>
    <m/>
    <n v="95429"/>
    <m/>
  </r>
  <r>
    <x v="289"/>
    <x v="6"/>
    <s v="페이스북/인스타그램"/>
    <x v="1"/>
    <x v="1"/>
    <x v="1"/>
    <m/>
    <m/>
    <m/>
    <n v="48281"/>
    <m/>
  </r>
  <r>
    <x v="289"/>
    <x v="6"/>
    <s v="페이스북/인스타그램"/>
    <x v="1"/>
    <x v="1"/>
    <x v="1"/>
    <m/>
    <m/>
    <m/>
    <n v="96460"/>
    <m/>
  </r>
  <r>
    <x v="289"/>
    <x v="6"/>
    <s v="페이스북/인스타그램"/>
    <x v="1"/>
    <x v="1"/>
    <x v="1"/>
    <m/>
    <m/>
    <m/>
    <n v="31345"/>
    <m/>
  </r>
  <r>
    <x v="289"/>
    <x v="6"/>
    <s v="페이스북/인스타그램"/>
    <x v="1"/>
    <x v="1"/>
    <x v="1"/>
    <m/>
    <m/>
    <m/>
    <n v="67511"/>
    <m/>
  </r>
  <r>
    <x v="289"/>
    <x v="6"/>
    <s v="페이스북/인스타그램"/>
    <x v="1"/>
    <x v="1"/>
    <x v="1"/>
    <m/>
    <m/>
    <m/>
    <n v="144557"/>
    <m/>
  </r>
  <r>
    <x v="289"/>
    <x v="6"/>
    <s v="페이스북/인스타그램"/>
    <x v="1"/>
    <x v="1"/>
    <x v="1"/>
    <m/>
    <m/>
    <m/>
    <n v="192910"/>
    <m/>
  </r>
  <r>
    <x v="289"/>
    <x v="6"/>
    <s v="페이스북/인스타그램"/>
    <x v="1"/>
    <x v="1"/>
    <x v="1"/>
    <m/>
    <m/>
    <m/>
    <n v="192346"/>
    <m/>
  </r>
  <r>
    <x v="289"/>
    <x v="6"/>
    <s v="페이스북/인스타그램"/>
    <x v="1"/>
    <x v="1"/>
    <x v="1"/>
    <m/>
    <m/>
    <m/>
    <n v="144446"/>
    <m/>
  </r>
  <r>
    <x v="289"/>
    <x v="6"/>
    <s v="페이스북/인스타그램"/>
    <x v="1"/>
    <x v="1"/>
    <x v="1"/>
    <m/>
    <m/>
    <m/>
    <n v="93575"/>
    <m/>
  </r>
  <r>
    <x v="289"/>
    <x v="6"/>
    <s v="페이스북/인스타그램"/>
    <x v="1"/>
    <x v="1"/>
    <x v="1"/>
    <m/>
    <m/>
    <m/>
    <n v="144292"/>
    <m/>
  </r>
  <r>
    <x v="289"/>
    <x v="6"/>
    <s v="유튜브 광고"/>
    <x v="1"/>
    <x v="1"/>
    <x v="1"/>
    <m/>
    <m/>
    <m/>
    <n v="1428"/>
    <m/>
  </r>
  <r>
    <x v="289"/>
    <x v="6"/>
    <s v="유튜브 광고"/>
    <x v="1"/>
    <x v="1"/>
    <x v="1"/>
    <m/>
    <m/>
    <m/>
    <n v="31493"/>
    <m/>
  </r>
  <r>
    <x v="289"/>
    <x v="6"/>
    <s v="유튜브 광고"/>
    <x v="1"/>
    <x v="1"/>
    <x v="1"/>
    <m/>
    <m/>
    <m/>
    <n v="3212"/>
    <m/>
  </r>
  <r>
    <x v="289"/>
    <x v="6"/>
    <s v="유튜브 광고"/>
    <x v="1"/>
    <x v="1"/>
    <x v="1"/>
    <m/>
    <m/>
    <m/>
    <n v="418818"/>
    <m/>
  </r>
  <r>
    <x v="289"/>
    <x v="6"/>
    <s v="유튜브 광고"/>
    <x v="1"/>
    <x v="1"/>
    <x v="1"/>
    <m/>
    <m/>
    <m/>
    <n v="523248"/>
    <m/>
  </r>
  <r>
    <x v="289"/>
    <x v="6"/>
    <s v="유튜브 광고"/>
    <x v="1"/>
    <x v="1"/>
    <x v="1"/>
    <m/>
    <m/>
    <m/>
    <n v="364016"/>
    <m/>
  </r>
  <r>
    <x v="289"/>
    <x v="6"/>
    <s v="유튜브 광고"/>
    <x v="1"/>
    <x v="1"/>
    <x v="1"/>
    <m/>
    <m/>
    <m/>
    <n v="3117"/>
    <m/>
  </r>
  <r>
    <x v="289"/>
    <x v="6"/>
    <s v="유튜브 광고"/>
    <x v="1"/>
    <x v="1"/>
    <x v="1"/>
    <m/>
    <m/>
    <m/>
    <n v="291344"/>
    <m/>
  </r>
  <r>
    <x v="289"/>
    <x v="6"/>
    <s v="유튜브 광고"/>
    <x v="1"/>
    <x v="1"/>
    <x v="1"/>
    <m/>
    <m/>
    <m/>
    <n v="110231"/>
    <m/>
  </r>
  <r>
    <x v="289"/>
    <x v="6"/>
    <s v="유튜브 광고"/>
    <x v="1"/>
    <x v="1"/>
    <x v="1"/>
    <m/>
    <m/>
    <m/>
    <n v="104539"/>
    <m/>
  </r>
  <r>
    <x v="289"/>
    <x v="6"/>
    <s v="네이버 쇼핑검색"/>
    <x v="1"/>
    <x v="1"/>
    <x v="1"/>
    <m/>
    <m/>
    <m/>
    <n v="2070"/>
    <m/>
  </r>
  <r>
    <x v="289"/>
    <x v="6"/>
    <s v="네이버 쇼핑검색"/>
    <x v="1"/>
    <x v="1"/>
    <x v="1"/>
    <m/>
    <m/>
    <m/>
    <n v="60889.99999999999"/>
    <m/>
  </r>
  <r>
    <x v="289"/>
    <x v="6"/>
    <s v="네이버 쇼핑검색"/>
    <x v="1"/>
    <x v="1"/>
    <x v="1"/>
    <m/>
    <m/>
    <m/>
    <n v="1980"/>
    <m/>
  </r>
  <r>
    <x v="289"/>
    <x v="6"/>
    <s v="네이버 브랜드검색"/>
    <x v="3"/>
    <x v="1"/>
    <x v="1"/>
    <m/>
    <m/>
    <m/>
    <n v="156700"/>
    <m/>
  </r>
  <r>
    <x v="289"/>
    <x v="6"/>
    <m/>
    <x v="1"/>
    <x v="4"/>
    <x v="155"/>
    <n v="27"/>
    <s v="스테이포에버"/>
    <s v="210207"/>
    <m/>
    <n v="918000"/>
  </r>
  <r>
    <x v="289"/>
    <x v="6"/>
    <m/>
    <x v="1"/>
    <x v="4"/>
    <x v="157"/>
    <n v="1"/>
    <s v="이그나이트 + 스테이포에버"/>
    <s v="210207"/>
    <m/>
    <n v="58800"/>
  </r>
  <r>
    <x v="289"/>
    <x v="6"/>
    <m/>
    <x v="1"/>
    <x v="3"/>
    <x v="150"/>
    <n v="6"/>
    <s v="이그나이트 + 스테이포에버"/>
    <s v="210207"/>
    <m/>
    <n v="352800"/>
  </r>
  <r>
    <x v="289"/>
    <x v="6"/>
    <m/>
    <x v="1"/>
    <x v="3"/>
    <x v="151"/>
    <n v="5"/>
    <s v="스테이포에버 2set"/>
    <s v="210207"/>
    <m/>
    <n v="294000"/>
  </r>
  <r>
    <x v="289"/>
    <x v="6"/>
    <m/>
    <x v="1"/>
    <x v="3"/>
    <x v="152"/>
    <n v="22"/>
    <s v="스테이포에버"/>
    <s v="210207"/>
    <m/>
    <n v="748000"/>
  </r>
  <r>
    <x v="289"/>
    <x v="6"/>
    <m/>
    <x v="1"/>
    <x v="3"/>
    <x v="154"/>
    <n v="1"/>
    <s v="이그나이트"/>
    <s v="210207"/>
    <m/>
    <n v="34000"/>
  </r>
  <r>
    <x v="289"/>
    <x v="6"/>
    <m/>
    <x v="1"/>
    <x v="2"/>
    <x v="41"/>
    <n v="1"/>
    <s v="스테이포에버"/>
    <s v="210207"/>
    <m/>
    <n v="0"/>
  </r>
  <r>
    <x v="289"/>
    <x v="6"/>
    <m/>
    <x v="1"/>
    <x v="0"/>
    <x v="134"/>
    <n v="1"/>
    <s v="이그나이트"/>
    <s v="210207"/>
    <m/>
    <n v="34000"/>
  </r>
  <r>
    <x v="289"/>
    <x v="6"/>
    <m/>
    <x v="1"/>
    <x v="0"/>
    <x v="145"/>
    <n v="1"/>
    <s v="이그나이트 2set"/>
    <s v="210207"/>
    <m/>
    <n v="58800"/>
  </r>
  <r>
    <x v="289"/>
    <x v="6"/>
    <m/>
    <x v="1"/>
    <x v="0"/>
    <x v="135"/>
    <n v="2"/>
    <s v="스테이포에버"/>
    <s v="210207"/>
    <m/>
    <n v="68000"/>
  </r>
  <r>
    <x v="289"/>
    <x v="6"/>
    <m/>
    <x v="1"/>
    <x v="0"/>
    <x v="136"/>
    <n v="12"/>
    <s v="스테이포에버 2set"/>
    <s v="210207"/>
    <m/>
    <n v="705600"/>
  </r>
  <r>
    <x v="289"/>
    <x v="6"/>
    <m/>
    <x v="1"/>
    <x v="0"/>
    <x v="137"/>
    <n v="16"/>
    <s v="이그나이트 + 스테이포에버"/>
    <s v="210207"/>
    <m/>
    <n v="940800"/>
  </r>
  <r>
    <x v="289"/>
    <x v="6"/>
    <m/>
    <x v="1"/>
    <x v="0"/>
    <x v="144"/>
    <n v="1"/>
    <s v="이그나이트 + 스테이포에버"/>
    <s v="210207"/>
    <m/>
    <n v="58800"/>
  </r>
  <r>
    <x v="289"/>
    <x v="6"/>
    <m/>
    <x v="1"/>
    <x v="0"/>
    <x v="138"/>
    <n v="167"/>
    <s v="스테이포에버"/>
    <s v="210207"/>
    <m/>
    <n v="5678000"/>
  </r>
  <r>
    <x v="289"/>
    <x v="6"/>
    <m/>
    <x v="1"/>
    <x v="0"/>
    <x v="139"/>
    <n v="73"/>
    <s v="스테이포에버 2set"/>
    <s v="210207"/>
    <m/>
    <n v="4292400"/>
  </r>
  <r>
    <x v="289"/>
    <x v="6"/>
    <m/>
    <x v="1"/>
    <x v="0"/>
    <x v="140"/>
    <n v="6"/>
    <s v="이그나이트 + 스테이포에버"/>
    <s v="210207"/>
    <m/>
    <n v="352800"/>
  </r>
  <r>
    <x v="289"/>
    <x v="6"/>
    <m/>
    <x v="0"/>
    <x v="0"/>
    <x v="0"/>
    <n v="11"/>
    <s v="쇼핑백"/>
    <s v="210207"/>
    <m/>
    <n v="22000"/>
  </r>
  <r>
    <x v="289"/>
    <x v="6"/>
    <m/>
    <x v="1"/>
    <x v="0"/>
    <x v="141"/>
    <n v="3"/>
    <s v="이그나이트"/>
    <s v="210207"/>
    <m/>
    <n v="102000"/>
  </r>
  <r>
    <x v="289"/>
    <x v="6"/>
    <m/>
    <x v="1"/>
    <x v="0"/>
    <x v="142"/>
    <n v="1"/>
    <s v="이그나이트 2set"/>
    <s v="210207"/>
    <m/>
    <n v="58800"/>
  </r>
  <r>
    <x v="289"/>
    <x v="6"/>
    <m/>
    <x v="1"/>
    <x v="0"/>
    <x v="161"/>
    <n v="1"/>
    <s v="이그나이트"/>
    <s v="210207"/>
    <m/>
    <n v="34000"/>
  </r>
  <r>
    <x v="289"/>
    <x v="6"/>
    <m/>
    <x v="1"/>
    <x v="0"/>
    <x v="162"/>
    <n v="9"/>
    <s v="스테이포에버"/>
    <s v="210207"/>
    <m/>
    <n v="306000"/>
  </r>
  <r>
    <x v="289"/>
    <x v="6"/>
    <m/>
    <x v="1"/>
    <x v="0"/>
    <x v="163"/>
    <n v="6"/>
    <s v="스테이포에버 2set"/>
    <s v="210207"/>
    <m/>
    <n v="352800"/>
  </r>
  <r>
    <x v="289"/>
    <x v="6"/>
    <m/>
    <x v="1"/>
    <x v="0"/>
    <x v="164"/>
    <n v="4"/>
    <s v="이그나이트 + 스테이포에버"/>
    <s v="210207"/>
    <m/>
    <n v="235200"/>
  </r>
  <r>
    <x v="289"/>
    <x v="6"/>
    <s v="네이버 배너"/>
    <x v="1"/>
    <x v="1"/>
    <x v="1"/>
    <m/>
    <m/>
    <m/>
    <n v="230248.1818181818"/>
    <m/>
  </r>
  <r>
    <x v="289"/>
    <x v="6"/>
    <s v="네이버 배너"/>
    <x v="1"/>
    <x v="1"/>
    <x v="1"/>
    <m/>
    <m/>
    <m/>
    <n v="1129157.272727273"/>
    <m/>
  </r>
  <r>
    <x v="289"/>
    <x v="6"/>
    <s v="카카오 배너"/>
    <x v="1"/>
    <x v="1"/>
    <x v="1"/>
    <m/>
    <m/>
    <m/>
    <n v="182390"/>
    <m/>
  </r>
  <r>
    <x v="289"/>
    <x v="6"/>
    <s v="카카오 배너"/>
    <x v="1"/>
    <x v="1"/>
    <x v="1"/>
    <m/>
    <m/>
    <m/>
    <n v="592440"/>
    <m/>
  </r>
  <r>
    <x v="290"/>
    <x v="0"/>
    <s v="페이스북/인스타그램"/>
    <x v="1"/>
    <x v="1"/>
    <x v="1"/>
    <m/>
    <m/>
    <m/>
    <n v="31449"/>
    <m/>
  </r>
  <r>
    <x v="290"/>
    <x v="0"/>
    <s v="페이스북/인스타그램"/>
    <x v="1"/>
    <x v="1"/>
    <x v="1"/>
    <m/>
    <m/>
    <m/>
    <n v="57886"/>
    <m/>
  </r>
  <r>
    <x v="290"/>
    <x v="0"/>
    <s v="페이스북/인스타그램"/>
    <x v="1"/>
    <x v="1"/>
    <x v="1"/>
    <m/>
    <m/>
    <m/>
    <n v="49829"/>
    <m/>
  </r>
  <r>
    <x v="290"/>
    <x v="0"/>
    <s v="페이스북/인스타그램"/>
    <x v="1"/>
    <x v="1"/>
    <x v="1"/>
    <m/>
    <m/>
    <m/>
    <n v="59888"/>
    <m/>
  </r>
  <r>
    <x v="290"/>
    <x v="0"/>
    <s v="페이스북/인스타그램"/>
    <x v="1"/>
    <x v="1"/>
    <x v="1"/>
    <m/>
    <m/>
    <m/>
    <n v="49472"/>
    <m/>
  </r>
  <r>
    <x v="290"/>
    <x v="0"/>
    <s v="페이스북/인스타그램"/>
    <x v="1"/>
    <x v="1"/>
    <x v="1"/>
    <m/>
    <m/>
    <m/>
    <n v="60393"/>
    <m/>
  </r>
  <r>
    <x v="290"/>
    <x v="0"/>
    <s v="페이스북/인스타그램"/>
    <x v="1"/>
    <x v="1"/>
    <x v="1"/>
    <m/>
    <m/>
    <m/>
    <n v="201638"/>
    <m/>
  </r>
  <r>
    <x v="290"/>
    <x v="0"/>
    <s v="페이스북/인스타그램"/>
    <x v="1"/>
    <x v="1"/>
    <x v="1"/>
    <m/>
    <m/>
    <m/>
    <n v="161801"/>
    <m/>
  </r>
  <r>
    <x v="290"/>
    <x v="0"/>
    <s v="페이스북/인스타그램"/>
    <x v="1"/>
    <x v="1"/>
    <x v="1"/>
    <m/>
    <m/>
    <m/>
    <n v="196192"/>
    <m/>
  </r>
  <r>
    <x v="290"/>
    <x v="0"/>
    <s v="페이스북/인스타그램"/>
    <x v="1"/>
    <x v="1"/>
    <x v="1"/>
    <m/>
    <m/>
    <m/>
    <n v="50402"/>
    <m/>
  </r>
  <r>
    <x v="290"/>
    <x v="0"/>
    <s v="페이스북/인스타그램"/>
    <x v="1"/>
    <x v="1"/>
    <x v="1"/>
    <m/>
    <m/>
    <m/>
    <n v="100716"/>
    <m/>
  </r>
  <r>
    <x v="290"/>
    <x v="0"/>
    <s v="페이스북/인스타그램"/>
    <x v="1"/>
    <x v="1"/>
    <x v="1"/>
    <m/>
    <m/>
    <m/>
    <n v="50400"/>
    <m/>
  </r>
  <r>
    <x v="290"/>
    <x v="0"/>
    <s v="페이스북/인스타그램"/>
    <x v="1"/>
    <x v="1"/>
    <x v="1"/>
    <m/>
    <m/>
    <m/>
    <n v="101464"/>
    <m/>
  </r>
  <r>
    <x v="290"/>
    <x v="0"/>
    <s v="페이스북/인스타그램"/>
    <x v="1"/>
    <x v="1"/>
    <x v="1"/>
    <m/>
    <m/>
    <m/>
    <n v="9518"/>
    <m/>
  </r>
  <r>
    <x v="290"/>
    <x v="0"/>
    <s v="페이스북/인스타그램"/>
    <x v="1"/>
    <x v="1"/>
    <x v="1"/>
    <m/>
    <m/>
    <m/>
    <n v="70557"/>
    <m/>
  </r>
  <r>
    <x v="290"/>
    <x v="0"/>
    <s v="페이스북/인스타그램"/>
    <x v="1"/>
    <x v="1"/>
    <x v="1"/>
    <m/>
    <m/>
    <m/>
    <n v="152169"/>
    <m/>
  </r>
  <r>
    <x v="290"/>
    <x v="0"/>
    <s v="페이스북/인스타그램"/>
    <x v="1"/>
    <x v="1"/>
    <x v="1"/>
    <m/>
    <m/>
    <m/>
    <n v="201874"/>
    <m/>
  </r>
  <r>
    <x v="290"/>
    <x v="0"/>
    <s v="페이스북/인스타그램"/>
    <x v="1"/>
    <x v="1"/>
    <x v="1"/>
    <m/>
    <m/>
    <m/>
    <n v="201667"/>
    <m/>
  </r>
  <r>
    <x v="290"/>
    <x v="0"/>
    <s v="페이스북/인스타그램"/>
    <x v="1"/>
    <x v="1"/>
    <x v="1"/>
    <m/>
    <m/>
    <m/>
    <n v="151185"/>
    <m/>
  </r>
  <r>
    <x v="290"/>
    <x v="0"/>
    <s v="페이스북/인스타그램"/>
    <x v="1"/>
    <x v="1"/>
    <x v="1"/>
    <m/>
    <m/>
    <m/>
    <n v="49677"/>
    <m/>
  </r>
  <r>
    <x v="290"/>
    <x v="0"/>
    <s v="페이스북/인스타그램"/>
    <x v="1"/>
    <x v="1"/>
    <x v="1"/>
    <m/>
    <m/>
    <m/>
    <n v="151369"/>
    <m/>
  </r>
  <r>
    <x v="290"/>
    <x v="0"/>
    <s v="유튜브 광고"/>
    <x v="1"/>
    <x v="1"/>
    <x v="1"/>
    <m/>
    <m/>
    <m/>
    <n v="1050"/>
    <m/>
  </r>
  <r>
    <x v="290"/>
    <x v="0"/>
    <s v="유튜브 광고"/>
    <x v="1"/>
    <x v="1"/>
    <x v="1"/>
    <m/>
    <m/>
    <m/>
    <n v="35861"/>
    <m/>
  </r>
  <r>
    <x v="290"/>
    <x v="0"/>
    <s v="유튜브 광고"/>
    <x v="1"/>
    <x v="1"/>
    <x v="1"/>
    <m/>
    <m/>
    <m/>
    <n v="3723"/>
    <m/>
  </r>
  <r>
    <x v="290"/>
    <x v="0"/>
    <s v="유튜브 광고"/>
    <x v="1"/>
    <x v="1"/>
    <x v="1"/>
    <m/>
    <m/>
    <m/>
    <n v="425472"/>
    <m/>
  </r>
  <r>
    <x v="290"/>
    <x v="0"/>
    <s v="유튜브 광고"/>
    <x v="1"/>
    <x v="1"/>
    <x v="1"/>
    <m/>
    <m/>
    <m/>
    <n v="508580"/>
    <m/>
  </r>
  <r>
    <x v="290"/>
    <x v="0"/>
    <s v="유튜브 광고"/>
    <x v="1"/>
    <x v="1"/>
    <x v="1"/>
    <m/>
    <m/>
    <m/>
    <n v="356387"/>
    <m/>
  </r>
  <r>
    <x v="290"/>
    <x v="0"/>
    <s v="유튜브 광고"/>
    <x v="1"/>
    <x v="1"/>
    <x v="1"/>
    <m/>
    <m/>
    <m/>
    <n v="19028"/>
    <m/>
  </r>
  <r>
    <x v="290"/>
    <x v="0"/>
    <s v="유튜브 광고"/>
    <x v="1"/>
    <x v="1"/>
    <x v="1"/>
    <m/>
    <m/>
    <m/>
    <n v="101786"/>
    <m/>
  </r>
  <r>
    <x v="290"/>
    <x v="0"/>
    <s v="유튜브 광고"/>
    <x v="1"/>
    <x v="1"/>
    <x v="1"/>
    <m/>
    <m/>
    <m/>
    <n v="106964"/>
    <m/>
  </r>
  <r>
    <x v="290"/>
    <x v="0"/>
    <s v="유튜브 광고"/>
    <x v="1"/>
    <x v="1"/>
    <x v="1"/>
    <m/>
    <m/>
    <m/>
    <n v="101908"/>
    <m/>
  </r>
  <r>
    <x v="290"/>
    <x v="0"/>
    <s v="네이버 쇼핑검색"/>
    <x v="1"/>
    <x v="1"/>
    <x v="1"/>
    <m/>
    <m/>
    <m/>
    <n v="1420"/>
    <m/>
  </r>
  <r>
    <x v="290"/>
    <x v="0"/>
    <s v="네이버 쇼핑검색"/>
    <x v="1"/>
    <x v="1"/>
    <x v="1"/>
    <m/>
    <m/>
    <m/>
    <n v="52009.99999999999"/>
    <m/>
  </r>
  <r>
    <x v="290"/>
    <x v="0"/>
    <s v="네이버 쇼핑검색"/>
    <x v="1"/>
    <x v="1"/>
    <x v="1"/>
    <m/>
    <m/>
    <m/>
    <n v="1950"/>
    <m/>
  </r>
  <r>
    <x v="290"/>
    <x v="0"/>
    <s v="네이버 브랜드검색"/>
    <x v="3"/>
    <x v="1"/>
    <x v="1"/>
    <m/>
    <m/>
    <m/>
    <n v="156700"/>
    <m/>
  </r>
  <r>
    <x v="290"/>
    <x v="0"/>
    <m/>
    <x v="2"/>
    <x v="1"/>
    <x v="1"/>
    <m/>
    <m/>
    <m/>
    <n v="0"/>
    <m/>
  </r>
  <r>
    <x v="290"/>
    <x v="0"/>
    <m/>
    <x v="1"/>
    <x v="4"/>
    <x v="155"/>
    <n v="11"/>
    <s v="스테이포에버"/>
    <s v="210207"/>
    <m/>
    <n v="374000"/>
  </r>
  <r>
    <x v="290"/>
    <x v="0"/>
    <m/>
    <x v="1"/>
    <x v="4"/>
    <x v="157"/>
    <n v="1"/>
    <s v="이그나이트 + 스테이포에버"/>
    <s v="210207"/>
    <m/>
    <n v="58800"/>
  </r>
  <r>
    <x v="290"/>
    <x v="0"/>
    <m/>
    <x v="1"/>
    <x v="3"/>
    <x v="150"/>
    <n v="2"/>
    <s v="이그나이트 + 스테이포에버"/>
    <s v="210207"/>
    <m/>
    <n v="117600"/>
  </r>
  <r>
    <x v="290"/>
    <x v="0"/>
    <m/>
    <x v="1"/>
    <x v="3"/>
    <x v="151"/>
    <n v="6"/>
    <s v="스테이포에버 2set"/>
    <s v="210207"/>
    <m/>
    <n v="352800"/>
  </r>
  <r>
    <x v="290"/>
    <x v="0"/>
    <m/>
    <x v="1"/>
    <x v="3"/>
    <x v="152"/>
    <n v="24"/>
    <s v="스테이포에버"/>
    <s v="210207"/>
    <m/>
    <n v="816000"/>
  </r>
  <r>
    <x v="290"/>
    <x v="0"/>
    <m/>
    <x v="1"/>
    <x v="2"/>
    <x v="146"/>
    <n v="1"/>
    <s v="이그나이트"/>
    <s v="210207"/>
    <m/>
    <n v="0"/>
  </r>
  <r>
    <x v="290"/>
    <x v="0"/>
    <m/>
    <x v="0"/>
    <x v="0"/>
    <x v="148"/>
    <n v="2"/>
    <s v="쇼핑백"/>
    <s v="210207"/>
    <m/>
    <n v="4000"/>
  </r>
  <r>
    <x v="290"/>
    <x v="0"/>
    <m/>
    <x v="1"/>
    <x v="0"/>
    <x v="135"/>
    <n v="3"/>
    <s v="스테이포에버"/>
    <s v="210207"/>
    <m/>
    <n v="102000"/>
  </r>
  <r>
    <x v="290"/>
    <x v="0"/>
    <m/>
    <x v="1"/>
    <x v="0"/>
    <x v="136"/>
    <n v="8"/>
    <s v="스테이포에버 2set"/>
    <s v="210207"/>
    <m/>
    <n v="470400"/>
  </r>
  <r>
    <x v="290"/>
    <x v="0"/>
    <m/>
    <x v="1"/>
    <x v="0"/>
    <x v="137"/>
    <n v="19"/>
    <s v="이그나이트 + 스테이포에버"/>
    <s v="210207"/>
    <m/>
    <n v="1117200"/>
  </r>
  <r>
    <x v="290"/>
    <x v="0"/>
    <m/>
    <x v="1"/>
    <x v="0"/>
    <x v="144"/>
    <n v="1"/>
    <s v="이그나이트 + 스테이포에버"/>
    <s v="210207"/>
    <m/>
    <n v="58800"/>
  </r>
  <r>
    <x v="290"/>
    <x v="0"/>
    <m/>
    <x v="1"/>
    <x v="0"/>
    <x v="138"/>
    <n v="164"/>
    <s v="스테이포에버"/>
    <s v="210207"/>
    <m/>
    <n v="5576000"/>
  </r>
  <r>
    <x v="290"/>
    <x v="0"/>
    <m/>
    <x v="1"/>
    <x v="0"/>
    <x v="139"/>
    <n v="99"/>
    <s v="스테이포에버 2set"/>
    <s v="210207"/>
    <m/>
    <n v="5821200"/>
  </r>
  <r>
    <x v="290"/>
    <x v="0"/>
    <m/>
    <x v="1"/>
    <x v="0"/>
    <x v="140"/>
    <n v="13"/>
    <s v="이그나이트 + 스테이포에버"/>
    <s v="210207"/>
    <m/>
    <n v="764400"/>
  </r>
  <r>
    <x v="290"/>
    <x v="0"/>
    <m/>
    <x v="0"/>
    <x v="0"/>
    <x v="0"/>
    <n v="6"/>
    <s v="쇼핑백"/>
    <s v="210207"/>
    <m/>
    <n v="12000"/>
  </r>
  <r>
    <x v="290"/>
    <x v="0"/>
    <m/>
    <x v="1"/>
    <x v="0"/>
    <x v="141"/>
    <n v="2"/>
    <s v="이그나이트"/>
    <s v="210207"/>
    <m/>
    <n v="68000"/>
  </r>
  <r>
    <x v="290"/>
    <x v="0"/>
    <m/>
    <x v="1"/>
    <x v="0"/>
    <x v="142"/>
    <n v="2"/>
    <s v="이그나이트 2set"/>
    <s v="210207"/>
    <m/>
    <n v="117600"/>
  </r>
  <r>
    <x v="290"/>
    <x v="0"/>
    <m/>
    <x v="1"/>
    <x v="0"/>
    <x v="161"/>
    <n v="1"/>
    <s v="이그나이트"/>
    <s v="210207"/>
    <m/>
    <n v="34000"/>
  </r>
  <r>
    <x v="290"/>
    <x v="0"/>
    <m/>
    <x v="1"/>
    <x v="0"/>
    <x v="165"/>
    <n v="2"/>
    <s v="이그나이트 2set"/>
    <s v="210207"/>
    <m/>
    <n v="117600"/>
  </r>
  <r>
    <x v="290"/>
    <x v="0"/>
    <m/>
    <x v="1"/>
    <x v="0"/>
    <x v="162"/>
    <n v="12"/>
    <s v="스테이포에버"/>
    <s v="210207"/>
    <m/>
    <n v="408000"/>
  </r>
  <r>
    <x v="290"/>
    <x v="0"/>
    <m/>
    <x v="1"/>
    <x v="0"/>
    <x v="163"/>
    <n v="13"/>
    <s v="스테이포에버 2set"/>
    <s v="210207"/>
    <m/>
    <n v="764400"/>
  </r>
  <r>
    <x v="290"/>
    <x v="0"/>
    <m/>
    <x v="1"/>
    <x v="0"/>
    <x v="164"/>
    <n v="13"/>
    <s v="이그나이트 + 스테이포에버"/>
    <s v="210207"/>
    <m/>
    <n v="764400"/>
  </r>
  <r>
    <x v="290"/>
    <x v="0"/>
    <m/>
    <x v="1"/>
    <x v="0"/>
    <x v="166"/>
    <n v="2"/>
    <s v="이그나이트 + 스테이포에버 2set"/>
    <s v="210207"/>
    <m/>
    <n v="189600"/>
  </r>
  <r>
    <x v="290"/>
    <x v="0"/>
    <s v="네이버 배너"/>
    <x v="1"/>
    <x v="1"/>
    <x v="1"/>
    <m/>
    <m/>
    <m/>
    <n v="164579.0909090909"/>
    <m/>
  </r>
  <r>
    <x v="290"/>
    <x v="0"/>
    <s v="네이버 배너"/>
    <x v="1"/>
    <x v="1"/>
    <x v="1"/>
    <m/>
    <m/>
    <m/>
    <n v="1104049.090909091"/>
    <m/>
  </r>
  <r>
    <x v="290"/>
    <x v="0"/>
    <s v="카카오 배너"/>
    <x v="1"/>
    <x v="1"/>
    <x v="1"/>
    <m/>
    <m/>
    <m/>
    <n v="182320"/>
    <m/>
  </r>
  <r>
    <x v="290"/>
    <x v="0"/>
    <s v="카카오 배너"/>
    <x v="1"/>
    <x v="1"/>
    <x v="1"/>
    <m/>
    <m/>
    <m/>
    <n v="636740"/>
    <m/>
  </r>
  <r>
    <x v="290"/>
    <x v="0"/>
    <s v="네이버 배너(대행사)"/>
    <x v="1"/>
    <x v="1"/>
    <x v="1"/>
    <m/>
    <m/>
    <m/>
    <n v="56823.63636363636"/>
    <m/>
  </r>
  <r>
    <x v="290"/>
    <x v="0"/>
    <s v="네이버 쇼핑박스"/>
    <x v="1"/>
    <x v="1"/>
    <x v="1"/>
    <m/>
    <m/>
    <m/>
    <n v="1129000"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91"/>
    <x v="3"/>
    <s v="페이스북/인스타그램"/>
    <x v="1"/>
    <x v="1"/>
    <x v="1"/>
    <m/>
    <m/>
    <m/>
    <n v="40887"/>
    <m/>
  </r>
  <r>
    <x v="291"/>
    <x v="3"/>
    <s v="페이스북/인스타그램"/>
    <x v="1"/>
    <x v="1"/>
    <x v="1"/>
    <m/>
    <m/>
    <m/>
    <n v="26170"/>
    <m/>
  </r>
  <r>
    <x v="291"/>
    <x v="3"/>
    <s v="페이스북/인스타그램"/>
    <x v="1"/>
    <x v="1"/>
    <x v="1"/>
    <m/>
    <m/>
    <m/>
    <n v="32581"/>
    <m/>
  </r>
  <r>
    <x v="291"/>
    <x v="3"/>
    <s v="페이스북/인스타그램"/>
    <x v="1"/>
    <x v="1"/>
    <x v="1"/>
    <m/>
    <m/>
    <m/>
    <n v="58785"/>
    <m/>
  </r>
  <r>
    <x v="291"/>
    <x v="3"/>
    <s v="페이스북/인스타그램"/>
    <x v="1"/>
    <x v="1"/>
    <x v="1"/>
    <m/>
    <m/>
    <m/>
    <n v="47654"/>
    <m/>
  </r>
  <r>
    <x v="291"/>
    <x v="3"/>
    <s v="페이스북/인스타그램"/>
    <x v="1"/>
    <x v="1"/>
    <x v="1"/>
    <m/>
    <m/>
    <m/>
    <n v="58481"/>
    <m/>
  </r>
  <r>
    <x v="291"/>
    <x v="3"/>
    <s v="페이스북/인스타그램"/>
    <x v="1"/>
    <x v="1"/>
    <x v="1"/>
    <m/>
    <m/>
    <m/>
    <n v="195137"/>
    <m/>
  </r>
  <r>
    <x v="291"/>
    <x v="3"/>
    <s v="페이스북/인스타그램"/>
    <x v="1"/>
    <x v="1"/>
    <x v="1"/>
    <m/>
    <m/>
    <m/>
    <n v="155385"/>
    <m/>
  </r>
  <r>
    <x v="291"/>
    <x v="3"/>
    <s v="페이스북/인스타그램"/>
    <x v="1"/>
    <x v="1"/>
    <x v="1"/>
    <m/>
    <m/>
    <m/>
    <n v="200313"/>
    <m/>
  </r>
  <r>
    <x v="291"/>
    <x v="3"/>
    <s v="페이스북/인스타그램"/>
    <x v="1"/>
    <x v="1"/>
    <x v="1"/>
    <m/>
    <m/>
    <m/>
    <n v="49242"/>
    <m/>
  </r>
  <r>
    <x v="291"/>
    <x v="3"/>
    <s v="페이스북/인스타그램"/>
    <x v="1"/>
    <x v="1"/>
    <x v="1"/>
    <m/>
    <m/>
    <m/>
    <n v="99481"/>
    <m/>
  </r>
  <r>
    <x v="291"/>
    <x v="3"/>
    <s v="페이스북/인스타그램"/>
    <x v="1"/>
    <x v="1"/>
    <x v="1"/>
    <m/>
    <m/>
    <m/>
    <n v="48980"/>
    <m/>
  </r>
  <r>
    <x v="291"/>
    <x v="3"/>
    <s v="페이스북/인스타그램"/>
    <x v="1"/>
    <x v="1"/>
    <x v="1"/>
    <m/>
    <m/>
    <m/>
    <n v="98282"/>
    <m/>
  </r>
  <r>
    <x v="291"/>
    <x v="3"/>
    <s v="페이스북/인스타그램"/>
    <x v="1"/>
    <x v="1"/>
    <x v="1"/>
    <m/>
    <m/>
    <m/>
    <n v="68502"/>
    <m/>
  </r>
  <r>
    <x v="291"/>
    <x v="3"/>
    <s v="페이스북/인스타그램"/>
    <x v="1"/>
    <x v="1"/>
    <x v="1"/>
    <m/>
    <m/>
    <m/>
    <n v="146793"/>
    <m/>
  </r>
  <r>
    <x v="291"/>
    <x v="3"/>
    <s v="페이스북/인스타그램"/>
    <x v="1"/>
    <x v="1"/>
    <x v="1"/>
    <m/>
    <m/>
    <m/>
    <n v="196052"/>
    <m/>
  </r>
  <r>
    <x v="291"/>
    <x v="3"/>
    <s v="페이스북/인스타그램"/>
    <x v="1"/>
    <x v="1"/>
    <x v="1"/>
    <m/>
    <m/>
    <m/>
    <n v="195997"/>
    <m/>
  </r>
  <r>
    <x v="291"/>
    <x v="3"/>
    <s v="페이스북/인스타그램"/>
    <x v="1"/>
    <x v="1"/>
    <x v="1"/>
    <m/>
    <m/>
    <m/>
    <n v="147186"/>
    <m/>
  </r>
  <r>
    <x v="291"/>
    <x v="3"/>
    <s v="페이스북/인스타그램"/>
    <x v="1"/>
    <x v="1"/>
    <x v="1"/>
    <m/>
    <m/>
    <m/>
    <n v="48639"/>
    <m/>
  </r>
  <r>
    <x v="291"/>
    <x v="3"/>
    <s v="페이스북/인스타그램"/>
    <x v="1"/>
    <x v="1"/>
    <x v="1"/>
    <m/>
    <m/>
    <m/>
    <n v="147719"/>
    <m/>
  </r>
  <r>
    <x v="291"/>
    <x v="3"/>
    <s v="유튜브 광고"/>
    <x v="1"/>
    <x v="1"/>
    <x v="1"/>
    <m/>
    <m/>
    <m/>
    <n v="16915"/>
    <m/>
  </r>
  <r>
    <x v="291"/>
    <x v="3"/>
    <s v="유튜브 광고"/>
    <x v="1"/>
    <x v="1"/>
    <x v="1"/>
    <m/>
    <m/>
    <m/>
    <n v="20027"/>
    <m/>
  </r>
  <r>
    <x v="291"/>
    <x v="3"/>
    <s v="유튜브 광고"/>
    <x v="1"/>
    <x v="1"/>
    <x v="1"/>
    <m/>
    <m/>
    <m/>
    <n v="424291"/>
    <m/>
  </r>
  <r>
    <x v="291"/>
    <x v="3"/>
    <s v="유튜브 광고"/>
    <x v="1"/>
    <x v="1"/>
    <x v="1"/>
    <m/>
    <m/>
    <m/>
    <n v="507919"/>
    <m/>
  </r>
  <r>
    <x v="291"/>
    <x v="3"/>
    <s v="유튜브 광고"/>
    <x v="1"/>
    <x v="1"/>
    <x v="1"/>
    <m/>
    <m/>
    <m/>
    <n v="355925"/>
    <m/>
  </r>
  <r>
    <x v="291"/>
    <x v="3"/>
    <s v="유튜브 광고"/>
    <x v="1"/>
    <x v="1"/>
    <x v="1"/>
    <m/>
    <m/>
    <m/>
    <n v="9705"/>
    <m/>
  </r>
  <r>
    <x v="291"/>
    <x v="3"/>
    <s v="유튜브 광고"/>
    <x v="1"/>
    <x v="1"/>
    <x v="1"/>
    <m/>
    <m/>
    <m/>
    <n v="79192"/>
    <m/>
  </r>
  <r>
    <x v="291"/>
    <x v="3"/>
    <s v="유튜브 광고"/>
    <x v="1"/>
    <x v="1"/>
    <x v="1"/>
    <m/>
    <m/>
    <m/>
    <n v="106477"/>
    <m/>
  </r>
  <r>
    <x v="291"/>
    <x v="3"/>
    <s v="유튜브 광고"/>
    <x v="1"/>
    <x v="1"/>
    <x v="1"/>
    <m/>
    <m/>
    <m/>
    <n v="101483"/>
    <m/>
  </r>
  <r>
    <x v="291"/>
    <x v="3"/>
    <s v="네이버 쇼핑검색"/>
    <x v="1"/>
    <x v="1"/>
    <x v="1"/>
    <m/>
    <m/>
    <m/>
    <n v="18950"/>
    <m/>
  </r>
  <r>
    <x v="291"/>
    <x v="3"/>
    <s v="네이버 쇼핑검색"/>
    <x v="1"/>
    <x v="1"/>
    <x v="1"/>
    <m/>
    <m/>
    <m/>
    <n v="42050"/>
    <m/>
  </r>
  <r>
    <x v="291"/>
    <x v="3"/>
    <s v="네이버 쇼핑검색"/>
    <x v="1"/>
    <x v="1"/>
    <x v="1"/>
    <m/>
    <m/>
    <m/>
    <n v="9030"/>
    <m/>
  </r>
  <r>
    <x v="291"/>
    <x v="3"/>
    <s v="네이버 쇼핑검색"/>
    <x v="1"/>
    <x v="1"/>
    <x v="1"/>
    <m/>
    <m/>
    <m/>
    <n v="16580"/>
    <m/>
  </r>
  <r>
    <x v="291"/>
    <x v="3"/>
    <s v="네이버 브랜드검색"/>
    <x v="3"/>
    <x v="1"/>
    <x v="1"/>
    <m/>
    <m/>
    <m/>
    <n v="156700"/>
    <m/>
  </r>
  <r>
    <x v="291"/>
    <x v="3"/>
    <m/>
    <x v="2"/>
    <x v="1"/>
    <x v="1"/>
    <m/>
    <m/>
    <m/>
    <n v="0"/>
    <m/>
  </r>
  <r>
    <x v="291"/>
    <x v="3"/>
    <m/>
    <x v="1"/>
    <x v="4"/>
    <x v="155"/>
    <n v="3"/>
    <s v="스테이포에버"/>
    <s v="210207"/>
    <m/>
    <n v="102000"/>
  </r>
  <r>
    <x v="291"/>
    <x v="3"/>
    <m/>
    <x v="1"/>
    <x v="3"/>
    <x v="153"/>
    <n v="1"/>
    <s v="스테이포에버"/>
    <s v="210207"/>
    <m/>
    <n v="34000"/>
  </r>
  <r>
    <x v="291"/>
    <x v="3"/>
    <m/>
    <x v="1"/>
    <x v="3"/>
    <x v="150"/>
    <n v="2"/>
    <s v="이그나이트 + 스테이포에버"/>
    <s v="210207"/>
    <m/>
    <n v="117600"/>
  </r>
  <r>
    <x v="291"/>
    <x v="3"/>
    <m/>
    <x v="1"/>
    <x v="3"/>
    <x v="151"/>
    <n v="3"/>
    <s v="스테이포에버 2set"/>
    <s v="210207"/>
    <m/>
    <n v="176400"/>
  </r>
  <r>
    <x v="291"/>
    <x v="3"/>
    <m/>
    <x v="1"/>
    <x v="3"/>
    <x v="152"/>
    <n v="22"/>
    <s v="스테이포에버"/>
    <s v="210207"/>
    <m/>
    <n v="748000"/>
  </r>
  <r>
    <x v="291"/>
    <x v="3"/>
    <m/>
    <x v="1"/>
    <x v="0"/>
    <x v="134"/>
    <n v="1"/>
    <s v="이그나이트"/>
    <s v="210207"/>
    <m/>
    <n v="34000"/>
  </r>
  <r>
    <x v="291"/>
    <x v="3"/>
    <m/>
    <x v="1"/>
    <x v="0"/>
    <x v="135"/>
    <n v="5"/>
    <s v="스테이포에버"/>
    <s v="210207"/>
    <m/>
    <n v="170000"/>
  </r>
  <r>
    <x v="291"/>
    <x v="3"/>
    <m/>
    <x v="1"/>
    <x v="0"/>
    <x v="136"/>
    <n v="3"/>
    <s v="스테이포에버 2set"/>
    <s v="210207"/>
    <m/>
    <n v="176400"/>
  </r>
  <r>
    <x v="291"/>
    <x v="3"/>
    <m/>
    <x v="1"/>
    <x v="0"/>
    <x v="137"/>
    <n v="15"/>
    <s v="이그나이트 + 스테이포에버"/>
    <s v="210207"/>
    <m/>
    <n v="882000"/>
  </r>
  <r>
    <x v="291"/>
    <x v="3"/>
    <m/>
    <x v="1"/>
    <x v="0"/>
    <x v="144"/>
    <n v="1"/>
    <s v="이그나이트 + 스테이포에버"/>
    <s v="210207"/>
    <m/>
    <n v="58800"/>
  </r>
  <r>
    <x v="291"/>
    <x v="3"/>
    <m/>
    <x v="1"/>
    <x v="0"/>
    <x v="138"/>
    <n v="176"/>
    <s v="스테이포에버"/>
    <s v="210207"/>
    <m/>
    <n v="5984000"/>
  </r>
  <r>
    <x v="291"/>
    <x v="3"/>
    <m/>
    <x v="1"/>
    <x v="0"/>
    <x v="139"/>
    <n v="83"/>
    <s v="스테이포에버 2set"/>
    <s v="210207"/>
    <m/>
    <n v="4880400"/>
  </r>
  <r>
    <x v="291"/>
    <x v="3"/>
    <m/>
    <x v="1"/>
    <x v="0"/>
    <x v="140"/>
    <n v="13"/>
    <s v="이그나이트 + 스테이포에버"/>
    <s v="210207"/>
    <m/>
    <n v="764400"/>
  </r>
  <r>
    <x v="291"/>
    <x v="3"/>
    <m/>
    <x v="0"/>
    <x v="0"/>
    <x v="0"/>
    <n v="4"/>
    <s v="쇼핑백"/>
    <s v="210207"/>
    <m/>
    <n v="8000"/>
  </r>
  <r>
    <x v="291"/>
    <x v="3"/>
    <m/>
    <x v="1"/>
    <x v="0"/>
    <x v="141"/>
    <n v="5"/>
    <s v="이그나이트"/>
    <s v="210207"/>
    <m/>
    <n v="170000"/>
  </r>
  <r>
    <x v="291"/>
    <x v="3"/>
    <m/>
    <x v="1"/>
    <x v="0"/>
    <x v="161"/>
    <n v="4"/>
    <s v="이그나이트"/>
    <s v="210207"/>
    <m/>
    <n v="136000"/>
  </r>
  <r>
    <x v="291"/>
    <x v="3"/>
    <m/>
    <x v="1"/>
    <x v="0"/>
    <x v="165"/>
    <n v="1"/>
    <s v="이그나이트 2set"/>
    <s v="210207"/>
    <m/>
    <n v="58800"/>
  </r>
  <r>
    <x v="291"/>
    <x v="3"/>
    <m/>
    <x v="1"/>
    <x v="0"/>
    <x v="162"/>
    <n v="20"/>
    <s v="스테이포에버"/>
    <s v="210207"/>
    <m/>
    <n v="680000"/>
  </r>
  <r>
    <x v="291"/>
    <x v="3"/>
    <m/>
    <x v="1"/>
    <x v="0"/>
    <x v="163"/>
    <n v="18"/>
    <s v="스테이포에버 2set"/>
    <s v="210207"/>
    <m/>
    <n v="1058400"/>
  </r>
  <r>
    <x v="291"/>
    <x v="3"/>
    <m/>
    <x v="1"/>
    <x v="0"/>
    <x v="164"/>
    <n v="17"/>
    <s v="이그나이트 + 스테이포에버"/>
    <s v="210207"/>
    <m/>
    <n v="999600"/>
  </r>
  <r>
    <x v="291"/>
    <x v="3"/>
    <m/>
    <x v="1"/>
    <x v="0"/>
    <x v="166"/>
    <n v="4"/>
    <s v="이그나이트 + 스테이포에버 2set"/>
    <s v="210207"/>
    <m/>
    <n v="379200"/>
  </r>
  <r>
    <x v="291"/>
    <x v="3"/>
    <s v="네이버 배너"/>
    <x v="1"/>
    <x v="1"/>
    <x v="1"/>
    <m/>
    <m/>
    <m/>
    <n v="221441.8181818182"/>
    <m/>
  </r>
  <r>
    <x v="291"/>
    <x v="3"/>
    <s v="네이버 배너"/>
    <x v="1"/>
    <x v="1"/>
    <x v="1"/>
    <m/>
    <m/>
    <m/>
    <n v="935346.3636363635"/>
    <m/>
  </r>
  <r>
    <x v="291"/>
    <x v="3"/>
    <s v="네이버 배너(대행사)"/>
    <x v="1"/>
    <x v="1"/>
    <x v="1"/>
    <m/>
    <m/>
    <m/>
    <n v="198620.9090909091"/>
    <m/>
  </r>
  <r>
    <x v="291"/>
    <x v="3"/>
    <s v="카카오 배너"/>
    <x v="1"/>
    <x v="1"/>
    <x v="1"/>
    <m/>
    <m/>
    <m/>
    <n v="820739.9999999999"/>
    <m/>
  </r>
  <r>
    <x v="291"/>
    <x v="3"/>
    <s v="네이버 쇼핑박스"/>
    <x v="1"/>
    <x v="1"/>
    <x v="1"/>
    <m/>
    <m/>
    <m/>
    <n v="1129000"/>
    <m/>
  </r>
  <r>
    <x v="262"/>
    <x v="7"/>
    <m/>
    <x v="2"/>
    <x v="1"/>
    <x v="1"/>
    <m/>
    <m/>
    <m/>
    <m/>
    <m/>
  </r>
  <r>
    <x v="291"/>
    <x v="3"/>
    <s v="페이스북/인스타그램"/>
    <x v="1"/>
    <x v="1"/>
    <x v="1"/>
    <m/>
    <m/>
    <m/>
    <n v="40928"/>
    <m/>
  </r>
  <r>
    <x v="291"/>
    <x v="3"/>
    <s v="페이스북/인스타그램"/>
    <x v="1"/>
    <x v="1"/>
    <x v="1"/>
    <m/>
    <m/>
    <m/>
    <n v="26170"/>
    <m/>
  </r>
  <r>
    <x v="291"/>
    <x v="3"/>
    <s v="페이스북/인스타그램"/>
    <x v="1"/>
    <x v="1"/>
    <x v="1"/>
    <m/>
    <m/>
    <m/>
    <n v="32581"/>
    <m/>
  </r>
  <r>
    <x v="291"/>
    <x v="3"/>
    <s v="페이스북/인스타그램"/>
    <x v="1"/>
    <x v="1"/>
    <x v="1"/>
    <m/>
    <m/>
    <m/>
    <n v="59074"/>
    <m/>
  </r>
  <r>
    <x v="291"/>
    <x v="3"/>
    <s v="페이스북/인스타그램"/>
    <x v="1"/>
    <x v="1"/>
    <x v="1"/>
    <m/>
    <m/>
    <m/>
    <n v="47674"/>
    <m/>
  </r>
  <r>
    <x v="291"/>
    <x v="3"/>
    <s v="페이스북/인스타그램"/>
    <x v="1"/>
    <x v="1"/>
    <x v="1"/>
    <m/>
    <m/>
    <m/>
    <n v="58519"/>
    <m/>
  </r>
  <r>
    <x v="291"/>
    <x v="3"/>
    <s v="페이스북/인스타그램"/>
    <x v="1"/>
    <x v="1"/>
    <x v="1"/>
    <m/>
    <m/>
    <m/>
    <n v="195137"/>
    <m/>
  </r>
  <r>
    <x v="291"/>
    <x v="3"/>
    <s v="페이스북/인스타그램"/>
    <x v="1"/>
    <x v="1"/>
    <x v="1"/>
    <m/>
    <m/>
    <m/>
    <n v="155566"/>
    <m/>
  </r>
  <r>
    <x v="291"/>
    <x v="3"/>
    <s v="페이스북/인스타그램"/>
    <x v="1"/>
    <x v="1"/>
    <x v="1"/>
    <m/>
    <m/>
    <m/>
    <n v="200467"/>
    <m/>
  </r>
  <r>
    <x v="291"/>
    <x v="3"/>
    <s v="페이스북/인스타그램"/>
    <x v="1"/>
    <x v="1"/>
    <x v="1"/>
    <m/>
    <m/>
    <m/>
    <n v="49243"/>
    <m/>
  </r>
  <r>
    <x v="291"/>
    <x v="3"/>
    <s v="페이스북/인스타그램"/>
    <x v="1"/>
    <x v="1"/>
    <x v="1"/>
    <m/>
    <m/>
    <m/>
    <n v="99534"/>
    <m/>
  </r>
  <r>
    <x v="291"/>
    <x v="3"/>
    <s v="페이스북/인스타그램"/>
    <x v="1"/>
    <x v="1"/>
    <x v="1"/>
    <m/>
    <m/>
    <m/>
    <n v="48980"/>
    <m/>
  </r>
  <r>
    <x v="291"/>
    <x v="3"/>
    <s v="페이스북/인스타그램"/>
    <x v="1"/>
    <x v="1"/>
    <x v="1"/>
    <m/>
    <m/>
    <m/>
    <n v="98282"/>
    <m/>
  </r>
  <r>
    <x v="291"/>
    <x v="3"/>
    <s v="페이스북/인스타그램"/>
    <x v="1"/>
    <x v="1"/>
    <x v="1"/>
    <m/>
    <m/>
    <m/>
    <n v="68531"/>
    <m/>
  </r>
  <r>
    <x v="291"/>
    <x v="3"/>
    <s v="페이스북/인스타그램"/>
    <x v="1"/>
    <x v="1"/>
    <x v="1"/>
    <m/>
    <m/>
    <m/>
    <n v="147453"/>
    <m/>
  </r>
  <r>
    <x v="291"/>
    <x v="3"/>
    <s v="페이스북/인스타그램"/>
    <x v="1"/>
    <x v="1"/>
    <x v="1"/>
    <m/>
    <m/>
    <m/>
    <n v="196121"/>
    <m/>
  </r>
  <r>
    <x v="291"/>
    <x v="3"/>
    <s v="페이스북/인스타그램"/>
    <x v="1"/>
    <x v="1"/>
    <x v="1"/>
    <m/>
    <m/>
    <m/>
    <n v="195998"/>
    <m/>
  </r>
  <r>
    <x v="291"/>
    <x v="3"/>
    <s v="페이스북/인스타그램"/>
    <x v="1"/>
    <x v="1"/>
    <x v="1"/>
    <m/>
    <m/>
    <m/>
    <n v="147191"/>
    <m/>
  </r>
  <r>
    <x v="291"/>
    <x v="3"/>
    <s v="페이스북/인스타그램"/>
    <x v="1"/>
    <x v="1"/>
    <x v="1"/>
    <m/>
    <m/>
    <m/>
    <n v="48648"/>
    <m/>
  </r>
  <r>
    <x v="291"/>
    <x v="3"/>
    <s v="페이스북/인스타그램"/>
    <x v="1"/>
    <x v="1"/>
    <x v="1"/>
    <m/>
    <m/>
    <m/>
    <n v="147722"/>
    <m/>
  </r>
  <r>
    <x v="291"/>
    <x v="3"/>
    <s v="유튜브 광고"/>
    <x v="1"/>
    <x v="1"/>
    <x v="1"/>
    <m/>
    <m/>
    <m/>
    <n v="16915"/>
    <m/>
  </r>
  <r>
    <x v="291"/>
    <x v="3"/>
    <s v="유튜브 광고"/>
    <x v="1"/>
    <x v="1"/>
    <x v="1"/>
    <m/>
    <m/>
    <m/>
    <n v="20027"/>
    <m/>
  </r>
  <r>
    <x v="291"/>
    <x v="3"/>
    <s v="유튜브 광고"/>
    <x v="1"/>
    <x v="1"/>
    <x v="1"/>
    <m/>
    <m/>
    <m/>
    <n v="424291"/>
    <m/>
  </r>
  <r>
    <x v="291"/>
    <x v="3"/>
    <s v="유튜브 광고"/>
    <x v="1"/>
    <x v="1"/>
    <x v="1"/>
    <m/>
    <m/>
    <m/>
    <n v="507919"/>
    <m/>
  </r>
  <r>
    <x v="291"/>
    <x v="3"/>
    <s v="유튜브 광고"/>
    <x v="1"/>
    <x v="1"/>
    <x v="1"/>
    <m/>
    <m/>
    <m/>
    <n v="355925"/>
    <m/>
  </r>
  <r>
    <x v="291"/>
    <x v="3"/>
    <s v="유튜브 광고"/>
    <x v="1"/>
    <x v="1"/>
    <x v="1"/>
    <m/>
    <m/>
    <m/>
    <n v="9705"/>
    <m/>
  </r>
  <r>
    <x v="291"/>
    <x v="3"/>
    <s v="유튜브 광고"/>
    <x v="1"/>
    <x v="1"/>
    <x v="1"/>
    <m/>
    <m/>
    <m/>
    <n v="79192"/>
    <m/>
  </r>
  <r>
    <x v="291"/>
    <x v="3"/>
    <s v="유튜브 광고"/>
    <x v="1"/>
    <x v="1"/>
    <x v="1"/>
    <m/>
    <m/>
    <m/>
    <n v="106477"/>
    <m/>
  </r>
  <r>
    <x v="291"/>
    <x v="3"/>
    <s v="유튜브 광고"/>
    <x v="1"/>
    <x v="1"/>
    <x v="1"/>
    <m/>
    <m/>
    <m/>
    <n v="101483"/>
    <m/>
  </r>
  <r>
    <x v="291"/>
    <x v="3"/>
    <s v="네이버 쇼핑검색"/>
    <x v="1"/>
    <x v="1"/>
    <x v="1"/>
    <m/>
    <m/>
    <m/>
    <n v="18950"/>
    <m/>
  </r>
  <r>
    <x v="291"/>
    <x v="3"/>
    <s v="네이버 쇼핑검색"/>
    <x v="1"/>
    <x v="1"/>
    <x v="1"/>
    <m/>
    <m/>
    <m/>
    <n v="42050"/>
    <m/>
  </r>
  <r>
    <x v="291"/>
    <x v="3"/>
    <s v="네이버 쇼핑검색"/>
    <x v="1"/>
    <x v="1"/>
    <x v="1"/>
    <m/>
    <m/>
    <m/>
    <n v="9030"/>
    <m/>
  </r>
  <r>
    <x v="291"/>
    <x v="3"/>
    <s v="네이버 쇼핑검색"/>
    <x v="1"/>
    <x v="1"/>
    <x v="1"/>
    <m/>
    <m/>
    <m/>
    <n v="16580"/>
    <m/>
  </r>
  <r>
    <x v="291"/>
    <x v="3"/>
    <s v="네이버 브랜드검색"/>
    <x v="3"/>
    <x v="1"/>
    <x v="1"/>
    <m/>
    <m/>
    <m/>
    <n v="0"/>
    <m/>
  </r>
  <r>
    <x v="291"/>
    <x v="3"/>
    <m/>
    <x v="2"/>
    <x v="1"/>
    <x v="1"/>
    <m/>
    <m/>
    <m/>
    <n v="0"/>
    <m/>
  </r>
  <r>
    <x v="291"/>
    <x v="3"/>
    <m/>
    <x v="1"/>
    <x v="4"/>
    <x v="155"/>
    <n v="3"/>
    <s v="스테이포에버"/>
    <s v="210207"/>
    <m/>
    <n v="102000"/>
  </r>
  <r>
    <x v="291"/>
    <x v="3"/>
    <m/>
    <x v="1"/>
    <x v="3"/>
    <x v="153"/>
    <n v="1"/>
    <s v="스테이포에버"/>
    <s v="210207"/>
    <m/>
    <n v="34000"/>
  </r>
  <r>
    <x v="291"/>
    <x v="3"/>
    <m/>
    <x v="1"/>
    <x v="3"/>
    <x v="150"/>
    <n v="2"/>
    <s v="이그나이트 + 스테이포에버"/>
    <s v="210207"/>
    <m/>
    <n v="117600"/>
  </r>
  <r>
    <x v="291"/>
    <x v="3"/>
    <m/>
    <x v="1"/>
    <x v="3"/>
    <x v="151"/>
    <n v="3"/>
    <s v="스테이포에버 2set"/>
    <s v="210207"/>
    <m/>
    <n v="176400"/>
  </r>
  <r>
    <x v="291"/>
    <x v="3"/>
    <m/>
    <x v="1"/>
    <x v="3"/>
    <x v="152"/>
    <n v="22"/>
    <s v="스테이포에버"/>
    <s v="210207"/>
    <m/>
    <n v="748000"/>
  </r>
  <r>
    <x v="291"/>
    <x v="3"/>
    <m/>
    <x v="1"/>
    <x v="0"/>
    <x v="134"/>
    <n v="1"/>
    <s v="이그나이트"/>
    <s v="210207"/>
    <m/>
    <n v="34000"/>
  </r>
  <r>
    <x v="291"/>
    <x v="3"/>
    <m/>
    <x v="1"/>
    <x v="0"/>
    <x v="135"/>
    <n v="5"/>
    <s v="스테이포에버"/>
    <s v="210207"/>
    <m/>
    <n v="170000"/>
  </r>
  <r>
    <x v="291"/>
    <x v="3"/>
    <m/>
    <x v="1"/>
    <x v="0"/>
    <x v="136"/>
    <n v="3"/>
    <s v="스테이포에버 2set"/>
    <s v="210207"/>
    <m/>
    <n v="176400"/>
  </r>
  <r>
    <x v="291"/>
    <x v="3"/>
    <m/>
    <x v="1"/>
    <x v="0"/>
    <x v="137"/>
    <n v="15"/>
    <s v="이그나이트 + 스테이포에버"/>
    <s v="210207"/>
    <m/>
    <n v="882000"/>
  </r>
  <r>
    <x v="291"/>
    <x v="3"/>
    <m/>
    <x v="1"/>
    <x v="0"/>
    <x v="144"/>
    <n v="1"/>
    <s v="이그나이트 + 스테이포에버"/>
    <s v="210207"/>
    <m/>
    <n v="58800"/>
  </r>
  <r>
    <x v="291"/>
    <x v="3"/>
    <m/>
    <x v="1"/>
    <x v="0"/>
    <x v="138"/>
    <n v="176"/>
    <s v="스테이포에버"/>
    <s v="210207"/>
    <m/>
    <n v="5984000"/>
  </r>
  <r>
    <x v="291"/>
    <x v="3"/>
    <m/>
    <x v="1"/>
    <x v="0"/>
    <x v="139"/>
    <n v="83"/>
    <s v="스테이포에버 2set"/>
    <s v="210207"/>
    <m/>
    <n v="4880400"/>
  </r>
  <r>
    <x v="291"/>
    <x v="3"/>
    <m/>
    <x v="1"/>
    <x v="0"/>
    <x v="140"/>
    <n v="13"/>
    <s v="이그나이트 + 스테이포에버"/>
    <s v="210207"/>
    <m/>
    <n v="764400"/>
  </r>
  <r>
    <x v="291"/>
    <x v="3"/>
    <m/>
    <x v="0"/>
    <x v="0"/>
    <x v="0"/>
    <n v="4"/>
    <s v="쇼핑백"/>
    <s v="210207"/>
    <m/>
    <n v="8000"/>
  </r>
  <r>
    <x v="291"/>
    <x v="3"/>
    <m/>
    <x v="1"/>
    <x v="0"/>
    <x v="141"/>
    <n v="5"/>
    <s v="이그나이트"/>
    <s v="210207"/>
    <m/>
    <n v="170000"/>
  </r>
  <r>
    <x v="291"/>
    <x v="3"/>
    <m/>
    <x v="1"/>
    <x v="0"/>
    <x v="161"/>
    <n v="4"/>
    <s v="이그나이트"/>
    <s v="210207"/>
    <m/>
    <n v="136000"/>
  </r>
  <r>
    <x v="291"/>
    <x v="3"/>
    <m/>
    <x v="1"/>
    <x v="0"/>
    <x v="165"/>
    <n v="1"/>
    <s v="이그나이트 2set"/>
    <s v="210207"/>
    <m/>
    <n v="58800"/>
  </r>
  <r>
    <x v="291"/>
    <x v="3"/>
    <m/>
    <x v="1"/>
    <x v="0"/>
    <x v="162"/>
    <n v="20"/>
    <s v="스테이포에버"/>
    <s v="210207"/>
    <m/>
    <n v="680000"/>
  </r>
  <r>
    <x v="291"/>
    <x v="3"/>
    <m/>
    <x v="1"/>
    <x v="0"/>
    <x v="163"/>
    <n v="18"/>
    <s v="스테이포에버 2set"/>
    <s v="210207"/>
    <m/>
    <n v="1058400"/>
  </r>
  <r>
    <x v="291"/>
    <x v="3"/>
    <m/>
    <x v="1"/>
    <x v="0"/>
    <x v="164"/>
    <n v="17"/>
    <s v="이그나이트 + 스테이포에버"/>
    <s v="210207"/>
    <m/>
    <n v="999600"/>
  </r>
  <r>
    <x v="291"/>
    <x v="3"/>
    <m/>
    <x v="1"/>
    <x v="0"/>
    <x v="166"/>
    <n v="4"/>
    <s v="이그나이트 + 스테이포에버 2set"/>
    <s v="210207"/>
    <m/>
    <n v="379200"/>
  </r>
  <r>
    <x v="291"/>
    <x v="3"/>
    <s v="네이버 배너"/>
    <x v="1"/>
    <x v="1"/>
    <x v="1"/>
    <m/>
    <m/>
    <m/>
    <n v="221441.8181818182"/>
    <m/>
  </r>
  <r>
    <x v="291"/>
    <x v="3"/>
    <s v="네이버 배너"/>
    <x v="1"/>
    <x v="1"/>
    <x v="1"/>
    <m/>
    <m/>
    <m/>
    <n v="935346.3636363635"/>
    <m/>
  </r>
  <r>
    <x v="292"/>
    <x v="4"/>
    <s v="페이스북/인스타그램"/>
    <x v="1"/>
    <x v="1"/>
    <x v="1"/>
    <m/>
    <m/>
    <m/>
    <n v="47104"/>
    <m/>
  </r>
  <r>
    <x v="292"/>
    <x v="4"/>
    <s v="페이스북/인스타그램"/>
    <x v="1"/>
    <x v="1"/>
    <x v="1"/>
    <m/>
    <m/>
    <m/>
    <n v="22197"/>
    <m/>
  </r>
  <r>
    <x v="292"/>
    <x v="4"/>
    <s v="페이스북/인스타그램"/>
    <x v="1"/>
    <x v="1"/>
    <x v="1"/>
    <m/>
    <m/>
    <m/>
    <n v="28590"/>
    <m/>
  </r>
  <r>
    <x v="292"/>
    <x v="4"/>
    <s v="페이스북/인스타그램"/>
    <x v="1"/>
    <x v="1"/>
    <x v="1"/>
    <m/>
    <m/>
    <m/>
    <n v="60175"/>
    <m/>
  </r>
  <r>
    <x v="292"/>
    <x v="4"/>
    <s v="페이스북/인스타그램"/>
    <x v="1"/>
    <x v="1"/>
    <x v="1"/>
    <m/>
    <m/>
    <m/>
    <n v="48789"/>
    <m/>
  </r>
  <r>
    <x v="292"/>
    <x v="4"/>
    <s v="페이스북/인스타그램"/>
    <x v="1"/>
    <x v="1"/>
    <x v="1"/>
    <m/>
    <m/>
    <m/>
    <n v="59882"/>
    <m/>
  </r>
  <r>
    <x v="292"/>
    <x v="4"/>
    <s v="페이스북/인스타그램"/>
    <x v="1"/>
    <x v="1"/>
    <x v="1"/>
    <m/>
    <m/>
    <m/>
    <n v="154983"/>
    <m/>
  </r>
  <r>
    <x v="292"/>
    <x v="4"/>
    <s v="페이스북/인스타그램"/>
    <x v="1"/>
    <x v="1"/>
    <x v="1"/>
    <m/>
    <m/>
    <m/>
    <n v="159417"/>
    <m/>
  </r>
  <r>
    <x v="292"/>
    <x v="4"/>
    <s v="페이스북/인스타그램"/>
    <x v="1"/>
    <x v="1"/>
    <x v="1"/>
    <m/>
    <m/>
    <m/>
    <n v="206853"/>
    <m/>
  </r>
  <r>
    <x v="292"/>
    <x v="4"/>
    <s v="페이스북/인스타그램"/>
    <x v="1"/>
    <x v="1"/>
    <x v="1"/>
    <m/>
    <m/>
    <m/>
    <n v="50115"/>
    <m/>
  </r>
  <r>
    <x v="292"/>
    <x v="4"/>
    <s v="페이스북/인스타그램"/>
    <x v="1"/>
    <x v="1"/>
    <x v="1"/>
    <m/>
    <m/>
    <m/>
    <n v="99710"/>
    <m/>
  </r>
  <r>
    <x v="292"/>
    <x v="4"/>
    <s v="페이스북/인스타그램"/>
    <x v="1"/>
    <x v="1"/>
    <x v="1"/>
    <m/>
    <m/>
    <m/>
    <n v="50644"/>
    <m/>
  </r>
  <r>
    <x v="292"/>
    <x v="4"/>
    <s v="페이스북/인스타그램"/>
    <x v="1"/>
    <x v="1"/>
    <x v="1"/>
    <m/>
    <m/>
    <m/>
    <n v="101127"/>
    <m/>
  </r>
  <r>
    <x v="292"/>
    <x v="4"/>
    <s v="페이스북/인스타그램"/>
    <x v="1"/>
    <x v="1"/>
    <x v="1"/>
    <m/>
    <m/>
    <m/>
    <n v="70281"/>
    <m/>
  </r>
  <r>
    <x v="292"/>
    <x v="4"/>
    <s v="페이스북/인스타그램"/>
    <x v="1"/>
    <x v="1"/>
    <x v="1"/>
    <m/>
    <m/>
    <m/>
    <n v="150694"/>
    <m/>
  </r>
  <r>
    <x v="292"/>
    <x v="4"/>
    <s v="페이스북/인스타그램"/>
    <x v="1"/>
    <x v="1"/>
    <x v="1"/>
    <m/>
    <m/>
    <m/>
    <n v="199853"/>
    <m/>
  </r>
  <r>
    <x v="292"/>
    <x v="4"/>
    <s v="페이스북/인스타그램"/>
    <x v="1"/>
    <x v="1"/>
    <x v="1"/>
    <m/>
    <m/>
    <m/>
    <n v="201656"/>
    <m/>
  </r>
  <r>
    <x v="292"/>
    <x v="4"/>
    <s v="페이스북/인스타그램"/>
    <x v="1"/>
    <x v="1"/>
    <x v="1"/>
    <m/>
    <m/>
    <m/>
    <n v="151943"/>
    <m/>
  </r>
  <r>
    <x v="292"/>
    <x v="4"/>
    <s v="페이스북/인스타그램"/>
    <x v="1"/>
    <x v="1"/>
    <x v="1"/>
    <m/>
    <m/>
    <m/>
    <n v="49896"/>
    <m/>
  </r>
  <r>
    <x v="292"/>
    <x v="4"/>
    <s v="페이스북/인스타그램"/>
    <x v="1"/>
    <x v="1"/>
    <x v="1"/>
    <m/>
    <m/>
    <m/>
    <n v="152156"/>
    <m/>
  </r>
  <r>
    <x v="292"/>
    <x v="4"/>
    <s v="유튜브 광고"/>
    <x v="1"/>
    <x v="1"/>
    <x v="1"/>
    <m/>
    <m/>
    <m/>
    <n v="41744"/>
    <m/>
  </r>
  <r>
    <x v="292"/>
    <x v="4"/>
    <s v="유튜브 광고"/>
    <x v="1"/>
    <x v="1"/>
    <x v="1"/>
    <m/>
    <m/>
    <m/>
    <n v="149897"/>
    <m/>
  </r>
  <r>
    <x v="292"/>
    <x v="4"/>
    <s v="유튜브 광고"/>
    <x v="1"/>
    <x v="1"/>
    <x v="1"/>
    <m/>
    <m/>
    <m/>
    <n v="425080"/>
    <m/>
  </r>
  <r>
    <x v="292"/>
    <x v="4"/>
    <s v="유튜브 광고"/>
    <x v="1"/>
    <x v="1"/>
    <x v="1"/>
    <m/>
    <m/>
    <m/>
    <n v="509749"/>
    <m/>
  </r>
  <r>
    <x v="292"/>
    <x v="4"/>
    <s v="유튜브 광고"/>
    <x v="1"/>
    <x v="1"/>
    <x v="1"/>
    <m/>
    <m/>
    <m/>
    <n v="354912"/>
    <m/>
  </r>
  <r>
    <x v="292"/>
    <x v="4"/>
    <s v="유튜브 광고"/>
    <x v="1"/>
    <x v="1"/>
    <x v="1"/>
    <m/>
    <m/>
    <m/>
    <n v="7035"/>
    <m/>
  </r>
  <r>
    <x v="292"/>
    <x v="4"/>
    <s v="유튜브 광고"/>
    <x v="1"/>
    <x v="1"/>
    <x v="1"/>
    <m/>
    <m/>
    <m/>
    <n v="40313"/>
    <m/>
  </r>
  <r>
    <x v="292"/>
    <x v="4"/>
    <s v="유튜브 광고"/>
    <x v="1"/>
    <x v="1"/>
    <x v="1"/>
    <m/>
    <m/>
    <m/>
    <n v="105897"/>
    <m/>
  </r>
  <r>
    <x v="292"/>
    <x v="4"/>
    <s v="유튜브 광고"/>
    <x v="1"/>
    <x v="1"/>
    <x v="1"/>
    <m/>
    <m/>
    <m/>
    <n v="101841"/>
    <m/>
  </r>
  <r>
    <x v="292"/>
    <x v="4"/>
    <s v="네이버 쇼핑검색"/>
    <x v="1"/>
    <x v="1"/>
    <x v="1"/>
    <m/>
    <m/>
    <m/>
    <n v="44000"/>
    <m/>
  </r>
  <r>
    <x v="292"/>
    <x v="4"/>
    <s v="네이버 쇼핑검색"/>
    <x v="1"/>
    <x v="1"/>
    <x v="1"/>
    <m/>
    <m/>
    <m/>
    <n v="38320"/>
    <m/>
  </r>
  <r>
    <x v="292"/>
    <x v="4"/>
    <s v="네이버 쇼핑검색"/>
    <x v="1"/>
    <x v="1"/>
    <x v="1"/>
    <m/>
    <m/>
    <m/>
    <n v="24120"/>
    <m/>
  </r>
  <r>
    <x v="292"/>
    <x v="4"/>
    <s v="네이버 쇼핑검색"/>
    <x v="1"/>
    <x v="1"/>
    <x v="1"/>
    <m/>
    <m/>
    <m/>
    <n v="29310"/>
    <m/>
  </r>
  <r>
    <x v="292"/>
    <x v="4"/>
    <s v="네이버 브랜드검색"/>
    <x v="3"/>
    <x v="1"/>
    <x v="1"/>
    <m/>
    <m/>
    <m/>
    <n v="140000"/>
    <m/>
  </r>
  <r>
    <x v="292"/>
    <x v="4"/>
    <s v="네이버 브랜드검색"/>
    <x v="3"/>
    <x v="1"/>
    <x v="1"/>
    <m/>
    <m/>
    <m/>
    <n v="16700"/>
    <m/>
  </r>
  <r>
    <x v="292"/>
    <x v="4"/>
    <m/>
    <x v="1"/>
    <x v="4"/>
    <x v="155"/>
    <n v="9"/>
    <s v="스테이포에버"/>
    <s v="210207"/>
    <m/>
    <n v="306000"/>
  </r>
  <r>
    <x v="292"/>
    <x v="4"/>
    <m/>
    <x v="1"/>
    <x v="3"/>
    <x v="150"/>
    <n v="1"/>
    <s v="이그나이트 + 스테이포에버"/>
    <s v="210207"/>
    <m/>
    <n v="58800"/>
  </r>
  <r>
    <x v="292"/>
    <x v="4"/>
    <m/>
    <x v="1"/>
    <x v="3"/>
    <x v="151"/>
    <n v="7"/>
    <s v="스테이포에버 2set"/>
    <s v="210207"/>
    <m/>
    <n v="411600"/>
  </r>
  <r>
    <x v="292"/>
    <x v="4"/>
    <m/>
    <x v="1"/>
    <x v="3"/>
    <x v="152"/>
    <n v="22"/>
    <s v="스테이포에버"/>
    <s v="210207"/>
    <m/>
    <n v="748000"/>
  </r>
  <r>
    <x v="292"/>
    <x v="4"/>
    <m/>
    <x v="1"/>
    <x v="3"/>
    <x v="154"/>
    <n v="1"/>
    <s v="이그나이트"/>
    <s v="210207"/>
    <m/>
    <n v="34000"/>
  </r>
  <r>
    <x v="292"/>
    <x v="4"/>
    <m/>
    <x v="1"/>
    <x v="0"/>
    <x v="134"/>
    <n v="1"/>
    <s v="이그나이트"/>
    <s v="210207"/>
    <m/>
    <n v="34000"/>
  </r>
  <r>
    <x v="292"/>
    <x v="4"/>
    <m/>
    <x v="1"/>
    <x v="0"/>
    <x v="135"/>
    <n v="4"/>
    <s v="스테이포에버"/>
    <s v="210207"/>
    <m/>
    <n v="136000"/>
  </r>
  <r>
    <x v="292"/>
    <x v="4"/>
    <m/>
    <x v="1"/>
    <x v="0"/>
    <x v="136"/>
    <n v="16"/>
    <s v="스테이포에버 2set"/>
    <s v="210207"/>
    <m/>
    <n v="940800"/>
  </r>
  <r>
    <x v="292"/>
    <x v="4"/>
    <m/>
    <x v="1"/>
    <x v="0"/>
    <x v="137"/>
    <n v="19"/>
    <s v="이그나이트 + 스테이포에버"/>
    <s v="210207"/>
    <m/>
    <n v="1117200"/>
  </r>
  <r>
    <x v="292"/>
    <x v="4"/>
    <m/>
    <x v="1"/>
    <x v="0"/>
    <x v="144"/>
    <n v="4"/>
    <s v="이그나이트 + 스테이포에버"/>
    <s v="210207"/>
    <m/>
    <n v="235200"/>
  </r>
  <r>
    <x v="292"/>
    <x v="4"/>
    <m/>
    <x v="1"/>
    <x v="0"/>
    <x v="138"/>
    <n v="161"/>
    <s v="스테이포에버"/>
    <s v="210207"/>
    <m/>
    <n v="5474000"/>
  </r>
  <r>
    <x v="292"/>
    <x v="4"/>
    <m/>
    <x v="1"/>
    <x v="0"/>
    <x v="139"/>
    <n v="87"/>
    <s v="스테이포에버 2set"/>
    <s v="210207"/>
    <m/>
    <n v="5115600"/>
  </r>
  <r>
    <x v="292"/>
    <x v="4"/>
    <m/>
    <x v="1"/>
    <x v="0"/>
    <x v="140"/>
    <n v="17"/>
    <s v="이그나이트 + 스테이포에버"/>
    <s v="210207"/>
    <m/>
    <n v="999600"/>
  </r>
  <r>
    <x v="292"/>
    <x v="4"/>
    <m/>
    <x v="0"/>
    <x v="0"/>
    <x v="0"/>
    <n v="8"/>
    <s v="쇼핑백"/>
    <s v="210207"/>
    <m/>
    <n v="16000"/>
  </r>
  <r>
    <x v="292"/>
    <x v="4"/>
    <m/>
    <x v="1"/>
    <x v="0"/>
    <x v="141"/>
    <n v="2"/>
    <s v="이그나이트"/>
    <s v="210207"/>
    <m/>
    <n v="68000"/>
  </r>
  <r>
    <x v="292"/>
    <x v="4"/>
    <m/>
    <x v="1"/>
    <x v="0"/>
    <x v="142"/>
    <n v="1"/>
    <s v="이그나이트 2set"/>
    <s v="210207"/>
    <m/>
    <n v="58800"/>
  </r>
  <r>
    <x v="292"/>
    <x v="4"/>
    <m/>
    <x v="1"/>
    <x v="0"/>
    <x v="161"/>
    <n v="2"/>
    <s v="이그나이트"/>
    <s v="210207"/>
    <m/>
    <n v="68000"/>
  </r>
  <r>
    <x v="292"/>
    <x v="4"/>
    <m/>
    <x v="1"/>
    <x v="0"/>
    <x v="165"/>
    <n v="2"/>
    <s v="이그나이트 2set"/>
    <s v="210207"/>
    <m/>
    <n v="117600"/>
  </r>
  <r>
    <x v="292"/>
    <x v="4"/>
    <m/>
    <x v="1"/>
    <x v="0"/>
    <x v="162"/>
    <n v="15"/>
    <s v="스테이포에버"/>
    <s v="210207"/>
    <m/>
    <n v="510000"/>
  </r>
  <r>
    <x v="292"/>
    <x v="4"/>
    <m/>
    <x v="1"/>
    <x v="0"/>
    <x v="163"/>
    <n v="8"/>
    <s v="스테이포에버 2set"/>
    <s v="210207"/>
    <m/>
    <n v="470400"/>
  </r>
  <r>
    <x v="292"/>
    <x v="4"/>
    <m/>
    <x v="1"/>
    <x v="0"/>
    <x v="164"/>
    <n v="11"/>
    <s v="이그나이트 + 스테이포에버"/>
    <s v="210207"/>
    <m/>
    <n v="646800"/>
  </r>
  <r>
    <x v="292"/>
    <x v="4"/>
    <m/>
    <x v="1"/>
    <x v="0"/>
    <x v="166"/>
    <n v="1"/>
    <s v="이그나이트 + 스테이포에버 2set"/>
    <s v="210207"/>
    <m/>
    <n v="94800"/>
  </r>
  <r>
    <x v="292"/>
    <x v="4"/>
    <s v="네이버 배너"/>
    <x v="1"/>
    <x v="1"/>
    <x v="1"/>
    <m/>
    <m/>
    <m/>
    <n v="266440"/>
    <m/>
  </r>
  <r>
    <x v="292"/>
    <x v="4"/>
    <s v="네이버 배너"/>
    <x v="1"/>
    <x v="1"/>
    <x v="1"/>
    <m/>
    <m/>
    <m/>
    <n v="841968.1818181818"/>
    <m/>
  </r>
  <r>
    <x v="292"/>
    <x v="4"/>
    <s v="카카오 배너"/>
    <x v="1"/>
    <x v="1"/>
    <x v="1"/>
    <m/>
    <m/>
    <m/>
    <n v="182020"/>
    <m/>
  </r>
  <r>
    <x v="292"/>
    <x v="4"/>
    <s v="카카오 배너"/>
    <x v="1"/>
    <x v="1"/>
    <x v="1"/>
    <m/>
    <m/>
    <m/>
    <n v="853829.9999999999"/>
    <m/>
  </r>
  <r>
    <x v="292"/>
    <x v="4"/>
    <s v="네이버 배너(대행사)"/>
    <x v="1"/>
    <x v="1"/>
    <x v="1"/>
    <m/>
    <m/>
    <m/>
    <n v="311277.2727272727"/>
    <m/>
  </r>
  <r>
    <x v="292"/>
    <x v="4"/>
    <s v="네이버 쇼핑박스"/>
    <x v="1"/>
    <x v="1"/>
    <x v="1"/>
    <m/>
    <m/>
    <m/>
    <n v="1129000"/>
    <m/>
  </r>
  <r>
    <x v="293"/>
    <x v="1"/>
    <s v="페이스북/인스타그램"/>
    <x v="1"/>
    <x v="1"/>
    <x v="1"/>
    <m/>
    <m/>
    <m/>
    <n v="34941"/>
    <m/>
  </r>
  <r>
    <x v="293"/>
    <x v="1"/>
    <s v="페이스북/인스타그램"/>
    <x v="1"/>
    <x v="1"/>
    <x v="1"/>
    <m/>
    <m/>
    <m/>
    <n v="47348"/>
    <m/>
  </r>
  <r>
    <x v="293"/>
    <x v="1"/>
    <s v="페이스북/인스타그램"/>
    <x v="1"/>
    <x v="1"/>
    <x v="1"/>
    <m/>
    <m/>
    <m/>
    <n v="28146"/>
    <m/>
  </r>
  <r>
    <x v="293"/>
    <x v="1"/>
    <s v="페이스북/인스타그램"/>
    <x v="1"/>
    <x v="1"/>
    <x v="1"/>
    <m/>
    <m/>
    <m/>
    <n v="59182"/>
    <m/>
  </r>
  <r>
    <x v="293"/>
    <x v="1"/>
    <s v="페이스북/인스타그램"/>
    <x v="1"/>
    <x v="1"/>
    <x v="1"/>
    <m/>
    <m/>
    <m/>
    <n v="70899"/>
    <m/>
  </r>
  <r>
    <x v="293"/>
    <x v="1"/>
    <s v="페이스북/인스타그램"/>
    <x v="1"/>
    <x v="1"/>
    <x v="1"/>
    <m/>
    <m/>
    <m/>
    <n v="60081"/>
    <m/>
  </r>
  <r>
    <x v="293"/>
    <x v="1"/>
    <s v="페이스북/인스타그램"/>
    <x v="1"/>
    <x v="1"/>
    <x v="1"/>
    <m/>
    <m/>
    <m/>
    <n v="96262"/>
    <m/>
  </r>
  <r>
    <x v="293"/>
    <x v="1"/>
    <s v="페이스북/인스타그램"/>
    <x v="1"/>
    <x v="1"/>
    <x v="1"/>
    <m/>
    <m/>
    <m/>
    <n v="157968"/>
    <m/>
  </r>
  <r>
    <x v="293"/>
    <x v="1"/>
    <s v="페이스북/인스타그램"/>
    <x v="1"/>
    <x v="1"/>
    <x v="1"/>
    <m/>
    <m/>
    <m/>
    <n v="204570"/>
    <m/>
  </r>
  <r>
    <x v="293"/>
    <x v="1"/>
    <s v="페이스북/인스타그램"/>
    <x v="1"/>
    <x v="1"/>
    <x v="1"/>
    <m/>
    <m/>
    <m/>
    <n v="49499"/>
    <m/>
  </r>
  <r>
    <x v="293"/>
    <x v="1"/>
    <s v="페이스북/인스타그램"/>
    <x v="1"/>
    <x v="1"/>
    <x v="1"/>
    <m/>
    <m/>
    <m/>
    <n v="98822"/>
    <m/>
  </r>
  <r>
    <x v="293"/>
    <x v="1"/>
    <s v="페이스북/인스타그램"/>
    <x v="1"/>
    <x v="1"/>
    <x v="1"/>
    <m/>
    <m/>
    <m/>
    <n v="49055"/>
    <m/>
  </r>
  <r>
    <x v="293"/>
    <x v="1"/>
    <s v="페이스북/인스타그램"/>
    <x v="1"/>
    <x v="1"/>
    <x v="1"/>
    <m/>
    <m/>
    <m/>
    <n v="98507"/>
    <m/>
  </r>
  <r>
    <x v="293"/>
    <x v="1"/>
    <s v="페이스북/인스타그램"/>
    <x v="1"/>
    <x v="1"/>
    <x v="1"/>
    <m/>
    <m/>
    <m/>
    <n v="69738"/>
    <m/>
  </r>
  <r>
    <x v="293"/>
    <x v="1"/>
    <s v="페이스북/인스타그램"/>
    <x v="1"/>
    <x v="1"/>
    <x v="1"/>
    <m/>
    <m/>
    <m/>
    <n v="147843"/>
    <m/>
  </r>
  <r>
    <x v="293"/>
    <x v="1"/>
    <s v="페이스북/인스타그램"/>
    <x v="1"/>
    <x v="1"/>
    <x v="1"/>
    <m/>
    <m/>
    <m/>
    <n v="197819"/>
    <m/>
  </r>
  <r>
    <x v="293"/>
    <x v="1"/>
    <s v="페이스북/인스타그램"/>
    <x v="1"/>
    <x v="1"/>
    <x v="1"/>
    <m/>
    <m/>
    <m/>
    <n v="199775"/>
    <m/>
  </r>
  <r>
    <x v="293"/>
    <x v="1"/>
    <s v="페이스북/인스타그램"/>
    <x v="1"/>
    <x v="1"/>
    <x v="1"/>
    <m/>
    <m/>
    <m/>
    <n v="148161"/>
    <m/>
  </r>
  <r>
    <x v="293"/>
    <x v="1"/>
    <s v="페이스북/인스타그램"/>
    <x v="1"/>
    <x v="1"/>
    <x v="1"/>
    <m/>
    <m/>
    <m/>
    <n v="49862"/>
    <m/>
  </r>
  <r>
    <x v="293"/>
    <x v="1"/>
    <s v="페이스북/인스타그램"/>
    <x v="1"/>
    <x v="1"/>
    <x v="1"/>
    <m/>
    <m/>
    <m/>
    <n v="148251"/>
    <m/>
  </r>
  <r>
    <x v="294"/>
    <x v="2"/>
    <s v="페이스북/인스타그램"/>
    <x v="1"/>
    <x v="1"/>
    <x v="1"/>
    <m/>
    <m/>
    <m/>
    <n v="27254"/>
    <m/>
  </r>
  <r>
    <x v="294"/>
    <x v="2"/>
    <s v="페이스북/인스타그램"/>
    <x v="1"/>
    <x v="1"/>
    <x v="1"/>
    <m/>
    <m/>
    <m/>
    <n v="12327"/>
    <m/>
  </r>
  <r>
    <x v="294"/>
    <x v="2"/>
    <s v="페이스북/인스타그램"/>
    <x v="1"/>
    <x v="1"/>
    <x v="1"/>
    <m/>
    <m/>
    <m/>
    <n v="30743"/>
    <m/>
  </r>
  <r>
    <x v="294"/>
    <x v="2"/>
    <s v="페이스북/인스타그램"/>
    <x v="1"/>
    <x v="1"/>
    <x v="1"/>
    <m/>
    <m/>
    <m/>
    <n v="63626"/>
    <m/>
  </r>
  <r>
    <x v="294"/>
    <x v="2"/>
    <s v="페이스북/인스타그램"/>
    <x v="1"/>
    <x v="1"/>
    <x v="1"/>
    <m/>
    <m/>
    <m/>
    <n v="82518"/>
    <m/>
  </r>
  <r>
    <x v="294"/>
    <x v="2"/>
    <s v="페이스북/인스타그램"/>
    <x v="1"/>
    <x v="1"/>
    <x v="1"/>
    <m/>
    <m/>
    <m/>
    <n v="62417"/>
    <m/>
  </r>
  <r>
    <x v="294"/>
    <x v="2"/>
    <s v="페이스북/인스타그램"/>
    <x v="1"/>
    <x v="1"/>
    <x v="1"/>
    <m/>
    <m/>
    <m/>
    <n v="100066"/>
    <m/>
  </r>
  <r>
    <x v="294"/>
    <x v="2"/>
    <s v="페이스북/인스타그램"/>
    <x v="1"/>
    <x v="1"/>
    <x v="1"/>
    <m/>
    <m/>
    <m/>
    <n v="168657"/>
    <m/>
  </r>
  <r>
    <x v="294"/>
    <x v="2"/>
    <s v="페이스북/인스타그램"/>
    <x v="1"/>
    <x v="1"/>
    <x v="1"/>
    <m/>
    <m/>
    <m/>
    <n v="215812"/>
    <m/>
  </r>
  <r>
    <x v="294"/>
    <x v="2"/>
    <s v="페이스북/인스타그램"/>
    <x v="1"/>
    <x v="1"/>
    <x v="1"/>
    <m/>
    <m/>
    <m/>
    <n v="52163"/>
    <m/>
  </r>
  <r>
    <x v="294"/>
    <x v="2"/>
    <s v="페이스북/인스타그램"/>
    <x v="1"/>
    <x v="1"/>
    <x v="1"/>
    <m/>
    <m/>
    <m/>
    <n v="105291"/>
    <m/>
  </r>
  <r>
    <x v="294"/>
    <x v="2"/>
    <s v="페이스북/인스타그램"/>
    <x v="1"/>
    <x v="1"/>
    <x v="1"/>
    <m/>
    <m/>
    <m/>
    <n v="52191"/>
    <m/>
  </r>
  <r>
    <x v="294"/>
    <x v="2"/>
    <s v="페이스북/인스타그램"/>
    <x v="1"/>
    <x v="1"/>
    <x v="1"/>
    <m/>
    <m/>
    <m/>
    <n v="103158"/>
    <m/>
  </r>
  <r>
    <x v="294"/>
    <x v="2"/>
    <s v="페이스북/인스타그램"/>
    <x v="1"/>
    <x v="1"/>
    <x v="1"/>
    <m/>
    <m/>
    <m/>
    <n v="73275"/>
    <m/>
  </r>
  <r>
    <x v="294"/>
    <x v="2"/>
    <s v="페이스북/인스타그램"/>
    <x v="1"/>
    <x v="1"/>
    <x v="1"/>
    <m/>
    <m/>
    <m/>
    <n v="155602"/>
    <m/>
  </r>
  <r>
    <x v="294"/>
    <x v="2"/>
    <s v="페이스북/인스타그램"/>
    <x v="1"/>
    <x v="1"/>
    <x v="1"/>
    <m/>
    <m/>
    <m/>
    <n v="210080"/>
    <m/>
  </r>
  <r>
    <x v="294"/>
    <x v="2"/>
    <s v="페이스북/인스타그램"/>
    <x v="1"/>
    <x v="1"/>
    <x v="1"/>
    <m/>
    <m/>
    <m/>
    <n v="208110"/>
    <m/>
  </r>
  <r>
    <x v="294"/>
    <x v="2"/>
    <s v="페이스북/인스타그램"/>
    <x v="1"/>
    <x v="1"/>
    <x v="1"/>
    <m/>
    <m/>
    <m/>
    <n v="156114"/>
    <m/>
  </r>
  <r>
    <x v="294"/>
    <x v="2"/>
    <s v="페이스북/인스타그램"/>
    <x v="1"/>
    <x v="1"/>
    <x v="1"/>
    <m/>
    <m/>
    <m/>
    <n v="49625"/>
    <m/>
  </r>
  <r>
    <x v="294"/>
    <x v="2"/>
    <s v="페이스북/인스타그램"/>
    <x v="1"/>
    <x v="1"/>
    <x v="1"/>
    <m/>
    <m/>
    <m/>
    <n v="155518"/>
    <m/>
  </r>
  <r>
    <x v="295"/>
    <x v="5"/>
    <s v="페이스북/인스타그램"/>
    <x v="1"/>
    <x v="1"/>
    <x v="1"/>
    <m/>
    <m/>
    <m/>
    <n v="31981"/>
    <m/>
  </r>
  <r>
    <x v="295"/>
    <x v="5"/>
    <s v="페이스북/인스타그램"/>
    <x v="1"/>
    <x v="1"/>
    <x v="1"/>
    <m/>
    <m/>
    <m/>
    <n v="30228"/>
    <m/>
  </r>
  <r>
    <x v="295"/>
    <x v="5"/>
    <s v="페이스북/인스타그램"/>
    <x v="1"/>
    <x v="1"/>
    <x v="1"/>
    <m/>
    <m/>
    <m/>
    <n v="60379"/>
    <m/>
  </r>
  <r>
    <x v="295"/>
    <x v="5"/>
    <s v="페이스북/인스타그램"/>
    <x v="1"/>
    <x v="1"/>
    <x v="1"/>
    <m/>
    <m/>
    <m/>
    <n v="91629"/>
    <m/>
  </r>
  <r>
    <x v="295"/>
    <x v="5"/>
    <s v="페이스북/인스타그램"/>
    <x v="1"/>
    <x v="1"/>
    <x v="1"/>
    <m/>
    <m/>
    <m/>
    <n v="60319"/>
    <m/>
  </r>
  <r>
    <x v="295"/>
    <x v="5"/>
    <s v="페이스북/인스타그램"/>
    <x v="1"/>
    <x v="1"/>
    <x v="1"/>
    <m/>
    <m/>
    <m/>
    <n v="100382"/>
    <m/>
  </r>
  <r>
    <x v="295"/>
    <x v="5"/>
    <s v="페이스북/인스타그램"/>
    <x v="1"/>
    <x v="1"/>
    <x v="1"/>
    <m/>
    <m/>
    <m/>
    <n v="162107"/>
    <m/>
  </r>
  <r>
    <x v="295"/>
    <x v="5"/>
    <s v="페이스북/인스타그램"/>
    <x v="1"/>
    <x v="1"/>
    <x v="1"/>
    <m/>
    <m/>
    <m/>
    <n v="232194"/>
    <m/>
  </r>
  <r>
    <x v="295"/>
    <x v="5"/>
    <s v="페이스북/인스타그램"/>
    <x v="1"/>
    <x v="1"/>
    <x v="1"/>
    <m/>
    <m/>
    <m/>
    <n v="50094"/>
    <m/>
  </r>
  <r>
    <x v="295"/>
    <x v="5"/>
    <s v="페이스북/인스타그램"/>
    <x v="1"/>
    <x v="1"/>
    <x v="1"/>
    <m/>
    <m/>
    <m/>
    <n v="100472"/>
    <m/>
  </r>
  <r>
    <x v="295"/>
    <x v="5"/>
    <s v="페이스북/인스타그램"/>
    <x v="1"/>
    <x v="1"/>
    <x v="1"/>
    <m/>
    <m/>
    <m/>
    <n v="50345"/>
    <m/>
  </r>
  <r>
    <x v="295"/>
    <x v="5"/>
    <s v="페이스북/인스타그램"/>
    <x v="1"/>
    <x v="1"/>
    <x v="1"/>
    <m/>
    <m/>
    <m/>
    <n v="100252"/>
    <m/>
  </r>
  <r>
    <x v="295"/>
    <x v="5"/>
    <s v="페이스북/인스타그램"/>
    <x v="1"/>
    <x v="1"/>
    <x v="1"/>
    <m/>
    <m/>
    <m/>
    <n v="70253"/>
    <m/>
  </r>
  <r>
    <x v="295"/>
    <x v="5"/>
    <s v="페이스북/인스타그램"/>
    <x v="1"/>
    <x v="1"/>
    <x v="1"/>
    <m/>
    <m/>
    <m/>
    <n v="150492"/>
    <m/>
  </r>
  <r>
    <x v="295"/>
    <x v="5"/>
    <s v="페이스북/인스타그램"/>
    <x v="1"/>
    <x v="1"/>
    <x v="1"/>
    <m/>
    <m/>
    <m/>
    <n v="202513"/>
    <m/>
  </r>
  <r>
    <x v="295"/>
    <x v="5"/>
    <s v="페이스북/인스타그램"/>
    <x v="1"/>
    <x v="1"/>
    <x v="1"/>
    <m/>
    <m/>
    <m/>
    <n v="200532"/>
    <m/>
  </r>
  <r>
    <x v="295"/>
    <x v="5"/>
    <s v="페이스북/인스타그램"/>
    <x v="1"/>
    <x v="1"/>
    <x v="1"/>
    <m/>
    <m/>
    <m/>
    <n v="150370"/>
    <m/>
  </r>
  <r>
    <x v="295"/>
    <x v="5"/>
    <s v="페이스북/인스타그램"/>
    <x v="1"/>
    <x v="1"/>
    <x v="1"/>
    <m/>
    <m/>
    <m/>
    <n v="50127"/>
    <m/>
  </r>
  <r>
    <x v="295"/>
    <x v="5"/>
    <s v="페이스북/인스타그램"/>
    <x v="1"/>
    <x v="1"/>
    <x v="1"/>
    <m/>
    <m/>
    <m/>
    <n v="150299"/>
    <m/>
  </r>
  <r>
    <x v="293"/>
    <x v="1"/>
    <s v="유튜브 광고"/>
    <x v="1"/>
    <x v="1"/>
    <x v="1"/>
    <m/>
    <m/>
    <m/>
    <n v="33492"/>
    <m/>
  </r>
  <r>
    <x v="293"/>
    <x v="1"/>
    <s v="유튜브 광고"/>
    <x v="1"/>
    <x v="1"/>
    <x v="1"/>
    <m/>
    <m/>
    <m/>
    <n v="98715"/>
    <m/>
  </r>
  <r>
    <x v="293"/>
    <x v="1"/>
    <s v="유튜브 광고"/>
    <x v="1"/>
    <x v="1"/>
    <x v="1"/>
    <m/>
    <m/>
    <m/>
    <n v="413386"/>
    <m/>
  </r>
  <r>
    <x v="293"/>
    <x v="1"/>
    <s v="유튜브 광고"/>
    <x v="1"/>
    <x v="1"/>
    <x v="1"/>
    <m/>
    <m/>
    <m/>
    <n v="498207"/>
    <m/>
  </r>
  <r>
    <x v="293"/>
    <x v="1"/>
    <s v="유튜브 광고"/>
    <x v="1"/>
    <x v="1"/>
    <x v="1"/>
    <m/>
    <m/>
    <m/>
    <n v="348523"/>
    <m/>
  </r>
  <r>
    <x v="293"/>
    <x v="1"/>
    <s v="유튜브 광고"/>
    <x v="1"/>
    <x v="1"/>
    <x v="1"/>
    <m/>
    <m/>
    <m/>
    <n v="24317"/>
    <m/>
  </r>
  <r>
    <x v="293"/>
    <x v="1"/>
    <s v="유튜브 광고"/>
    <x v="1"/>
    <x v="1"/>
    <x v="1"/>
    <m/>
    <m/>
    <m/>
    <n v="14196"/>
    <m/>
  </r>
  <r>
    <x v="293"/>
    <x v="1"/>
    <s v="유튜브 광고"/>
    <x v="1"/>
    <x v="1"/>
    <x v="1"/>
    <m/>
    <m/>
    <m/>
    <n v="102538"/>
    <m/>
  </r>
  <r>
    <x v="293"/>
    <x v="1"/>
    <s v="유튜브 광고"/>
    <x v="1"/>
    <x v="1"/>
    <x v="1"/>
    <m/>
    <m/>
    <m/>
    <n v="99203"/>
    <m/>
  </r>
  <r>
    <x v="294"/>
    <x v="2"/>
    <s v="유튜브 광고"/>
    <x v="1"/>
    <x v="1"/>
    <x v="1"/>
    <m/>
    <m/>
    <m/>
    <n v="27756"/>
    <m/>
  </r>
  <r>
    <x v="294"/>
    <x v="2"/>
    <s v="유튜브 광고"/>
    <x v="1"/>
    <x v="1"/>
    <x v="1"/>
    <m/>
    <m/>
    <m/>
    <n v="299084"/>
    <m/>
  </r>
  <r>
    <x v="294"/>
    <x v="2"/>
    <s v="유튜브 광고"/>
    <x v="1"/>
    <x v="1"/>
    <x v="1"/>
    <m/>
    <m/>
    <m/>
    <n v="413551"/>
    <m/>
  </r>
  <r>
    <x v="294"/>
    <x v="2"/>
    <s v="유튜브 광고"/>
    <x v="1"/>
    <x v="1"/>
    <x v="1"/>
    <m/>
    <m/>
    <m/>
    <n v="498039"/>
    <m/>
  </r>
  <r>
    <x v="294"/>
    <x v="2"/>
    <s v="유튜브 광고"/>
    <x v="1"/>
    <x v="1"/>
    <x v="1"/>
    <m/>
    <m/>
    <m/>
    <n v="347971"/>
    <m/>
  </r>
  <r>
    <x v="294"/>
    <x v="2"/>
    <s v="유튜브 광고"/>
    <x v="1"/>
    <x v="1"/>
    <x v="1"/>
    <m/>
    <m/>
    <m/>
    <n v="190784"/>
    <m/>
  </r>
  <r>
    <x v="294"/>
    <x v="2"/>
    <s v="유튜브 광고"/>
    <x v="1"/>
    <x v="1"/>
    <x v="1"/>
    <m/>
    <m/>
    <m/>
    <n v="22284"/>
    <m/>
  </r>
  <r>
    <x v="294"/>
    <x v="2"/>
    <s v="유튜브 광고"/>
    <x v="1"/>
    <x v="1"/>
    <x v="1"/>
    <m/>
    <m/>
    <m/>
    <n v="102166"/>
    <m/>
  </r>
  <r>
    <x v="294"/>
    <x v="2"/>
    <s v="유튜브 광고"/>
    <x v="1"/>
    <x v="1"/>
    <x v="1"/>
    <m/>
    <m/>
    <m/>
    <n v="99298"/>
    <m/>
  </r>
  <r>
    <x v="295"/>
    <x v="5"/>
    <s v="유튜브 광고"/>
    <x v="1"/>
    <x v="1"/>
    <x v="1"/>
    <m/>
    <m/>
    <m/>
    <n v="28014"/>
    <m/>
  </r>
  <r>
    <x v="295"/>
    <x v="5"/>
    <s v="유튜브 광고"/>
    <x v="1"/>
    <x v="1"/>
    <x v="1"/>
    <m/>
    <m/>
    <m/>
    <n v="201693"/>
    <m/>
  </r>
  <r>
    <x v="295"/>
    <x v="5"/>
    <s v="유튜브 광고"/>
    <x v="1"/>
    <x v="1"/>
    <x v="1"/>
    <m/>
    <m/>
    <m/>
    <n v="354171"/>
    <m/>
  </r>
  <r>
    <x v="295"/>
    <x v="5"/>
    <s v="유튜브 광고"/>
    <x v="1"/>
    <x v="1"/>
    <x v="1"/>
    <m/>
    <m/>
    <m/>
    <n v="497868"/>
    <m/>
  </r>
  <r>
    <x v="295"/>
    <x v="5"/>
    <s v="유튜브 광고"/>
    <x v="1"/>
    <x v="1"/>
    <x v="1"/>
    <m/>
    <m/>
    <m/>
    <n v="349956"/>
    <m/>
  </r>
  <r>
    <x v="295"/>
    <x v="5"/>
    <s v="유튜브 광고"/>
    <x v="1"/>
    <x v="1"/>
    <x v="1"/>
    <m/>
    <m/>
    <m/>
    <n v="199617"/>
    <m/>
  </r>
  <r>
    <x v="295"/>
    <x v="5"/>
    <s v="유튜브 광고"/>
    <x v="1"/>
    <x v="1"/>
    <x v="1"/>
    <m/>
    <m/>
    <m/>
    <n v="19705"/>
    <m/>
  </r>
  <r>
    <x v="295"/>
    <x v="5"/>
    <s v="유튜브 광고"/>
    <x v="1"/>
    <x v="1"/>
    <x v="1"/>
    <m/>
    <m/>
    <m/>
    <n v="99526"/>
    <m/>
  </r>
  <r>
    <x v="295"/>
    <x v="5"/>
    <s v="유튜브 광고"/>
    <x v="1"/>
    <x v="1"/>
    <x v="1"/>
    <m/>
    <m/>
    <m/>
    <n v="99479"/>
    <m/>
  </r>
  <r>
    <x v="295"/>
    <x v="5"/>
    <s v="네이버 쇼핑검색"/>
    <x v="1"/>
    <x v="1"/>
    <x v="1"/>
    <m/>
    <m/>
    <m/>
    <n v="44040"/>
    <m/>
  </r>
  <r>
    <x v="295"/>
    <x v="5"/>
    <s v="네이버 쇼핑검색"/>
    <x v="1"/>
    <x v="1"/>
    <x v="1"/>
    <m/>
    <m/>
    <m/>
    <n v="42130"/>
    <m/>
  </r>
  <r>
    <x v="295"/>
    <x v="5"/>
    <s v="네이버 쇼핑검색"/>
    <x v="1"/>
    <x v="1"/>
    <x v="1"/>
    <m/>
    <m/>
    <m/>
    <n v="13820"/>
    <m/>
  </r>
  <r>
    <x v="295"/>
    <x v="5"/>
    <s v="네이버 쇼핑검색"/>
    <x v="1"/>
    <x v="1"/>
    <x v="1"/>
    <m/>
    <m/>
    <m/>
    <n v="36680"/>
    <m/>
  </r>
  <r>
    <x v="295"/>
    <x v="5"/>
    <s v="네이버 브랜드검색"/>
    <x v="3"/>
    <x v="1"/>
    <x v="1"/>
    <m/>
    <m/>
    <m/>
    <n v="140000"/>
    <m/>
  </r>
  <r>
    <x v="295"/>
    <x v="5"/>
    <s v="네이버 브랜드검색"/>
    <x v="3"/>
    <x v="1"/>
    <x v="1"/>
    <m/>
    <m/>
    <m/>
    <n v="16700"/>
    <m/>
  </r>
  <r>
    <x v="294"/>
    <x v="2"/>
    <s v="네이버 쇼핑검색"/>
    <x v="1"/>
    <x v="1"/>
    <x v="1"/>
    <m/>
    <m/>
    <m/>
    <n v="45309.99999999999"/>
    <m/>
  </r>
  <r>
    <x v="294"/>
    <x v="2"/>
    <s v="네이버 쇼핑검색"/>
    <x v="1"/>
    <x v="1"/>
    <x v="1"/>
    <m/>
    <m/>
    <m/>
    <n v="29950"/>
    <m/>
  </r>
  <r>
    <x v="294"/>
    <x v="2"/>
    <s v="네이버 쇼핑검색"/>
    <x v="1"/>
    <x v="1"/>
    <x v="1"/>
    <m/>
    <m/>
    <m/>
    <n v="1080"/>
    <m/>
  </r>
  <r>
    <x v="294"/>
    <x v="2"/>
    <s v="네이버 쇼핑검색"/>
    <x v="1"/>
    <x v="1"/>
    <x v="1"/>
    <m/>
    <m/>
    <m/>
    <n v="59529.99999999999"/>
    <m/>
  </r>
  <r>
    <x v="294"/>
    <x v="2"/>
    <s v="네이버 브랜드검색"/>
    <x v="3"/>
    <x v="1"/>
    <x v="1"/>
    <m/>
    <m/>
    <m/>
    <n v="140000"/>
    <m/>
  </r>
  <r>
    <x v="294"/>
    <x v="2"/>
    <s v="네이버 브랜드검색"/>
    <x v="3"/>
    <x v="1"/>
    <x v="1"/>
    <m/>
    <m/>
    <m/>
    <n v="16700"/>
    <m/>
  </r>
  <r>
    <x v="293"/>
    <x v="1"/>
    <s v="네이버 쇼핑검색"/>
    <x v="1"/>
    <x v="1"/>
    <x v="1"/>
    <m/>
    <m/>
    <m/>
    <n v="57199.99999999999"/>
    <m/>
  </r>
  <r>
    <x v="293"/>
    <x v="1"/>
    <s v="네이버 쇼핑검색"/>
    <x v="1"/>
    <x v="1"/>
    <x v="1"/>
    <m/>
    <m/>
    <m/>
    <n v="29120"/>
    <m/>
  </r>
  <r>
    <x v="293"/>
    <x v="1"/>
    <s v="네이버 쇼핑검색"/>
    <x v="1"/>
    <x v="1"/>
    <x v="1"/>
    <m/>
    <m/>
    <m/>
    <n v="19470"/>
    <m/>
  </r>
  <r>
    <x v="293"/>
    <x v="1"/>
    <s v="네이버 쇼핑검색"/>
    <x v="1"/>
    <x v="1"/>
    <x v="1"/>
    <m/>
    <m/>
    <m/>
    <n v="32860"/>
    <m/>
  </r>
  <r>
    <x v="293"/>
    <x v="1"/>
    <s v="네이버 브랜드검색"/>
    <x v="3"/>
    <x v="1"/>
    <x v="1"/>
    <m/>
    <m/>
    <m/>
    <n v="140000"/>
    <m/>
  </r>
  <r>
    <x v="293"/>
    <x v="1"/>
    <s v="네이버 브랜드검색"/>
    <x v="3"/>
    <x v="1"/>
    <x v="1"/>
    <m/>
    <m/>
    <m/>
    <n v="16700"/>
    <m/>
  </r>
  <r>
    <x v="293"/>
    <x v="1"/>
    <s v="네이버 배너"/>
    <x v="1"/>
    <x v="1"/>
    <x v="1"/>
    <m/>
    <m/>
    <m/>
    <n v="259265.4545454545"/>
    <m/>
  </r>
  <r>
    <x v="293"/>
    <x v="1"/>
    <s v="네이버 배너"/>
    <x v="1"/>
    <x v="1"/>
    <x v="1"/>
    <m/>
    <m/>
    <m/>
    <n v="981048.1818181818"/>
    <m/>
  </r>
  <r>
    <x v="294"/>
    <x v="2"/>
    <s v="네이버 배너"/>
    <x v="1"/>
    <x v="1"/>
    <x v="1"/>
    <m/>
    <m/>
    <m/>
    <n v="259839.0909090909"/>
    <m/>
  </r>
  <r>
    <x v="294"/>
    <x v="2"/>
    <s v="네이버 배너"/>
    <x v="1"/>
    <x v="1"/>
    <x v="1"/>
    <m/>
    <m/>
    <m/>
    <n v="1033903.636363636"/>
    <m/>
  </r>
  <r>
    <x v="295"/>
    <x v="5"/>
    <s v="네이버 배너"/>
    <x v="1"/>
    <x v="1"/>
    <x v="1"/>
    <m/>
    <m/>
    <m/>
    <n v="448124.5454545454"/>
    <m/>
  </r>
  <r>
    <x v="295"/>
    <x v="5"/>
    <s v="네이버 배너"/>
    <x v="1"/>
    <x v="1"/>
    <x v="1"/>
    <m/>
    <m/>
    <m/>
    <n v="1191197.272727273"/>
    <m/>
  </r>
  <r>
    <x v="293"/>
    <x v="1"/>
    <s v="카카오 배너"/>
    <x v="1"/>
    <x v="1"/>
    <x v="1"/>
    <m/>
    <m/>
    <m/>
    <n v="181910"/>
    <m/>
  </r>
  <r>
    <x v="293"/>
    <x v="1"/>
    <s v="카카오 배너"/>
    <x v="1"/>
    <x v="1"/>
    <x v="1"/>
    <m/>
    <m/>
    <m/>
    <n v="838979.9999999999"/>
    <m/>
  </r>
  <r>
    <x v="294"/>
    <x v="2"/>
    <s v="카카오 배너"/>
    <x v="1"/>
    <x v="1"/>
    <x v="1"/>
    <m/>
    <m/>
    <m/>
    <n v="182830"/>
    <m/>
  </r>
  <r>
    <x v="294"/>
    <x v="2"/>
    <s v="카카오 배너"/>
    <x v="1"/>
    <x v="1"/>
    <x v="1"/>
    <m/>
    <m/>
    <m/>
    <n v="837169.9999999999"/>
    <m/>
  </r>
  <r>
    <x v="295"/>
    <x v="5"/>
    <s v="카카오 배너"/>
    <x v="1"/>
    <x v="1"/>
    <x v="1"/>
    <m/>
    <m/>
    <m/>
    <n v="182990"/>
    <m/>
  </r>
  <r>
    <x v="295"/>
    <x v="5"/>
    <s v="카카오 배너"/>
    <x v="1"/>
    <x v="1"/>
    <x v="1"/>
    <m/>
    <m/>
    <m/>
    <n v="784249.9999999999"/>
    <m/>
  </r>
  <r>
    <x v="293"/>
    <x v="1"/>
    <m/>
    <x v="1"/>
    <x v="4"/>
    <x v="155"/>
    <n v="6"/>
    <s v="스테이포에버"/>
    <s v="210207"/>
    <m/>
    <n v="204000"/>
  </r>
  <r>
    <x v="293"/>
    <x v="1"/>
    <m/>
    <x v="1"/>
    <x v="4"/>
    <x v="157"/>
    <n v="2"/>
    <s v="이그나이트 + 스테이포에버"/>
    <s v="210207"/>
    <m/>
    <n v="117600"/>
  </r>
  <r>
    <x v="293"/>
    <x v="1"/>
    <m/>
    <x v="1"/>
    <x v="3"/>
    <x v="150"/>
    <n v="4"/>
    <s v="이그나이트 + 스테이포에버"/>
    <s v="210207"/>
    <m/>
    <n v="235200"/>
  </r>
  <r>
    <x v="293"/>
    <x v="1"/>
    <m/>
    <x v="1"/>
    <x v="3"/>
    <x v="151"/>
    <n v="3"/>
    <s v="스테이포에버 2set"/>
    <s v="210207"/>
    <m/>
    <n v="176400"/>
  </r>
  <r>
    <x v="293"/>
    <x v="1"/>
    <m/>
    <x v="1"/>
    <x v="3"/>
    <x v="152"/>
    <n v="17"/>
    <s v="스테이포에버"/>
    <s v="210207"/>
    <m/>
    <n v="578000"/>
  </r>
  <r>
    <x v="293"/>
    <x v="1"/>
    <m/>
    <x v="1"/>
    <x v="0"/>
    <x v="145"/>
    <n v="2"/>
    <s v="이그나이트 2set"/>
    <s v="210207"/>
    <m/>
    <n v="117600"/>
  </r>
  <r>
    <x v="293"/>
    <x v="1"/>
    <m/>
    <x v="1"/>
    <x v="0"/>
    <x v="135"/>
    <n v="3"/>
    <s v="스테이포에버"/>
    <s v="210207"/>
    <m/>
    <n v="102000"/>
  </r>
  <r>
    <x v="293"/>
    <x v="1"/>
    <m/>
    <x v="1"/>
    <x v="0"/>
    <x v="136"/>
    <n v="7"/>
    <s v="스테이포에버 2set"/>
    <s v="210207"/>
    <m/>
    <n v="411600"/>
  </r>
  <r>
    <x v="293"/>
    <x v="1"/>
    <m/>
    <x v="1"/>
    <x v="0"/>
    <x v="137"/>
    <n v="10"/>
    <s v="이그나이트 + 스테이포에버"/>
    <s v="210207"/>
    <m/>
    <n v="588000"/>
  </r>
  <r>
    <x v="293"/>
    <x v="1"/>
    <m/>
    <x v="1"/>
    <x v="0"/>
    <x v="144"/>
    <n v="4"/>
    <s v="이그나이트 + 스테이포에버"/>
    <s v="210207"/>
    <m/>
    <n v="235200"/>
  </r>
  <r>
    <x v="293"/>
    <x v="1"/>
    <m/>
    <x v="1"/>
    <x v="0"/>
    <x v="138"/>
    <n v="172"/>
    <s v="스테이포에버"/>
    <s v="210207"/>
    <m/>
    <n v="5848000"/>
  </r>
  <r>
    <x v="293"/>
    <x v="1"/>
    <m/>
    <x v="1"/>
    <x v="0"/>
    <x v="139"/>
    <n v="101"/>
    <s v="스테이포에버 2set"/>
    <s v="210207"/>
    <m/>
    <n v="5938800"/>
  </r>
  <r>
    <x v="293"/>
    <x v="1"/>
    <m/>
    <x v="1"/>
    <x v="0"/>
    <x v="140"/>
    <n v="6"/>
    <s v="이그나이트 + 스테이포에버"/>
    <s v="210207"/>
    <m/>
    <n v="352800"/>
  </r>
  <r>
    <x v="293"/>
    <x v="1"/>
    <m/>
    <x v="0"/>
    <x v="0"/>
    <x v="0"/>
    <n v="5"/>
    <s v="쇼핑백"/>
    <s v="210207"/>
    <m/>
    <n v="10000"/>
  </r>
  <r>
    <x v="293"/>
    <x v="1"/>
    <m/>
    <x v="1"/>
    <x v="0"/>
    <x v="141"/>
    <n v="5"/>
    <s v="이그나이트"/>
    <s v="210207"/>
    <m/>
    <n v="170000"/>
  </r>
  <r>
    <x v="293"/>
    <x v="1"/>
    <m/>
    <x v="1"/>
    <x v="0"/>
    <x v="142"/>
    <n v="1"/>
    <s v="이그나이트 2set"/>
    <s v="210207"/>
    <m/>
    <n v="58800"/>
  </r>
  <r>
    <x v="293"/>
    <x v="1"/>
    <m/>
    <x v="1"/>
    <x v="0"/>
    <x v="161"/>
    <n v="1"/>
    <s v="이그나이트"/>
    <s v="210207"/>
    <m/>
    <n v="34000"/>
  </r>
  <r>
    <x v="293"/>
    <x v="1"/>
    <m/>
    <x v="1"/>
    <x v="0"/>
    <x v="162"/>
    <n v="13"/>
    <s v="스테이포에버"/>
    <s v="210207"/>
    <m/>
    <n v="442000"/>
  </r>
  <r>
    <x v="293"/>
    <x v="1"/>
    <m/>
    <x v="1"/>
    <x v="0"/>
    <x v="163"/>
    <n v="3"/>
    <s v="스테이포에버 2set"/>
    <s v="210207"/>
    <m/>
    <n v="176400"/>
  </r>
  <r>
    <x v="293"/>
    <x v="1"/>
    <m/>
    <x v="1"/>
    <x v="0"/>
    <x v="164"/>
    <n v="12"/>
    <s v="이그나이트 + 스테이포에버"/>
    <s v="210207"/>
    <m/>
    <n v="705600"/>
  </r>
  <r>
    <x v="293"/>
    <x v="1"/>
    <m/>
    <x v="1"/>
    <x v="0"/>
    <x v="166"/>
    <n v="7"/>
    <s v="이그나이트 + 스테이포에버 2set"/>
    <s v="210207"/>
    <m/>
    <n v="663600"/>
  </r>
  <r>
    <x v="294"/>
    <x v="2"/>
    <m/>
    <x v="1"/>
    <x v="3"/>
    <x v="151"/>
    <n v="4"/>
    <s v="스테이포에버 2set"/>
    <s v="210207"/>
    <m/>
    <n v="235200"/>
  </r>
  <r>
    <x v="294"/>
    <x v="2"/>
    <m/>
    <x v="1"/>
    <x v="3"/>
    <x v="152"/>
    <n v="21"/>
    <s v="스테이포에버"/>
    <s v="210207"/>
    <m/>
    <n v="714000"/>
  </r>
  <r>
    <x v="294"/>
    <x v="2"/>
    <m/>
    <x v="1"/>
    <x v="0"/>
    <x v="135"/>
    <n v="11"/>
    <s v="스테이포에버"/>
    <s v="210207"/>
    <m/>
    <n v="374000"/>
  </r>
  <r>
    <x v="294"/>
    <x v="2"/>
    <m/>
    <x v="1"/>
    <x v="0"/>
    <x v="136"/>
    <n v="7"/>
    <s v="스테이포에버 2set"/>
    <s v="210207"/>
    <m/>
    <n v="411600"/>
  </r>
  <r>
    <x v="294"/>
    <x v="2"/>
    <m/>
    <x v="1"/>
    <x v="0"/>
    <x v="137"/>
    <n v="22"/>
    <s v="이그나이트 + 스테이포에버"/>
    <s v="210207"/>
    <m/>
    <n v="1293600"/>
  </r>
  <r>
    <x v="294"/>
    <x v="2"/>
    <m/>
    <x v="1"/>
    <x v="0"/>
    <x v="138"/>
    <n v="182"/>
    <s v="스테이포에버"/>
    <s v="210207"/>
    <m/>
    <n v="6188000"/>
  </r>
  <r>
    <x v="294"/>
    <x v="2"/>
    <m/>
    <x v="1"/>
    <x v="0"/>
    <x v="139"/>
    <n v="102"/>
    <s v="스테이포에버 2set"/>
    <s v="210207"/>
    <m/>
    <n v="5997600"/>
  </r>
  <r>
    <x v="294"/>
    <x v="2"/>
    <m/>
    <x v="1"/>
    <x v="0"/>
    <x v="140"/>
    <n v="13"/>
    <s v="이그나이트 + 스테이포에버"/>
    <s v="210207"/>
    <m/>
    <n v="764400"/>
  </r>
  <r>
    <x v="294"/>
    <x v="2"/>
    <m/>
    <x v="0"/>
    <x v="0"/>
    <x v="0"/>
    <n v="7"/>
    <s v="쇼핑백"/>
    <s v="210207"/>
    <m/>
    <n v="14000"/>
  </r>
  <r>
    <x v="294"/>
    <x v="2"/>
    <m/>
    <x v="1"/>
    <x v="0"/>
    <x v="141"/>
    <n v="3"/>
    <s v="이그나이트"/>
    <s v="210207"/>
    <m/>
    <n v="102000"/>
  </r>
  <r>
    <x v="294"/>
    <x v="2"/>
    <m/>
    <x v="1"/>
    <x v="0"/>
    <x v="161"/>
    <n v="2"/>
    <s v="이그나이트"/>
    <s v="210207"/>
    <m/>
    <n v="68000"/>
  </r>
  <r>
    <x v="294"/>
    <x v="2"/>
    <m/>
    <x v="1"/>
    <x v="0"/>
    <x v="162"/>
    <n v="5"/>
    <s v="스테이포에버"/>
    <s v="210207"/>
    <m/>
    <n v="170000"/>
  </r>
  <r>
    <x v="294"/>
    <x v="2"/>
    <m/>
    <x v="1"/>
    <x v="0"/>
    <x v="163"/>
    <n v="3"/>
    <s v="스테이포에버 2set"/>
    <s v="210207"/>
    <m/>
    <n v="176400"/>
  </r>
  <r>
    <x v="294"/>
    <x v="2"/>
    <m/>
    <x v="1"/>
    <x v="0"/>
    <x v="164"/>
    <n v="7"/>
    <s v="이그나이트 + 스테이포에버"/>
    <s v="210207"/>
    <m/>
    <n v="411600"/>
  </r>
  <r>
    <x v="294"/>
    <x v="2"/>
    <m/>
    <x v="1"/>
    <x v="0"/>
    <x v="166"/>
    <n v="5"/>
    <s v="이그나이트 + 스테이포에버 2set"/>
    <s v="210207"/>
    <m/>
    <n v="474000"/>
  </r>
  <r>
    <x v="295"/>
    <x v="5"/>
    <m/>
    <x v="1"/>
    <x v="3"/>
    <x v="150"/>
    <n v="8"/>
    <s v="이그나이트 + 스테이포에버"/>
    <s v="210207"/>
    <m/>
    <n v="470400"/>
  </r>
  <r>
    <x v="295"/>
    <x v="5"/>
    <m/>
    <x v="1"/>
    <x v="3"/>
    <x v="151"/>
    <n v="2"/>
    <s v="스테이포에버 2set"/>
    <s v="210207"/>
    <m/>
    <n v="117600"/>
  </r>
  <r>
    <x v="295"/>
    <x v="5"/>
    <m/>
    <x v="1"/>
    <x v="3"/>
    <x v="152"/>
    <n v="25"/>
    <s v="스테이포에버"/>
    <s v="210207"/>
    <m/>
    <n v="850000"/>
  </r>
  <r>
    <x v="295"/>
    <x v="5"/>
    <m/>
    <x v="1"/>
    <x v="3"/>
    <x v="154"/>
    <n v="1"/>
    <s v="이그나이트"/>
    <s v="210207"/>
    <m/>
    <n v="34000"/>
  </r>
  <r>
    <x v="295"/>
    <x v="5"/>
    <m/>
    <x v="1"/>
    <x v="0"/>
    <x v="135"/>
    <n v="4"/>
    <s v="스테이포에버"/>
    <s v="210207"/>
    <m/>
    <n v="136000"/>
  </r>
  <r>
    <x v="295"/>
    <x v="5"/>
    <m/>
    <x v="1"/>
    <x v="0"/>
    <x v="136"/>
    <n v="8"/>
    <s v="스테이포에버 2set"/>
    <s v="210207"/>
    <m/>
    <n v="470400"/>
  </r>
  <r>
    <x v="295"/>
    <x v="5"/>
    <m/>
    <x v="1"/>
    <x v="0"/>
    <x v="137"/>
    <n v="16"/>
    <s v="이그나이트 + 스테이포에버"/>
    <s v="210207"/>
    <m/>
    <n v="940800"/>
  </r>
  <r>
    <x v="295"/>
    <x v="5"/>
    <m/>
    <x v="1"/>
    <x v="0"/>
    <x v="144"/>
    <n v="2"/>
    <s v="이그나이트 + 스테이포에버"/>
    <s v="210207"/>
    <m/>
    <n v="117600"/>
  </r>
  <r>
    <x v="295"/>
    <x v="5"/>
    <m/>
    <x v="1"/>
    <x v="0"/>
    <x v="138"/>
    <n v="199"/>
    <s v="스테이포에버"/>
    <s v="210207"/>
    <m/>
    <n v="6766000"/>
  </r>
  <r>
    <x v="295"/>
    <x v="5"/>
    <m/>
    <x v="1"/>
    <x v="0"/>
    <x v="139"/>
    <n v="120"/>
    <s v="스테이포에버 2set"/>
    <s v="210207"/>
    <m/>
    <n v="7056000"/>
  </r>
  <r>
    <x v="295"/>
    <x v="5"/>
    <m/>
    <x v="1"/>
    <x v="0"/>
    <x v="140"/>
    <n v="8"/>
    <s v="이그나이트 + 스테이포에버"/>
    <s v="210207"/>
    <m/>
    <n v="470400"/>
  </r>
  <r>
    <x v="295"/>
    <x v="5"/>
    <m/>
    <x v="0"/>
    <x v="0"/>
    <x v="0"/>
    <n v="3"/>
    <s v="쇼핑백"/>
    <s v="210207"/>
    <m/>
    <n v="6000"/>
  </r>
  <r>
    <x v="295"/>
    <x v="5"/>
    <m/>
    <x v="1"/>
    <x v="0"/>
    <x v="141"/>
    <n v="3"/>
    <s v="이그나이트"/>
    <s v="210207"/>
    <m/>
    <n v="102000"/>
  </r>
  <r>
    <x v="295"/>
    <x v="5"/>
    <m/>
    <x v="1"/>
    <x v="0"/>
    <x v="142"/>
    <n v="2"/>
    <s v="이그나이트 2set"/>
    <s v="210207"/>
    <m/>
    <n v="117600"/>
  </r>
  <r>
    <x v="295"/>
    <x v="5"/>
    <m/>
    <x v="0"/>
    <x v="0"/>
    <x v="143"/>
    <n v="1"/>
    <s v="쇼핑백"/>
    <s v="210207"/>
    <m/>
    <n v="2000"/>
  </r>
  <r>
    <x v="295"/>
    <x v="5"/>
    <m/>
    <x v="1"/>
    <x v="0"/>
    <x v="161"/>
    <n v="1"/>
    <s v="이그나이트"/>
    <s v="210207"/>
    <m/>
    <n v="34000"/>
  </r>
  <r>
    <x v="295"/>
    <x v="5"/>
    <m/>
    <x v="1"/>
    <x v="0"/>
    <x v="162"/>
    <n v="6"/>
    <s v="스테이포에버"/>
    <s v="210207"/>
    <m/>
    <n v="204000"/>
  </r>
  <r>
    <x v="295"/>
    <x v="5"/>
    <m/>
    <x v="1"/>
    <x v="0"/>
    <x v="163"/>
    <n v="1"/>
    <s v="스테이포에버 2set"/>
    <s v="210207"/>
    <m/>
    <n v="58800"/>
  </r>
  <r>
    <x v="295"/>
    <x v="5"/>
    <m/>
    <x v="1"/>
    <x v="0"/>
    <x v="164"/>
    <n v="2"/>
    <s v="이그나이트 + 스테이포에버"/>
    <s v="210207"/>
    <m/>
    <n v="117600"/>
  </r>
  <r>
    <x v="293"/>
    <x v="1"/>
    <s v="네이버 배너(대행사)"/>
    <x v="1"/>
    <x v="1"/>
    <x v="1"/>
    <m/>
    <m/>
    <m/>
    <n v="284140"/>
    <m/>
  </r>
  <r>
    <x v="294"/>
    <x v="2"/>
    <s v="네이버 배너(대행사)"/>
    <x v="1"/>
    <x v="1"/>
    <x v="1"/>
    <m/>
    <m/>
    <m/>
    <n v="399229.0909090909"/>
    <m/>
  </r>
  <r>
    <x v="295"/>
    <x v="5"/>
    <s v="네이버 배너(대행사)"/>
    <x v="1"/>
    <x v="1"/>
    <x v="1"/>
    <m/>
    <m/>
    <m/>
    <n v="687390"/>
    <m/>
  </r>
  <r>
    <x v="293"/>
    <x v="1"/>
    <s v="네이버 쇼핑박스"/>
    <x v="1"/>
    <x v="1"/>
    <x v="1"/>
    <m/>
    <m/>
    <m/>
    <n v="1129000"/>
    <m/>
  </r>
  <r>
    <x v="294"/>
    <x v="2"/>
    <s v="네이버 쇼핑박스"/>
    <x v="1"/>
    <x v="1"/>
    <x v="1"/>
    <m/>
    <m/>
    <m/>
    <n v="1129000"/>
    <m/>
  </r>
  <r>
    <x v="295"/>
    <x v="5"/>
    <s v="네이버 쇼핑박스"/>
    <x v="1"/>
    <x v="1"/>
    <x v="1"/>
    <m/>
    <m/>
    <m/>
    <n v="1129000"/>
    <m/>
  </r>
  <r>
    <x v="296"/>
    <x v="6"/>
    <s v="페이스북/인스타그램"/>
    <x v="1"/>
    <x v="1"/>
    <x v="1"/>
    <m/>
    <m/>
    <m/>
    <n v="33343"/>
    <m/>
  </r>
  <r>
    <x v="296"/>
    <x v="6"/>
    <s v="페이스북/인스타그램"/>
    <x v="1"/>
    <x v="1"/>
    <x v="1"/>
    <m/>
    <m/>
    <m/>
    <n v="30606"/>
    <m/>
  </r>
  <r>
    <x v="296"/>
    <x v="6"/>
    <s v="페이스북/인스타그램"/>
    <x v="1"/>
    <x v="1"/>
    <x v="1"/>
    <m/>
    <m/>
    <m/>
    <n v="60184"/>
    <m/>
  </r>
  <r>
    <x v="296"/>
    <x v="6"/>
    <s v="페이스북/인스타그램"/>
    <x v="1"/>
    <x v="1"/>
    <x v="1"/>
    <m/>
    <m/>
    <m/>
    <n v="90546"/>
    <m/>
  </r>
  <r>
    <x v="296"/>
    <x v="6"/>
    <s v="페이스북/인스타그램"/>
    <x v="1"/>
    <x v="1"/>
    <x v="1"/>
    <m/>
    <m/>
    <m/>
    <n v="60594"/>
    <m/>
  </r>
  <r>
    <x v="296"/>
    <x v="6"/>
    <s v="페이스북/인스타그램"/>
    <x v="1"/>
    <x v="1"/>
    <x v="1"/>
    <m/>
    <m/>
    <m/>
    <n v="100184"/>
    <m/>
  </r>
  <r>
    <x v="296"/>
    <x v="6"/>
    <s v="페이스북/인스타그램"/>
    <x v="1"/>
    <x v="1"/>
    <x v="1"/>
    <m/>
    <m/>
    <m/>
    <n v="161265"/>
    <m/>
  </r>
  <r>
    <x v="296"/>
    <x v="6"/>
    <s v="페이스북/인스타그램"/>
    <x v="1"/>
    <x v="1"/>
    <x v="1"/>
    <m/>
    <m/>
    <m/>
    <n v="255259"/>
    <m/>
  </r>
  <r>
    <x v="296"/>
    <x v="6"/>
    <s v="페이스북/인스타그램"/>
    <x v="1"/>
    <x v="1"/>
    <x v="1"/>
    <m/>
    <m/>
    <m/>
    <n v="49968"/>
    <m/>
  </r>
  <r>
    <x v="296"/>
    <x v="6"/>
    <s v="페이스북/인스타그램"/>
    <x v="1"/>
    <x v="1"/>
    <x v="1"/>
    <m/>
    <m/>
    <m/>
    <n v="100452"/>
    <m/>
  </r>
  <r>
    <x v="296"/>
    <x v="6"/>
    <s v="페이스북/인스타그램"/>
    <x v="1"/>
    <x v="1"/>
    <x v="1"/>
    <m/>
    <m/>
    <m/>
    <n v="50200"/>
    <m/>
  </r>
  <r>
    <x v="296"/>
    <x v="6"/>
    <s v="페이스북/인스타그램"/>
    <x v="1"/>
    <x v="1"/>
    <x v="1"/>
    <m/>
    <m/>
    <m/>
    <n v="100838"/>
    <m/>
  </r>
  <r>
    <x v="296"/>
    <x v="6"/>
    <s v="페이스북/인스타그램"/>
    <x v="1"/>
    <x v="1"/>
    <x v="1"/>
    <m/>
    <m/>
    <m/>
    <n v="70174"/>
    <m/>
  </r>
  <r>
    <x v="296"/>
    <x v="6"/>
    <s v="페이스북/인스타그램"/>
    <x v="1"/>
    <x v="1"/>
    <x v="1"/>
    <m/>
    <m/>
    <m/>
    <n v="150809"/>
    <m/>
  </r>
  <r>
    <x v="296"/>
    <x v="6"/>
    <s v="페이스북/인스타그램"/>
    <x v="1"/>
    <x v="1"/>
    <x v="1"/>
    <m/>
    <m/>
    <m/>
    <n v="201278"/>
    <m/>
  </r>
  <r>
    <x v="296"/>
    <x v="6"/>
    <s v="페이스북/인스타그램"/>
    <x v="1"/>
    <x v="1"/>
    <x v="1"/>
    <m/>
    <m/>
    <m/>
    <n v="200235"/>
    <m/>
  </r>
  <r>
    <x v="296"/>
    <x v="6"/>
    <s v="페이스북/인스타그램"/>
    <x v="1"/>
    <x v="1"/>
    <x v="1"/>
    <m/>
    <m/>
    <m/>
    <n v="150189"/>
    <m/>
  </r>
  <r>
    <x v="296"/>
    <x v="6"/>
    <s v="페이스북/인스타그램"/>
    <x v="1"/>
    <x v="1"/>
    <x v="1"/>
    <m/>
    <m/>
    <m/>
    <n v="50138"/>
    <m/>
  </r>
  <r>
    <x v="296"/>
    <x v="6"/>
    <s v="페이스북/인스타그램"/>
    <x v="1"/>
    <x v="1"/>
    <x v="1"/>
    <m/>
    <m/>
    <m/>
    <n v="150234"/>
    <m/>
  </r>
  <r>
    <x v="296"/>
    <x v="6"/>
    <s v="유튜브 광고"/>
    <x v="1"/>
    <x v="1"/>
    <x v="1"/>
    <m/>
    <m/>
    <m/>
    <n v="19179"/>
    <m/>
  </r>
  <r>
    <x v="296"/>
    <x v="6"/>
    <s v="유튜브 광고"/>
    <x v="1"/>
    <x v="1"/>
    <x v="1"/>
    <m/>
    <m/>
    <m/>
    <n v="208589"/>
    <m/>
  </r>
  <r>
    <x v="296"/>
    <x v="6"/>
    <s v="유튜브 광고"/>
    <x v="1"/>
    <x v="1"/>
    <x v="1"/>
    <m/>
    <m/>
    <m/>
    <n v="335855"/>
    <m/>
  </r>
  <r>
    <x v="296"/>
    <x v="6"/>
    <s v="유튜브 광고"/>
    <x v="1"/>
    <x v="1"/>
    <x v="1"/>
    <m/>
    <m/>
    <m/>
    <n v="515785"/>
    <m/>
  </r>
  <r>
    <x v="296"/>
    <x v="6"/>
    <s v="유튜브 광고"/>
    <x v="1"/>
    <x v="1"/>
    <x v="1"/>
    <m/>
    <m/>
    <m/>
    <n v="362386"/>
    <m/>
  </r>
  <r>
    <x v="296"/>
    <x v="6"/>
    <s v="유튜브 광고"/>
    <x v="1"/>
    <x v="1"/>
    <x v="1"/>
    <m/>
    <m/>
    <m/>
    <n v="199267"/>
    <m/>
  </r>
  <r>
    <x v="296"/>
    <x v="6"/>
    <s v="유튜브 광고"/>
    <x v="1"/>
    <x v="1"/>
    <x v="1"/>
    <m/>
    <m/>
    <m/>
    <n v="14308"/>
    <m/>
  </r>
  <r>
    <x v="296"/>
    <x v="6"/>
    <s v="유튜브 광고"/>
    <x v="1"/>
    <x v="1"/>
    <x v="1"/>
    <m/>
    <m/>
    <m/>
    <n v="99848"/>
    <m/>
  </r>
  <r>
    <x v="296"/>
    <x v="6"/>
    <s v="유튜브 광고"/>
    <x v="1"/>
    <x v="1"/>
    <x v="1"/>
    <m/>
    <m/>
    <m/>
    <n v="103079"/>
    <m/>
  </r>
  <r>
    <x v="296"/>
    <x v="6"/>
    <s v="네이버 쇼핑검색"/>
    <x v="1"/>
    <x v="1"/>
    <x v="1"/>
    <m/>
    <m/>
    <m/>
    <n v="43560"/>
    <m/>
  </r>
  <r>
    <x v="296"/>
    <x v="6"/>
    <s v="네이버 쇼핑검색"/>
    <x v="1"/>
    <x v="1"/>
    <x v="1"/>
    <m/>
    <m/>
    <m/>
    <n v="35940"/>
    <m/>
  </r>
  <r>
    <x v="296"/>
    <x v="6"/>
    <s v="네이버 쇼핑검색"/>
    <x v="1"/>
    <x v="1"/>
    <x v="1"/>
    <m/>
    <m/>
    <m/>
    <n v="540"/>
    <m/>
  </r>
  <r>
    <x v="296"/>
    <x v="6"/>
    <s v="네이버 쇼핑검색"/>
    <x v="1"/>
    <x v="1"/>
    <x v="1"/>
    <m/>
    <m/>
    <m/>
    <n v="57099.99999999999"/>
    <m/>
  </r>
  <r>
    <x v="296"/>
    <x v="6"/>
    <s v="네이버 브랜드검색"/>
    <x v="3"/>
    <x v="1"/>
    <x v="1"/>
    <m/>
    <m/>
    <m/>
    <n v="0"/>
    <m/>
  </r>
  <r>
    <x v="296"/>
    <x v="6"/>
    <s v="네이버 브랜드검색"/>
    <x v="3"/>
    <x v="1"/>
    <x v="1"/>
    <m/>
    <m/>
    <m/>
    <n v="0"/>
    <m/>
  </r>
  <r>
    <x v="296"/>
    <x v="6"/>
    <m/>
    <x v="1"/>
    <x v="4"/>
    <x v="158"/>
    <n v="4"/>
    <s v="이그나이트"/>
    <s v="210207"/>
    <m/>
    <n v="136000"/>
  </r>
  <r>
    <x v="296"/>
    <x v="6"/>
    <m/>
    <x v="1"/>
    <x v="4"/>
    <x v="155"/>
    <n v="20"/>
    <s v="스테이포에버"/>
    <s v="210207"/>
    <m/>
    <n v="680000"/>
  </r>
  <r>
    <x v="296"/>
    <x v="6"/>
    <m/>
    <x v="1"/>
    <x v="4"/>
    <x v="157"/>
    <n v="2"/>
    <s v="이그나이트 + 스테이포에버"/>
    <s v="210207"/>
    <m/>
    <n v="117600"/>
  </r>
  <r>
    <x v="296"/>
    <x v="6"/>
    <m/>
    <x v="1"/>
    <x v="3"/>
    <x v="150"/>
    <n v="3"/>
    <s v="이그나이트 + 스테이포에버"/>
    <s v="210207"/>
    <m/>
    <n v="176400"/>
  </r>
  <r>
    <x v="296"/>
    <x v="6"/>
    <m/>
    <x v="1"/>
    <x v="3"/>
    <x v="151"/>
    <n v="2"/>
    <s v="스테이포에버 2set"/>
    <s v="210207"/>
    <m/>
    <n v="117600"/>
  </r>
  <r>
    <x v="296"/>
    <x v="6"/>
    <m/>
    <x v="1"/>
    <x v="3"/>
    <x v="152"/>
    <n v="21"/>
    <s v="스테이포에버"/>
    <s v="210207"/>
    <m/>
    <n v="714000"/>
  </r>
  <r>
    <x v="296"/>
    <x v="6"/>
    <m/>
    <x v="1"/>
    <x v="3"/>
    <x v="154"/>
    <n v="2"/>
    <s v="이그나이트"/>
    <s v="210207"/>
    <m/>
    <n v="68000"/>
  </r>
  <r>
    <x v="296"/>
    <x v="6"/>
    <m/>
    <x v="1"/>
    <x v="0"/>
    <x v="135"/>
    <n v="4"/>
    <s v="스테이포에버"/>
    <s v="210207"/>
    <m/>
    <n v="136000"/>
  </r>
  <r>
    <x v="296"/>
    <x v="6"/>
    <m/>
    <x v="1"/>
    <x v="0"/>
    <x v="136"/>
    <n v="8"/>
    <s v="스테이포에버 2set"/>
    <s v="210207"/>
    <m/>
    <n v="470400"/>
  </r>
  <r>
    <x v="296"/>
    <x v="6"/>
    <m/>
    <x v="1"/>
    <x v="0"/>
    <x v="137"/>
    <n v="13"/>
    <s v="이그나이트 + 스테이포에버"/>
    <s v="210207"/>
    <m/>
    <n v="764400"/>
  </r>
  <r>
    <x v="296"/>
    <x v="6"/>
    <m/>
    <x v="1"/>
    <x v="0"/>
    <x v="144"/>
    <n v="1"/>
    <s v="이그나이트 + 스테이포에버"/>
    <s v="210207"/>
    <m/>
    <n v="58800"/>
  </r>
  <r>
    <x v="296"/>
    <x v="6"/>
    <m/>
    <x v="1"/>
    <x v="0"/>
    <x v="138"/>
    <n v="180"/>
    <s v="스테이포에버"/>
    <s v="210207"/>
    <m/>
    <n v="6120000"/>
  </r>
  <r>
    <x v="296"/>
    <x v="6"/>
    <m/>
    <x v="1"/>
    <x v="0"/>
    <x v="139"/>
    <n v="93"/>
    <s v="스테이포에버 2set"/>
    <s v="210207"/>
    <m/>
    <n v="5468400"/>
  </r>
  <r>
    <x v="296"/>
    <x v="6"/>
    <m/>
    <x v="1"/>
    <x v="0"/>
    <x v="140"/>
    <n v="14"/>
    <s v="이그나이트 + 스테이포에버"/>
    <s v="210207"/>
    <m/>
    <n v="823200"/>
  </r>
  <r>
    <x v="296"/>
    <x v="6"/>
    <m/>
    <x v="0"/>
    <x v="0"/>
    <x v="0"/>
    <n v="11"/>
    <s v="쇼핑백"/>
    <s v="210207"/>
    <m/>
    <n v="22000"/>
  </r>
  <r>
    <x v="296"/>
    <x v="6"/>
    <m/>
    <x v="1"/>
    <x v="0"/>
    <x v="141"/>
    <n v="3"/>
    <s v="이그나이트"/>
    <s v="210207"/>
    <m/>
    <n v="102000"/>
  </r>
  <r>
    <x v="296"/>
    <x v="6"/>
    <s v="네이버 배너"/>
    <x v="1"/>
    <x v="1"/>
    <x v="1"/>
    <m/>
    <m/>
    <m/>
    <n v="208040"/>
    <m/>
  </r>
  <r>
    <x v="296"/>
    <x v="6"/>
    <s v="네이버 배너"/>
    <x v="1"/>
    <x v="1"/>
    <x v="1"/>
    <m/>
    <m/>
    <m/>
    <n v="757807.2727272727"/>
    <m/>
  </r>
  <r>
    <x v="296"/>
    <x v="6"/>
    <s v="카카오 배너"/>
    <x v="1"/>
    <x v="1"/>
    <x v="1"/>
    <m/>
    <m/>
    <m/>
    <n v="181950"/>
    <m/>
  </r>
  <r>
    <x v="296"/>
    <x v="6"/>
    <s v="카카오 배너"/>
    <x v="1"/>
    <x v="1"/>
    <x v="1"/>
    <m/>
    <m/>
    <m/>
    <n v="916489.9999999999"/>
    <m/>
  </r>
  <r>
    <x v="297"/>
    <x v="0"/>
    <s v="페이스북/인스타그램"/>
    <x v="1"/>
    <x v="1"/>
    <x v="1"/>
    <m/>
    <m/>
    <m/>
    <n v="29437"/>
    <m/>
  </r>
  <r>
    <x v="297"/>
    <x v="0"/>
    <s v="페이스북/인스타그램"/>
    <x v="1"/>
    <x v="1"/>
    <x v="1"/>
    <m/>
    <m/>
    <m/>
    <n v="29881"/>
    <m/>
  </r>
  <r>
    <x v="297"/>
    <x v="0"/>
    <s v="페이스북/인스타그램"/>
    <x v="1"/>
    <x v="1"/>
    <x v="1"/>
    <m/>
    <m/>
    <m/>
    <n v="59322"/>
    <m/>
  </r>
  <r>
    <x v="297"/>
    <x v="0"/>
    <s v="페이스북/인스타그램"/>
    <x v="1"/>
    <x v="1"/>
    <x v="1"/>
    <m/>
    <m/>
    <m/>
    <n v="90013"/>
    <m/>
  </r>
  <r>
    <x v="297"/>
    <x v="0"/>
    <s v="페이스북/인스타그램"/>
    <x v="1"/>
    <x v="1"/>
    <x v="1"/>
    <m/>
    <m/>
    <m/>
    <n v="59630"/>
    <m/>
  </r>
  <r>
    <x v="297"/>
    <x v="0"/>
    <s v="페이스북/인스타그램"/>
    <x v="1"/>
    <x v="1"/>
    <x v="1"/>
    <m/>
    <m/>
    <m/>
    <n v="99817"/>
    <m/>
  </r>
  <r>
    <x v="297"/>
    <x v="0"/>
    <s v="페이스북/인스타그램"/>
    <x v="1"/>
    <x v="1"/>
    <x v="1"/>
    <m/>
    <m/>
    <m/>
    <n v="126395"/>
    <m/>
  </r>
  <r>
    <x v="297"/>
    <x v="0"/>
    <s v="페이스북/인스타그램"/>
    <x v="1"/>
    <x v="1"/>
    <x v="1"/>
    <m/>
    <m/>
    <m/>
    <n v="236282"/>
    <m/>
  </r>
  <r>
    <x v="297"/>
    <x v="0"/>
    <s v="페이스북/인스타그램"/>
    <x v="1"/>
    <x v="1"/>
    <x v="1"/>
    <m/>
    <m/>
    <m/>
    <n v="50133"/>
    <m/>
  </r>
  <r>
    <x v="297"/>
    <x v="0"/>
    <s v="페이스북/인스타그램"/>
    <x v="1"/>
    <x v="1"/>
    <x v="1"/>
    <m/>
    <m/>
    <m/>
    <n v="71059"/>
    <m/>
  </r>
  <r>
    <x v="297"/>
    <x v="0"/>
    <s v="페이스북/인스타그램"/>
    <x v="1"/>
    <x v="1"/>
    <x v="1"/>
    <m/>
    <m/>
    <m/>
    <n v="50344"/>
    <m/>
  </r>
  <r>
    <x v="297"/>
    <x v="0"/>
    <s v="페이스북/인스타그램"/>
    <x v="1"/>
    <x v="1"/>
    <x v="1"/>
    <m/>
    <m/>
    <m/>
    <n v="100587"/>
    <m/>
  </r>
  <r>
    <x v="297"/>
    <x v="0"/>
    <s v="페이스북/인스타그램"/>
    <x v="1"/>
    <x v="1"/>
    <x v="1"/>
    <m/>
    <m/>
    <m/>
    <n v="55863"/>
    <m/>
  </r>
  <r>
    <x v="297"/>
    <x v="0"/>
    <s v="페이스북/인스타그램"/>
    <x v="1"/>
    <x v="1"/>
    <x v="1"/>
    <m/>
    <m/>
    <m/>
    <n v="118069"/>
    <m/>
  </r>
  <r>
    <x v="297"/>
    <x v="0"/>
    <s v="페이스북/인스타그램"/>
    <x v="1"/>
    <x v="1"/>
    <x v="1"/>
    <m/>
    <m/>
    <m/>
    <n v="140751"/>
    <m/>
  </r>
  <r>
    <x v="297"/>
    <x v="0"/>
    <s v="페이스북/인스타그램"/>
    <x v="1"/>
    <x v="1"/>
    <x v="1"/>
    <m/>
    <m/>
    <m/>
    <n v="139862"/>
    <m/>
  </r>
  <r>
    <x v="297"/>
    <x v="0"/>
    <s v="페이스북/인스타그램"/>
    <x v="1"/>
    <x v="1"/>
    <x v="1"/>
    <m/>
    <m/>
    <m/>
    <n v="150141"/>
    <m/>
  </r>
  <r>
    <x v="297"/>
    <x v="0"/>
    <s v="페이스북/인스타그램"/>
    <x v="1"/>
    <x v="1"/>
    <x v="1"/>
    <m/>
    <m/>
    <m/>
    <n v="49932"/>
    <m/>
  </r>
  <r>
    <x v="297"/>
    <x v="0"/>
    <s v="페이스북/인스타그램"/>
    <x v="1"/>
    <x v="1"/>
    <x v="1"/>
    <m/>
    <m/>
    <m/>
    <n v="97842"/>
    <m/>
  </r>
  <r>
    <x v="297"/>
    <x v="0"/>
    <s v="유튜브 광고"/>
    <x v="1"/>
    <x v="1"/>
    <x v="1"/>
    <m/>
    <m/>
    <m/>
    <n v="36203"/>
    <m/>
  </r>
  <r>
    <x v="297"/>
    <x v="0"/>
    <s v="유튜브 광고"/>
    <x v="1"/>
    <x v="1"/>
    <x v="1"/>
    <m/>
    <m/>
    <m/>
    <n v="205853"/>
    <m/>
  </r>
  <r>
    <x v="297"/>
    <x v="0"/>
    <s v="유튜브 광고"/>
    <x v="1"/>
    <x v="1"/>
    <x v="1"/>
    <m/>
    <m/>
    <m/>
    <n v="363981"/>
    <m/>
  </r>
  <r>
    <x v="297"/>
    <x v="0"/>
    <s v="유튜브 광고"/>
    <x v="1"/>
    <x v="1"/>
    <x v="1"/>
    <m/>
    <m/>
    <m/>
    <n v="339512"/>
    <m/>
  </r>
  <r>
    <x v="297"/>
    <x v="0"/>
    <s v="유튜브 광고"/>
    <x v="1"/>
    <x v="1"/>
    <x v="1"/>
    <m/>
    <m/>
    <m/>
    <n v="257560"/>
    <m/>
  </r>
  <r>
    <x v="297"/>
    <x v="0"/>
    <s v="유튜브 광고"/>
    <x v="1"/>
    <x v="1"/>
    <x v="1"/>
    <m/>
    <m/>
    <m/>
    <n v="199855"/>
    <m/>
  </r>
  <r>
    <x v="297"/>
    <x v="0"/>
    <s v="유튜브 광고"/>
    <x v="1"/>
    <x v="1"/>
    <x v="1"/>
    <m/>
    <m/>
    <m/>
    <n v="11971"/>
    <m/>
  </r>
  <r>
    <x v="297"/>
    <x v="0"/>
    <s v="유튜브 광고"/>
    <x v="1"/>
    <x v="1"/>
    <x v="1"/>
    <m/>
    <m/>
    <m/>
    <n v="98458"/>
    <m/>
  </r>
  <r>
    <x v="297"/>
    <x v="0"/>
    <s v="유튜브 광고"/>
    <x v="1"/>
    <x v="1"/>
    <x v="1"/>
    <m/>
    <m/>
    <m/>
    <n v="101519"/>
    <m/>
  </r>
  <r>
    <x v="297"/>
    <x v="0"/>
    <s v="네이버 쇼핑검색"/>
    <x v="1"/>
    <x v="1"/>
    <x v="1"/>
    <m/>
    <m/>
    <m/>
    <n v="33700"/>
    <m/>
  </r>
  <r>
    <x v="297"/>
    <x v="0"/>
    <s v="네이버 쇼핑검색"/>
    <x v="1"/>
    <x v="1"/>
    <x v="1"/>
    <m/>
    <m/>
    <m/>
    <n v="859.9999999999999"/>
    <m/>
  </r>
  <r>
    <x v="297"/>
    <x v="0"/>
    <s v="네이버 쇼핑검색"/>
    <x v="1"/>
    <x v="1"/>
    <x v="1"/>
    <m/>
    <m/>
    <m/>
    <n v="1180"/>
    <m/>
  </r>
  <r>
    <x v="297"/>
    <x v="0"/>
    <s v="네이버 쇼핑검색"/>
    <x v="1"/>
    <x v="1"/>
    <x v="1"/>
    <m/>
    <m/>
    <m/>
    <n v="97039.99999999999"/>
    <m/>
  </r>
  <r>
    <x v="297"/>
    <x v="0"/>
    <s v="네이버 브랜드검색"/>
    <x v="3"/>
    <x v="1"/>
    <x v="1"/>
    <m/>
    <m/>
    <m/>
    <n v="140000"/>
    <m/>
  </r>
  <r>
    <x v="297"/>
    <x v="0"/>
    <s v="네이버 브랜드검색"/>
    <x v="3"/>
    <x v="1"/>
    <x v="1"/>
    <m/>
    <m/>
    <m/>
    <n v="16700"/>
    <m/>
  </r>
  <r>
    <x v="297"/>
    <x v="0"/>
    <m/>
    <x v="1"/>
    <x v="4"/>
    <x v="155"/>
    <n v="6"/>
    <s v="스테이포에버"/>
    <s v="210207"/>
    <m/>
    <n v="204000"/>
  </r>
  <r>
    <x v="297"/>
    <x v="0"/>
    <m/>
    <x v="1"/>
    <x v="3"/>
    <x v="153"/>
    <n v="1"/>
    <s v="스테이포에버"/>
    <s v="210207"/>
    <m/>
    <n v="34000"/>
  </r>
  <r>
    <x v="297"/>
    <x v="0"/>
    <m/>
    <x v="1"/>
    <x v="3"/>
    <x v="150"/>
    <n v="3"/>
    <s v="이그나이트 + 스테이포에버"/>
    <s v="210207"/>
    <m/>
    <n v="176400"/>
  </r>
  <r>
    <x v="297"/>
    <x v="0"/>
    <m/>
    <x v="1"/>
    <x v="3"/>
    <x v="151"/>
    <n v="2"/>
    <s v="스테이포에버 2set"/>
    <s v="210207"/>
    <m/>
    <n v="117600"/>
  </r>
  <r>
    <x v="297"/>
    <x v="0"/>
    <m/>
    <x v="1"/>
    <x v="3"/>
    <x v="152"/>
    <n v="14"/>
    <s v="스테이포에버"/>
    <s v="210207"/>
    <m/>
    <n v="476000"/>
  </r>
  <r>
    <x v="297"/>
    <x v="0"/>
    <m/>
    <x v="1"/>
    <x v="0"/>
    <x v="134"/>
    <n v="2"/>
    <s v="이그나이트"/>
    <s v="210207"/>
    <m/>
    <n v="68000"/>
  </r>
  <r>
    <x v="297"/>
    <x v="0"/>
    <m/>
    <x v="1"/>
    <x v="0"/>
    <x v="135"/>
    <n v="6"/>
    <s v="스테이포에버"/>
    <s v="210207"/>
    <m/>
    <n v="204000"/>
  </r>
  <r>
    <x v="297"/>
    <x v="0"/>
    <m/>
    <x v="1"/>
    <x v="0"/>
    <x v="136"/>
    <n v="6"/>
    <s v="스테이포에버 2set"/>
    <s v="210207"/>
    <m/>
    <n v="352800"/>
  </r>
  <r>
    <x v="297"/>
    <x v="0"/>
    <m/>
    <x v="1"/>
    <x v="0"/>
    <x v="137"/>
    <n v="9"/>
    <s v="이그나이트 + 스테이포에버"/>
    <s v="210207"/>
    <m/>
    <n v="529200"/>
  </r>
  <r>
    <x v="297"/>
    <x v="0"/>
    <m/>
    <x v="1"/>
    <x v="0"/>
    <x v="144"/>
    <n v="1"/>
    <s v="이그나이트 + 스테이포에버"/>
    <s v="210207"/>
    <m/>
    <n v="58800"/>
  </r>
  <r>
    <x v="297"/>
    <x v="0"/>
    <m/>
    <x v="1"/>
    <x v="0"/>
    <x v="138"/>
    <n v="172"/>
    <s v="스테이포에버"/>
    <s v="210207"/>
    <m/>
    <n v="5848000"/>
  </r>
  <r>
    <x v="297"/>
    <x v="0"/>
    <m/>
    <x v="1"/>
    <x v="0"/>
    <x v="139"/>
    <n v="82"/>
    <s v="스테이포에버 2set"/>
    <s v="210207"/>
    <m/>
    <n v="4821600"/>
  </r>
  <r>
    <x v="297"/>
    <x v="0"/>
    <m/>
    <x v="1"/>
    <x v="0"/>
    <x v="140"/>
    <n v="7"/>
    <s v="이그나이트 + 스테이포에버"/>
    <s v="210207"/>
    <m/>
    <n v="411600"/>
  </r>
  <r>
    <x v="297"/>
    <x v="0"/>
    <m/>
    <x v="0"/>
    <x v="0"/>
    <x v="0"/>
    <n v="4"/>
    <s v="쇼핑백"/>
    <s v="210207"/>
    <m/>
    <n v="8000"/>
  </r>
  <r>
    <x v="297"/>
    <x v="0"/>
    <m/>
    <x v="1"/>
    <x v="0"/>
    <x v="141"/>
    <n v="8"/>
    <s v="이그나이트"/>
    <s v="210207"/>
    <m/>
    <n v="272000"/>
  </r>
  <r>
    <x v="297"/>
    <x v="0"/>
    <m/>
    <x v="1"/>
    <x v="0"/>
    <x v="163"/>
    <n v="2"/>
    <s v="스테이포에버 2set"/>
    <s v="210207"/>
    <m/>
    <n v="117600"/>
  </r>
  <r>
    <x v="297"/>
    <x v="0"/>
    <m/>
    <x v="1"/>
    <x v="0"/>
    <x v="164"/>
    <n v="1"/>
    <s v="이그나이트 + 스테이포에버"/>
    <s v="210207"/>
    <m/>
    <n v="58800"/>
  </r>
  <r>
    <x v="297"/>
    <x v="0"/>
    <s v="네이버 배너"/>
    <x v="1"/>
    <x v="1"/>
    <x v="1"/>
    <m/>
    <m/>
    <m/>
    <n v="259038.1818181818"/>
    <m/>
  </r>
  <r>
    <x v="297"/>
    <x v="0"/>
    <s v="네이버 배너"/>
    <x v="1"/>
    <x v="1"/>
    <x v="1"/>
    <m/>
    <m/>
    <m/>
    <n v="923364.5454545454"/>
    <m/>
  </r>
  <r>
    <x v="297"/>
    <x v="0"/>
    <s v="카카오 배너"/>
    <x v="1"/>
    <x v="1"/>
    <x v="1"/>
    <m/>
    <m/>
    <m/>
    <n v="182220"/>
    <m/>
  </r>
  <r>
    <x v="297"/>
    <x v="0"/>
    <s v="카카오 배너"/>
    <x v="1"/>
    <x v="1"/>
    <x v="1"/>
    <m/>
    <m/>
    <m/>
    <n v="1094140"/>
    <m/>
  </r>
  <r>
    <x v="297"/>
    <x v="0"/>
    <s v="네이버 배너(대행사)"/>
    <x v="1"/>
    <x v="1"/>
    <x v="1"/>
    <m/>
    <m/>
    <m/>
    <n v="362149.9999999999"/>
    <m/>
  </r>
  <r>
    <x v="298"/>
    <x v="3"/>
    <s v="페이스북/인스타그램"/>
    <x v="1"/>
    <x v="1"/>
    <x v="1"/>
    <m/>
    <m/>
    <m/>
    <n v="29689"/>
    <m/>
  </r>
  <r>
    <x v="298"/>
    <x v="3"/>
    <s v="페이스북/인스타그램"/>
    <x v="1"/>
    <x v="1"/>
    <x v="1"/>
    <m/>
    <m/>
    <m/>
    <n v="30257"/>
    <m/>
  </r>
  <r>
    <x v="298"/>
    <x v="3"/>
    <s v="페이스북/인스타그램"/>
    <x v="1"/>
    <x v="1"/>
    <x v="1"/>
    <m/>
    <m/>
    <m/>
    <n v="60335"/>
    <m/>
  </r>
  <r>
    <x v="298"/>
    <x v="3"/>
    <s v="페이스북/인스타그램"/>
    <x v="1"/>
    <x v="1"/>
    <x v="1"/>
    <m/>
    <m/>
    <m/>
    <n v="89693"/>
    <m/>
  </r>
  <r>
    <x v="298"/>
    <x v="3"/>
    <s v="페이스북/인스타그램"/>
    <x v="1"/>
    <x v="1"/>
    <x v="1"/>
    <m/>
    <m/>
    <m/>
    <n v="59630"/>
    <m/>
  </r>
  <r>
    <x v="298"/>
    <x v="3"/>
    <s v="페이스북/인스타그램"/>
    <x v="1"/>
    <x v="1"/>
    <x v="1"/>
    <m/>
    <m/>
    <m/>
    <n v="100020"/>
    <m/>
  </r>
  <r>
    <x v="298"/>
    <x v="3"/>
    <s v="페이스북/인스타그램"/>
    <x v="1"/>
    <x v="1"/>
    <x v="1"/>
    <m/>
    <m/>
    <m/>
    <n v="108698"/>
    <m/>
  </r>
  <r>
    <x v="298"/>
    <x v="3"/>
    <s v="페이스북/인스타그램"/>
    <x v="1"/>
    <x v="1"/>
    <x v="1"/>
    <m/>
    <m/>
    <m/>
    <n v="207813"/>
    <m/>
  </r>
  <r>
    <x v="298"/>
    <x v="3"/>
    <s v="페이스북/인스타그램"/>
    <x v="1"/>
    <x v="1"/>
    <x v="1"/>
    <m/>
    <m/>
    <m/>
    <n v="49987"/>
    <m/>
  </r>
  <r>
    <x v="298"/>
    <x v="3"/>
    <s v="페이스북/인스타그램"/>
    <x v="1"/>
    <x v="1"/>
    <x v="1"/>
    <m/>
    <m/>
    <m/>
    <n v="48779"/>
    <m/>
  </r>
  <r>
    <x v="298"/>
    <x v="3"/>
    <s v="페이스북/인스타그램"/>
    <x v="1"/>
    <x v="1"/>
    <x v="1"/>
    <m/>
    <m/>
    <m/>
    <n v="49998"/>
    <m/>
  </r>
  <r>
    <x v="298"/>
    <x v="3"/>
    <s v="페이스북/인스타그램"/>
    <x v="1"/>
    <x v="1"/>
    <x v="1"/>
    <m/>
    <m/>
    <m/>
    <n v="100235"/>
    <m/>
  </r>
  <r>
    <x v="298"/>
    <x v="3"/>
    <s v="페이스북/인스타그램"/>
    <x v="1"/>
    <x v="1"/>
    <x v="1"/>
    <m/>
    <m/>
    <m/>
    <n v="48892"/>
    <m/>
  </r>
  <r>
    <x v="298"/>
    <x v="3"/>
    <s v="페이스북/인스타그램"/>
    <x v="1"/>
    <x v="1"/>
    <x v="1"/>
    <m/>
    <m/>
    <m/>
    <n v="98485"/>
    <m/>
  </r>
  <r>
    <x v="298"/>
    <x v="3"/>
    <s v="페이스북/인스타그램"/>
    <x v="1"/>
    <x v="1"/>
    <x v="1"/>
    <m/>
    <m/>
    <m/>
    <n v="98059"/>
    <m/>
  </r>
  <r>
    <x v="298"/>
    <x v="3"/>
    <s v="페이스북/인스타그램"/>
    <x v="1"/>
    <x v="1"/>
    <x v="1"/>
    <m/>
    <m/>
    <m/>
    <n v="97882"/>
    <m/>
  </r>
  <r>
    <x v="298"/>
    <x v="3"/>
    <s v="페이스북/인스타그램"/>
    <x v="1"/>
    <x v="1"/>
    <x v="1"/>
    <m/>
    <m/>
    <m/>
    <n v="150690"/>
    <m/>
  </r>
  <r>
    <x v="298"/>
    <x v="3"/>
    <s v="페이스북/인스타그램"/>
    <x v="1"/>
    <x v="1"/>
    <x v="1"/>
    <m/>
    <m/>
    <m/>
    <n v="50189"/>
    <m/>
  </r>
  <r>
    <x v="298"/>
    <x v="3"/>
    <s v="페이스북/인스타그램"/>
    <x v="1"/>
    <x v="1"/>
    <x v="1"/>
    <m/>
    <m/>
    <m/>
    <n v="73551"/>
    <m/>
  </r>
  <r>
    <x v="298"/>
    <x v="3"/>
    <s v="유튜브 광고"/>
    <x v="1"/>
    <x v="1"/>
    <x v="1"/>
    <m/>
    <m/>
    <m/>
    <n v="21976"/>
    <m/>
  </r>
  <r>
    <x v="298"/>
    <x v="3"/>
    <s v="유튜브 광고"/>
    <x v="1"/>
    <x v="1"/>
    <x v="1"/>
    <m/>
    <m/>
    <m/>
    <n v="230832"/>
    <m/>
  </r>
  <r>
    <x v="298"/>
    <x v="3"/>
    <s v="유튜브 광고"/>
    <x v="1"/>
    <x v="1"/>
    <x v="1"/>
    <m/>
    <m/>
    <m/>
    <n v="549440"/>
    <m/>
  </r>
  <r>
    <x v="298"/>
    <x v="3"/>
    <s v="유튜브 광고"/>
    <x v="1"/>
    <x v="1"/>
    <x v="1"/>
    <m/>
    <m/>
    <m/>
    <n v="306016"/>
    <m/>
  </r>
  <r>
    <x v="298"/>
    <x v="3"/>
    <s v="유튜브 광고"/>
    <x v="1"/>
    <x v="1"/>
    <x v="1"/>
    <m/>
    <m/>
    <m/>
    <n v="254202"/>
    <m/>
  </r>
  <r>
    <x v="298"/>
    <x v="3"/>
    <s v="유튜브 광고"/>
    <x v="1"/>
    <x v="1"/>
    <x v="1"/>
    <m/>
    <m/>
    <m/>
    <n v="199033"/>
    <m/>
  </r>
  <r>
    <x v="298"/>
    <x v="3"/>
    <s v="유튜브 광고"/>
    <x v="1"/>
    <x v="1"/>
    <x v="1"/>
    <m/>
    <m/>
    <m/>
    <n v="127614"/>
    <m/>
  </r>
  <r>
    <x v="298"/>
    <x v="3"/>
    <s v="유튜브 광고"/>
    <x v="1"/>
    <x v="1"/>
    <x v="1"/>
    <m/>
    <m/>
    <m/>
    <n v="97098"/>
    <m/>
  </r>
  <r>
    <x v="298"/>
    <x v="3"/>
    <s v="유튜브 광고"/>
    <x v="1"/>
    <x v="1"/>
    <x v="1"/>
    <m/>
    <m/>
    <m/>
    <n v="100300"/>
    <m/>
  </r>
  <r>
    <x v="298"/>
    <x v="3"/>
    <s v="네이버 쇼핑검색"/>
    <x v="1"/>
    <x v="1"/>
    <x v="1"/>
    <m/>
    <m/>
    <m/>
    <n v="34640"/>
    <m/>
  </r>
  <r>
    <x v="298"/>
    <x v="3"/>
    <s v="네이버 쇼핑검색"/>
    <x v="1"/>
    <x v="1"/>
    <x v="1"/>
    <m/>
    <m/>
    <m/>
    <n v="0"/>
    <m/>
  </r>
  <r>
    <x v="298"/>
    <x v="3"/>
    <s v="네이버 쇼핑검색"/>
    <x v="1"/>
    <x v="1"/>
    <x v="1"/>
    <m/>
    <m/>
    <m/>
    <n v="100810"/>
    <m/>
  </r>
  <r>
    <x v="298"/>
    <x v="3"/>
    <s v="네이버 브랜드검색"/>
    <x v="3"/>
    <x v="1"/>
    <x v="1"/>
    <m/>
    <m/>
    <m/>
    <n v="0"/>
    <m/>
  </r>
  <r>
    <x v="298"/>
    <x v="3"/>
    <s v="네이버 브랜드검색"/>
    <x v="3"/>
    <x v="1"/>
    <x v="1"/>
    <m/>
    <m/>
    <m/>
    <n v="0"/>
    <m/>
  </r>
  <r>
    <x v="298"/>
    <x v="3"/>
    <m/>
    <x v="1"/>
    <x v="4"/>
    <x v="155"/>
    <n v="6"/>
    <s v="스테이포에버"/>
    <s v="210207"/>
    <m/>
    <n v="204000"/>
  </r>
  <r>
    <x v="298"/>
    <x v="3"/>
    <m/>
    <x v="1"/>
    <x v="4"/>
    <x v="157"/>
    <n v="1"/>
    <s v="이그나이트 + 스테이포에버"/>
    <s v="210207"/>
    <m/>
    <n v="58800"/>
  </r>
  <r>
    <x v="298"/>
    <x v="3"/>
    <m/>
    <x v="1"/>
    <x v="3"/>
    <x v="151"/>
    <n v="1"/>
    <s v="스테이포에버 2set"/>
    <s v="210207"/>
    <m/>
    <n v="58800"/>
  </r>
  <r>
    <x v="298"/>
    <x v="3"/>
    <m/>
    <x v="1"/>
    <x v="3"/>
    <x v="152"/>
    <n v="14"/>
    <s v="스테이포에버"/>
    <s v="210207"/>
    <m/>
    <n v="476000"/>
  </r>
  <r>
    <x v="298"/>
    <x v="3"/>
    <m/>
    <x v="1"/>
    <x v="3"/>
    <x v="154"/>
    <n v="1"/>
    <s v="이그나이트"/>
    <s v="210207"/>
    <m/>
    <n v="34000"/>
  </r>
  <r>
    <x v="298"/>
    <x v="3"/>
    <m/>
    <x v="0"/>
    <x v="0"/>
    <x v="148"/>
    <n v="1"/>
    <s v="쇼핑백"/>
    <s v="210207"/>
    <m/>
    <n v="2000"/>
  </r>
  <r>
    <x v="298"/>
    <x v="3"/>
    <m/>
    <x v="1"/>
    <x v="0"/>
    <x v="135"/>
    <n v="3"/>
    <s v="스테이포에버"/>
    <s v="210207"/>
    <m/>
    <n v="102000"/>
  </r>
  <r>
    <x v="298"/>
    <x v="3"/>
    <m/>
    <x v="1"/>
    <x v="0"/>
    <x v="136"/>
    <n v="13"/>
    <s v="스테이포에버 2set"/>
    <s v="210207"/>
    <m/>
    <n v="764400"/>
  </r>
  <r>
    <x v="298"/>
    <x v="3"/>
    <m/>
    <x v="1"/>
    <x v="0"/>
    <x v="137"/>
    <n v="7"/>
    <s v="이그나이트 + 스테이포에버"/>
    <s v="210207"/>
    <m/>
    <n v="411600"/>
  </r>
  <r>
    <x v="298"/>
    <x v="3"/>
    <m/>
    <x v="1"/>
    <x v="0"/>
    <x v="144"/>
    <n v="4"/>
    <s v="이그나이트 + 스테이포에버"/>
    <s v="210207"/>
    <m/>
    <n v="235200"/>
  </r>
  <r>
    <x v="298"/>
    <x v="3"/>
    <m/>
    <x v="1"/>
    <x v="0"/>
    <x v="138"/>
    <n v="148"/>
    <s v="스테이포에버"/>
    <s v="210207"/>
    <m/>
    <n v="5032000"/>
  </r>
  <r>
    <x v="298"/>
    <x v="3"/>
    <m/>
    <x v="1"/>
    <x v="0"/>
    <x v="139"/>
    <n v="78"/>
    <s v="스테이포에버 2set"/>
    <s v="210207"/>
    <m/>
    <n v="4586400"/>
  </r>
  <r>
    <x v="298"/>
    <x v="3"/>
    <m/>
    <x v="1"/>
    <x v="0"/>
    <x v="140"/>
    <n v="12"/>
    <s v="이그나이트 + 스테이포에버"/>
    <s v="210207"/>
    <m/>
    <n v="705600"/>
  </r>
  <r>
    <x v="298"/>
    <x v="3"/>
    <m/>
    <x v="0"/>
    <x v="0"/>
    <x v="0"/>
    <n v="8"/>
    <s v="쇼핑백"/>
    <s v="210207"/>
    <m/>
    <n v="16000"/>
  </r>
  <r>
    <x v="298"/>
    <x v="3"/>
    <m/>
    <x v="1"/>
    <x v="0"/>
    <x v="141"/>
    <n v="2"/>
    <s v="이그나이트"/>
    <s v="210207"/>
    <m/>
    <n v="68000"/>
  </r>
  <r>
    <x v="298"/>
    <x v="3"/>
    <m/>
    <x v="1"/>
    <x v="0"/>
    <x v="142"/>
    <n v="1"/>
    <s v="이그나이트 2set"/>
    <s v="210207"/>
    <m/>
    <n v="58800"/>
  </r>
  <r>
    <x v="298"/>
    <x v="3"/>
    <s v="네이버 배너"/>
    <x v="1"/>
    <x v="1"/>
    <x v="1"/>
    <m/>
    <m/>
    <m/>
    <n v="184793.6363636364"/>
    <m/>
  </r>
  <r>
    <x v="298"/>
    <x v="3"/>
    <s v="네이버 배너"/>
    <x v="1"/>
    <x v="1"/>
    <x v="1"/>
    <m/>
    <m/>
    <m/>
    <n v="615863.6363636364"/>
    <m/>
  </r>
  <r>
    <x v="298"/>
    <x v="3"/>
    <s v="카카오 배너"/>
    <x v="1"/>
    <x v="1"/>
    <x v="1"/>
    <m/>
    <m/>
    <m/>
    <n v="182150"/>
    <m/>
  </r>
  <r>
    <x v="298"/>
    <x v="3"/>
    <s v="카카오 배너"/>
    <x v="1"/>
    <x v="1"/>
    <x v="1"/>
    <m/>
    <m/>
    <m/>
    <n v="1018010"/>
    <m/>
  </r>
  <r>
    <x v="298"/>
    <x v="3"/>
    <s v="카카오 배너"/>
    <x v="1"/>
    <x v="1"/>
    <x v="1"/>
    <m/>
    <m/>
    <m/>
    <n v="182150"/>
    <m/>
  </r>
  <r>
    <x v="298"/>
    <x v="3"/>
    <s v="카카오 배너"/>
    <x v="1"/>
    <x v="1"/>
    <x v="1"/>
    <m/>
    <m/>
    <m/>
    <n v="1018010"/>
    <m/>
  </r>
  <r>
    <x v="299"/>
    <x v="4"/>
    <s v="페이스북/인스타그램"/>
    <x v="1"/>
    <x v="1"/>
    <x v="1"/>
    <m/>
    <m/>
    <m/>
    <n v="29651"/>
    <m/>
  </r>
  <r>
    <x v="299"/>
    <x v="4"/>
    <s v="페이스북/인스타그램"/>
    <x v="1"/>
    <x v="1"/>
    <x v="1"/>
    <m/>
    <m/>
    <m/>
    <n v="57355"/>
    <m/>
  </r>
  <r>
    <x v="299"/>
    <x v="4"/>
    <s v="페이스북/인스타그램"/>
    <x v="1"/>
    <x v="1"/>
    <x v="1"/>
    <m/>
    <m/>
    <m/>
    <n v="29211"/>
    <m/>
  </r>
  <r>
    <x v="299"/>
    <x v="4"/>
    <s v="페이스북/인스타그램"/>
    <x v="1"/>
    <x v="1"/>
    <x v="1"/>
    <m/>
    <m/>
    <m/>
    <n v="59514"/>
    <m/>
  </r>
  <r>
    <x v="299"/>
    <x v="4"/>
    <s v="페이스북/인스타그램"/>
    <x v="1"/>
    <x v="1"/>
    <x v="1"/>
    <m/>
    <m/>
    <m/>
    <n v="106304"/>
    <m/>
  </r>
  <r>
    <x v="299"/>
    <x v="4"/>
    <s v="페이스북/인스타그램"/>
    <x v="1"/>
    <x v="1"/>
    <x v="1"/>
    <m/>
    <m/>
    <m/>
    <n v="59305"/>
    <m/>
  </r>
  <r>
    <x v="299"/>
    <x v="4"/>
    <s v="페이스북/인스타그램"/>
    <x v="1"/>
    <x v="1"/>
    <x v="1"/>
    <m/>
    <m/>
    <m/>
    <n v="99984"/>
    <m/>
  </r>
  <r>
    <x v="299"/>
    <x v="4"/>
    <s v="페이스북/인스타그램"/>
    <x v="1"/>
    <x v="1"/>
    <x v="1"/>
    <m/>
    <m/>
    <m/>
    <n v="104173"/>
    <m/>
  </r>
  <r>
    <x v="299"/>
    <x v="4"/>
    <s v="페이스북/인스타그램"/>
    <x v="1"/>
    <x v="1"/>
    <x v="1"/>
    <m/>
    <m/>
    <m/>
    <n v="171521"/>
    <m/>
  </r>
  <r>
    <x v="299"/>
    <x v="4"/>
    <s v="페이스북/인스타그램"/>
    <x v="1"/>
    <x v="1"/>
    <x v="1"/>
    <m/>
    <m/>
    <m/>
    <n v="49507"/>
    <m/>
  </r>
  <r>
    <x v="299"/>
    <x v="4"/>
    <s v="페이스북/인스타그램"/>
    <x v="1"/>
    <x v="1"/>
    <x v="1"/>
    <m/>
    <m/>
    <m/>
    <n v="48108"/>
    <m/>
  </r>
  <r>
    <x v="299"/>
    <x v="4"/>
    <s v="페이스북/인스타그램"/>
    <x v="1"/>
    <x v="1"/>
    <x v="1"/>
    <m/>
    <m/>
    <m/>
    <n v="48832"/>
    <m/>
  </r>
  <r>
    <x v="299"/>
    <x v="4"/>
    <s v="페이스북/인스타그램"/>
    <x v="1"/>
    <x v="1"/>
    <x v="1"/>
    <m/>
    <m/>
    <m/>
    <n v="99110"/>
    <m/>
  </r>
  <r>
    <x v="299"/>
    <x v="4"/>
    <s v="페이스북/인스타그램"/>
    <x v="1"/>
    <x v="1"/>
    <x v="1"/>
    <m/>
    <m/>
    <m/>
    <n v="48976"/>
    <m/>
  </r>
  <r>
    <x v="299"/>
    <x v="4"/>
    <s v="페이스북/인스타그램"/>
    <x v="1"/>
    <x v="1"/>
    <x v="1"/>
    <m/>
    <m/>
    <m/>
    <n v="96128"/>
    <m/>
  </r>
  <r>
    <x v="299"/>
    <x v="4"/>
    <s v="페이스북/인스타그램"/>
    <x v="1"/>
    <x v="1"/>
    <x v="1"/>
    <m/>
    <m/>
    <m/>
    <n v="97465"/>
    <m/>
  </r>
  <r>
    <x v="299"/>
    <x v="4"/>
    <s v="페이스북/인스타그램"/>
    <x v="1"/>
    <x v="1"/>
    <x v="1"/>
    <m/>
    <m/>
    <m/>
    <n v="97912"/>
    <m/>
  </r>
  <r>
    <x v="299"/>
    <x v="4"/>
    <s v="페이스북/인스타그램"/>
    <x v="1"/>
    <x v="1"/>
    <x v="1"/>
    <m/>
    <m/>
    <m/>
    <n v="149144"/>
    <m/>
  </r>
  <r>
    <x v="299"/>
    <x v="4"/>
    <s v="페이스북/인스타그램"/>
    <x v="1"/>
    <x v="1"/>
    <x v="1"/>
    <m/>
    <m/>
    <m/>
    <n v="49764"/>
    <m/>
  </r>
  <r>
    <x v="299"/>
    <x v="4"/>
    <s v="페이스북/인스타그램"/>
    <x v="1"/>
    <x v="1"/>
    <x v="1"/>
    <m/>
    <m/>
    <m/>
    <n v="73312"/>
    <m/>
  </r>
  <r>
    <x v="299"/>
    <x v="4"/>
    <s v="유튜브 광고"/>
    <x v="1"/>
    <x v="1"/>
    <x v="1"/>
    <m/>
    <m/>
    <m/>
    <n v="21494"/>
    <m/>
  </r>
  <r>
    <x v="299"/>
    <x v="4"/>
    <s v="유튜브 광고"/>
    <x v="1"/>
    <x v="1"/>
    <x v="1"/>
    <m/>
    <m/>
    <m/>
    <n v="217316"/>
    <m/>
  </r>
  <r>
    <x v="299"/>
    <x v="4"/>
    <s v="유튜브 광고"/>
    <x v="1"/>
    <x v="1"/>
    <x v="1"/>
    <m/>
    <m/>
    <m/>
    <n v="312546"/>
    <m/>
  </r>
  <r>
    <x v="299"/>
    <x v="4"/>
    <s v="유튜브 광고"/>
    <x v="1"/>
    <x v="1"/>
    <x v="1"/>
    <m/>
    <m/>
    <m/>
    <n v="908758"/>
    <m/>
  </r>
  <r>
    <x v="299"/>
    <x v="4"/>
    <s v="유튜브 광고"/>
    <x v="1"/>
    <x v="1"/>
    <x v="1"/>
    <m/>
    <m/>
    <m/>
    <n v="181572"/>
    <m/>
  </r>
  <r>
    <x v="299"/>
    <x v="4"/>
    <s v="유튜브 광고"/>
    <x v="1"/>
    <x v="1"/>
    <x v="1"/>
    <m/>
    <m/>
    <m/>
    <n v="191386"/>
    <m/>
  </r>
  <r>
    <x v="299"/>
    <x v="4"/>
    <s v="유튜브 광고"/>
    <x v="1"/>
    <x v="1"/>
    <x v="1"/>
    <m/>
    <m/>
    <m/>
    <n v="185627"/>
    <m/>
  </r>
  <r>
    <x v="299"/>
    <x v="4"/>
    <s v="유튜브 광고"/>
    <x v="1"/>
    <x v="1"/>
    <x v="1"/>
    <m/>
    <m/>
    <m/>
    <n v="69251"/>
    <m/>
  </r>
  <r>
    <x v="299"/>
    <x v="4"/>
    <s v="유튜브 광고"/>
    <x v="1"/>
    <x v="1"/>
    <x v="1"/>
    <m/>
    <m/>
    <m/>
    <n v="99578"/>
    <m/>
  </r>
  <r>
    <x v="299"/>
    <x v="4"/>
    <s v="유튜브 광고"/>
    <x v="1"/>
    <x v="1"/>
    <x v="1"/>
    <m/>
    <m/>
    <m/>
    <n v="100794"/>
    <m/>
  </r>
  <r>
    <x v="299"/>
    <x v="4"/>
    <s v="네이버 쇼핑검색"/>
    <x v="1"/>
    <x v="1"/>
    <x v="1"/>
    <m/>
    <m/>
    <m/>
    <n v="20310"/>
    <m/>
  </r>
  <r>
    <x v="299"/>
    <x v="4"/>
    <s v="네이버 쇼핑검색"/>
    <x v="1"/>
    <x v="1"/>
    <x v="1"/>
    <m/>
    <m/>
    <m/>
    <n v="108810"/>
    <m/>
  </r>
  <r>
    <x v="299"/>
    <x v="4"/>
    <s v="네이버 브랜드검색"/>
    <x v="3"/>
    <x v="1"/>
    <x v="1"/>
    <m/>
    <m/>
    <m/>
    <n v="140000"/>
    <m/>
  </r>
  <r>
    <x v="299"/>
    <x v="4"/>
    <s v="네이버 브랜드검색"/>
    <x v="3"/>
    <x v="1"/>
    <x v="1"/>
    <m/>
    <m/>
    <m/>
    <n v="16700"/>
    <m/>
  </r>
  <r>
    <x v="299"/>
    <x v="4"/>
    <m/>
    <x v="1"/>
    <x v="4"/>
    <x v="155"/>
    <n v="10"/>
    <s v="스테이포에버"/>
    <s v="210207"/>
    <m/>
    <n v="340000"/>
  </r>
  <r>
    <x v="299"/>
    <x v="4"/>
    <m/>
    <x v="1"/>
    <x v="3"/>
    <x v="150"/>
    <n v="1"/>
    <s v="이그나이트 + 스테이포에버"/>
    <s v="210207"/>
    <m/>
    <n v="58800"/>
  </r>
  <r>
    <x v="299"/>
    <x v="4"/>
    <m/>
    <x v="1"/>
    <x v="3"/>
    <x v="151"/>
    <n v="2"/>
    <s v="스테이포에버 2set"/>
    <s v="210207"/>
    <m/>
    <n v="117600"/>
  </r>
  <r>
    <x v="299"/>
    <x v="4"/>
    <m/>
    <x v="1"/>
    <x v="3"/>
    <x v="152"/>
    <n v="18"/>
    <s v="스테이포에버"/>
    <s v="210207"/>
    <m/>
    <n v="612000"/>
  </r>
  <r>
    <x v="299"/>
    <x v="4"/>
    <m/>
    <x v="1"/>
    <x v="3"/>
    <x v="154"/>
    <n v="1"/>
    <s v="이그나이트"/>
    <s v="210207"/>
    <m/>
    <n v="34000"/>
  </r>
  <r>
    <x v="299"/>
    <x v="4"/>
    <m/>
    <x v="1"/>
    <x v="0"/>
    <x v="135"/>
    <n v="1"/>
    <s v="스테이포에버"/>
    <s v="210207"/>
    <m/>
    <n v="34000"/>
  </r>
  <r>
    <x v="299"/>
    <x v="4"/>
    <m/>
    <x v="1"/>
    <x v="0"/>
    <x v="136"/>
    <n v="8"/>
    <s v="스테이포에버 2set"/>
    <s v="210207"/>
    <m/>
    <n v="470400"/>
  </r>
  <r>
    <x v="299"/>
    <x v="4"/>
    <m/>
    <x v="1"/>
    <x v="0"/>
    <x v="137"/>
    <n v="8"/>
    <s v="이그나이트 + 스테이포에버"/>
    <s v="210207"/>
    <m/>
    <n v="470400"/>
  </r>
  <r>
    <x v="299"/>
    <x v="4"/>
    <m/>
    <x v="1"/>
    <x v="0"/>
    <x v="144"/>
    <n v="2"/>
    <s v="이그나이트 + 스테이포에버"/>
    <s v="210207"/>
    <m/>
    <n v="117600"/>
  </r>
  <r>
    <x v="299"/>
    <x v="4"/>
    <m/>
    <x v="1"/>
    <x v="0"/>
    <x v="138"/>
    <n v="138"/>
    <s v="스테이포에버"/>
    <s v="210207"/>
    <m/>
    <n v="4692000"/>
  </r>
  <r>
    <x v="299"/>
    <x v="4"/>
    <m/>
    <x v="1"/>
    <x v="0"/>
    <x v="139"/>
    <n v="79"/>
    <s v="스테이포에버 2set"/>
    <s v="210207"/>
    <m/>
    <n v="4645200"/>
  </r>
  <r>
    <x v="299"/>
    <x v="4"/>
    <m/>
    <x v="1"/>
    <x v="0"/>
    <x v="140"/>
    <n v="12"/>
    <s v="이그나이트 + 스테이포에버"/>
    <s v="210207"/>
    <m/>
    <n v="705600"/>
  </r>
  <r>
    <x v="299"/>
    <x v="4"/>
    <m/>
    <x v="0"/>
    <x v="0"/>
    <x v="0"/>
    <n v="7"/>
    <s v="쇼핑백"/>
    <s v="210207"/>
    <m/>
    <n v="14000"/>
  </r>
  <r>
    <x v="299"/>
    <x v="4"/>
    <m/>
    <x v="1"/>
    <x v="0"/>
    <x v="141"/>
    <n v="1"/>
    <s v="이그나이트"/>
    <s v="210207"/>
    <m/>
    <n v="34000"/>
  </r>
  <r>
    <x v="299"/>
    <x v="4"/>
    <m/>
    <x v="1"/>
    <x v="0"/>
    <x v="142"/>
    <n v="4"/>
    <s v="이그나이트 2set"/>
    <s v="210207"/>
    <m/>
    <n v="235200"/>
  </r>
  <r>
    <x v="299"/>
    <x v="4"/>
    <m/>
    <x v="1"/>
    <x v="0"/>
    <x v="164"/>
    <n v="1"/>
    <s v="이그나이트 + 스테이포에버"/>
    <s v="210207"/>
    <m/>
    <n v="58800"/>
  </r>
  <r>
    <x v="299"/>
    <x v="4"/>
    <s v="네이버 배너"/>
    <x v="1"/>
    <x v="1"/>
    <x v="1"/>
    <m/>
    <m/>
    <m/>
    <n v="138090"/>
    <m/>
  </r>
  <r>
    <x v="299"/>
    <x v="4"/>
    <s v="네이버 배너"/>
    <x v="1"/>
    <x v="1"/>
    <x v="1"/>
    <m/>
    <m/>
    <m/>
    <n v="430326.3636363636"/>
    <m/>
  </r>
  <r>
    <x v="299"/>
    <x v="4"/>
    <s v="카카오 배너"/>
    <x v="1"/>
    <x v="1"/>
    <x v="1"/>
    <m/>
    <m/>
    <m/>
    <n v="182080"/>
    <m/>
  </r>
  <r>
    <x v="299"/>
    <x v="4"/>
    <s v="카카오 배너"/>
    <x v="1"/>
    <x v="1"/>
    <x v="1"/>
    <m/>
    <m/>
    <m/>
    <n v="1055350"/>
    <m/>
  </r>
  <r>
    <x v="299"/>
    <x v="4"/>
    <s v="네이버 배너(대행사)"/>
    <x v="1"/>
    <x v="1"/>
    <x v="1"/>
    <m/>
    <m/>
    <m/>
    <n v="223013.6363636364"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n v="340000"/>
  </r>
  <r>
    <x v="262"/>
    <x v="7"/>
    <m/>
    <x v="2"/>
    <x v="1"/>
    <x v="1"/>
    <m/>
    <m/>
    <m/>
    <m/>
    <n v="58800"/>
  </r>
  <r>
    <x v="262"/>
    <x v="7"/>
    <m/>
    <x v="2"/>
    <x v="1"/>
    <x v="1"/>
    <m/>
    <m/>
    <m/>
    <m/>
    <n v="117600"/>
  </r>
  <r>
    <x v="262"/>
    <x v="7"/>
    <m/>
    <x v="2"/>
    <x v="1"/>
    <x v="1"/>
    <m/>
    <m/>
    <m/>
    <m/>
    <n v="612000"/>
  </r>
  <r>
    <x v="262"/>
    <x v="7"/>
    <m/>
    <x v="2"/>
    <x v="1"/>
    <x v="1"/>
    <m/>
    <m/>
    <m/>
    <m/>
    <n v="34000"/>
  </r>
  <r>
    <x v="262"/>
    <x v="7"/>
    <m/>
    <x v="2"/>
    <x v="1"/>
    <x v="1"/>
    <m/>
    <m/>
    <m/>
    <m/>
    <n v="34000"/>
  </r>
  <r>
    <x v="262"/>
    <x v="7"/>
    <m/>
    <x v="2"/>
    <x v="1"/>
    <x v="1"/>
    <m/>
    <m/>
    <m/>
    <m/>
    <n v="470400"/>
  </r>
  <r>
    <x v="262"/>
    <x v="7"/>
    <m/>
    <x v="2"/>
    <x v="1"/>
    <x v="1"/>
    <m/>
    <m/>
    <m/>
    <m/>
    <n v="470400"/>
  </r>
  <r>
    <x v="262"/>
    <x v="7"/>
    <m/>
    <x v="2"/>
    <x v="1"/>
    <x v="1"/>
    <m/>
    <m/>
    <m/>
    <m/>
    <n v="117600"/>
  </r>
  <r>
    <x v="262"/>
    <x v="7"/>
    <m/>
    <x v="2"/>
    <x v="1"/>
    <x v="1"/>
    <m/>
    <m/>
    <m/>
    <m/>
    <n v="4692000"/>
  </r>
  <r>
    <x v="262"/>
    <x v="7"/>
    <m/>
    <x v="2"/>
    <x v="1"/>
    <x v="1"/>
    <m/>
    <m/>
    <m/>
    <m/>
    <n v="4645200"/>
  </r>
  <r>
    <x v="262"/>
    <x v="7"/>
    <m/>
    <x v="2"/>
    <x v="1"/>
    <x v="1"/>
    <m/>
    <m/>
    <m/>
    <m/>
    <n v="705600"/>
  </r>
  <r>
    <x v="262"/>
    <x v="7"/>
    <m/>
    <x v="2"/>
    <x v="1"/>
    <x v="1"/>
    <m/>
    <m/>
    <m/>
    <m/>
    <n v="14000"/>
  </r>
  <r>
    <x v="262"/>
    <x v="7"/>
    <m/>
    <x v="2"/>
    <x v="1"/>
    <x v="1"/>
    <m/>
    <m/>
    <m/>
    <m/>
    <n v="34000"/>
  </r>
  <r>
    <x v="262"/>
    <x v="7"/>
    <m/>
    <x v="2"/>
    <x v="1"/>
    <x v="1"/>
    <m/>
    <m/>
    <m/>
    <m/>
    <n v="235200"/>
  </r>
  <r>
    <x v="262"/>
    <x v="7"/>
    <m/>
    <x v="2"/>
    <x v="1"/>
    <x v="1"/>
    <m/>
    <m/>
    <m/>
    <m/>
    <n v="58800"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262"/>
    <x v="7"/>
    <m/>
    <x v="2"/>
    <x v="1"/>
    <x v="1"/>
    <m/>
    <m/>
    <m/>
    <m/>
    <m/>
  </r>
  <r>
    <x v="300"/>
    <x v="1"/>
    <s v="페이스북/인스타그램"/>
    <x v="1"/>
    <x v="1"/>
    <x v="1"/>
    <m/>
    <m/>
    <m/>
    <n v="28661"/>
    <m/>
  </r>
  <r>
    <x v="300"/>
    <x v="1"/>
    <s v="페이스북/인스타그램"/>
    <x v="1"/>
    <x v="1"/>
    <x v="1"/>
    <m/>
    <m/>
    <m/>
    <n v="57581"/>
    <m/>
  </r>
  <r>
    <x v="300"/>
    <x v="1"/>
    <s v="페이스북/인스타그램"/>
    <x v="1"/>
    <x v="1"/>
    <x v="1"/>
    <m/>
    <m/>
    <m/>
    <n v="29001"/>
    <m/>
  </r>
  <r>
    <x v="300"/>
    <x v="1"/>
    <s v="페이스북/인스타그램"/>
    <x v="1"/>
    <x v="1"/>
    <x v="1"/>
    <m/>
    <m/>
    <m/>
    <n v="58886"/>
    <m/>
  </r>
  <r>
    <x v="300"/>
    <x v="1"/>
    <s v="페이스북/인스타그램"/>
    <x v="1"/>
    <x v="1"/>
    <x v="1"/>
    <m/>
    <m/>
    <m/>
    <n v="144443"/>
    <m/>
  </r>
  <r>
    <x v="300"/>
    <x v="1"/>
    <s v="페이스북/인스타그램"/>
    <x v="1"/>
    <x v="1"/>
    <x v="1"/>
    <m/>
    <m/>
    <m/>
    <n v="58052"/>
    <m/>
  </r>
  <r>
    <x v="300"/>
    <x v="1"/>
    <s v="페이스북/인스타그램"/>
    <x v="1"/>
    <x v="1"/>
    <x v="1"/>
    <m/>
    <m/>
    <m/>
    <n v="97470"/>
    <m/>
  </r>
  <r>
    <x v="300"/>
    <x v="1"/>
    <s v="페이스북/인스타그램"/>
    <x v="1"/>
    <x v="1"/>
    <x v="1"/>
    <m/>
    <m/>
    <m/>
    <n v="105520"/>
    <m/>
  </r>
  <r>
    <x v="300"/>
    <x v="1"/>
    <s v="페이스북/인스타그램"/>
    <x v="1"/>
    <x v="1"/>
    <x v="1"/>
    <m/>
    <m/>
    <m/>
    <n v="163537"/>
    <m/>
  </r>
  <r>
    <x v="300"/>
    <x v="1"/>
    <s v="페이스북/인스타그램"/>
    <x v="1"/>
    <x v="1"/>
    <x v="1"/>
    <m/>
    <m/>
    <m/>
    <n v="108756"/>
    <m/>
  </r>
  <r>
    <x v="300"/>
    <x v="1"/>
    <s v="페이스북/인스타그램"/>
    <x v="1"/>
    <x v="1"/>
    <x v="1"/>
    <m/>
    <m/>
    <m/>
    <n v="47281"/>
    <m/>
  </r>
  <r>
    <x v="300"/>
    <x v="1"/>
    <s v="페이스북/인스타그램"/>
    <x v="1"/>
    <x v="1"/>
    <x v="1"/>
    <m/>
    <m/>
    <m/>
    <n v="48409"/>
    <m/>
  </r>
  <r>
    <x v="300"/>
    <x v="1"/>
    <s v="페이스북/인스타그램"/>
    <x v="1"/>
    <x v="1"/>
    <x v="1"/>
    <m/>
    <m/>
    <m/>
    <n v="44984"/>
    <m/>
  </r>
  <r>
    <x v="300"/>
    <x v="1"/>
    <s v="페이스북/인스타그램"/>
    <x v="1"/>
    <x v="1"/>
    <x v="1"/>
    <m/>
    <m/>
    <m/>
    <n v="47534"/>
    <m/>
  </r>
  <r>
    <x v="300"/>
    <x v="1"/>
    <s v="페이스북/인스타그램"/>
    <x v="1"/>
    <x v="1"/>
    <x v="1"/>
    <m/>
    <m/>
    <m/>
    <n v="95826"/>
    <m/>
  </r>
  <r>
    <x v="300"/>
    <x v="1"/>
    <s v="페이스북/인스타그램"/>
    <x v="1"/>
    <x v="1"/>
    <x v="1"/>
    <m/>
    <m/>
    <m/>
    <n v="94437"/>
    <m/>
  </r>
  <r>
    <x v="300"/>
    <x v="1"/>
    <s v="페이스북/인스타그램"/>
    <x v="1"/>
    <x v="1"/>
    <x v="1"/>
    <m/>
    <m/>
    <m/>
    <n v="94806"/>
    <m/>
  </r>
  <r>
    <x v="300"/>
    <x v="1"/>
    <s v="페이스북/인스타그램"/>
    <x v="1"/>
    <x v="1"/>
    <x v="1"/>
    <m/>
    <m/>
    <m/>
    <n v="145427"/>
    <m/>
  </r>
  <r>
    <x v="300"/>
    <x v="1"/>
    <s v="페이스북/인스타그램"/>
    <x v="1"/>
    <x v="1"/>
    <x v="1"/>
    <m/>
    <m/>
    <m/>
    <n v="48610"/>
    <m/>
  </r>
  <r>
    <x v="300"/>
    <x v="1"/>
    <s v="페이스북/인스타그램"/>
    <x v="1"/>
    <x v="1"/>
    <x v="1"/>
    <m/>
    <m/>
    <m/>
    <n v="71322"/>
    <m/>
  </r>
  <r>
    <x v="301"/>
    <x v="2"/>
    <s v="페이스북/인스타그램"/>
    <x v="1"/>
    <x v="1"/>
    <x v="1"/>
    <m/>
    <m/>
    <m/>
    <n v="29544"/>
    <m/>
  </r>
  <r>
    <x v="301"/>
    <x v="2"/>
    <s v="페이스북/인스타그램"/>
    <x v="1"/>
    <x v="1"/>
    <x v="1"/>
    <m/>
    <m/>
    <m/>
    <n v="57367"/>
    <m/>
  </r>
  <r>
    <x v="301"/>
    <x v="2"/>
    <s v="페이스북/인스타그램"/>
    <x v="1"/>
    <x v="1"/>
    <x v="1"/>
    <m/>
    <m/>
    <m/>
    <n v="30542"/>
    <m/>
  </r>
  <r>
    <x v="301"/>
    <x v="2"/>
    <s v="페이스북/인스타그램"/>
    <x v="1"/>
    <x v="1"/>
    <x v="1"/>
    <m/>
    <m/>
    <m/>
    <n v="61049"/>
    <m/>
  </r>
  <r>
    <x v="301"/>
    <x v="2"/>
    <s v="페이스북/인스타그램"/>
    <x v="1"/>
    <x v="1"/>
    <x v="1"/>
    <m/>
    <m/>
    <m/>
    <n v="151303"/>
    <m/>
  </r>
  <r>
    <x v="301"/>
    <x v="2"/>
    <s v="페이스북/인스타그램"/>
    <x v="1"/>
    <x v="1"/>
    <x v="1"/>
    <m/>
    <m/>
    <m/>
    <n v="61898"/>
    <m/>
  </r>
  <r>
    <x v="301"/>
    <x v="2"/>
    <s v="페이스북/인스타그램"/>
    <x v="1"/>
    <x v="1"/>
    <x v="1"/>
    <m/>
    <m/>
    <m/>
    <n v="102080"/>
    <m/>
  </r>
  <r>
    <x v="301"/>
    <x v="2"/>
    <s v="페이스북/인스타그램"/>
    <x v="1"/>
    <x v="1"/>
    <x v="1"/>
    <m/>
    <m/>
    <m/>
    <n v="110785"/>
    <m/>
  </r>
  <r>
    <x v="301"/>
    <x v="2"/>
    <s v="페이스북/인스타그램"/>
    <x v="1"/>
    <x v="1"/>
    <x v="1"/>
    <m/>
    <m/>
    <m/>
    <n v="205078"/>
    <m/>
  </r>
  <r>
    <x v="301"/>
    <x v="2"/>
    <s v="페이스북/인스타그램"/>
    <x v="1"/>
    <x v="1"/>
    <x v="1"/>
    <m/>
    <m/>
    <m/>
    <n v="137935"/>
    <m/>
  </r>
  <r>
    <x v="301"/>
    <x v="2"/>
    <s v="페이스북/인스타그램"/>
    <x v="1"/>
    <x v="1"/>
    <x v="1"/>
    <m/>
    <m/>
    <m/>
    <n v="50626"/>
    <m/>
  </r>
  <r>
    <x v="301"/>
    <x v="2"/>
    <s v="페이스북/인스타그램"/>
    <x v="1"/>
    <x v="1"/>
    <x v="1"/>
    <m/>
    <m/>
    <m/>
    <n v="51740"/>
    <m/>
  </r>
  <r>
    <x v="301"/>
    <x v="2"/>
    <s v="페이스북/인스타그램"/>
    <x v="1"/>
    <x v="1"/>
    <x v="1"/>
    <m/>
    <m/>
    <m/>
    <n v="27387"/>
    <m/>
  </r>
  <r>
    <x v="301"/>
    <x v="2"/>
    <s v="페이스북/인스타그램"/>
    <x v="1"/>
    <x v="1"/>
    <x v="1"/>
    <m/>
    <m/>
    <m/>
    <n v="50058"/>
    <m/>
  </r>
  <r>
    <x v="301"/>
    <x v="2"/>
    <s v="페이스북/인스타그램"/>
    <x v="1"/>
    <x v="1"/>
    <x v="1"/>
    <m/>
    <m/>
    <m/>
    <n v="99489"/>
    <m/>
  </r>
  <r>
    <x v="301"/>
    <x v="2"/>
    <s v="페이스북/인스타그램"/>
    <x v="1"/>
    <x v="1"/>
    <x v="1"/>
    <m/>
    <m/>
    <m/>
    <n v="100436"/>
    <m/>
  </r>
  <r>
    <x v="301"/>
    <x v="2"/>
    <s v="페이스북/인스타그램"/>
    <x v="1"/>
    <x v="1"/>
    <x v="1"/>
    <m/>
    <m/>
    <m/>
    <n v="100614"/>
    <m/>
  </r>
  <r>
    <x v="301"/>
    <x v="2"/>
    <s v="페이스북/인스타그램"/>
    <x v="1"/>
    <x v="1"/>
    <x v="1"/>
    <m/>
    <m/>
    <m/>
    <n v="153820"/>
    <m/>
  </r>
  <r>
    <x v="301"/>
    <x v="2"/>
    <s v="페이스북/인스타그램"/>
    <x v="1"/>
    <x v="1"/>
    <x v="1"/>
    <m/>
    <m/>
    <m/>
    <n v="51211"/>
    <m/>
  </r>
  <r>
    <x v="301"/>
    <x v="2"/>
    <s v="페이스북/인스타그램"/>
    <x v="1"/>
    <x v="1"/>
    <x v="1"/>
    <m/>
    <m/>
    <m/>
    <n v="74968"/>
    <m/>
  </r>
  <r>
    <x v="302"/>
    <x v="5"/>
    <s v="페이스북/인스타그램"/>
    <x v="1"/>
    <x v="1"/>
    <x v="1"/>
    <m/>
    <m/>
    <m/>
    <n v="30266"/>
    <m/>
  </r>
  <r>
    <x v="302"/>
    <x v="5"/>
    <s v="페이스북/인스타그램"/>
    <x v="1"/>
    <x v="1"/>
    <x v="1"/>
    <m/>
    <m/>
    <m/>
    <n v="83288"/>
    <m/>
  </r>
  <r>
    <x v="302"/>
    <x v="5"/>
    <s v="페이스북/인스타그램"/>
    <x v="1"/>
    <x v="1"/>
    <x v="1"/>
    <m/>
    <m/>
    <m/>
    <n v="30317"/>
    <m/>
  </r>
  <r>
    <x v="302"/>
    <x v="5"/>
    <s v="페이스북/인스타그램"/>
    <x v="1"/>
    <x v="1"/>
    <x v="1"/>
    <m/>
    <m/>
    <m/>
    <n v="60500"/>
    <m/>
  </r>
  <r>
    <x v="302"/>
    <x v="5"/>
    <s v="페이스북/인스타그램"/>
    <x v="1"/>
    <x v="1"/>
    <x v="1"/>
    <m/>
    <m/>
    <m/>
    <n v="151665"/>
    <m/>
  </r>
  <r>
    <x v="302"/>
    <x v="5"/>
    <s v="페이스북/인스타그램"/>
    <x v="1"/>
    <x v="1"/>
    <x v="1"/>
    <m/>
    <m/>
    <m/>
    <n v="60397"/>
    <m/>
  </r>
  <r>
    <x v="302"/>
    <x v="5"/>
    <s v="페이스북/인스타그램"/>
    <x v="1"/>
    <x v="1"/>
    <x v="1"/>
    <m/>
    <m/>
    <m/>
    <n v="100380"/>
    <m/>
  </r>
  <r>
    <x v="302"/>
    <x v="5"/>
    <s v="페이스북/인스타그램"/>
    <x v="1"/>
    <x v="1"/>
    <x v="1"/>
    <m/>
    <m/>
    <m/>
    <n v="110897"/>
    <m/>
  </r>
  <r>
    <x v="302"/>
    <x v="5"/>
    <s v="페이스북/인스타그램"/>
    <x v="1"/>
    <x v="1"/>
    <x v="1"/>
    <m/>
    <m/>
    <m/>
    <n v="211373"/>
    <m/>
  </r>
  <r>
    <x v="302"/>
    <x v="5"/>
    <s v="페이스북/인스타그램"/>
    <x v="1"/>
    <x v="1"/>
    <x v="1"/>
    <m/>
    <m/>
    <m/>
    <n v="150489"/>
    <m/>
  </r>
  <r>
    <x v="302"/>
    <x v="5"/>
    <s v="페이스북/인스타그램"/>
    <x v="1"/>
    <x v="1"/>
    <x v="1"/>
    <m/>
    <m/>
    <m/>
    <n v="50440"/>
    <m/>
  </r>
  <r>
    <x v="302"/>
    <x v="5"/>
    <s v="페이스북/인스타그램"/>
    <x v="1"/>
    <x v="1"/>
    <x v="1"/>
    <m/>
    <m/>
    <m/>
    <n v="50346"/>
    <m/>
  </r>
  <r>
    <x v="302"/>
    <x v="5"/>
    <s v="페이스북/인스타그램"/>
    <x v="1"/>
    <x v="1"/>
    <x v="1"/>
    <m/>
    <m/>
    <m/>
    <n v="30174"/>
    <m/>
  </r>
  <r>
    <x v="302"/>
    <x v="5"/>
    <s v="페이스북/인스타그램"/>
    <x v="1"/>
    <x v="1"/>
    <x v="1"/>
    <m/>
    <m/>
    <m/>
    <n v="50471"/>
    <m/>
  </r>
  <r>
    <x v="302"/>
    <x v="5"/>
    <s v="페이스북/인스타그램"/>
    <x v="1"/>
    <x v="1"/>
    <x v="1"/>
    <m/>
    <m/>
    <m/>
    <n v="100800"/>
    <m/>
  </r>
  <r>
    <x v="302"/>
    <x v="5"/>
    <s v="페이스북/인스타그램"/>
    <x v="1"/>
    <x v="1"/>
    <x v="1"/>
    <m/>
    <m/>
    <m/>
    <n v="100446"/>
    <m/>
  </r>
  <r>
    <x v="302"/>
    <x v="5"/>
    <s v="페이스북/인스타그램"/>
    <x v="1"/>
    <x v="1"/>
    <x v="1"/>
    <m/>
    <m/>
    <m/>
    <n v="100332"/>
    <m/>
  </r>
  <r>
    <x v="302"/>
    <x v="5"/>
    <s v="페이스북/인스타그램"/>
    <x v="1"/>
    <x v="1"/>
    <x v="1"/>
    <m/>
    <m/>
    <m/>
    <n v="150120"/>
    <m/>
  </r>
  <r>
    <x v="302"/>
    <x v="5"/>
    <s v="페이스북/인스타그램"/>
    <x v="1"/>
    <x v="1"/>
    <x v="1"/>
    <m/>
    <m/>
    <m/>
    <n v="50267"/>
    <m/>
  </r>
  <r>
    <x v="302"/>
    <x v="5"/>
    <s v="페이스북/인스타그램"/>
    <x v="1"/>
    <x v="1"/>
    <x v="1"/>
    <m/>
    <m/>
    <m/>
    <n v="75124"/>
    <m/>
  </r>
  <r>
    <x v="300"/>
    <x v="1"/>
    <s v="유튜브 광고"/>
    <x v="1"/>
    <x v="1"/>
    <x v="1"/>
    <m/>
    <m/>
    <m/>
    <n v="45824"/>
    <m/>
  </r>
  <r>
    <x v="300"/>
    <x v="1"/>
    <s v="유튜브 광고"/>
    <x v="1"/>
    <x v="1"/>
    <x v="1"/>
    <m/>
    <m/>
    <m/>
    <n v="196965"/>
    <m/>
  </r>
  <r>
    <x v="300"/>
    <x v="1"/>
    <s v="유튜브 광고"/>
    <x v="1"/>
    <x v="1"/>
    <x v="1"/>
    <m/>
    <m/>
    <m/>
    <n v="326489"/>
    <m/>
  </r>
  <r>
    <x v="300"/>
    <x v="1"/>
    <s v="유튜브 광고"/>
    <x v="1"/>
    <x v="1"/>
    <x v="1"/>
    <m/>
    <m/>
    <m/>
    <n v="900130"/>
    <m/>
  </r>
  <r>
    <x v="300"/>
    <x v="1"/>
    <s v="유튜브 광고"/>
    <x v="1"/>
    <x v="1"/>
    <x v="1"/>
    <m/>
    <m/>
    <m/>
    <n v="155100"/>
    <m/>
  </r>
  <r>
    <x v="300"/>
    <x v="1"/>
    <s v="유튜브 광고"/>
    <x v="1"/>
    <x v="1"/>
    <x v="1"/>
    <m/>
    <m/>
    <m/>
    <n v="98372"/>
    <m/>
  </r>
  <r>
    <x v="300"/>
    <x v="1"/>
    <s v="유튜브 광고"/>
    <x v="1"/>
    <x v="1"/>
    <x v="1"/>
    <m/>
    <m/>
    <m/>
    <n v="191963"/>
    <m/>
  </r>
  <r>
    <x v="300"/>
    <x v="1"/>
    <s v="유튜브 광고"/>
    <x v="1"/>
    <x v="1"/>
    <x v="1"/>
    <m/>
    <m/>
    <m/>
    <n v="81050"/>
    <m/>
  </r>
  <r>
    <x v="300"/>
    <x v="1"/>
    <s v="유튜브 광고"/>
    <x v="1"/>
    <x v="1"/>
    <x v="1"/>
    <m/>
    <m/>
    <m/>
    <n v="99302"/>
    <m/>
  </r>
  <r>
    <x v="300"/>
    <x v="1"/>
    <s v="유튜브 광고"/>
    <x v="1"/>
    <x v="1"/>
    <x v="1"/>
    <m/>
    <m/>
    <m/>
    <n v="100054"/>
    <m/>
  </r>
  <r>
    <x v="301"/>
    <x v="2"/>
    <s v="유튜브 광고"/>
    <x v="1"/>
    <x v="1"/>
    <x v="1"/>
    <m/>
    <m/>
    <m/>
    <n v="67994"/>
    <m/>
  </r>
  <r>
    <x v="301"/>
    <x v="2"/>
    <s v="유튜브 광고"/>
    <x v="1"/>
    <x v="1"/>
    <x v="1"/>
    <m/>
    <m/>
    <m/>
    <n v="197250"/>
    <m/>
  </r>
  <r>
    <x v="301"/>
    <x v="2"/>
    <s v="유튜브 광고"/>
    <x v="1"/>
    <x v="1"/>
    <x v="1"/>
    <m/>
    <m/>
    <m/>
    <n v="475908"/>
    <m/>
  </r>
  <r>
    <x v="301"/>
    <x v="2"/>
    <s v="유튜브 광고"/>
    <x v="1"/>
    <x v="1"/>
    <x v="1"/>
    <m/>
    <m/>
    <m/>
    <n v="1081941"/>
    <m/>
  </r>
  <r>
    <x v="301"/>
    <x v="2"/>
    <s v="유튜브 광고"/>
    <x v="1"/>
    <x v="1"/>
    <x v="1"/>
    <m/>
    <m/>
    <m/>
    <n v="140837"/>
    <m/>
  </r>
  <r>
    <x v="301"/>
    <x v="2"/>
    <s v="유튜브 광고"/>
    <x v="1"/>
    <x v="1"/>
    <x v="1"/>
    <m/>
    <m/>
    <m/>
    <n v="85433"/>
    <m/>
  </r>
  <r>
    <x v="301"/>
    <x v="2"/>
    <s v="유튜브 광고"/>
    <x v="1"/>
    <x v="1"/>
    <x v="1"/>
    <m/>
    <m/>
    <m/>
    <n v="199462"/>
    <m/>
  </r>
  <r>
    <x v="301"/>
    <x v="2"/>
    <s v="유튜브 광고"/>
    <x v="1"/>
    <x v="1"/>
    <x v="1"/>
    <m/>
    <m/>
    <m/>
    <n v="125387"/>
    <m/>
  </r>
  <r>
    <x v="301"/>
    <x v="2"/>
    <s v="유튜브 광고"/>
    <x v="1"/>
    <x v="1"/>
    <x v="1"/>
    <m/>
    <m/>
    <m/>
    <n v="97492"/>
    <m/>
  </r>
  <r>
    <x v="301"/>
    <x v="2"/>
    <s v="유튜브 광고"/>
    <x v="1"/>
    <x v="1"/>
    <x v="1"/>
    <m/>
    <m/>
    <m/>
    <n v="99903"/>
    <m/>
  </r>
  <r>
    <x v="302"/>
    <x v="5"/>
    <s v="유튜브 광고"/>
    <x v="1"/>
    <x v="1"/>
    <x v="1"/>
    <m/>
    <m/>
    <m/>
    <n v="46669"/>
    <m/>
  </r>
  <r>
    <x v="302"/>
    <x v="5"/>
    <s v="유튜브 광고"/>
    <x v="1"/>
    <x v="1"/>
    <x v="1"/>
    <m/>
    <m/>
    <m/>
    <n v="135893"/>
    <m/>
  </r>
  <r>
    <x v="302"/>
    <x v="5"/>
    <s v="유튜브 광고"/>
    <x v="1"/>
    <x v="1"/>
    <x v="1"/>
    <m/>
    <m/>
    <m/>
    <n v="556418"/>
    <m/>
  </r>
  <r>
    <x v="302"/>
    <x v="5"/>
    <s v="유튜브 광고"/>
    <x v="1"/>
    <x v="1"/>
    <x v="1"/>
    <m/>
    <m/>
    <m/>
    <n v="1600207"/>
    <m/>
  </r>
  <r>
    <x v="302"/>
    <x v="5"/>
    <s v="유튜브 광고"/>
    <x v="1"/>
    <x v="1"/>
    <x v="1"/>
    <m/>
    <m/>
    <m/>
    <n v="113816"/>
    <m/>
  </r>
  <r>
    <x v="302"/>
    <x v="5"/>
    <s v="유튜브 광고"/>
    <x v="1"/>
    <x v="1"/>
    <x v="1"/>
    <m/>
    <m/>
    <m/>
    <n v="87138"/>
    <m/>
  </r>
  <r>
    <x v="302"/>
    <x v="5"/>
    <s v="유튜브 광고"/>
    <x v="1"/>
    <x v="1"/>
    <x v="1"/>
    <m/>
    <m/>
    <m/>
    <n v="166938"/>
    <m/>
  </r>
  <r>
    <x v="302"/>
    <x v="5"/>
    <s v="유튜브 광고"/>
    <x v="1"/>
    <x v="1"/>
    <x v="1"/>
    <m/>
    <m/>
    <m/>
    <n v="105559"/>
    <m/>
  </r>
  <r>
    <x v="302"/>
    <x v="5"/>
    <s v="유튜브 광고"/>
    <x v="1"/>
    <x v="1"/>
    <x v="1"/>
    <m/>
    <m/>
    <m/>
    <n v="97608"/>
    <m/>
  </r>
  <r>
    <x v="302"/>
    <x v="5"/>
    <s v="유튜브 광고"/>
    <x v="1"/>
    <x v="1"/>
    <x v="1"/>
    <m/>
    <m/>
    <m/>
    <n v="99838"/>
    <m/>
  </r>
  <r>
    <x v="302"/>
    <x v="5"/>
    <s v="네이버 쇼핑검색"/>
    <x v="1"/>
    <x v="1"/>
    <x v="1"/>
    <m/>
    <m/>
    <m/>
    <n v="14090"/>
    <m/>
  </r>
  <r>
    <x v="302"/>
    <x v="5"/>
    <s v="네이버 쇼핑검색"/>
    <x v="1"/>
    <x v="1"/>
    <x v="1"/>
    <m/>
    <m/>
    <m/>
    <n v="121850"/>
    <m/>
  </r>
  <r>
    <x v="302"/>
    <x v="5"/>
    <s v="네이버 브랜드검색"/>
    <x v="3"/>
    <x v="1"/>
    <x v="1"/>
    <m/>
    <m/>
    <m/>
    <n v="140000"/>
    <m/>
  </r>
  <r>
    <x v="302"/>
    <x v="5"/>
    <s v="네이버 브랜드검색"/>
    <x v="3"/>
    <x v="1"/>
    <x v="1"/>
    <m/>
    <m/>
    <m/>
    <n v="16700"/>
    <m/>
  </r>
  <r>
    <x v="301"/>
    <x v="2"/>
    <s v="네이버 쇼핑검색"/>
    <x v="1"/>
    <x v="1"/>
    <x v="1"/>
    <m/>
    <m/>
    <m/>
    <n v="9130"/>
    <m/>
  </r>
  <r>
    <x v="301"/>
    <x v="2"/>
    <s v="네이버 쇼핑검색"/>
    <x v="1"/>
    <x v="1"/>
    <x v="1"/>
    <m/>
    <m/>
    <m/>
    <n v="128690"/>
    <m/>
  </r>
  <r>
    <x v="301"/>
    <x v="2"/>
    <s v="네이버 브랜드검색"/>
    <x v="3"/>
    <x v="1"/>
    <x v="1"/>
    <m/>
    <m/>
    <m/>
    <n v="140000"/>
    <m/>
  </r>
  <r>
    <x v="301"/>
    <x v="2"/>
    <s v="네이버 브랜드검색"/>
    <x v="3"/>
    <x v="1"/>
    <x v="1"/>
    <m/>
    <m/>
    <m/>
    <n v="16700"/>
    <m/>
  </r>
  <r>
    <x v="300"/>
    <x v="1"/>
    <s v="네이버 쇼핑검색"/>
    <x v="1"/>
    <x v="1"/>
    <x v="1"/>
    <m/>
    <m/>
    <m/>
    <n v="19280"/>
    <m/>
  </r>
  <r>
    <x v="300"/>
    <x v="1"/>
    <s v="네이버 쇼핑검색"/>
    <x v="1"/>
    <x v="1"/>
    <x v="1"/>
    <m/>
    <m/>
    <m/>
    <n v="115310"/>
    <m/>
  </r>
  <r>
    <x v="300"/>
    <x v="1"/>
    <s v="네이버 브랜드검색"/>
    <x v="3"/>
    <x v="1"/>
    <x v="1"/>
    <m/>
    <m/>
    <m/>
    <n v="140000"/>
    <m/>
  </r>
  <r>
    <x v="300"/>
    <x v="1"/>
    <s v="네이버 브랜드검색"/>
    <x v="3"/>
    <x v="1"/>
    <x v="1"/>
    <m/>
    <m/>
    <m/>
    <n v="16700"/>
    <m/>
  </r>
  <r>
    <x v="300"/>
    <x v="1"/>
    <s v="카카오 배너"/>
    <x v="1"/>
    <x v="1"/>
    <x v="1"/>
    <m/>
    <m/>
    <m/>
    <n v="181880"/>
    <m/>
  </r>
  <r>
    <x v="300"/>
    <x v="1"/>
    <s v="카카오 배너"/>
    <x v="1"/>
    <x v="1"/>
    <x v="1"/>
    <m/>
    <m/>
    <m/>
    <n v="1115520"/>
    <m/>
  </r>
  <r>
    <x v="301"/>
    <x v="2"/>
    <s v="카카오 배너"/>
    <x v="1"/>
    <x v="1"/>
    <x v="1"/>
    <m/>
    <m/>
    <m/>
    <n v="182250"/>
    <m/>
  </r>
  <r>
    <x v="301"/>
    <x v="2"/>
    <s v="카카오 배너"/>
    <x v="1"/>
    <x v="1"/>
    <x v="1"/>
    <m/>
    <m/>
    <m/>
    <n v="1081740"/>
    <m/>
  </r>
  <r>
    <x v="302"/>
    <x v="5"/>
    <s v="카카오 배너"/>
    <x v="1"/>
    <x v="1"/>
    <x v="1"/>
    <m/>
    <m/>
    <m/>
    <n v="182500"/>
    <m/>
  </r>
  <r>
    <x v="302"/>
    <x v="5"/>
    <s v="카카오 배너"/>
    <x v="1"/>
    <x v="1"/>
    <x v="1"/>
    <m/>
    <m/>
    <m/>
    <n v="1073900"/>
    <m/>
  </r>
  <r>
    <x v="300"/>
    <x v="1"/>
    <m/>
    <x v="1"/>
    <x v="4"/>
    <x v="155"/>
    <n v="21"/>
    <s v="스테이포에버"/>
    <s v="210207"/>
    <m/>
    <n v="714000"/>
  </r>
  <r>
    <x v="300"/>
    <x v="1"/>
    <m/>
    <x v="1"/>
    <x v="3"/>
    <x v="150"/>
    <n v="3"/>
    <s v="이그나이트 + 스테이포에버"/>
    <s v="210207"/>
    <m/>
    <n v="176400"/>
  </r>
  <r>
    <x v="300"/>
    <x v="1"/>
    <m/>
    <x v="1"/>
    <x v="3"/>
    <x v="151"/>
    <n v="1"/>
    <s v="스테이포에버 2set"/>
    <s v="210207"/>
    <m/>
    <n v="58800"/>
  </r>
  <r>
    <x v="300"/>
    <x v="1"/>
    <m/>
    <x v="1"/>
    <x v="3"/>
    <x v="152"/>
    <n v="16"/>
    <s v="스테이포에버"/>
    <s v="210207"/>
    <m/>
    <n v="544000"/>
  </r>
  <r>
    <x v="300"/>
    <x v="1"/>
    <m/>
    <x v="1"/>
    <x v="0"/>
    <x v="134"/>
    <n v="2"/>
    <s v="이그나이트"/>
    <s v="210207"/>
    <m/>
    <n v="68000"/>
  </r>
  <r>
    <x v="300"/>
    <x v="1"/>
    <m/>
    <x v="1"/>
    <x v="0"/>
    <x v="135"/>
    <n v="5"/>
    <s v="스테이포에버"/>
    <s v="210207"/>
    <m/>
    <n v="170000"/>
  </r>
  <r>
    <x v="300"/>
    <x v="1"/>
    <m/>
    <x v="1"/>
    <x v="0"/>
    <x v="136"/>
    <n v="2"/>
    <s v="스테이포에버 2set"/>
    <s v="210207"/>
    <m/>
    <n v="117600"/>
  </r>
  <r>
    <x v="300"/>
    <x v="1"/>
    <m/>
    <x v="1"/>
    <x v="0"/>
    <x v="137"/>
    <n v="9"/>
    <s v="이그나이트 + 스테이포에버"/>
    <s v="210207"/>
    <m/>
    <n v="529200"/>
  </r>
  <r>
    <x v="300"/>
    <x v="1"/>
    <m/>
    <x v="1"/>
    <x v="0"/>
    <x v="144"/>
    <n v="1"/>
    <s v="이그나이트 + 스테이포에버"/>
    <s v="210207"/>
    <m/>
    <n v="58800"/>
  </r>
  <r>
    <x v="300"/>
    <x v="1"/>
    <m/>
    <x v="1"/>
    <x v="0"/>
    <x v="138"/>
    <n v="149"/>
    <s v="스테이포에버"/>
    <s v="210207"/>
    <m/>
    <n v="5066000"/>
  </r>
  <r>
    <x v="300"/>
    <x v="1"/>
    <m/>
    <x v="1"/>
    <x v="0"/>
    <x v="139"/>
    <n v="79"/>
    <s v="스테이포에버 2set"/>
    <s v="210207"/>
    <m/>
    <n v="4645200"/>
  </r>
  <r>
    <x v="300"/>
    <x v="1"/>
    <m/>
    <x v="1"/>
    <x v="0"/>
    <x v="140"/>
    <n v="11"/>
    <s v="이그나이트 + 스테이포에버"/>
    <s v="210207"/>
    <m/>
    <n v="646800"/>
  </r>
  <r>
    <x v="300"/>
    <x v="1"/>
    <m/>
    <x v="0"/>
    <x v="0"/>
    <x v="0"/>
    <n v="2"/>
    <s v="쇼핑백"/>
    <s v="210207"/>
    <m/>
    <n v="4000"/>
  </r>
  <r>
    <x v="300"/>
    <x v="1"/>
    <m/>
    <x v="1"/>
    <x v="0"/>
    <x v="141"/>
    <n v="1"/>
    <s v="이그나이트"/>
    <s v="210207"/>
    <m/>
    <n v="34000"/>
  </r>
  <r>
    <x v="301"/>
    <x v="2"/>
    <m/>
    <x v="1"/>
    <x v="3"/>
    <x v="153"/>
    <n v="1"/>
    <s v="스테이포에버"/>
    <s v="210207"/>
    <m/>
    <n v="34000"/>
  </r>
  <r>
    <x v="301"/>
    <x v="2"/>
    <m/>
    <x v="1"/>
    <x v="3"/>
    <x v="150"/>
    <n v="2"/>
    <s v="이그나이트 + 스테이포에버"/>
    <s v="210207"/>
    <m/>
    <n v="117600"/>
  </r>
  <r>
    <x v="301"/>
    <x v="2"/>
    <m/>
    <x v="1"/>
    <x v="3"/>
    <x v="151"/>
    <n v="1"/>
    <s v="스테이포에버 2set"/>
    <s v="210207"/>
    <m/>
    <n v="58800"/>
  </r>
  <r>
    <x v="301"/>
    <x v="2"/>
    <m/>
    <x v="1"/>
    <x v="3"/>
    <x v="152"/>
    <n v="16"/>
    <s v="스테이포에버"/>
    <s v="210207"/>
    <m/>
    <n v="544000"/>
  </r>
  <r>
    <x v="301"/>
    <x v="2"/>
    <m/>
    <x v="1"/>
    <x v="3"/>
    <x v="154"/>
    <n v="1"/>
    <s v="이그나이트"/>
    <s v="210207"/>
    <m/>
    <n v="34000"/>
  </r>
  <r>
    <x v="301"/>
    <x v="2"/>
    <m/>
    <x v="0"/>
    <x v="0"/>
    <x v="148"/>
    <n v="1"/>
    <s v="쇼핑백"/>
    <s v="210207"/>
    <m/>
    <n v="2000"/>
  </r>
  <r>
    <x v="301"/>
    <x v="2"/>
    <m/>
    <x v="1"/>
    <x v="0"/>
    <x v="145"/>
    <n v="5"/>
    <s v="이그나이트 2set"/>
    <s v="210207"/>
    <m/>
    <n v="294000"/>
  </r>
  <r>
    <x v="301"/>
    <x v="2"/>
    <m/>
    <x v="1"/>
    <x v="0"/>
    <x v="135"/>
    <n v="5"/>
    <s v="스테이포에버"/>
    <s v="210207"/>
    <m/>
    <n v="170000"/>
  </r>
  <r>
    <x v="301"/>
    <x v="2"/>
    <m/>
    <x v="1"/>
    <x v="0"/>
    <x v="136"/>
    <n v="6"/>
    <s v="스테이포에버 2set"/>
    <s v="210207"/>
    <m/>
    <n v="352800"/>
  </r>
  <r>
    <x v="301"/>
    <x v="2"/>
    <m/>
    <x v="1"/>
    <x v="0"/>
    <x v="137"/>
    <n v="16"/>
    <s v="이그나이트 + 스테이포에버"/>
    <s v="210207"/>
    <m/>
    <n v="940800"/>
  </r>
  <r>
    <x v="301"/>
    <x v="2"/>
    <m/>
    <x v="1"/>
    <x v="0"/>
    <x v="144"/>
    <n v="1"/>
    <s v="이그나이트 + 스테이포에버"/>
    <s v="210207"/>
    <m/>
    <n v="58800"/>
  </r>
  <r>
    <x v="301"/>
    <x v="2"/>
    <m/>
    <x v="1"/>
    <x v="0"/>
    <x v="138"/>
    <n v="198"/>
    <s v="스테이포에버"/>
    <s v="210207"/>
    <m/>
    <n v="6732000"/>
  </r>
  <r>
    <x v="301"/>
    <x v="2"/>
    <m/>
    <x v="1"/>
    <x v="0"/>
    <x v="139"/>
    <n v="122"/>
    <s v="스테이포에버 2set"/>
    <s v="210207"/>
    <m/>
    <n v="7173600"/>
  </r>
  <r>
    <x v="301"/>
    <x v="2"/>
    <m/>
    <x v="1"/>
    <x v="0"/>
    <x v="140"/>
    <n v="14"/>
    <s v="이그나이트 + 스테이포에버"/>
    <s v="210207"/>
    <m/>
    <n v="823200"/>
  </r>
  <r>
    <x v="301"/>
    <x v="2"/>
    <m/>
    <x v="0"/>
    <x v="0"/>
    <x v="0"/>
    <n v="7"/>
    <s v="쇼핑백"/>
    <s v="210207"/>
    <m/>
    <n v="14000"/>
  </r>
  <r>
    <x v="301"/>
    <x v="2"/>
    <m/>
    <x v="1"/>
    <x v="0"/>
    <x v="141"/>
    <n v="1"/>
    <s v="이그나이트"/>
    <s v="210207"/>
    <m/>
    <n v="34000"/>
  </r>
  <r>
    <x v="301"/>
    <x v="2"/>
    <m/>
    <x v="1"/>
    <x v="0"/>
    <x v="142"/>
    <n v="1"/>
    <s v="이그나이트 2set"/>
    <s v="210207"/>
    <m/>
    <n v="58800"/>
  </r>
  <r>
    <x v="302"/>
    <x v="5"/>
    <m/>
    <x v="1"/>
    <x v="3"/>
    <x v="150"/>
    <n v="2"/>
    <s v="이그나이트 + 스테이포에버"/>
    <s v="210207"/>
    <m/>
    <n v="117600"/>
  </r>
  <r>
    <x v="302"/>
    <x v="5"/>
    <m/>
    <x v="1"/>
    <x v="3"/>
    <x v="151"/>
    <n v="7"/>
    <s v="스테이포에버 2set"/>
    <s v="210207"/>
    <m/>
    <n v="411600"/>
  </r>
  <r>
    <x v="302"/>
    <x v="5"/>
    <m/>
    <x v="1"/>
    <x v="3"/>
    <x v="152"/>
    <n v="34"/>
    <s v="스테이포에버"/>
    <s v="210207"/>
    <m/>
    <n v="1156000"/>
  </r>
  <r>
    <x v="302"/>
    <x v="5"/>
    <m/>
    <x v="1"/>
    <x v="0"/>
    <x v="135"/>
    <n v="1"/>
    <s v="스테이포에버"/>
    <s v="210207"/>
    <m/>
    <n v="34000"/>
  </r>
  <r>
    <x v="302"/>
    <x v="5"/>
    <m/>
    <x v="1"/>
    <x v="0"/>
    <x v="136"/>
    <n v="7"/>
    <s v="스테이포에버 2set"/>
    <s v="210207"/>
    <m/>
    <n v="411600"/>
  </r>
  <r>
    <x v="302"/>
    <x v="5"/>
    <m/>
    <x v="1"/>
    <x v="0"/>
    <x v="137"/>
    <n v="15"/>
    <s v="이그나이트 + 스테이포에버"/>
    <s v="210207"/>
    <m/>
    <n v="882000"/>
  </r>
  <r>
    <x v="302"/>
    <x v="5"/>
    <m/>
    <x v="1"/>
    <x v="0"/>
    <x v="138"/>
    <n v="211"/>
    <s v="스테이포에버"/>
    <s v="210207"/>
    <m/>
    <n v="7174000"/>
  </r>
  <r>
    <x v="302"/>
    <x v="5"/>
    <m/>
    <x v="1"/>
    <x v="0"/>
    <x v="139"/>
    <n v="122"/>
    <s v="스테이포에버 2set"/>
    <s v="210207"/>
    <m/>
    <n v="7173600"/>
  </r>
  <r>
    <x v="302"/>
    <x v="5"/>
    <m/>
    <x v="1"/>
    <x v="0"/>
    <x v="140"/>
    <n v="14"/>
    <s v="이그나이트 + 스테이포에버"/>
    <s v="210207"/>
    <m/>
    <n v="823200"/>
  </r>
  <r>
    <x v="302"/>
    <x v="5"/>
    <m/>
    <x v="0"/>
    <x v="0"/>
    <x v="0"/>
    <n v="6"/>
    <s v="쇼핑백"/>
    <s v="210207"/>
    <m/>
    <n v="12000"/>
  </r>
  <r>
    <x v="302"/>
    <x v="5"/>
    <m/>
    <x v="1"/>
    <x v="0"/>
    <x v="141"/>
    <n v="4"/>
    <s v="이그나이트"/>
    <s v="210207"/>
    <m/>
    <n v="136000"/>
  </r>
  <r>
    <x v="302"/>
    <x v="5"/>
    <m/>
    <x v="1"/>
    <x v="0"/>
    <x v="142"/>
    <n v="3"/>
    <s v="이그나이트 2set"/>
    <s v="210207"/>
    <m/>
    <n v="176400"/>
  </r>
  <r>
    <x v="302"/>
    <x v="5"/>
    <m/>
    <x v="0"/>
    <x v="0"/>
    <x v="143"/>
    <n v="1"/>
    <s v="쇼핑백"/>
    <s v="210207"/>
    <m/>
    <n v="2000"/>
  </r>
  <r>
    <x v="300"/>
    <x v="1"/>
    <s v="네이버 배너"/>
    <x v="1"/>
    <x v="1"/>
    <x v="1"/>
    <m/>
    <m/>
    <m/>
    <n v="263486.3636363636"/>
    <m/>
  </r>
  <r>
    <x v="300"/>
    <x v="1"/>
    <s v="네이버 배너"/>
    <x v="1"/>
    <x v="1"/>
    <x v="1"/>
    <m/>
    <m/>
    <m/>
    <n v="902210.9090909091"/>
    <m/>
  </r>
  <r>
    <x v="301"/>
    <x v="2"/>
    <s v="네이버 배너"/>
    <x v="1"/>
    <x v="1"/>
    <x v="1"/>
    <m/>
    <m/>
    <m/>
    <n v="531517.2727272727"/>
    <m/>
  </r>
  <r>
    <x v="301"/>
    <x v="2"/>
    <s v="네이버 배너"/>
    <x v="1"/>
    <x v="1"/>
    <x v="1"/>
    <m/>
    <m/>
    <m/>
    <n v="1142369.090909091"/>
    <m/>
  </r>
  <r>
    <x v="302"/>
    <x v="5"/>
    <s v="네이버 배너"/>
    <x v="1"/>
    <x v="1"/>
    <x v="1"/>
    <m/>
    <m/>
    <m/>
    <n v="621906.3636363635"/>
    <m/>
  </r>
  <r>
    <x v="302"/>
    <x v="5"/>
    <s v="네이버 배너"/>
    <x v="1"/>
    <x v="1"/>
    <x v="1"/>
    <m/>
    <m/>
    <m/>
    <n v="1196490"/>
    <m/>
  </r>
  <r>
    <x v="300"/>
    <x v="1"/>
    <s v="네이버 배너(대행사)"/>
    <x v="1"/>
    <x v="1"/>
    <x v="1"/>
    <m/>
    <m/>
    <m/>
    <n v="177300"/>
    <m/>
  </r>
  <r>
    <x v="301"/>
    <x v="2"/>
    <s v="네이버 배너(대행사)"/>
    <x v="1"/>
    <x v="1"/>
    <x v="1"/>
    <m/>
    <m/>
    <m/>
    <n v="243053.6363636364"/>
    <m/>
  </r>
  <r>
    <x v="302"/>
    <x v="5"/>
    <s v="네이버 배너(대행사)"/>
    <x v="1"/>
    <x v="1"/>
    <x v="1"/>
    <m/>
    <m/>
    <m/>
    <n v="249415.4545454545"/>
    <m/>
  </r>
  <r>
    <x v="303"/>
    <x v="6"/>
    <s v="페이스북/인스타그램"/>
    <x v="1"/>
    <x v="1"/>
    <x v="1"/>
    <m/>
    <m/>
    <m/>
    <n v="29148"/>
    <m/>
  </r>
  <r>
    <x v="303"/>
    <x v="6"/>
    <s v="페이스북/인스타그램"/>
    <x v="1"/>
    <x v="1"/>
    <x v="1"/>
    <m/>
    <m/>
    <m/>
    <n v="95365"/>
    <m/>
  </r>
  <r>
    <x v="303"/>
    <x v="6"/>
    <s v="페이스북/인스타그램"/>
    <x v="1"/>
    <x v="1"/>
    <x v="1"/>
    <m/>
    <m/>
    <m/>
    <n v="28799"/>
    <m/>
  </r>
  <r>
    <x v="303"/>
    <x v="6"/>
    <s v="페이스북/인스타그램"/>
    <x v="1"/>
    <x v="1"/>
    <x v="1"/>
    <m/>
    <m/>
    <m/>
    <n v="58165"/>
    <m/>
  </r>
  <r>
    <x v="303"/>
    <x v="6"/>
    <s v="페이스북/인스타그램"/>
    <x v="1"/>
    <x v="1"/>
    <x v="1"/>
    <m/>
    <m/>
    <m/>
    <n v="137690"/>
    <m/>
  </r>
  <r>
    <x v="303"/>
    <x v="6"/>
    <s v="페이스북/인스타그램"/>
    <x v="1"/>
    <x v="1"/>
    <x v="1"/>
    <m/>
    <m/>
    <m/>
    <n v="58247"/>
    <m/>
  </r>
  <r>
    <x v="303"/>
    <x v="6"/>
    <s v="페이스북/인스타그램"/>
    <x v="1"/>
    <x v="1"/>
    <x v="1"/>
    <m/>
    <m/>
    <m/>
    <n v="97929"/>
    <m/>
  </r>
  <r>
    <x v="303"/>
    <x v="6"/>
    <s v="페이스북/인스타그램"/>
    <x v="1"/>
    <x v="1"/>
    <x v="1"/>
    <m/>
    <m/>
    <m/>
    <n v="107478"/>
    <m/>
  </r>
  <r>
    <x v="303"/>
    <x v="6"/>
    <s v="페이스북/인스타그램"/>
    <x v="1"/>
    <x v="1"/>
    <x v="1"/>
    <m/>
    <m/>
    <m/>
    <n v="203942"/>
    <m/>
  </r>
  <r>
    <x v="303"/>
    <x v="6"/>
    <s v="페이스북/인스타그램"/>
    <x v="1"/>
    <x v="1"/>
    <x v="1"/>
    <m/>
    <m/>
    <m/>
    <n v="144529"/>
    <m/>
  </r>
  <r>
    <x v="303"/>
    <x v="6"/>
    <s v="페이스북/인스타그램"/>
    <x v="1"/>
    <x v="1"/>
    <x v="1"/>
    <m/>
    <m/>
    <m/>
    <n v="48528"/>
    <m/>
  </r>
  <r>
    <x v="303"/>
    <x v="6"/>
    <s v="페이스북/인스타그램"/>
    <x v="1"/>
    <x v="1"/>
    <x v="1"/>
    <m/>
    <m/>
    <m/>
    <n v="48747"/>
    <m/>
  </r>
  <r>
    <x v="303"/>
    <x v="6"/>
    <s v="페이스북/인스타그램"/>
    <x v="1"/>
    <x v="1"/>
    <x v="1"/>
    <m/>
    <m/>
    <m/>
    <n v="28882"/>
    <m/>
  </r>
  <r>
    <x v="303"/>
    <x v="6"/>
    <s v="페이스북/인스타그램"/>
    <x v="1"/>
    <x v="1"/>
    <x v="1"/>
    <m/>
    <m/>
    <m/>
    <n v="48345"/>
    <m/>
  </r>
  <r>
    <x v="303"/>
    <x v="6"/>
    <s v="페이스북/인스타그램"/>
    <x v="1"/>
    <x v="1"/>
    <x v="1"/>
    <m/>
    <m/>
    <m/>
    <n v="97098"/>
    <m/>
  </r>
  <r>
    <x v="303"/>
    <x v="6"/>
    <s v="페이스북/인스타그램"/>
    <x v="1"/>
    <x v="1"/>
    <x v="1"/>
    <m/>
    <m/>
    <m/>
    <n v="96730"/>
    <m/>
  </r>
  <r>
    <x v="303"/>
    <x v="6"/>
    <s v="페이스북/인스타그램"/>
    <x v="1"/>
    <x v="1"/>
    <x v="1"/>
    <m/>
    <m/>
    <m/>
    <n v="97152"/>
    <m/>
  </r>
  <r>
    <x v="303"/>
    <x v="6"/>
    <s v="페이스북/인스타그램"/>
    <x v="1"/>
    <x v="1"/>
    <x v="1"/>
    <m/>
    <m/>
    <m/>
    <n v="145553"/>
    <m/>
  </r>
  <r>
    <x v="303"/>
    <x v="6"/>
    <s v="페이스북/인스타그램"/>
    <x v="1"/>
    <x v="1"/>
    <x v="1"/>
    <m/>
    <m/>
    <m/>
    <n v="48313"/>
    <m/>
  </r>
  <r>
    <x v="303"/>
    <x v="6"/>
    <s v="페이스북/인스타그램"/>
    <x v="1"/>
    <x v="1"/>
    <x v="1"/>
    <m/>
    <m/>
    <m/>
    <n v="73067"/>
    <m/>
  </r>
  <r>
    <x v="303"/>
    <x v="6"/>
    <s v="유튜브 광고"/>
    <x v="1"/>
    <x v="1"/>
    <x v="1"/>
    <m/>
    <m/>
    <m/>
    <n v="34772"/>
    <m/>
  </r>
  <r>
    <x v="303"/>
    <x v="6"/>
    <s v="유튜브 광고"/>
    <x v="1"/>
    <x v="1"/>
    <x v="1"/>
    <m/>
    <m/>
    <m/>
    <n v="117889"/>
    <m/>
  </r>
  <r>
    <x v="303"/>
    <x v="6"/>
    <s v="유튜브 광고"/>
    <x v="1"/>
    <x v="1"/>
    <x v="1"/>
    <m/>
    <m/>
    <m/>
    <n v="444252"/>
    <m/>
  </r>
  <r>
    <x v="303"/>
    <x v="6"/>
    <s v="유튜브 광고"/>
    <x v="1"/>
    <x v="1"/>
    <x v="1"/>
    <m/>
    <m/>
    <m/>
    <n v="1010002"/>
    <m/>
  </r>
  <r>
    <x v="303"/>
    <x v="6"/>
    <s v="유튜브 광고"/>
    <x v="1"/>
    <x v="1"/>
    <x v="1"/>
    <m/>
    <m/>
    <m/>
    <n v="348610"/>
    <m/>
  </r>
  <r>
    <x v="303"/>
    <x v="6"/>
    <s v="유튜브 광고"/>
    <x v="1"/>
    <x v="1"/>
    <x v="1"/>
    <m/>
    <m/>
    <m/>
    <n v="62651"/>
    <m/>
  </r>
  <r>
    <x v="303"/>
    <x v="6"/>
    <s v="유튜브 광고"/>
    <x v="1"/>
    <x v="1"/>
    <x v="1"/>
    <m/>
    <m/>
    <m/>
    <n v="145851"/>
    <m/>
  </r>
  <r>
    <x v="303"/>
    <x v="6"/>
    <s v="유튜브 광고"/>
    <x v="1"/>
    <x v="1"/>
    <x v="1"/>
    <m/>
    <m/>
    <m/>
    <n v="103532"/>
    <m/>
  </r>
  <r>
    <x v="303"/>
    <x v="6"/>
    <s v="유튜브 광고"/>
    <x v="1"/>
    <x v="1"/>
    <x v="1"/>
    <m/>
    <m/>
    <m/>
    <n v="98661"/>
    <m/>
  </r>
  <r>
    <x v="303"/>
    <x v="6"/>
    <s v="유튜브 광고"/>
    <x v="1"/>
    <x v="1"/>
    <x v="1"/>
    <m/>
    <m/>
    <m/>
    <n v="101011"/>
    <m/>
  </r>
  <r>
    <x v="303"/>
    <x v="6"/>
    <s v="네이버 쇼핑검색"/>
    <x v="1"/>
    <x v="1"/>
    <x v="1"/>
    <m/>
    <m/>
    <m/>
    <n v="28610"/>
    <m/>
  </r>
  <r>
    <x v="303"/>
    <x v="6"/>
    <s v="네이버 쇼핑검색"/>
    <x v="1"/>
    <x v="1"/>
    <x v="1"/>
    <m/>
    <m/>
    <m/>
    <n v="36700"/>
    <m/>
  </r>
  <r>
    <x v="303"/>
    <x v="6"/>
    <s v="네이버 쇼핑검색"/>
    <x v="1"/>
    <x v="1"/>
    <x v="1"/>
    <m/>
    <m/>
    <m/>
    <n v="45059.99999999999"/>
    <m/>
  </r>
  <r>
    <x v="303"/>
    <x v="6"/>
    <s v="네이버 브랜드검색"/>
    <x v="3"/>
    <x v="1"/>
    <x v="1"/>
    <m/>
    <m/>
    <m/>
    <n v="140000"/>
    <m/>
  </r>
  <r>
    <x v="303"/>
    <x v="6"/>
    <s v="네이버 브랜드검색"/>
    <x v="3"/>
    <x v="1"/>
    <x v="1"/>
    <m/>
    <m/>
    <m/>
    <n v="16700"/>
    <m/>
  </r>
  <r>
    <x v="303"/>
    <x v="6"/>
    <s v="카카오 배너"/>
    <x v="1"/>
    <x v="1"/>
    <x v="1"/>
    <m/>
    <m/>
    <m/>
    <n v="181970"/>
    <m/>
  </r>
  <r>
    <x v="303"/>
    <x v="6"/>
    <s v="카카오 배너"/>
    <x v="1"/>
    <x v="1"/>
    <x v="1"/>
    <m/>
    <m/>
    <m/>
    <n v="1029360"/>
    <m/>
  </r>
  <r>
    <x v="303"/>
    <x v="6"/>
    <m/>
    <x v="1"/>
    <x v="4"/>
    <x v="158"/>
    <n v="5"/>
    <s v="이그나이트"/>
    <s v="210207"/>
    <m/>
    <n v="170000"/>
  </r>
  <r>
    <x v="303"/>
    <x v="6"/>
    <m/>
    <x v="1"/>
    <x v="4"/>
    <x v="155"/>
    <n v="20"/>
    <s v="스테이포에버"/>
    <s v="210207"/>
    <m/>
    <n v="680000"/>
  </r>
  <r>
    <x v="303"/>
    <x v="6"/>
    <m/>
    <x v="1"/>
    <x v="4"/>
    <x v="157"/>
    <n v="1"/>
    <s v="이그나이트 + 스테이포에버"/>
    <s v="210207"/>
    <m/>
    <n v="58800"/>
  </r>
  <r>
    <x v="303"/>
    <x v="6"/>
    <m/>
    <x v="1"/>
    <x v="3"/>
    <x v="153"/>
    <n v="1"/>
    <s v="스테이포에버"/>
    <s v="210207"/>
    <m/>
    <n v="34000"/>
  </r>
  <r>
    <x v="303"/>
    <x v="6"/>
    <m/>
    <x v="1"/>
    <x v="3"/>
    <x v="150"/>
    <n v="1"/>
    <s v="이그나이트 + 스테이포에버"/>
    <s v="210207"/>
    <m/>
    <n v="58800"/>
  </r>
  <r>
    <x v="303"/>
    <x v="6"/>
    <m/>
    <x v="1"/>
    <x v="3"/>
    <x v="151"/>
    <n v="2"/>
    <s v="스테이포에버 2set"/>
    <s v="210207"/>
    <m/>
    <n v="117600"/>
  </r>
  <r>
    <x v="303"/>
    <x v="6"/>
    <m/>
    <x v="1"/>
    <x v="3"/>
    <x v="152"/>
    <n v="20"/>
    <s v="스테이포에버"/>
    <s v="210207"/>
    <m/>
    <n v="680000"/>
  </r>
  <r>
    <x v="303"/>
    <x v="6"/>
    <m/>
    <x v="1"/>
    <x v="3"/>
    <x v="154"/>
    <n v="3"/>
    <s v="이그나이트"/>
    <s v="210207"/>
    <m/>
    <n v="102000"/>
  </r>
  <r>
    <x v="303"/>
    <x v="6"/>
    <m/>
    <x v="0"/>
    <x v="0"/>
    <x v="148"/>
    <n v="2"/>
    <s v="쇼핑백"/>
    <s v="210207"/>
    <m/>
    <n v="4000"/>
  </r>
  <r>
    <x v="303"/>
    <x v="6"/>
    <m/>
    <x v="1"/>
    <x v="0"/>
    <x v="145"/>
    <n v="1"/>
    <s v="이그나이트 2set"/>
    <s v="210207"/>
    <m/>
    <n v="58800"/>
  </r>
  <r>
    <x v="303"/>
    <x v="6"/>
    <m/>
    <x v="1"/>
    <x v="0"/>
    <x v="135"/>
    <n v="6"/>
    <s v="스테이포에버"/>
    <s v="210207"/>
    <m/>
    <n v="204000"/>
  </r>
  <r>
    <x v="303"/>
    <x v="6"/>
    <m/>
    <x v="1"/>
    <x v="0"/>
    <x v="136"/>
    <n v="6"/>
    <s v="스테이포에버 2set"/>
    <s v="210207"/>
    <m/>
    <n v="352800"/>
  </r>
  <r>
    <x v="303"/>
    <x v="6"/>
    <m/>
    <x v="1"/>
    <x v="0"/>
    <x v="137"/>
    <n v="11"/>
    <s v="이그나이트 + 스테이포에버"/>
    <s v="210207"/>
    <m/>
    <n v="646800"/>
  </r>
  <r>
    <x v="303"/>
    <x v="6"/>
    <m/>
    <x v="1"/>
    <x v="0"/>
    <x v="144"/>
    <n v="1"/>
    <s v="이그나이트 + 스테이포에버"/>
    <s v="210207"/>
    <m/>
    <n v="58800"/>
  </r>
  <r>
    <x v="303"/>
    <x v="6"/>
    <m/>
    <x v="1"/>
    <x v="0"/>
    <x v="138"/>
    <n v="180"/>
    <s v="스테이포에버"/>
    <s v="210207"/>
    <m/>
    <n v="6120000"/>
  </r>
  <r>
    <x v="303"/>
    <x v="6"/>
    <m/>
    <x v="1"/>
    <x v="0"/>
    <x v="139"/>
    <n v="88"/>
    <s v="스테이포에버 2set"/>
    <s v="210207"/>
    <m/>
    <n v="5174400"/>
  </r>
  <r>
    <x v="303"/>
    <x v="6"/>
    <m/>
    <x v="1"/>
    <x v="0"/>
    <x v="140"/>
    <n v="8"/>
    <s v="이그나이트 + 스테이포에버"/>
    <s v="210207"/>
    <m/>
    <n v="470400"/>
  </r>
  <r>
    <x v="303"/>
    <x v="6"/>
    <m/>
    <x v="0"/>
    <x v="0"/>
    <x v="0"/>
    <n v="8"/>
    <s v="쇼핑백"/>
    <s v="210207"/>
    <m/>
    <n v="16000"/>
  </r>
  <r>
    <x v="303"/>
    <x v="6"/>
    <m/>
    <x v="1"/>
    <x v="0"/>
    <x v="141"/>
    <n v="1"/>
    <s v="이그나이트"/>
    <s v="210207"/>
    <m/>
    <n v="34000"/>
  </r>
  <r>
    <x v="303"/>
    <x v="6"/>
    <m/>
    <x v="1"/>
    <x v="0"/>
    <x v="142"/>
    <n v="1"/>
    <s v="이그나이트 2set"/>
    <s v="210207"/>
    <m/>
    <n v="58800"/>
  </r>
  <r>
    <x v="303"/>
    <x v="6"/>
    <m/>
    <x v="0"/>
    <x v="0"/>
    <x v="143"/>
    <n v="1"/>
    <s v="쇼핑백"/>
    <s v="210207"/>
    <m/>
    <n v="2000"/>
  </r>
  <r>
    <x v="303"/>
    <x v="6"/>
    <m/>
    <x v="1"/>
    <x v="0"/>
    <x v="163"/>
    <n v="1"/>
    <s v="스테이포에버 2set"/>
    <s v="210207"/>
    <m/>
    <n v="58800"/>
  </r>
  <r>
    <x v="303"/>
    <x v="6"/>
    <m/>
    <x v="1"/>
    <x v="0"/>
    <x v="164"/>
    <n v="1"/>
    <s v="이그나이트 + 스테이포에버"/>
    <s v="210207"/>
    <m/>
    <n v="58800"/>
  </r>
  <r>
    <x v="303"/>
    <x v="6"/>
    <s v="네이버 배너"/>
    <x v="1"/>
    <x v="1"/>
    <x v="1"/>
    <m/>
    <m/>
    <m/>
    <n v="271005.4545454545"/>
    <m/>
  </r>
  <r>
    <x v="303"/>
    <x v="6"/>
    <s v="네이버 배너"/>
    <x v="1"/>
    <x v="1"/>
    <x v="1"/>
    <m/>
    <m/>
    <m/>
    <n v="1121365.454545454"/>
    <m/>
  </r>
  <r>
    <x v="303"/>
    <x v="6"/>
    <s v="네이버 배너(대행사)"/>
    <x v="1"/>
    <x v="1"/>
    <x v="1"/>
    <m/>
    <m/>
    <m/>
    <n v="198839.0909090909"/>
    <m/>
  </r>
  <r>
    <x v="304"/>
    <x v="0"/>
    <s v="페이스북/인스타그램"/>
    <x v="1"/>
    <x v="1"/>
    <x v="1"/>
    <m/>
    <m/>
    <m/>
    <n v="29682"/>
    <m/>
  </r>
  <r>
    <x v="304"/>
    <x v="0"/>
    <s v="페이스북/인스타그램"/>
    <x v="1"/>
    <x v="1"/>
    <x v="1"/>
    <m/>
    <m/>
    <m/>
    <n v="69778"/>
    <m/>
  </r>
  <r>
    <x v="304"/>
    <x v="0"/>
    <s v="페이스북/인스타그램"/>
    <x v="1"/>
    <x v="1"/>
    <x v="1"/>
    <m/>
    <m/>
    <m/>
    <n v="29072"/>
    <m/>
  </r>
  <r>
    <x v="304"/>
    <x v="0"/>
    <s v="페이스북/인스타그램"/>
    <x v="1"/>
    <x v="1"/>
    <x v="1"/>
    <m/>
    <m/>
    <m/>
    <n v="58715"/>
    <m/>
  </r>
  <r>
    <x v="304"/>
    <x v="0"/>
    <s v="페이스북/인스타그램"/>
    <x v="1"/>
    <x v="1"/>
    <x v="1"/>
    <m/>
    <m/>
    <m/>
    <n v="138155"/>
    <m/>
  </r>
  <r>
    <x v="304"/>
    <x v="0"/>
    <s v="페이스북/인스타그램"/>
    <x v="1"/>
    <x v="1"/>
    <x v="1"/>
    <m/>
    <m/>
    <m/>
    <n v="67909"/>
    <m/>
  </r>
  <r>
    <x v="304"/>
    <x v="0"/>
    <s v="페이스북/인스타그램"/>
    <x v="1"/>
    <x v="1"/>
    <x v="1"/>
    <m/>
    <m/>
    <m/>
    <n v="97733"/>
    <m/>
  </r>
  <r>
    <x v="304"/>
    <x v="0"/>
    <s v="페이스북/인스타그램"/>
    <x v="1"/>
    <x v="1"/>
    <x v="1"/>
    <m/>
    <m/>
    <m/>
    <n v="107309"/>
    <m/>
  </r>
  <r>
    <x v="304"/>
    <x v="0"/>
    <s v="페이스북/인스타그램"/>
    <x v="1"/>
    <x v="1"/>
    <x v="1"/>
    <m/>
    <m/>
    <m/>
    <n v="206336"/>
    <m/>
  </r>
  <r>
    <x v="304"/>
    <x v="0"/>
    <s v="페이스북/인스타그램"/>
    <x v="1"/>
    <x v="1"/>
    <x v="1"/>
    <m/>
    <m/>
    <m/>
    <n v="147019"/>
    <m/>
  </r>
  <r>
    <x v="304"/>
    <x v="0"/>
    <s v="페이스북/인스타그램"/>
    <x v="1"/>
    <x v="1"/>
    <x v="1"/>
    <m/>
    <m/>
    <m/>
    <n v="49091"/>
    <m/>
  </r>
  <r>
    <x v="304"/>
    <x v="0"/>
    <s v="페이스북/인스타그램"/>
    <x v="1"/>
    <x v="1"/>
    <x v="1"/>
    <m/>
    <m/>
    <m/>
    <n v="48960"/>
    <m/>
  </r>
  <r>
    <x v="304"/>
    <x v="0"/>
    <s v="페이스북/인스타그램"/>
    <x v="1"/>
    <x v="1"/>
    <x v="1"/>
    <m/>
    <m/>
    <m/>
    <n v="29181"/>
    <m/>
  </r>
  <r>
    <x v="304"/>
    <x v="0"/>
    <s v="페이스북/인스타그램"/>
    <x v="1"/>
    <x v="1"/>
    <x v="1"/>
    <m/>
    <m/>
    <m/>
    <n v="48688"/>
    <m/>
  </r>
  <r>
    <x v="304"/>
    <x v="0"/>
    <s v="페이스북/인스타그램"/>
    <x v="1"/>
    <x v="1"/>
    <x v="1"/>
    <m/>
    <m/>
    <m/>
    <n v="98137"/>
    <m/>
  </r>
  <r>
    <x v="304"/>
    <x v="0"/>
    <s v="페이스북/인스타그램"/>
    <x v="1"/>
    <x v="1"/>
    <x v="1"/>
    <m/>
    <m/>
    <m/>
    <n v="99369"/>
    <m/>
  </r>
  <r>
    <x v="304"/>
    <x v="0"/>
    <s v="페이스북/인스타그램"/>
    <x v="1"/>
    <x v="1"/>
    <x v="1"/>
    <m/>
    <m/>
    <m/>
    <n v="97388"/>
    <m/>
  </r>
  <r>
    <x v="304"/>
    <x v="0"/>
    <s v="페이스북/인스타그램"/>
    <x v="1"/>
    <x v="1"/>
    <x v="1"/>
    <m/>
    <m/>
    <m/>
    <n v="147403"/>
    <m/>
  </r>
  <r>
    <x v="304"/>
    <x v="0"/>
    <s v="페이스북/인스타그램"/>
    <x v="1"/>
    <x v="1"/>
    <x v="1"/>
    <m/>
    <m/>
    <m/>
    <n v="49131"/>
    <m/>
  </r>
  <r>
    <x v="304"/>
    <x v="0"/>
    <s v="페이스북/인스타그램"/>
    <x v="1"/>
    <x v="1"/>
    <x v="1"/>
    <m/>
    <m/>
    <m/>
    <n v="73936"/>
    <m/>
  </r>
  <r>
    <x v="304"/>
    <x v="0"/>
    <s v="유튜브 광고"/>
    <x v="1"/>
    <x v="1"/>
    <x v="1"/>
    <m/>
    <m/>
    <m/>
    <n v="29158"/>
    <m/>
  </r>
  <r>
    <x v="304"/>
    <x v="0"/>
    <s v="유튜브 광고"/>
    <x v="1"/>
    <x v="1"/>
    <x v="1"/>
    <m/>
    <m/>
    <m/>
    <n v="52047"/>
    <m/>
  </r>
  <r>
    <x v="304"/>
    <x v="0"/>
    <s v="유튜브 광고"/>
    <x v="1"/>
    <x v="1"/>
    <x v="1"/>
    <m/>
    <m/>
    <m/>
    <n v="492578"/>
    <m/>
  </r>
  <r>
    <x v="304"/>
    <x v="0"/>
    <s v="유튜브 광고"/>
    <x v="1"/>
    <x v="1"/>
    <x v="1"/>
    <m/>
    <m/>
    <m/>
    <n v="900141"/>
    <m/>
  </r>
  <r>
    <x v="304"/>
    <x v="0"/>
    <s v="유튜브 광고"/>
    <x v="1"/>
    <x v="1"/>
    <x v="1"/>
    <m/>
    <m/>
    <m/>
    <n v="499698"/>
    <m/>
  </r>
  <r>
    <x v="304"/>
    <x v="0"/>
    <s v="유튜브 광고"/>
    <x v="1"/>
    <x v="1"/>
    <x v="1"/>
    <m/>
    <m/>
    <m/>
    <n v="29251"/>
    <m/>
  </r>
  <r>
    <x v="304"/>
    <x v="0"/>
    <s v="유튜브 광고"/>
    <x v="1"/>
    <x v="1"/>
    <x v="1"/>
    <m/>
    <m/>
    <m/>
    <n v="175467"/>
    <m/>
  </r>
  <r>
    <x v="304"/>
    <x v="0"/>
    <s v="유튜브 광고"/>
    <x v="1"/>
    <x v="1"/>
    <x v="1"/>
    <m/>
    <m/>
    <m/>
    <n v="97741"/>
    <m/>
  </r>
  <r>
    <x v="304"/>
    <x v="0"/>
    <s v="유튜브 광고"/>
    <x v="1"/>
    <x v="1"/>
    <x v="1"/>
    <m/>
    <m/>
    <m/>
    <n v="97101"/>
    <m/>
  </r>
  <r>
    <x v="304"/>
    <x v="0"/>
    <s v="유튜브 광고"/>
    <x v="1"/>
    <x v="1"/>
    <x v="1"/>
    <m/>
    <m/>
    <m/>
    <n v="99461"/>
    <m/>
  </r>
  <r>
    <x v="304"/>
    <x v="0"/>
    <s v="네이버 쇼핑검색"/>
    <x v="1"/>
    <x v="1"/>
    <x v="1"/>
    <m/>
    <m/>
    <m/>
    <n v="31570"/>
    <m/>
  </r>
  <r>
    <x v="304"/>
    <x v="0"/>
    <s v="네이버 쇼핑검색"/>
    <x v="1"/>
    <x v="1"/>
    <x v="1"/>
    <m/>
    <m/>
    <m/>
    <n v="2670"/>
    <m/>
  </r>
  <r>
    <x v="304"/>
    <x v="0"/>
    <s v="네이버 쇼핑검색"/>
    <x v="1"/>
    <x v="1"/>
    <x v="1"/>
    <m/>
    <m/>
    <m/>
    <n v="102050"/>
    <m/>
  </r>
  <r>
    <x v="304"/>
    <x v="0"/>
    <s v="네이버 브랜드검색"/>
    <x v="3"/>
    <x v="1"/>
    <x v="1"/>
    <m/>
    <m/>
    <m/>
    <n v="0"/>
    <m/>
  </r>
  <r>
    <x v="304"/>
    <x v="0"/>
    <s v="네이버 브랜드검색"/>
    <x v="3"/>
    <x v="1"/>
    <x v="1"/>
    <m/>
    <m/>
    <m/>
    <n v="0"/>
    <m/>
  </r>
  <r>
    <x v="304"/>
    <x v="0"/>
    <s v="카카오 배너"/>
    <x v="1"/>
    <x v="1"/>
    <x v="1"/>
    <m/>
    <m/>
    <m/>
    <n v="182210"/>
    <m/>
  </r>
  <r>
    <x v="304"/>
    <x v="0"/>
    <s v="카카오 배너"/>
    <x v="1"/>
    <x v="1"/>
    <x v="1"/>
    <m/>
    <m/>
    <m/>
    <n v="958089.9999999999"/>
    <m/>
  </r>
  <r>
    <x v="304"/>
    <x v="0"/>
    <m/>
    <x v="1"/>
    <x v="4"/>
    <x v="158"/>
    <n v="1"/>
    <s v="이그나이트"/>
    <s v="210207"/>
    <m/>
    <n v="34000"/>
  </r>
  <r>
    <x v="304"/>
    <x v="0"/>
    <m/>
    <x v="1"/>
    <x v="4"/>
    <x v="155"/>
    <n v="8"/>
    <s v="스테이포에버"/>
    <s v="210207"/>
    <m/>
    <n v="272000"/>
  </r>
  <r>
    <x v="304"/>
    <x v="0"/>
    <m/>
    <x v="1"/>
    <x v="4"/>
    <x v="157"/>
    <n v="1"/>
    <s v="이그나이트 + 스테이포에버"/>
    <s v="210207"/>
    <m/>
    <n v="58800"/>
  </r>
  <r>
    <x v="304"/>
    <x v="0"/>
    <m/>
    <x v="1"/>
    <x v="3"/>
    <x v="153"/>
    <n v="1"/>
    <s v="스테이포에버"/>
    <s v="210207"/>
    <m/>
    <n v="34000"/>
  </r>
  <r>
    <x v="304"/>
    <x v="0"/>
    <m/>
    <x v="1"/>
    <x v="3"/>
    <x v="150"/>
    <n v="4"/>
    <s v="이그나이트 + 스테이포에버"/>
    <s v="210207"/>
    <m/>
    <n v="235200"/>
  </r>
  <r>
    <x v="304"/>
    <x v="0"/>
    <m/>
    <x v="1"/>
    <x v="3"/>
    <x v="151"/>
    <n v="4"/>
    <s v="스테이포에버 2set"/>
    <s v="210207"/>
    <m/>
    <n v="235200"/>
  </r>
  <r>
    <x v="304"/>
    <x v="0"/>
    <m/>
    <x v="1"/>
    <x v="3"/>
    <x v="152"/>
    <n v="23"/>
    <s v="스테이포에버"/>
    <s v="210207"/>
    <m/>
    <n v="782000"/>
  </r>
  <r>
    <x v="304"/>
    <x v="0"/>
    <m/>
    <x v="1"/>
    <x v="2"/>
    <x v="41"/>
    <n v="42"/>
    <s v="스테이포에버"/>
    <s v="210207"/>
    <m/>
    <n v="0"/>
  </r>
  <r>
    <x v="304"/>
    <x v="0"/>
    <m/>
    <x v="1"/>
    <x v="0"/>
    <x v="135"/>
    <n v="8"/>
    <s v="스테이포에버"/>
    <s v="210207"/>
    <m/>
    <n v="272000"/>
  </r>
  <r>
    <x v="304"/>
    <x v="0"/>
    <m/>
    <x v="1"/>
    <x v="0"/>
    <x v="136"/>
    <n v="7"/>
    <s v="스테이포에버 2set"/>
    <s v="210207"/>
    <m/>
    <n v="411600"/>
  </r>
  <r>
    <x v="304"/>
    <x v="0"/>
    <m/>
    <x v="1"/>
    <x v="0"/>
    <x v="137"/>
    <n v="8"/>
    <s v="이그나이트 + 스테이포에버"/>
    <s v="210207"/>
    <m/>
    <n v="470400"/>
  </r>
  <r>
    <x v="304"/>
    <x v="0"/>
    <m/>
    <x v="1"/>
    <x v="0"/>
    <x v="144"/>
    <n v="1"/>
    <s v="이그나이트 + 스테이포에버"/>
    <s v="210207"/>
    <m/>
    <n v="58800"/>
  </r>
  <r>
    <x v="304"/>
    <x v="0"/>
    <m/>
    <x v="1"/>
    <x v="0"/>
    <x v="138"/>
    <n v="169"/>
    <s v="스테이포에버"/>
    <s v="210207"/>
    <m/>
    <n v="5746000"/>
  </r>
  <r>
    <x v="304"/>
    <x v="0"/>
    <m/>
    <x v="1"/>
    <x v="0"/>
    <x v="139"/>
    <n v="94"/>
    <s v="스테이포에버 2set"/>
    <s v="210207"/>
    <m/>
    <n v="5527200"/>
  </r>
  <r>
    <x v="304"/>
    <x v="0"/>
    <m/>
    <x v="1"/>
    <x v="0"/>
    <x v="140"/>
    <n v="9"/>
    <s v="이그나이트 + 스테이포에버"/>
    <s v="210207"/>
    <m/>
    <n v="529200"/>
  </r>
  <r>
    <x v="304"/>
    <x v="0"/>
    <m/>
    <x v="0"/>
    <x v="0"/>
    <x v="0"/>
    <n v="4"/>
    <s v="쇼핑백"/>
    <s v="210207"/>
    <m/>
    <n v="8000"/>
  </r>
  <r>
    <x v="304"/>
    <x v="0"/>
    <m/>
    <x v="1"/>
    <x v="0"/>
    <x v="141"/>
    <n v="1"/>
    <s v="이그나이트"/>
    <s v="210207"/>
    <m/>
    <n v="34000"/>
  </r>
  <r>
    <x v="304"/>
    <x v="0"/>
    <m/>
    <x v="1"/>
    <x v="0"/>
    <x v="142"/>
    <n v="2"/>
    <s v="이그나이트 2set"/>
    <s v="210207"/>
    <m/>
    <n v="117600"/>
  </r>
  <r>
    <x v="304"/>
    <x v="0"/>
    <m/>
    <x v="1"/>
    <x v="0"/>
    <x v="162"/>
    <n v="2"/>
    <s v="스테이포에버"/>
    <s v="210207"/>
    <m/>
    <n v="68000"/>
  </r>
  <r>
    <x v="304"/>
    <x v="0"/>
    <m/>
    <x v="1"/>
    <x v="0"/>
    <x v="163"/>
    <n v="2"/>
    <s v="스테이포에버 2set"/>
    <s v="210207"/>
    <m/>
    <n v="117600"/>
  </r>
  <r>
    <x v="304"/>
    <x v="0"/>
    <s v="네이버 배너"/>
    <x v="1"/>
    <x v="1"/>
    <x v="1"/>
    <m/>
    <m/>
    <m/>
    <n v="269887.2727272727"/>
    <m/>
  </r>
  <r>
    <x v="304"/>
    <x v="0"/>
    <s v="네이버 배너"/>
    <x v="1"/>
    <x v="1"/>
    <x v="1"/>
    <m/>
    <m/>
    <m/>
    <n v="1242486.363636364"/>
    <m/>
  </r>
  <r>
    <x v="305"/>
    <x v="3"/>
    <s v="페이스북/인스타그램"/>
    <x v="1"/>
    <x v="1"/>
    <x v="1"/>
    <m/>
    <m/>
    <m/>
    <n v="30243"/>
    <m/>
  </r>
  <r>
    <x v="305"/>
    <x v="3"/>
    <s v="페이스북/인스타그램"/>
    <x v="1"/>
    <x v="1"/>
    <x v="1"/>
    <m/>
    <m/>
    <m/>
    <n v="57704"/>
    <m/>
  </r>
  <r>
    <x v="305"/>
    <x v="3"/>
    <s v="페이스북/인스타그램"/>
    <x v="1"/>
    <x v="1"/>
    <x v="1"/>
    <m/>
    <m/>
    <m/>
    <n v="30043"/>
    <m/>
  </r>
  <r>
    <x v="305"/>
    <x v="3"/>
    <s v="페이스북/인스타그램"/>
    <x v="1"/>
    <x v="1"/>
    <x v="1"/>
    <m/>
    <m/>
    <m/>
    <n v="60404"/>
    <m/>
  </r>
  <r>
    <x v="305"/>
    <x v="3"/>
    <s v="페이스북/인스타그램"/>
    <x v="1"/>
    <x v="1"/>
    <x v="1"/>
    <m/>
    <m/>
    <m/>
    <n v="149060"/>
    <m/>
  </r>
  <r>
    <x v="305"/>
    <x v="3"/>
    <s v="페이스북/인스타그램"/>
    <x v="1"/>
    <x v="1"/>
    <x v="1"/>
    <m/>
    <m/>
    <m/>
    <n v="75319"/>
    <m/>
  </r>
  <r>
    <x v="305"/>
    <x v="3"/>
    <s v="페이스북/인스타그램"/>
    <x v="1"/>
    <x v="1"/>
    <x v="1"/>
    <m/>
    <m/>
    <m/>
    <n v="101098"/>
    <m/>
  </r>
  <r>
    <x v="305"/>
    <x v="3"/>
    <s v="페이스북/인스타그램"/>
    <x v="1"/>
    <x v="1"/>
    <x v="1"/>
    <m/>
    <m/>
    <m/>
    <n v="111310"/>
    <m/>
  </r>
  <r>
    <x v="305"/>
    <x v="3"/>
    <s v="페이스북/인스타그램"/>
    <x v="1"/>
    <x v="1"/>
    <x v="1"/>
    <m/>
    <m/>
    <m/>
    <n v="213019"/>
    <m/>
  </r>
  <r>
    <x v="305"/>
    <x v="3"/>
    <s v="페이스북/인스타그램"/>
    <x v="1"/>
    <x v="1"/>
    <x v="1"/>
    <m/>
    <m/>
    <m/>
    <n v="150664"/>
    <m/>
  </r>
  <r>
    <x v="305"/>
    <x v="3"/>
    <s v="페이스북/인스타그램"/>
    <x v="1"/>
    <x v="1"/>
    <x v="1"/>
    <m/>
    <m/>
    <m/>
    <n v="50426"/>
    <m/>
  </r>
  <r>
    <x v="305"/>
    <x v="3"/>
    <s v="페이스북/인스타그램"/>
    <x v="1"/>
    <x v="1"/>
    <x v="1"/>
    <m/>
    <m/>
    <m/>
    <n v="49852"/>
    <m/>
  </r>
  <r>
    <x v="305"/>
    <x v="3"/>
    <s v="페이스북/인스타그램"/>
    <x v="1"/>
    <x v="1"/>
    <x v="1"/>
    <m/>
    <m/>
    <m/>
    <n v="30564"/>
    <m/>
  </r>
  <r>
    <x v="305"/>
    <x v="3"/>
    <s v="페이스북/인스타그램"/>
    <x v="1"/>
    <x v="1"/>
    <x v="1"/>
    <m/>
    <m/>
    <m/>
    <n v="50477"/>
    <m/>
  </r>
  <r>
    <x v="305"/>
    <x v="3"/>
    <s v="페이스북/인스타그램"/>
    <x v="1"/>
    <x v="1"/>
    <x v="1"/>
    <m/>
    <m/>
    <m/>
    <n v="100837"/>
    <m/>
  </r>
  <r>
    <x v="305"/>
    <x v="3"/>
    <s v="페이스북/인스타그램"/>
    <x v="1"/>
    <x v="1"/>
    <x v="1"/>
    <m/>
    <m/>
    <m/>
    <n v="99991"/>
    <m/>
  </r>
  <r>
    <x v="305"/>
    <x v="3"/>
    <s v="페이스북/인스타그램"/>
    <x v="1"/>
    <x v="1"/>
    <x v="1"/>
    <m/>
    <m/>
    <m/>
    <n v="100882"/>
    <m/>
  </r>
  <r>
    <x v="305"/>
    <x v="3"/>
    <s v="페이스북/인스타그램"/>
    <x v="1"/>
    <x v="1"/>
    <x v="1"/>
    <m/>
    <m/>
    <m/>
    <n v="151655"/>
    <m/>
  </r>
  <r>
    <x v="305"/>
    <x v="3"/>
    <s v="페이스북/인스타그램"/>
    <x v="1"/>
    <x v="1"/>
    <x v="1"/>
    <m/>
    <m/>
    <m/>
    <n v="50743"/>
    <m/>
  </r>
  <r>
    <x v="305"/>
    <x v="3"/>
    <s v="페이스북/인스타그램"/>
    <x v="1"/>
    <x v="1"/>
    <x v="1"/>
    <m/>
    <m/>
    <m/>
    <n v="75856"/>
    <m/>
  </r>
  <r>
    <x v="305"/>
    <x v="3"/>
    <s v="유튜브 광고"/>
    <x v="1"/>
    <x v="1"/>
    <x v="1"/>
    <m/>
    <m/>
    <m/>
    <n v="22117"/>
    <m/>
  </r>
  <r>
    <x v="305"/>
    <x v="3"/>
    <s v="유튜브 광고"/>
    <x v="1"/>
    <x v="1"/>
    <x v="1"/>
    <m/>
    <m/>
    <m/>
    <n v="47214"/>
    <m/>
  </r>
  <r>
    <x v="305"/>
    <x v="3"/>
    <s v="유튜브 광고"/>
    <x v="1"/>
    <x v="1"/>
    <x v="1"/>
    <m/>
    <m/>
    <m/>
    <n v="301694"/>
    <m/>
  </r>
  <r>
    <x v="305"/>
    <x v="3"/>
    <s v="유튜브 광고"/>
    <x v="1"/>
    <x v="1"/>
    <x v="1"/>
    <m/>
    <m/>
    <m/>
    <n v="499951"/>
    <m/>
  </r>
  <r>
    <x v="305"/>
    <x v="3"/>
    <s v="유튜브 광고"/>
    <x v="1"/>
    <x v="1"/>
    <x v="1"/>
    <m/>
    <m/>
    <m/>
    <n v="300659"/>
    <m/>
  </r>
  <r>
    <x v="305"/>
    <x v="3"/>
    <s v="유튜브 광고"/>
    <x v="1"/>
    <x v="1"/>
    <x v="1"/>
    <m/>
    <m/>
    <m/>
    <n v="13802"/>
    <m/>
  </r>
  <r>
    <x v="305"/>
    <x v="3"/>
    <s v="유튜브 광고"/>
    <x v="1"/>
    <x v="1"/>
    <x v="1"/>
    <m/>
    <m/>
    <m/>
    <n v="105135"/>
    <m/>
  </r>
  <r>
    <x v="305"/>
    <x v="3"/>
    <s v="유튜브 광고"/>
    <x v="1"/>
    <x v="1"/>
    <x v="1"/>
    <m/>
    <m/>
    <m/>
    <n v="83353"/>
    <m/>
  </r>
  <r>
    <x v="305"/>
    <x v="3"/>
    <s v="유튜브 광고"/>
    <x v="1"/>
    <x v="1"/>
    <x v="1"/>
    <m/>
    <m/>
    <m/>
    <n v="199970"/>
    <m/>
  </r>
  <r>
    <x v="305"/>
    <x v="3"/>
    <s v="유튜브 광고"/>
    <x v="1"/>
    <x v="1"/>
    <x v="1"/>
    <m/>
    <m/>
    <m/>
    <n v="99566"/>
    <m/>
  </r>
  <r>
    <x v="305"/>
    <x v="3"/>
    <s v="유튜브 광고"/>
    <x v="1"/>
    <x v="1"/>
    <x v="1"/>
    <m/>
    <m/>
    <m/>
    <n v="100915"/>
    <m/>
  </r>
  <r>
    <x v="305"/>
    <x v="3"/>
    <s v="유튜브 광고"/>
    <x v="1"/>
    <x v="1"/>
    <x v="1"/>
    <m/>
    <m/>
    <m/>
    <n v="100135"/>
    <m/>
  </r>
  <r>
    <x v="305"/>
    <x v="3"/>
    <s v="유튜브 광고"/>
    <x v="1"/>
    <x v="1"/>
    <x v="1"/>
    <m/>
    <m/>
    <m/>
    <n v="100034"/>
    <m/>
  </r>
  <r>
    <x v="305"/>
    <x v="3"/>
    <s v="유튜브 광고"/>
    <x v="1"/>
    <x v="1"/>
    <x v="1"/>
    <m/>
    <m/>
    <m/>
    <n v="100110"/>
    <m/>
  </r>
  <r>
    <x v="305"/>
    <x v="3"/>
    <s v="유튜브 광고"/>
    <x v="1"/>
    <x v="1"/>
    <x v="1"/>
    <m/>
    <m/>
    <m/>
    <n v="100123"/>
    <m/>
  </r>
  <r>
    <x v="305"/>
    <x v="3"/>
    <s v="네이버 쇼핑검색"/>
    <x v="1"/>
    <x v="1"/>
    <x v="1"/>
    <m/>
    <m/>
    <m/>
    <n v="38680"/>
    <m/>
  </r>
  <r>
    <x v="305"/>
    <x v="3"/>
    <s v="네이버 쇼핑검색"/>
    <x v="1"/>
    <x v="1"/>
    <x v="1"/>
    <m/>
    <m/>
    <m/>
    <n v="230"/>
    <m/>
  </r>
  <r>
    <x v="305"/>
    <x v="3"/>
    <s v="네이버 쇼핑검색"/>
    <x v="1"/>
    <x v="1"/>
    <x v="1"/>
    <m/>
    <m/>
    <m/>
    <n v="98589.99999999999"/>
    <m/>
  </r>
  <r>
    <x v="305"/>
    <x v="3"/>
    <s v="네이버 브랜드검색"/>
    <x v="3"/>
    <x v="1"/>
    <x v="1"/>
    <m/>
    <m/>
    <m/>
    <n v="140000"/>
    <m/>
  </r>
  <r>
    <x v="305"/>
    <x v="3"/>
    <s v="네이버 브랜드검색"/>
    <x v="3"/>
    <x v="1"/>
    <x v="1"/>
    <m/>
    <m/>
    <m/>
    <n v="16700"/>
    <m/>
  </r>
  <r>
    <x v="305"/>
    <x v="3"/>
    <s v="카카오 배너"/>
    <x v="1"/>
    <x v="1"/>
    <x v="1"/>
    <m/>
    <m/>
    <m/>
    <n v="181970"/>
    <m/>
  </r>
  <r>
    <x v="305"/>
    <x v="3"/>
    <s v="카카오 배너"/>
    <x v="1"/>
    <x v="1"/>
    <x v="1"/>
    <m/>
    <m/>
    <m/>
    <n v="917369.9999999999"/>
    <m/>
  </r>
  <r>
    <x v="305"/>
    <x v="3"/>
    <m/>
    <x v="1"/>
    <x v="4"/>
    <x v="155"/>
    <n v="6"/>
    <s v="스테이포에버"/>
    <s v="210207"/>
    <m/>
    <n v="204000"/>
  </r>
  <r>
    <x v="305"/>
    <x v="3"/>
    <m/>
    <x v="1"/>
    <x v="3"/>
    <x v="153"/>
    <n v="1"/>
    <s v="스테이포에버"/>
    <s v="210207"/>
    <m/>
    <n v="34000"/>
  </r>
  <r>
    <x v="305"/>
    <x v="3"/>
    <m/>
    <x v="1"/>
    <x v="3"/>
    <x v="150"/>
    <n v="2"/>
    <s v="이그나이트 + 스테이포에버"/>
    <s v="210207"/>
    <m/>
    <n v="117600"/>
  </r>
  <r>
    <x v="305"/>
    <x v="3"/>
    <m/>
    <x v="1"/>
    <x v="3"/>
    <x v="151"/>
    <n v="3"/>
    <s v="스테이포에버 2set"/>
    <s v="210207"/>
    <m/>
    <n v="176400"/>
  </r>
  <r>
    <x v="305"/>
    <x v="3"/>
    <m/>
    <x v="1"/>
    <x v="3"/>
    <x v="152"/>
    <n v="23"/>
    <s v="스테이포에버"/>
    <s v="210207"/>
    <m/>
    <n v="782000"/>
  </r>
  <r>
    <x v="305"/>
    <x v="3"/>
    <m/>
    <x v="1"/>
    <x v="0"/>
    <x v="134"/>
    <n v="1"/>
    <s v="이그나이트"/>
    <s v="210207"/>
    <m/>
    <n v="34000"/>
  </r>
  <r>
    <x v="305"/>
    <x v="3"/>
    <m/>
    <x v="1"/>
    <x v="0"/>
    <x v="135"/>
    <n v="3"/>
    <s v="스테이포에버"/>
    <s v="210207"/>
    <m/>
    <n v="102000"/>
  </r>
  <r>
    <x v="305"/>
    <x v="3"/>
    <m/>
    <x v="1"/>
    <x v="0"/>
    <x v="136"/>
    <n v="7"/>
    <s v="스테이포에버 2set"/>
    <s v="210207"/>
    <m/>
    <n v="411600"/>
  </r>
  <r>
    <x v="305"/>
    <x v="3"/>
    <m/>
    <x v="1"/>
    <x v="0"/>
    <x v="137"/>
    <n v="6"/>
    <s v="이그나이트 + 스테이포에버"/>
    <s v="210207"/>
    <m/>
    <n v="352800"/>
  </r>
  <r>
    <x v="305"/>
    <x v="3"/>
    <m/>
    <x v="1"/>
    <x v="0"/>
    <x v="144"/>
    <n v="4"/>
    <s v="이그나이트 + 스테이포에버"/>
    <s v="210207"/>
    <m/>
    <n v="235200"/>
  </r>
  <r>
    <x v="305"/>
    <x v="3"/>
    <m/>
    <x v="1"/>
    <x v="0"/>
    <x v="138"/>
    <n v="148"/>
    <s v="스테이포에버"/>
    <s v="210207"/>
    <m/>
    <n v="5032000"/>
  </r>
  <r>
    <x v="305"/>
    <x v="3"/>
    <m/>
    <x v="1"/>
    <x v="0"/>
    <x v="139"/>
    <n v="68"/>
    <s v="스테이포에버 2set"/>
    <s v="210207"/>
    <m/>
    <n v="3998400"/>
  </r>
  <r>
    <x v="305"/>
    <x v="3"/>
    <m/>
    <x v="1"/>
    <x v="0"/>
    <x v="140"/>
    <n v="14"/>
    <s v="이그나이트 + 스테이포에버"/>
    <s v="210207"/>
    <m/>
    <n v="823200"/>
  </r>
  <r>
    <x v="305"/>
    <x v="3"/>
    <m/>
    <x v="0"/>
    <x v="0"/>
    <x v="0"/>
    <n v="5"/>
    <s v="쇼핑백"/>
    <s v="210207"/>
    <m/>
    <n v="10000"/>
  </r>
  <r>
    <x v="305"/>
    <x v="3"/>
    <m/>
    <x v="1"/>
    <x v="0"/>
    <x v="141"/>
    <n v="2"/>
    <s v="이그나이트"/>
    <s v="210207"/>
    <m/>
    <n v="68000"/>
  </r>
  <r>
    <x v="305"/>
    <x v="3"/>
    <m/>
    <x v="1"/>
    <x v="0"/>
    <x v="142"/>
    <n v="1"/>
    <s v="이그나이트 2set"/>
    <s v="210207"/>
    <m/>
    <n v="58800"/>
  </r>
  <r>
    <x v="305"/>
    <x v="3"/>
    <m/>
    <x v="1"/>
    <x v="0"/>
    <x v="164"/>
    <n v="1"/>
    <s v="이그나이트 + 스테이포에버"/>
    <s v="210207"/>
    <m/>
    <n v="58800"/>
  </r>
  <r>
    <x v="305"/>
    <x v="3"/>
    <m/>
    <x v="2"/>
    <x v="1"/>
    <x v="1"/>
    <m/>
    <m/>
    <m/>
    <m/>
    <m/>
  </r>
  <r>
    <x v="262"/>
    <x v="7"/>
    <m/>
    <x v="2"/>
    <x v="1"/>
    <x v="1"/>
    <m/>
    <m/>
    <m/>
    <m/>
    <m/>
  </r>
  <r>
    <x v="306"/>
    <x v="4"/>
    <s v="페이스북/인스타그램"/>
    <x v="1"/>
    <x v="1"/>
    <x v="1"/>
    <m/>
    <m/>
    <m/>
    <n v="29364"/>
    <m/>
  </r>
  <r>
    <x v="306"/>
    <x v="4"/>
    <s v="페이스북/인스타그램"/>
    <x v="1"/>
    <x v="1"/>
    <x v="1"/>
    <m/>
    <m/>
    <m/>
    <n v="60301"/>
    <m/>
  </r>
  <r>
    <x v="306"/>
    <x v="4"/>
    <s v="페이스북/인스타그램"/>
    <x v="1"/>
    <x v="1"/>
    <x v="1"/>
    <m/>
    <m/>
    <m/>
    <n v="30674"/>
    <m/>
  </r>
  <r>
    <x v="306"/>
    <x v="4"/>
    <s v="페이스북/인스타그램"/>
    <x v="1"/>
    <x v="1"/>
    <x v="1"/>
    <m/>
    <m/>
    <m/>
    <n v="60022"/>
    <m/>
  </r>
  <r>
    <x v="306"/>
    <x v="4"/>
    <s v="페이스북/인스타그램"/>
    <x v="1"/>
    <x v="1"/>
    <x v="1"/>
    <m/>
    <m/>
    <m/>
    <n v="162005"/>
    <m/>
  </r>
  <r>
    <x v="306"/>
    <x v="4"/>
    <s v="페이스북/인스타그램"/>
    <x v="1"/>
    <x v="1"/>
    <x v="1"/>
    <m/>
    <m/>
    <m/>
    <n v="50404"/>
    <m/>
  </r>
  <r>
    <x v="306"/>
    <x v="4"/>
    <s v="페이스북/인스타그램"/>
    <x v="1"/>
    <x v="1"/>
    <x v="1"/>
    <m/>
    <m/>
    <m/>
    <n v="100845"/>
    <m/>
  </r>
  <r>
    <x v="306"/>
    <x v="4"/>
    <s v="페이스북/인스타그램"/>
    <x v="1"/>
    <x v="1"/>
    <x v="1"/>
    <m/>
    <m/>
    <m/>
    <n v="110689"/>
    <m/>
  </r>
  <r>
    <x v="306"/>
    <x v="4"/>
    <s v="페이스북/인스타그램"/>
    <x v="1"/>
    <x v="1"/>
    <x v="1"/>
    <m/>
    <m/>
    <m/>
    <n v="211164"/>
    <m/>
  </r>
  <r>
    <x v="306"/>
    <x v="4"/>
    <s v="페이스북/인스타그램"/>
    <x v="1"/>
    <x v="1"/>
    <x v="1"/>
    <m/>
    <m/>
    <m/>
    <n v="169015"/>
    <m/>
  </r>
  <r>
    <x v="306"/>
    <x v="4"/>
    <s v="페이스북/인스타그램"/>
    <x v="1"/>
    <x v="1"/>
    <x v="1"/>
    <m/>
    <m/>
    <m/>
    <n v="49561"/>
    <m/>
  </r>
  <r>
    <x v="306"/>
    <x v="4"/>
    <s v="페이스북/인스타그램"/>
    <x v="1"/>
    <x v="1"/>
    <x v="1"/>
    <m/>
    <m/>
    <m/>
    <n v="79972"/>
    <m/>
  </r>
  <r>
    <x v="306"/>
    <x v="4"/>
    <s v="페이스북/인스타그램"/>
    <x v="1"/>
    <x v="1"/>
    <x v="1"/>
    <m/>
    <m/>
    <m/>
    <n v="8439"/>
    <m/>
  </r>
  <r>
    <x v="306"/>
    <x v="4"/>
    <s v="페이스북/인스타그램"/>
    <x v="1"/>
    <x v="1"/>
    <x v="1"/>
    <m/>
    <m/>
    <m/>
    <n v="49730"/>
    <m/>
  </r>
  <r>
    <x v="306"/>
    <x v="4"/>
    <s v="페이스북/인스타그램"/>
    <x v="1"/>
    <x v="1"/>
    <x v="1"/>
    <m/>
    <m/>
    <m/>
    <n v="100121"/>
    <m/>
  </r>
  <r>
    <x v="306"/>
    <x v="4"/>
    <s v="페이스북/인스타그램"/>
    <x v="1"/>
    <x v="1"/>
    <x v="1"/>
    <m/>
    <m/>
    <m/>
    <n v="99966"/>
    <m/>
  </r>
  <r>
    <x v="306"/>
    <x v="4"/>
    <s v="페이스북/인스타그램"/>
    <x v="1"/>
    <x v="1"/>
    <x v="1"/>
    <m/>
    <m/>
    <m/>
    <n v="99930"/>
    <m/>
  </r>
  <r>
    <x v="306"/>
    <x v="4"/>
    <s v="페이스북/인스타그램"/>
    <x v="1"/>
    <x v="1"/>
    <x v="1"/>
    <m/>
    <m/>
    <m/>
    <n v="151797"/>
    <m/>
  </r>
  <r>
    <x v="306"/>
    <x v="4"/>
    <s v="페이스북/인스타그램"/>
    <x v="1"/>
    <x v="1"/>
    <x v="1"/>
    <m/>
    <m/>
    <m/>
    <n v="50163"/>
    <m/>
  </r>
  <r>
    <x v="306"/>
    <x v="4"/>
    <s v="페이스북/인스타그램"/>
    <x v="1"/>
    <x v="1"/>
    <x v="1"/>
    <m/>
    <m/>
    <m/>
    <n v="75777"/>
    <m/>
  </r>
  <r>
    <x v="306"/>
    <x v="4"/>
    <s v="유튜브 광고"/>
    <x v="1"/>
    <x v="1"/>
    <x v="1"/>
    <m/>
    <m/>
    <m/>
    <n v="23090"/>
    <m/>
  </r>
  <r>
    <x v="306"/>
    <x v="4"/>
    <s v="유튜브 광고"/>
    <x v="1"/>
    <x v="1"/>
    <x v="1"/>
    <m/>
    <m/>
    <m/>
    <n v="35304"/>
    <m/>
  </r>
  <r>
    <x v="306"/>
    <x v="4"/>
    <s v="유튜브 광고"/>
    <x v="1"/>
    <x v="1"/>
    <x v="1"/>
    <m/>
    <m/>
    <m/>
    <n v="456081"/>
    <m/>
  </r>
  <r>
    <x v="306"/>
    <x v="4"/>
    <s v="유튜브 광고"/>
    <x v="1"/>
    <x v="1"/>
    <x v="1"/>
    <m/>
    <m/>
    <m/>
    <n v="511824"/>
    <m/>
  </r>
  <r>
    <x v="306"/>
    <x v="4"/>
    <s v="유튜브 광고"/>
    <x v="1"/>
    <x v="1"/>
    <x v="1"/>
    <m/>
    <m/>
    <m/>
    <n v="237837"/>
    <m/>
  </r>
  <r>
    <x v="306"/>
    <x v="4"/>
    <s v="유튜브 광고"/>
    <x v="1"/>
    <x v="1"/>
    <x v="1"/>
    <m/>
    <m/>
    <m/>
    <n v="4980"/>
    <m/>
  </r>
  <r>
    <x v="306"/>
    <x v="4"/>
    <s v="유튜브 광고"/>
    <x v="1"/>
    <x v="1"/>
    <x v="1"/>
    <m/>
    <m/>
    <m/>
    <n v="118548"/>
    <m/>
  </r>
  <r>
    <x v="306"/>
    <x v="4"/>
    <s v="유튜브 광고"/>
    <x v="1"/>
    <x v="1"/>
    <x v="1"/>
    <m/>
    <m/>
    <m/>
    <n v="110573"/>
    <m/>
  </r>
  <r>
    <x v="306"/>
    <x v="4"/>
    <s v="유튜브 광고"/>
    <x v="1"/>
    <x v="1"/>
    <x v="1"/>
    <m/>
    <m/>
    <m/>
    <n v="204707"/>
    <m/>
  </r>
  <r>
    <x v="306"/>
    <x v="4"/>
    <s v="유튜브 광고"/>
    <x v="1"/>
    <x v="1"/>
    <x v="1"/>
    <m/>
    <m/>
    <m/>
    <n v="102381"/>
    <m/>
  </r>
  <r>
    <x v="306"/>
    <x v="4"/>
    <s v="유튜브 광고"/>
    <x v="1"/>
    <x v="1"/>
    <x v="1"/>
    <m/>
    <m/>
    <m/>
    <n v="72426"/>
    <m/>
  </r>
  <r>
    <x v="306"/>
    <x v="4"/>
    <s v="유튜브 광고"/>
    <x v="1"/>
    <x v="1"/>
    <x v="1"/>
    <m/>
    <m/>
    <m/>
    <n v="102347"/>
    <m/>
  </r>
  <r>
    <x v="306"/>
    <x v="4"/>
    <s v="유튜브 광고"/>
    <x v="1"/>
    <x v="1"/>
    <x v="1"/>
    <m/>
    <m/>
    <m/>
    <n v="62645"/>
    <m/>
  </r>
  <r>
    <x v="306"/>
    <x v="4"/>
    <s v="유튜브 광고"/>
    <x v="1"/>
    <x v="1"/>
    <x v="1"/>
    <m/>
    <m/>
    <m/>
    <n v="102358"/>
    <m/>
  </r>
  <r>
    <x v="306"/>
    <x v="4"/>
    <s v="유튜브 광고"/>
    <x v="1"/>
    <x v="1"/>
    <x v="1"/>
    <m/>
    <m/>
    <m/>
    <n v="51775"/>
    <m/>
  </r>
  <r>
    <x v="306"/>
    <x v="4"/>
    <s v="네이버 쇼핑검색"/>
    <x v="1"/>
    <x v="1"/>
    <x v="1"/>
    <m/>
    <m/>
    <m/>
    <n v="20170"/>
    <m/>
  </r>
  <r>
    <x v="306"/>
    <x v="4"/>
    <s v="네이버 쇼핑검색"/>
    <x v="1"/>
    <x v="1"/>
    <x v="1"/>
    <m/>
    <m/>
    <m/>
    <n v="0"/>
    <m/>
  </r>
  <r>
    <x v="306"/>
    <x v="4"/>
    <s v="네이버 쇼핑검색"/>
    <x v="1"/>
    <x v="1"/>
    <x v="1"/>
    <m/>
    <m/>
    <m/>
    <n v="111990"/>
    <m/>
  </r>
  <r>
    <x v="306"/>
    <x v="4"/>
    <s v="네이버 브랜드검색"/>
    <x v="3"/>
    <x v="1"/>
    <x v="1"/>
    <m/>
    <m/>
    <m/>
    <n v="140000"/>
    <m/>
  </r>
  <r>
    <x v="306"/>
    <x v="4"/>
    <s v="네이버 브랜드검색"/>
    <x v="3"/>
    <x v="1"/>
    <x v="1"/>
    <m/>
    <m/>
    <m/>
    <n v="16700"/>
    <m/>
  </r>
  <r>
    <x v="306"/>
    <x v="4"/>
    <s v="카카오 배너"/>
    <x v="1"/>
    <x v="1"/>
    <x v="1"/>
    <m/>
    <m/>
    <m/>
    <n v="182040"/>
    <m/>
  </r>
  <r>
    <x v="306"/>
    <x v="4"/>
    <s v="카카오 배너"/>
    <x v="1"/>
    <x v="1"/>
    <x v="1"/>
    <m/>
    <m/>
    <m/>
    <n v="911469.9999999999"/>
    <m/>
  </r>
  <r>
    <x v="306"/>
    <x v="4"/>
    <m/>
    <x v="1"/>
    <x v="4"/>
    <x v="155"/>
    <n v="9"/>
    <s v="스테이포에버"/>
    <s v="210207"/>
    <m/>
    <n v="306000"/>
  </r>
  <r>
    <x v="306"/>
    <x v="4"/>
    <m/>
    <x v="1"/>
    <x v="3"/>
    <x v="150"/>
    <n v="3"/>
    <s v="이그나이트 + 스테이포에버"/>
    <s v="210207"/>
    <m/>
    <n v="176400"/>
  </r>
  <r>
    <x v="306"/>
    <x v="4"/>
    <m/>
    <x v="1"/>
    <x v="3"/>
    <x v="151"/>
    <n v="2"/>
    <s v="스테이포에버 2set"/>
    <s v="210207"/>
    <m/>
    <n v="117600"/>
  </r>
  <r>
    <x v="306"/>
    <x v="4"/>
    <m/>
    <x v="1"/>
    <x v="3"/>
    <x v="152"/>
    <n v="17"/>
    <s v="스테이포에버"/>
    <s v="210207"/>
    <m/>
    <n v="578000"/>
  </r>
  <r>
    <x v="306"/>
    <x v="4"/>
    <m/>
    <x v="1"/>
    <x v="0"/>
    <x v="134"/>
    <n v="2"/>
    <s v="이그나이트"/>
    <s v="210207"/>
    <m/>
    <n v="68000"/>
  </r>
  <r>
    <x v="306"/>
    <x v="4"/>
    <m/>
    <x v="1"/>
    <x v="0"/>
    <x v="135"/>
    <n v="8"/>
    <s v="스테이포에버"/>
    <s v="210207"/>
    <m/>
    <n v="272000"/>
  </r>
  <r>
    <x v="306"/>
    <x v="4"/>
    <m/>
    <x v="1"/>
    <x v="0"/>
    <x v="136"/>
    <n v="7"/>
    <s v="스테이포에버 2set"/>
    <s v="210207"/>
    <m/>
    <n v="411600"/>
  </r>
  <r>
    <x v="306"/>
    <x v="4"/>
    <m/>
    <x v="1"/>
    <x v="0"/>
    <x v="137"/>
    <n v="12"/>
    <s v="이그나이트 + 스테이포에버"/>
    <s v="210207"/>
    <m/>
    <n v="705600"/>
  </r>
  <r>
    <x v="306"/>
    <x v="4"/>
    <m/>
    <x v="1"/>
    <x v="0"/>
    <x v="144"/>
    <n v="3"/>
    <s v="이그나이트 + 스테이포에버"/>
    <s v="210207"/>
    <m/>
    <n v="176400"/>
  </r>
  <r>
    <x v="306"/>
    <x v="4"/>
    <m/>
    <x v="1"/>
    <x v="0"/>
    <x v="138"/>
    <n v="162"/>
    <s v="스테이포에버"/>
    <s v="210207"/>
    <m/>
    <n v="5508000"/>
  </r>
  <r>
    <x v="306"/>
    <x v="4"/>
    <m/>
    <x v="1"/>
    <x v="0"/>
    <x v="139"/>
    <n v="132"/>
    <s v="스테이포에버 2set"/>
    <s v="210207"/>
    <m/>
    <n v="7761600"/>
  </r>
  <r>
    <x v="306"/>
    <x v="4"/>
    <m/>
    <x v="1"/>
    <x v="0"/>
    <x v="140"/>
    <n v="13"/>
    <s v="이그나이트 + 스테이포에버"/>
    <s v="210207"/>
    <m/>
    <n v="764400"/>
  </r>
  <r>
    <x v="306"/>
    <x v="4"/>
    <m/>
    <x v="0"/>
    <x v="0"/>
    <x v="0"/>
    <n v="8"/>
    <s v="쇼핑백"/>
    <s v="210207"/>
    <m/>
    <n v="16000"/>
  </r>
  <r>
    <x v="306"/>
    <x v="4"/>
    <m/>
    <x v="1"/>
    <x v="0"/>
    <x v="141"/>
    <n v="3"/>
    <s v="이그나이트"/>
    <s v="210207"/>
    <m/>
    <n v="102000"/>
  </r>
  <r>
    <x v="306"/>
    <x v="4"/>
    <m/>
    <x v="1"/>
    <x v="0"/>
    <x v="142"/>
    <n v="2"/>
    <s v="이그나이트 2set"/>
    <s v="210207"/>
    <m/>
    <n v="117600"/>
  </r>
  <r>
    <x v="306"/>
    <x v="4"/>
    <m/>
    <x v="1"/>
    <x v="0"/>
    <x v="162"/>
    <n v="1"/>
    <s v="스테이포에버"/>
    <s v="210207"/>
    <m/>
    <n v="34000"/>
  </r>
  <r>
    <x v="306"/>
    <x v="4"/>
    <s v="네이버 배너"/>
    <x v="1"/>
    <x v="1"/>
    <x v="1"/>
    <m/>
    <m/>
    <m/>
    <n v="314808.1818181818"/>
    <m/>
  </r>
  <r>
    <x v="306"/>
    <x v="4"/>
    <s v="네이버 배너"/>
    <x v="1"/>
    <x v="1"/>
    <x v="1"/>
    <m/>
    <m/>
    <m/>
    <n v="1186510.909090909"/>
    <m/>
  </r>
  <r>
    <x v="307"/>
    <x v="1"/>
    <s v="페이스북/인스타그램"/>
    <x v="1"/>
    <x v="1"/>
    <x v="1"/>
    <m/>
    <m/>
    <m/>
    <n v="30855"/>
    <m/>
  </r>
  <r>
    <x v="307"/>
    <x v="1"/>
    <s v="페이스북/인스타그램"/>
    <x v="1"/>
    <x v="1"/>
    <x v="1"/>
    <m/>
    <m/>
    <m/>
    <n v="29715"/>
    <m/>
  </r>
  <r>
    <x v="307"/>
    <x v="1"/>
    <s v="페이스북/인스타그램"/>
    <x v="1"/>
    <x v="1"/>
    <x v="1"/>
    <m/>
    <m/>
    <m/>
    <n v="58603"/>
    <m/>
  </r>
  <r>
    <x v="307"/>
    <x v="1"/>
    <s v="페이스북/인스타그램"/>
    <x v="1"/>
    <x v="1"/>
    <x v="1"/>
    <m/>
    <m/>
    <m/>
    <n v="30171"/>
    <m/>
  </r>
  <r>
    <x v="307"/>
    <x v="1"/>
    <s v="페이스북/인스타그램"/>
    <x v="1"/>
    <x v="1"/>
    <x v="1"/>
    <m/>
    <m/>
    <m/>
    <n v="59502"/>
    <m/>
  </r>
  <r>
    <x v="307"/>
    <x v="1"/>
    <s v="페이스북/인스타그램"/>
    <x v="1"/>
    <x v="1"/>
    <x v="1"/>
    <m/>
    <m/>
    <m/>
    <n v="176874"/>
    <m/>
  </r>
  <r>
    <x v="307"/>
    <x v="1"/>
    <s v="페이스북/인스타그램"/>
    <x v="1"/>
    <x v="1"/>
    <x v="1"/>
    <m/>
    <m/>
    <m/>
    <n v="46913"/>
    <m/>
  </r>
  <r>
    <x v="307"/>
    <x v="1"/>
    <s v="페이스북/인스타그램"/>
    <x v="1"/>
    <x v="1"/>
    <x v="1"/>
    <m/>
    <m/>
    <m/>
    <n v="100857"/>
    <m/>
  </r>
  <r>
    <x v="307"/>
    <x v="1"/>
    <s v="페이스북/인스타그램"/>
    <x v="1"/>
    <x v="1"/>
    <x v="1"/>
    <m/>
    <m/>
    <m/>
    <n v="111150"/>
    <m/>
  </r>
  <r>
    <x v="307"/>
    <x v="1"/>
    <s v="페이스북/인스타그램"/>
    <x v="1"/>
    <x v="1"/>
    <x v="1"/>
    <m/>
    <m/>
    <m/>
    <n v="209477"/>
    <m/>
  </r>
  <r>
    <x v="307"/>
    <x v="1"/>
    <s v="페이스북/인스타그램"/>
    <x v="1"/>
    <x v="1"/>
    <x v="1"/>
    <m/>
    <m/>
    <m/>
    <n v="186191"/>
    <m/>
  </r>
  <r>
    <x v="307"/>
    <x v="1"/>
    <s v="페이스북/인스타그램"/>
    <x v="1"/>
    <x v="1"/>
    <x v="1"/>
    <m/>
    <m/>
    <m/>
    <n v="49887"/>
    <m/>
  </r>
  <r>
    <x v="307"/>
    <x v="1"/>
    <s v="페이스북/인스타그램"/>
    <x v="1"/>
    <x v="1"/>
    <x v="1"/>
    <m/>
    <m/>
    <m/>
    <n v="93313"/>
    <m/>
  </r>
  <r>
    <x v="307"/>
    <x v="1"/>
    <s v="페이스북/인스타그램"/>
    <x v="1"/>
    <x v="1"/>
    <x v="1"/>
    <m/>
    <m/>
    <m/>
    <n v="49880"/>
    <m/>
  </r>
  <r>
    <x v="307"/>
    <x v="1"/>
    <s v="페이스북/인스타그램"/>
    <x v="1"/>
    <x v="1"/>
    <x v="1"/>
    <m/>
    <m/>
    <m/>
    <n v="99259"/>
    <m/>
  </r>
  <r>
    <x v="307"/>
    <x v="1"/>
    <s v="페이스북/인스타그램"/>
    <x v="1"/>
    <x v="1"/>
    <x v="1"/>
    <m/>
    <m/>
    <m/>
    <n v="98782"/>
    <m/>
  </r>
  <r>
    <x v="307"/>
    <x v="1"/>
    <s v="페이스북/인스타그램"/>
    <x v="1"/>
    <x v="1"/>
    <x v="1"/>
    <m/>
    <m/>
    <m/>
    <n v="99159"/>
    <m/>
  </r>
  <r>
    <x v="307"/>
    <x v="1"/>
    <s v="페이스북/인스타그램"/>
    <x v="1"/>
    <x v="1"/>
    <x v="1"/>
    <m/>
    <m/>
    <m/>
    <n v="148045"/>
    <m/>
  </r>
  <r>
    <x v="307"/>
    <x v="1"/>
    <s v="페이스북/인스타그램"/>
    <x v="1"/>
    <x v="1"/>
    <x v="1"/>
    <m/>
    <m/>
    <m/>
    <n v="49466"/>
    <m/>
  </r>
  <r>
    <x v="307"/>
    <x v="1"/>
    <s v="페이스북/인스타그램"/>
    <x v="1"/>
    <x v="1"/>
    <x v="1"/>
    <m/>
    <m/>
    <m/>
    <n v="74113"/>
    <m/>
  </r>
  <r>
    <x v="308"/>
    <x v="2"/>
    <s v="페이스북/인스타그램"/>
    <x v="1"/>
    <x v="1"/>
    <x v="1"/>
    <m/>
    <m/>
    <m/>
    <n v="45787"/>
    <m/>
  </r>
  <r>
    <x v="308"/>
    <x v="2"/>
    <s v="페이스북/인스타그램"/>
    <x v="1"/>
    <x v="1"/>
    <x v="1"/>
    <m/>
    <m/>
    <m/>
    <n v="31187"/>
    <m/>
  </r>
  <r>
    <x v="308"/>
    <x v="2"/>
    <s v="페이스북/인스타그램"/>
    <x v="1"/>
    <x v="1"/>
    <x v="1"/>
    <m/>
    <m/>
    <m/>
    <n v="61969"/>
    <m/>
  </r>
  <r>
    <x v="308"/>
    <x v="2"/>
    <s v="페이스북/인스타그램"/>
    <x v="1"/>
    <x v="1"/>
    <x v="1"/>
    <m/>
    <m/>
    <m/>
    <n v="30687"/>
    <m/>
  </r>
  <r>
    <x v="308"/>
    <x v="2"/>
    <s v="페이스북/인스타그램"/>
    <x v="1"/>
    <x v="1"/>
    <x v="1"/>
    <m/>
    <m/>
    <m/>
    <n v="62605"/>
    <m/>
  </r>
  <r>
    <x v="308"/>
    <x v="2"/>
    <s v="페이스북/인스타그램"/>
    <x v="1"/>
    <x v="1"/>
    <x v="1"/>
    <m/>
    <m/>
    <m/>
    <n v="181246"/>
    <m/>
  </r>
  <r>
    <x v="308"/>
    <x v="2"/>
    <s v="페이스북/인스타그램"/>
    <x v="1"/>
    <x v="1"/>
    <x v="1"/>
    <m/>
    <m/>
    <m/>
    <n v="48939"/>
    <m/>
  </r>
  <r>
    <x v="308"/>
    <x v="2"/>
    <s v="페이스북/인스타그램"/>
    <x v="1"/>
    <x v="1"/>
    <x v="1"/>
    <m/>
    <m/>
    <m/>
    <n v="100749"/>
    <m/>
  </r>
  <r>
    <x v="308"/>
    <x v="2"/>
    <s v="페이스북/인스타그램"/>
    <x v="1"/>
    <x v="1"/>
    <x v="1"/>
    <m/>
    <m/>
    <m/>
    <n v="110494"/>
    <m/>
  </r>
  <r>
    <x v="308"/>
    <x v="2"/>
    <s v="페이스북/인스타그램"/>
    <x v="1"/>
    <x v="1"/>
    <x v="1"/>
    <m/>
    <m/>
    <m/>
    <n v="214094"/>
    <m/>
  </r>
  <r>
    <x v="308"/>
    <x v="2"/>
    <s v="페이스북/인스타그램"/>
    <x v="1"/>
    <x v="1"/>
    <x v="1"/>
    <m/>
    <m/>
    <m/>
    <n v="196238"/>
    <m/>
  </r>
  <r>
    <x v="308"/>
    <x v="2"/>
    <s v="페이스북/인스타그램"/>
    <x v="1"/>
    <x v="1"/>
    <x v="1"/>
    <m/>
    <m/>
    <m/>
    <n v="51517"/>
    <m/>
  </r>
  <r>
    <x v="308"/>
    <x v="2"/>
    <s v="페이스북/인스타그램"/>
    <x v="1"/>
    <x v="1"/>
    <x v="1"/>
    <m/>
    <m/>
    <m/>
    <n v="97856"/>
    <m/>
  </r>
  <r>
    <x v="308"/>
    <x v="2"/>
    <s v="페이스북/인스타그램"/>
    <x v="1"/>
    <x v="1"/>
    <x v="1"/>
    <m/>
    <m/>
    <m/>
    <n v="52180"/>
    <m/>
  </r>
  <r>
    <x v="308"/>
    <x v="2"/>
    <s v="페이스북/인스타그램"/>
    <x v="1"/>
    <x v="1"/>
    <x v="1"/>
    <m/>
    <m/>
    <m/>
    <n v="103106"/>
    <m/>
  </r>
  <r>
    <x v="308"/>
    <x v="2"/>
    <s v="페이스북/인스타그램"/>
    <x v="1"/>
    <x v="1"/>
    <x v="1"/>
    <m/>
    <m/>
    <m/>
    <n v="103707"/>
    <m/>
  </r>
  <r>
    <x v="308"/>
    <x v="2"/>
    <s v="페이스북/인스타그램"/>
    <x v="1"/>
    <x v="1"/>
    <x v="1"/>
    <m/>
    <m/>
    <m/>
    <n v="105030"/>
    <m/>
  </r>
  <r>
    <x v="308"/>
    <x v="2"/>
    <s v="페이스북/인스타그램"/>
    <x v="1"/>
    <x v="1"/>
    <x v="1"/>
    <m/>
    <m/>
    <m/>
    <n v="155039"/>
    <m/>
  </r>
  <r>
    <x v="308"/>
    <x v="2"/>
    <s v="페이스북/인스타그램"/>
    <x v="1"/>
    <x v="1"/>
    <x v="1"/>
    <m/>
    <m/>
    <m/>
    <n v="51775"/>
    <m/>
  </r>
  <r>
    <x v="308"/>
    <x v="2"/>
    <s v="페이스북/인스타그램"/>
    <x v="1"/>
    <x v="1"/>
    <x v="1"/>
    <m/>
    <m/>
    <m/>
    <n v="76998"/>
    <m/>
  </r>
  <r>
    <x v="309"/>
    <x v="5"/>
    <s v="페이스북/인스타그램"/>
    <x v="1"/>
    <x v="1"/>
    <x v="1"/>
    <m/>
    <m/>
    <m/>
    <n v="50493"/>
    <m/>
  </r>
  <r>
    <x v="309"/>
    <x v="5"/>
    <s v="페이스북/인스타그램"/>
    <x v="1"/>
    <x v="1"/>
    <x v="1"/>
    <m/>
    <m/>
    <m/>
    <n v="30275"/>
    <m/>
  </r>
  <r>
    <x v="309"/>
    <x v="5"/>
    <s v="페이스북/인스타그램"/>
    <x v="1"/>
    <x v="1"/>
    <x v="1"/>
    <m/>
    <m/>
    <m/>
    <n v="60070"/>
    <m/>
  </r>
  <r>
    <x v="309"/>
    <x v="5"/>
    <s v="페이스북/인스타그램"/>
    <x v="1"/>
    <x v="1"/>
    <x v="1"/>
    <m/>
    <m/>
    <m/>
    <n v="30274"/>
    <m/>
  </r>
  <r>
    <x v="309"/>
    <x v="5"/>
    <s v="페이스북/인스타그램"/>
    <x v="1"/>
    <x v="1"/>
    <x v="1"/>
    <m/>
    <m/>
    <m/>
    <n v="60415"/>
    <m/>
  </r>
  <r>
    <x v="309"/>
    <x v="5"/>
    <s v="페이스북/인스타그램"/>
    <x v="1"/>
    <x v="1"/>
    <x v="1"/>
    <m/>
    <m/>
    <m/>
    <n v="180613"/>
    <m/>
  </r>
  <r>
    <x v="309"/>
    <x v="5"/>
    <s v="페이스북/인스타그램"/>
    <x v="1"/>
    <x v="1"/>
    <x v="1"/>
    <m/>
    <m/>
    <m/>
    <n v="50391"/>
    <m/>
  </r>
  <r>
    <x v="309"/>
    <x v="5"/>
    <s v="페이스북/인스타그램"/>
    <x v="1"/>
    <x v="1"/>
    <x v="1"/>
    <m/>
    <m/>
    <m/>
    <n v="100162"/>
    <m/>
  </r>
  <r>
    <x v="309"/>
    <x v="5"/>
    <s v="페이스북/인스타그램"/>
    <x v="1"/>
    <x v="1"/>
    <x v="1"/>
    <m/>
    <m/>
    <m/>
    <n v="110816"/>
    <m/>
  </r>
  <r>
    <x v="309"/>
    <x v="5"/>
    <s v="페이스북/인스타그램"/>
    <x v="1"/>
    <x v="1"/>
    <x v="1"/>
    <m/>
    <m/>
    <m/>
    <n v="210795"/>
    <m/>
  </r>
  <r>
    <x v="309"/>
    <x v="5"/>
    <s v="페이스북/인스타그램"/>
    <x v="1"/>
    <x v="1"/>
    <x v="1"/>
    <m/>
    <m/>
    <m/>
    <n v="200526"/>
    <m/>
  </r>
  <r>
    <x v="309"/>
    <x v="5"/>
    <s v="페이스북/인스타그램"/>
    <x v="1"/>
    <x v="1"/>
    <x v="1"/>
    <m/>
    <m/>
    <m/>
    <n v="50162"/>
    <m/>
  </r>
  <r>
    <x v="309"/>
    <x v="5"/>
    <s v="페이스북/인스타그램"/>
    <x v="1"/>
    <x v="1"/>
    <x v="1"/>
    <m/>
    <m/>
    <m/>
    <n v="100038"/>
    <m/>
  </r>
  <r>
    <x v="309"/>
    <x v="5"/>
    <s v="페이스북/인스타그램"/>
    <x v="1"/>
    <x v="1"/>
    <x v="1"/>
    <m/>
    <m/>
    <m/>
    <n v="50136"/>
    <m/>
  </r>
  <r>
    <x v="309"/>
    <x v="5"/>
    <s v="페이스북/인스타그램"/>
    <x v="1"/>
    <x v="1"/>
    <x v="1"/>
    <m/>
    <m/>
    <m/>
    <n v="100475"/>
    <m/>
  </r>
  <r>
    <x v="309"/>
    <x v="5"/>
    <s v="페이스북/인스타그램"/>
    <x v="1"/>
    <x v="1"/>
    <x v="1"/>
    <m/>
    <m/>
    <m/>
    <n v="100679"/>
    <m/>
  </r>
  <r>
    <x v="309"/>
    <x v="5"/>
    <s v="페이스북/인스타그램"/>
    <x v="1"/>
    <x v="1"/>
    <x v="1"/>
    <m/>
    <m/>
    <m/>
    <n v="101225"/>
    <m/>
  </r>
  <r>
    <x v="309"/>
    <x v="5"/>
    <s v="페이스북/인스타그램"/>
    <x v="1"/>
    <x v="1"/>
    <x v="1"/>
    <m/>
    <m/>
    <m/>
    <n v="150388"/>
    <m/>
  </r>
  <r>
    <x v="309"/>
    <x v="5"/>
    <s v="페이스북/인스타그램"/>
    <x v="1"/>
    <x v="1"/>
    <x v="1"/>
    <m/>
    <m/>
    <m/>
    <n v="50037"/>
    <m/>
  </r>
  <r>
    <x v="309"/>
    <x v="5"/>
    <s v="페이스북/인스타그램"/>
    <x v="1"/>
    <x v="1"/>
    <x v="1"/>
    <m/>
    <m/>
    <m/>
    <n v="75103"/>
    <m/>
  </r>
  <r>
    <x v="307"/>
    <x v="1"/>
    <s v="유튜브 광고"/>
    <x v="1"/>
    <x v="1"/>
    <x v="1"/>
    <m/>
    <m/>
    <m/>
    <n v="34462"/>
    <m/>
  </r>
  <r>
    <x v="307"/>
    <x v="1"/>
    <s v="유튜브 광고"/>
    <x v="1"/>
    <x v="1"/>
    <x v="1"/>
    <m/>
    <m/>
    <m/>
    <n v="49712"/>
    <m/>
  </r>
  <r>
    <x v="307"/>
    <x v="1"/>
    <s v="유튜브 광고"/>
    <x v="1"/>
    <x v="1"/>
    <x v="1"/>
    <m/>
    <m/>
    <m/>
    <n v="536993"/>
    <m/>
  </r>
  <r>
    <x v="307"/>
    <x v="1"/>
    <s v="유튜브 광고"/>
    <x v="1"/>
    <x v="1"/>
    <x v="1"/>
    <m/>
    <m/>
    <m/>
    <n v="506420"/>
    <m/>
  </r>
  <r>
    <x v="307"/>
    <x v="1"/>
    <s v="유튜브 광고"/>
    <x v="1"/>
    <x v="1"/>
    <x v="1"/>
    <m/>
    <m/>
    <m/>
    <n v="151046"/>
    <m/>
  </r>
  <r>
    <x v="307"/>
    <x v="1"/>
    <s v="유튜브 광고"/>
    <x v="1"/>
    <x v="1"/>
    <x v="1"/>
    <m/>
    <m/>
    <m/>
    <n v="4020"/>
    <m/>
  </r>
  <r>
    <x v="307"/>
    <x v="1"/>
    <s v="유튜브 광고"/>
    <x v="1"/>
    <x v="1"/>
    <x v="1"/>
    <m/>
    <m/>
    <m/>
    <n v="110863"/>
    <m/>
  </r>
  <r>
    <x v="307"/>
    <x v="1"/>
    <s v="유튜브 광고"/>
    <x v="1"/>
    <x v="1"/>
    <x v="1"/>
    <m/>
    <m/>
    <m/>
    <n v="109003"/>
    <m/>
  </r>
  <r>
    <x v="307"/>
    <x v="1"/>
    <s v="유튜브 광고"/>
    <x v="1"/>
    <x v="1"/>
    <x v="1"/>
    <m/>
    <m/>
    <m/>
    <n v="299255"/>
    <m/>
  </r>
  <r>
    <x v="307"/>
    <x v="1"/>
    <s v="유튜브 광고"/>
    <x v="1"/>
    <x v="1"/>
    <x v="1"/>
    <m/>
    <m/>
    <m/>
    <n v="101151"/>
    <m/>
  </r>
  <r>
    <x v="307"/>
    <x v="1"/>
    <s v="유튜브 광고"/>
    <x v="1"/>
    <x v="1"/>
    <x v="1"/>
    <m/>
    <m/>
    <m/>
    <n v="101217"/>
    <m/>
  </r>
  <r>
    <x v="307"/>
    <x v="1"/>
    <s v="유튜브 광고"/>
    <x v="1"/>
    <x v="1"/>
    <x v="1"/>
    <m/>
    <m/>
    <m/>
    <n v="101473"/>
    <m/>
  </r>
  <r>
    <x v="308"/>
    <x v="2"/>
    <s v="유튜브 광고"/>
    <x v="1"/>
    <x v="1"/>
    <x v="1"/>
    <m/>
    <m/>
    <m/>
    <n v="43898"/>
    <m/>
  </r>
  <r>
    <x v="308"/>
    <x v="2"/>
    <s v="유튜브 광고"/>
    <x v="1"/>
    <x v="1"/>
    <x v="1"/>
    <m/>
    <m/>
    <m/>
    <n v="192728"/>
    <m/>
  </r>
  <r>
    <x v="308"/>
    <x v="2"/>
    <s v="유튜브 광고"/>
    <x v="1"/>
    <x v="1"/>
    <x v="1"/>
    <m/>
    <m/>
    <m/>
    <n v="518683"/>
    <m/>
  </r>
  <r>
    <x v="308"/>
    <x v="2"/>
    <s v="유튜브 광고"/>
    <x v="1"/>
    <x v="1"/>
    <x v="1"/>
    <m/>
    <m/>
    <m/>
    <n v="506427"/>
    <m/>
  </r>
  <r>
    <x v="308"/>
    <x v="2"/>
    <s v="유튜브 광고"/>
    <x v="1"/>
    <x v="1"/>
    <x v="1"/>
    <m/>
    <m/>
    <m/>
    <n v="146466"/>
    <m/>
  </r>
  <r>
    <x v="308"/>
    <x v="2"/>
    <s v="유튜브 광고"/>
    <x v="1"/>
    <x v="1"/>
    <x v="1"/>
    <m/>
    <m/>
    <m/>
    <n v="37156"/>
    <m/>
  </r>
  <r>
    <x v="308"/>
    <x v="2"/>
    <s v="유튜브 광고"/>
    <x v="1"/>
    <x v="1"/>
    <x v="1"/>
    <m/>
    <m/>
    <m/>
    <n v="109696"/>
    <m/>
  </r>
  <r>
    <x v="308"/>
    <x v="2"/>
    <s v="유튜브 광고"/>
    <x v="1"/>
    <x v="1"/>
    <x v="1"/>
    <m/>
    <m/>
    <m/>
    <n v="104588"/>
    <m/>
  </r>
  <r>
    <x v="308"/>
    <x v="2"/>
    <s v="유튜브 광고"/>
    <x v="1"/>
    <x v="1"/>
    <x v="1"/>
    <m/>
    <m/>
    <m/>
    <n v="299926"/>
    <m/>
  </r>
  <r>
    <x v="308"/>
    <x v="2"/>
    <s v="유튜브 광고"/>
    <x v="1"/>
    <x v="1"/>
    <x v="1"/>
    <m/>
    <m/>
    <m/>
    <n v="101237"/>
    <m/>
  </r>
  <r>
    <x v="308"/>
    <x v="2"/>
    <s v="유튜브 광고"/>
    <x v="1"/>
    <x v="1"/>
    <x v="1"/>
    <m/>
    <m/>
    <m/>
    <n v="101207"/>
    <m/>
  </r>
  <r>
    <x v="308"/>
    <x v="2"/>
    <s v="유튜브 광고"/>
    <x v="1"/>
    <x v="1"/>
    <x v="1"/>
    <m/>
    <m/>
    <m/>
    <n v="101329"/>
    <m/>
  </r>
  <r>
    <x v="309"/>
    <x v="5"/>
    <s v="유튜브 광고"/>
    <x v="1"/>
    <x v="1"/>
    <x v="1"/>
    <m/>
    <m/>
    <m/>
    <n v="32018"/>
    <m/>
  </r>
  <r>
    <x v="309"/>
    <x v="5"/>
    <s v="유튜브 광고"/>
    <x v="1"/>
    <x v="1"/>
    <x v="1"/>
    <m/>
    <m/>
    <m/>
    <n v="207156"/>
    <m/>
  </r>
  <r>
    <x v="309"/>
    <x v="5"/>
    <s v="유튜브 광고"/>
    <x v="1"/>
    <x v="1"/>
    <x v="1"/>
    <m/>
    <m/>
    <m/>
    <n v="482545"/>
    <m/>
  </r>
  <r>
    <x v="309"/>
    <x v="5"/>
    <s v="유튜브 광고"/>
    <x v="1"/>
    <x v="1"/>
    <x v="1"/>
    <m/>
    <m/>
    <m/>
    <n v="507016"/>
    <m/>
  </r>
  <r>
    <x v="309"/>
    <x v="5"/>
    <s v="유튜브 광고"/>
    <x v="1"/>
    <x v="1"/>
    <x v="1"/>
    <m/>
    <m/>
    <m/>
    <n v="115954"/>
    <m/>
  </r>
  <r>
    <x v="309"/>
    <x v="5"/>
    <s v="유튜브 광고"/>
    <x v="1"/>
    <x v="1"/>
    <x v="1"/>
    <m/>
    <m/>
    <m/>
    <n v="19633"/>
    <m/>
  </r>
  <r>
    <x v="309"/>
    <x v="5"/>
    <s v="유튜브 광고"/>
    <x v="1"/>
    <x v="1"/>
    <x v="1"/>
    <m/>
    <m/>
    <m/>
    <n v="109321"/>
    <m/>
  </r>
  <r>
    <x v="309"/>
    <x v="5"/>
    <s v="유튜브 광고"/>
    <x v="1"/>
    <x v="1"/>
    <x v="1"/>
    <m/>
    <m/>
    <m/>
    <n v="100496"/>
    <m/>
  </r>
  <r>
    <x v="309"/>
    <x v="5"/>
    <s v="유튜브 광고"/>
    <x v="1"/>
    <x v="1"/>
    <x v="1"/>
    <m/>
    <m/>
    <m/>
    <n v="300429"/>
    <m/>
  </r>
  <r>
    <x v="309"/>
    <x v="5"/>
    <s v="유튜브 광고"/>
    <x v="1"/>
    <x v="1"/>
    <x v="1"/>
    <m/>
    <m/>
    <m/>
    <n v="101518"/>
    <m/>
  </r>
  <r>
    <x v="309"/>
    <x v="5"/>
    <s v="유튜브 광고"/>
    <x v="1"/>
    <x v="1"/>
    <x v="1"/>
    <m/>
    <m/>
    <m/>
    <n v="101273"/>
    <m/>
  </r>
  <r>
    <x v="309"/>
    <x v="5"/>
    <s v="유튜브 광고"/>
    <x v="1"/>
    <x v="1"/>
    <x v="1"/>
    <m/>
    <m/>
    <m/>
    <n v="101316"/>
    <m/>
  </r>
  <r>
    <x v="309"/>
    <x v="5"/>
    <s v="네이버 쇼핑검색"/>
    <x v="1"/>
    <x v="1"/>
    <x v="1"/>
    <m/>
    <m/>
    <m/>
    <n v="0"/>
    <m/>
  </r>
  <r>
    <x v="309"/>
    <x v="5"/>
    <s v="네이버 쇼핑검색"/>
    <x v="1"/>
    <x v="1"/>
    <x v="1"/>
    <m/>
    <m/>
    <m/>
    <n v="0"/>
    <m/>
  </r>
  <r>
    <x v="309"/>
    <x v="5"/>
    <s v="네이버 브랜드검색"/>
    <x v="3"/>
    <x v="1"/>
    <x v="1"/>
    <m/>
    <m/>
    <m/>
    <n v="140000"/>
    <m/>
  </r>
  <r>
    <x v="309"/>
    <x v="5"/>
    <s v="네이버 브랜드검색"/>
    <x v="3"/>
    <x v="1"/>
    <x v="1"/>
    <m/>
    <m/>
    <m/>
    <n v="16700"/>
    <m/>
  </r>
  <r>
    <x v="308"/>
    <x v="2"/>
    <s v="네이버 쇼핑검색"/>
    <x v="1"/>
    <x v="1"/>
    <x v="1"/>
    <m/>
    <m/>
    <m/>
    <n v="2460"/>
    <m/>
  </r>
  <r>
    <x v="308"/>
    <x v="2"/>
    <s v="네이버 쇼핑검색"/>
    <x v="1"/>
    <x v="1"/>
    <x v="1"/>
    <m/>
    <m/>
    <m/>
    <n v="0"/>
    <m/>
  </r>
  <r>
    <x v="308"/>
    <x v="2"/>
    <s v="네이버 쇼핑검색"/>
    <x v="1"/>
    <x v="1"/>
    <x v="1"/>
    <m/>
    <m/>
    <m/>
    <n v="20450"/>
    <m/>
  </r>
  <r>
    <x v="308"/>
    <x v="2"/>
    <s v="네이버 브랜드검색"/>
    <x v="3"/>
    <x v="1"/>
    <x v="1"/>
    <m/>
    <m/>
    <m/>
    <n v="140000"/>
    <m/>
  </r>
  <r>
    <x v="308"/>
    <x v="2"/>
    <s v="네이버 브랜드검색"/>
    <x v="3"/>
    <x v="1"/>
    <x v="1"/>
    <m/>
    <m/>
    <m/>
    <n v="16700"/>
    <m/>
  </r>
  <r>
    <x v="307"/>
    <x v="1"/>
    <s v="네이버 쇼핑검색"/>
    <x v="1"/>
    <x v="1"/>
    <x v="1"/>
    <m/>
    <m/>
    <m/>
    <n v="25050"/>
    <m/>
  </r>
  <r>
    <x v="307"/>
    <x v="1"/>
    <s v="네이버 쇼핑검색"/>
    <x v="1"/>
    <x v="1"/>
    <x v="1"/>
    <m/>
    <m/>
    <m/>
    <n v="0"/>
    <m/>
  </r>
  <r>
    <x v="307"/>
    <x v="1"/>
    <s v="네이버 쇼핑검색"/>
    <x v="1"/>
    <x v="1"/>
    <x v="1"/>
    <m/>
    <m/>
    <m/>
    <n v="110740"/>
    <m/>
  </r>
  <r>
    <x v="307"/>
    <x v="1"/>
    <s v="네이버 브랜드검색"/>
    <x v="3"/>
    <x v="1"/>
    <x v="1"/>
    <m/>
    <m/>
    <m/>
    <n v="140000"/>
    <m/>
  </r>
  <r>
    <x v="307"/>
    <x v="1"/>
    <s v="네이버 브랜드검색"/>
    <x v="3"/>
    <x v="1"/>
    <x v="1"/>
    <m/>
    <m/>
    <m/>
    <n v="16700"/>
    <m/>
  </r>
  <r>
    <x v="307"/>
    <x v="1"/>
    <s v="카카오 배너"/>
    <x v="1"/>
    <x v="1"/>
    <x v="1"/>
    <m/>
    <m/>
    <m/>
    <n v="181850"/>
    <m/>
  </r>
  <r>
    <x v="307"/>
    <x v="1"/>
    <s v="카카오 배너"/>
    <x v="1"/>
    <x v="1"/>
    <x v="1"/>
    <m/>
    <m/>
    <m/>
    <n v="912219.9999999999"/>
    <m/>
  </r>
  <r>
    <x v="308"/>
    <x v="2"/>
    <s v="카카오 배너"/>
    <x v="1"/>
    <x v="1"/>
    <x v="1"/>
    <m/>
    <m/>
    <m/>
    <n v="181840"/>
    <m/>
  </r>
  <r>
    <x v="308"/>
    <x v="2"/>
    <s v="카카오 배너"/>
    <x v="1"/>
    <x v="1"/>
    <x v="1"/>
    <m/>
    <m/>
    <m/>
    <n v="910269.9999999999"/>
    <m/>
  </r>
  <r>
    <x v="309"/>
    <x v="5"/>
    <s v="카카오 배너"/>
    <x v="1"/>
    <x v="1"/>
    <x v="1"/>
    <m/>
    <m/>
    <m/>
    <n v="182430"/>
    <m/>
  </r>
  <r>
    <x v="309"/>
    <x v="5"/>
    <s v="카카오 배너"/>
    <x v="1"/>
    <x v="1"/>
    <x v="1"/>
    <m/>
    <m/>
    <m/>
    <n v="942769.9999999999"/>
    <m/>
  </r>
  <r>
    <x v="307"/>
    <x v="1"/>
    <m/>
    <x v="1"/>
    <x v="4"/>
    <x v="158"/>
    <n v="1"/>
    <s v="이그나이트"/>
    <s v="210207"/>
    <m/>
    <n v="34000"/>
  </r>
  <r>
    <x v="307"/>
    <x v="1"/>
    <m/>
    <x v="1"/>
    <x v="4"/>
    <x v="155"/>
    <n v="6"/>
    <s v="스테이포에버"/>
    <s v="210207"/>
    <m/>
    <n v="204000"/>
  </r>
  <r>
    <x v="307"/>
    <x v="1"/>
    <m/>
    <x v="1"/>
    <x v="3"/>
    <x v="150"/>
    <n v="1"/>
    <s v="이그나이트 + 스테이포에버"/>
    <s v="210207"/>
    <m/>
    <n v="58800"/>
  </r>
  <r>
    <x v="307"/>
    <x v="1"/>
    <m/>
    <x v="1"/>
    <x v="3"/>
    <x v="151"/>
    <n v="1"/>
    <s v="스테이포에버 2set"/>
    <s v="210207"/>
    <m/>
    <n v="58800"/>
  </r>
  <r>
    <x v="307"/>
    <x v="1"/>
    <m/>
    <x v="1"/>
    <x v="3"/>
    <x v="152"/>
    <n v="15"/>
    <s v="스테이포에버"/>
    <s v="210207"/>
    <m/>
    <n v="510000"/>
  </r>
  <r>
    <x v="307"/>
    <x v="1"/>
    <m/>
    <x v="0"/>
    <x v="0"/>
    <x v="148"/>
    <n v="3"/>
    <s v="쇼핑백"/>
    <s v="210207"/>
    <m/>
    <n v="6000"/>
  </r>
  <r>
    <x v="307"/>
    <x v="1"/>
    <m/>
    <x v="1"/>
    <x v="0"/>
    <x v="135"/>
    <n v="4"/>
    <s v="스테이포에버"/>
    <s v="210207"/>
    <m/>
    <n v="136000"/>
  </r>
  <r>
    <x v="307"/>
    <x v="1"/>
    <m/>
    <x v="1"/>
    <x v="0"/>
    <x v="136"/>
    <n v="7"/>
    <s v="스테이포에버 2set"/>
    <s v="210207"/>
    <m/>
    <n v="411600"/>
  </r>
  <r>
    <x v="307"/>
    <x v="1"/>
    <m/>
    <x v="1"/>
    <x v="0"/>
    <x v="137"/>
    <n v="10"/>
    <s v="이그나이트 + 스테이포에버"/>
    <s v="210207"/>
    <m/>
    <n v="588000"/>
  </r>
  <r>
    <x v="307"/>
    <x v="1"/>
    <m/>
    <x v="1"/>
    <x v="0"/>
    <x v="144"/>
    <n v="5"/>
    <s v="이그나이트 + 스테이포에버"/>
    <s v="210207"/>
    <m/>
    <n v="294000"/>
  </r>
  <r>
    <x v="307"/>
    <x v="1"/>
    <m/>
    <x v="1"/>
    <x v="0"/>
    <x v="138"/>
    <n v="162"/>
    <s v="스테이포에버"/>
    <s v="210207"/>
    <m/>
    <n v="5508000"/>
  </r>
  <r>
    <x v="307"/>
    <x v="1"/>
    <m/>
    <x v="1"/>
    <x v="0"/>
    <x v="139"/>
    <n v="88"/>
    <s v="스테이포에버 2set"/>
    <s v="210207"/>
    <m/>
    <n v="5174400"/>
  </r>
  <r>
    <x v="307"/>
    <x v="1"/>
    <m/>
    <x v="1"/>
    <x v="0"/>
    <x v="140"/>
    <n v="6"/>
    <s v="이그나이트 + 스테이포에버"/>
    <s v="210207"/>
    <m/>
    <n v="352800"/>
  </r>
  <r>
    <x v="307"/>
    <x v="1"/>
    <m/>
    <x v="0"/>
    <x v="0"/>
    <x v="0"/>
    <n v="2"/>
    <s v="쇼핑백"/>
    <s v="210207"/>
    <m/>
    <n v="4000"/>
  </r>
  <r>
    <x v="307"/>
    <x v="1"/>
    <m/>
    <x v="1"/>
    <x v="0"/>
    <x v="141"/>
    <n v="2"/>
    <s v="이그나이트"/>
    <s v="210207"/>
    <m/>
    <n v="68000"/>
  </r>
  <r>
    <x v="307"/>
    <x v="1"/>
    <m/>
    <x v="1"/>
    <x v="0"/>
    <x v="162"/>
    <n v="1"/>
    <s v="스테이포에버"/>
    <s v="210207"/>
    <m/>
    <n v="34000"/>
  </r>
  <r>
    <x v="308"/>
    <x v="2"/>
    <m/>
    <x v="1"/>
    <x v="3"/>
    <x v="150"/>
    <n v="4"/>
    <s v="이그나이트 + 스테이포에버"/>
    <s v="210207"/>
    <m/>
    <n v="235200"/>
  </r>
  <r>
    <x v="308"/>
    <x v="2"/>
    <m/>
    <x v="1"/>
    <x v="3"/>
    <x v="151"/>
    <n v="2"/>
    <s v="스테이포에버 2set"/>
    <s v="210207"/>
    <m/>
    <n v="117600"/>
  </r>
  <r>
    <x v="308"/>
    <x v="2"/>
    <m/>
    <x v="1"/>
    <x v="3"/>
    <x v="152"/>
    <n v="21"/>
    <s v="스테이포에버"/>
    <s v="210207"/>
    <m/>
    <n v="714000"/>
  </r>
  <r>
    <x v="308"/>
    <x v="2"/>
    <m/>
    <x v="1"/>
    <x v="0"/>
    <x v="135"/>
    <n v="4"/>
    <s v="스테이포에버"/>
    <s v="210207"/>
    <m/>
    <n v="136000"/>
  </r>
  <r>
    <x v="308"/>
    <x v="2"/>
    <m/>
    <x v="1"/>
    <x v="0"/>
    <x v="136"/>
    <n v="5"/>
    <s v="스테이포에버 2set"/>
    <s v="210207"/>
    <m/>
    <n v="294000"/>
  </r>
  <r>
    <x v="308"/>
    <x v="2"/>
    <m/>
    <x v="1"/>
    <x v="0"/>
    <x v="137"/>
    <n v="16"/>
    <s v="이그나이트 + 스테이포에버"/>
    <s v="210207"/>
    <m/>
    <n v="940800"/>
  </r>
  <r>
    <x v="308"/>
    <x v="2"/>
    <m/>
    <x v="1"/>
    <x v="0"/>
    <x v="144"/>
    <n v="1"/>
    <s v="이그나이트 + 스테이포에버"/>
    <s v="210207"/>
    <m/>
    <n v="58800"/>
  </r>
  <r>
    <x v="308"/>
    <x v="2"/>
    <m/>
    <x v="1"/>
    <x v="0"/>
    <x v="138"/>
    <n v="197"/>
    <s v="스테이포에버"/>
    <s v="210207"/>
    <m/>
    <n v="6698000"/>
  </r>
  <r>
    <x v="308"/>
    <x v="2"/>
    <m/>
    <x v="1"/>
    <x v="0"/>
    <x v="139"/>
    <n v="149"/>
    <s v="스테이포에버 2set"/>
    <s v="210207"/>
    <m/>
    <n v="8761200"/>
  </r>
  <r>
    <x v="308"/>
    <x v="2"/>
    <m/>
    <x v="1"/>
    <x v="0"/>
    <x v="140"/>
    <n v="15"/>
    <s v="이그나이트 + 스테이포에버"/>
    <s v="210207"/>
    <m/>
    <n v="882000"/>
  </r>
  <r>
    <x v="308"/>
    <x v="2"/>
    <m/>
    <x v="0"/>
    <x v="0"/>
    <x v="0"/>
    <n v="4"/>
    <s v="쇼핑백"/>
    <s v="210207"/>
    <m/>
    <n v="8000"/>
  </r>
  <r>
    <x v="308"/>
    <x v="2"/>
    <m/>
    <x v="1"/>
    <x v="0"/>
    <x v="141"/>
    <n v="4"/>
    <s v="이그나이트"/>
    <s v="210207"/>
    <m/>
    <n v="136000"/>
  </r>
  <r>
    <x v="308"/>
    <x v="2"/>
    <m/>
    <x v="0"/>
    <x v="0"/>
    <x v="143"/>
    <n v="1"/>
    <s v="쇼핑백"/>
    <s v="210207"/>
    <m/>
    <n v="2000"/>
  </r>
  <r>
    <x v="308"/>
    <x v="2"/>
    <m/>
    <x v="1"/>
    <x v="0"/>
    <x v="162"/>
    <n v="1"/>
    <s v="스테이포에버"/>
    <s v="210207"/>
    <m/>
    <n v="34000"/>
  </r>
  <r>
    <x v="308"/>
    <x v="2"/>
    <m/>
    <x v="1"/>
    <x v="0"/>
    <x v="164"/>
    <n v="1"/>
    <s v="이그나이트 + 스테이포에버"/>
    <s v="210207"/>
    <m/>
    <n v="58800"/>
  </r>
  <r>
    <x v="309"/>
    <x v="5"/>
    <m/>
    <x v="1"/>
    <x v="3"/>
    <x v="150"/>
    <n v="3"/>
    <s v="이그나이트 + 스테이포에버"/>
    <s v="210207"/>
    <m/>
    <n v="176400"/>
  </r>
  <r>
    <x v="309"/>
    <x v="5"/>
    <m/>
    <x v="1"/>
    <x v="3"/>
    <x v="151"/>
    <n v="4"/>
    <s v="스테이포에버 2set"/>
    <s v="210207"/>
    <m/>
    <n v="235200"/>
  </r>
  <r>
    <x v="309"/>
    <x v="5"/>
    <m/>
    <x v="1"/>
    <x v="3"/>
    <x v="152"/>
    <n v="28"/>
    <s v="스테이포에버"/>
    <s v="210207"/>
    <m/>
    <n v="952000"/>
  </r>
  <r>
    <x v="309"/>
    <x v="5"/>
    <m/>
    <x v="1"/>
    <x v="3"/>
    <x v="154"/>
    <n v="1"/>
    <s v="이그나이트"/>
    <s v="210207"/>
    <m/>
    <n v="34000"/>
  </r>
  <r>
    <x v="309"/>
    <x v="5"/>
    <m/>
    <x v="0"/>
    <x v="0"/>
    <x v="148"/>
    <n v="1"/>
    <s v="쇼핑백"/>
    <s v="210207"/>
    <m/>
    <n v="2000"/>
  </r>
  <r>
    <x v="309"/>
    <x v="5"/>
    <m/>
    <x v="1"/>
    <x v="0"/>
    <x v="134"/>
    <n v="2"/>
    <s v="이그나이트"/>
    <s v="210207"/>
    <m/>
    <n v="68000"/>
  </r>
  <r>
    <x v="309"/>
    <x v="5"/>
    <m/>
    <x v="1"/>
    <x v="0"/>
    <x v="135"/>
    <n v="7"/>
    <s v="스테이포에버"/>
    <s v="210207"/>
    <m/>
    <n v="238000"/>
  </r>
  <r>
    <x v="309"/>
    <x v="5"/>
    <m/>
    <x v="1"/>
    <x v="0"/>
    <x v="136"/>
    <n v="6"/>
    <s v="스테이포에버 2set"/>
    <s v="210207"/>
    <m/>
    <n v="352800"/>
  </r>
  <r>
    <x v="309"/>
    <x v="5"/>
    <m/>
    <x v="1"/>
    <x v="0"/>
    <x v="137"/>
    <n v="20"/>
    <s v="이그나이트 + 스테이포에버"/>
    <s v="210207"/>
    <m/>
    <n v="1176000"/>
  </r>
  <r>
    <x v="309"/>
    <x v="5"/>
    <m/>
    <x v="1"/>
    <x v="0"/>
    <x v="138"/>
    <n v="209"/>
    <s v="스테이포에버"/>
    <s v="210207"/>
    <m/>
    <n v="7106000"/>
  </r>
  <r>
    <x v="309"/>
    <x v="5"/>
    <m/>
    <x v="1"/>
    <x v="0"/>
    <x v="139"/>
    <n v="134"/>
    <s v="스테이포에버 2set"/>
    <s v="210207"/>
    <m/>
    <n v="7879200"/>
  </r>
  <r>
    <x v="309"/>
    <x v="5"/>
    <m/>
    <x v="1"/>
    <x v="0"/>
    <x v="140"/>
    <n v="14"/>
    <s v="이그나이트 + 스테이포에버"/>
    <s v="210207"/>
    <m/>
    <n v="823200"/>
  </r>
  <r>
    <x v="309"/>
    <x v="5"/>
    <m/>
    <x v="0"/>
    <x v="0"/>
    <x v="0"/>
    <n v="9"/>
    <s v="쇼핑백"/>
    <s v="210207"/>
    <m/>
    <n v="18000"/>
  </r>
  <r>
    <x v="309"/>
    <x v="5"/>
    <m/>
    <x v="1"/>
    <x v="0"/>
    <x v="141"/>
    <n v="4"/>
    <s v="이그나이트"/>
    <s v="210207"/>
    <m/>
    <n v="136000"/>
  </r>
  <r>
    <x v="307"/>
    <x v="1"/>
    <s v="네이버 배너"/>
    <x v="1"/>
    <x v="1"/>
    <x v="1"/>
    <m/>
    <m/>
    <m/>
    <n v="360290"/>
    <m/>
  </r>
  <r>
    <x v="307"/>
    <x v="1"/>
    <s v="네이버 배너"/>
    <x v="1"/>
    <x v="1"/>
    <x v="1"/>
    <m/>
    <m/>
    <m/>
    <n v="1167067.272727273"/>
    <m/>
  </r>
  <r>
    <x v="308"/>
    <x v="2"/>
    <s v="네이버 배너"/>
    <x v="1"/>
    <x v="1"/>
    <x v="1"/>
    <m/>
    <m/>
    <m/>
    <n v="209753.6363636364"/>
    <m/>
  </r>
  <r>
    <x v="308"/>
    <x v="2"/>
    <s v="네이버 배너"/>
    <x v="1"/>
    <x v="1"/>
    <x v="1"/>
    <m/>
    <m/>
    <m/>
    <n v="1516246.363636364"/>
    <m/>
  </r>
  <r>
    <x v="309"/>
    <x v="5"/>
    <s v="네이버 배너"/>
    <x v="1"/>
    <x v="1"/>
    <x v="1"/>
    <m/>
    <m/>
    <m/>
    <n v="439736.3636363636"/>
    <m/>
  </r>
  <r>
    <x v="309"/>
    <x v="5"/>
    <s v="네이버 배너"/>
    <x v="1"/>
    <x v="1"/>
    <x v="1"/>
    <m/>
    <m/>
    <m/>
    <n v="1469010"/>
    <m/>
  </r>
  <r>
    <x v="306"/>
    <x v="4"/>
    <s v="네이버 배너(대행사)"/>
    <x v="1"/>
    <x v="1"/>
    <x v="1"/>
    <m/>
    <m/>
    <m/>
    <n v="163965.4545454545"/>
    <m/>
  </r>
  <r>
    <x v="307"/>
    <x v="1"/>
    <s v="네이버 배너(대행사)"/>
    <x v="1"/>
    <x v="1"/>
    <x v="1"/>
    <m/>
    <m/>
    <m/>
    <n v="193560.9090909091"/>
    <m/>
  </r>
  <r>
    <x v="308"/>
    <x v="2"/>
    <s v="네이버 배너(대행사)"/>
    <x v="1"/>
    <x v="1"/>
    <x v="1"/>
    <m/>
    <m/>
    <m/>
    <n v="465211.8181818181"/>
    <m/>
  </r>
  <r>
    <x v="309"/>
    <x v="5"/>
    <s v="네이버 배너(대행사)"/>
    <x v="1"/>
    <x v="1"/>
    <x v="1"/>
    <m/>
    <m/>
    <m/>
    <n v="445734.5454545454"/>
    <m/>
  </r>
  <r>
    <x v="310"/>
    <x v="6"/>
    <s v="페이스북/인스타그램"/>
    <x v="1"/>
    <x v="1"/>
    <x v="1"/>
    <m/>
    <m/>
    <m/>
    <n v="35376"/>
    <m/>
  </r>
  <r>
    <x v="310"/>
    <x v="6"/>
    <s v="페이스북/인스타그램"/>
    <x v="1"/>
    <x v="1"/>
    <x v="1"/>
    <m/>
    <m/>
    <m/>
    <n v="29440"/>
    <m/>
  </r>
  <r>
    <x v="310"/>
    <x v="6"/>
    <s v="페이스북/인스타그램"/>
    <x v="1"/>
    <x v="1"/>
    <x v="1"/>
    <m/>
    <m/>
    <m/>
    <n v="57799"/>
    <m/>
  </r>
  <r>
    <x v="310"/>
    <x v="6"/>
    <s v="페이스북/인스타그램"/>
    <x v="1"/>
    <x v="1"/>
    <x v="1"/>
    <m/>
    <m/>
    <m/>
    <n v="29371"/>
    <m/>
  </r>
  <r>
    <x v="310"/>
    <x v="6"/>
    <s v="페이스북/인스타그램"/>
    <x v="1"/>
    <x v="1"/>
    <x v="1"/>
    <m/>
    <m/>
    <m/>
    <n v="58285"/>
    <m/>
  </r>
  <r>
    <x v="310"/>
    <x v="6"/>
    <s v="페이스북/인스타그램"/>
    <x v="1"/>
    <x v="1"/>
    <x v="1"/>
    <m/>
    <m/>
    <m/>
    <n v="175205"/>
    <m/>
  </r>
  <r>
    <x v="310"/>
    <x v="6"/>
    <s v="페이스북/인스타그램"/>
    <x v="1"/>
    <x v="1"/>
    <x v="1"/>
    <m/>
    <m/>
    <m/>
    <n v="48305"/>
    <m/>
  </r>
  <r>
    <x v="310"/>
    <x v="6"/>
    <s v="페이스북/인스타그램"/>
    <x v="1"/>
    <x v="1"/>
    <x v="1"/>
    <m/>
    <m/>
    <m/>
    <n v="95839"/>
    <m/>
  </r>
  <r>
    <x v="310"/>
    <x v="6"/>
    <s v="페이스북/인스타그램"/>
    <x v="1"/>
    <x v="1"/>
    <x v="1"/>
    <m/>
    <m/>
    <m/>
    <n v="107171"/>
    <m/>
  </r>
  <r>
    <x v="310"/>
    <x v="6"/>
    <s v="페이스북/인스타그램"/>
    <x v="1"/>
    <x v="1"/>
    <x v="1"/>
    <m/>
    <m/>
    <m/>
    <n v="203264"/>
    <m/>
  </r>
  <r>
    <x v="310"/>
    <x v="6"/>
    <s v="페이스북/인스타그램"/>
    <x v="1"/>
    <x v="1"/>
    <x v="1"/>
    <m/>
    <m/>
    <m/>
    <n v="193243"/>
    <m/>
  </r>
  <r>
    <x v="310"/>
    <x v="6"/>
    <s v="페이스북/인스타그램"/>
    <x v="1"/>
    <x v="1"/>
    <x v="1"/>
    <m/>
    <m/>
    <m/>
    <n v="48567"/>
    <m/>
  </r>
  <r>
    <x v="310"/>
    <x v="6"/>
    <s v="페이스북/인스타그램"/>
    <x v="1"/>
    <x v="1"/>
    <x v="1"/>
    <m/>
    <m/>
    <m/>
    <n v="97242"/>
    <m/>
  </r>
  <r>
    <x v="310"/>
    <x v="6"/>
    <s v="페이스북/인스타그램"/>
    <x v="1"/>
    <x v="1"/>
    <x v="1"/>
    <m/>
    <m/>
    <m/>
    <n v="48045"/>
    <m/>
  </r>
  <r>
    <x v="310"/>
    <x v="6"/>
    <s v="페이스북/인스타그램"/>
    <x v="1"/>
    <x v="1"/>
    <x v="1"/>
    <m/>
    <m/>
    <m/>
    <n v="97747"/>
    <m/>
  </r>
  <r>
    <x v="310"/>
    <x v="6"/>
    <s v="페이스북/인스타그램"/>
    <x v="1"/>
    <x v="1"/>
    <x v="1"/>
    <m/>
    <m/>
    <m/>
    <n v="97299"/>
    <m/>
  </r>
  <r>
    <x v="310"/>
    <x v="6"/>
    <s v="페이스북/인스타그램"/>
    <x v="1"/>
    <x v="1"/>
    <x v="1"/>
    <m/>
    <m/>
    <m/>
    <n v="95546"/>
    <m/>
  </r>
  <r>
    <x v="310"/>
    <x v="6"/>
    <s v="페이스북/인스타그램"/>
    <x v="1"/>
    <x v="1"/>
    <x v="1"/>
    <m/>
    <m/>
    <m/>
    <n v="146706"/>
    <m/>
  </r>
  <r>
    <x v="310"/>
    <x v="6"/>
    <s v="페이스북/인스타그램"/>
    <x v="1"/>
    <x v="1"/>
    <x v="1"/>
    <m/>
    <m/>
    <m/>
    <n v="48417"/>
    <m/>
  </r>
  <r>
    <x v="310"/>
    <x v="6"/>
    <s v="페이스북/인스타그램"/>
    <x v="1"/>
    <x v="1"/>
    <x v="1"/>
    <m/>
    <m/>
    <m/>
    <n v="73231"/>
    <m/>
  </r>
  <r>
    <x v="310"/>
    <x v="6"/>
    <s v="유튜브 광고"/>
    <x v="1"/>
    <x v="1"/>
    <x v="1"/>
    <m/>
    <m/>
    <m/>
    <n v="37771"/>
    <m/>
  </r>
  <r>
    <x v="310"/>
    <x v="6"/>
    <s v="유튜브 광고"/>
    <x v="1"/>
    <x v="1"/>
    <x v="1"/>
    <m/>
    <m/>
    <m/>
    <n v="144182"/>
    <m/>
  </r>
  <r>
    <x v="310"/>
    <x v="6"/>
    <s v="유튜브 광고"/>
    <x v="1"/>
    <x v="1"/>
    <x v="1"/>
    <m/>
    <m/>
    <m/>
    <n v="464833"/>
    <m/>
  </r>
  <r>
    <x v="310"/>
    <x v="6"/>
    <s v="유튜브 광고"/>
    <x v="1"/>
    <x v="1"/>
    <x v="1"/>
    <m/>
    <m/>
    <m/>
    <n v="183734"/>
    <m/>
  </r>
  <r>
    <x v="310"/>
    <x v="6"/>
    <s v="유튜브 광고"/>
    <x v="1"/>
    <x v="1"/>
    <x v="1"/>
    <m/>
    <m/>
    <m/>
    <n v="43999"/>
    <m/>
  </r>
  <r>
    <x v="310"/>
    <x v="6"/>
    <s v="유튜브 광고"/>
    <x v="1"/>
    <x v="1"/>
    <x v="1"/>
    <m/>
    <m/>
    <m/>
    <n v="14815"/>
    <m/>
  </r>
  <r>
    <x v="310"/>
    <x v="6"/>
    <s v="유튜브 광고"/>
    <x v="1"/>
    <x v="1"/>
    <x v="1"/>
    <m/>
    <m/>
    <m/>
    <n v="48379"/>
    <m/>
  </r>
  <r>
    <x v="310"/>
    <x v="6"/>
    <s v="유튜브 광고"/>
    <x v="1"/>
    <x v="1"/>
    <x v="1"/>
    <m/>
    <m/>
    <m/>
    <n v="99958"/>
    <m/>
  </r>
  <r>
    <x v="310"/>
    <x v="6"/>
    <s v="유튜브 광고"/>
    <x v="1"/>
    <x v="1"/>
    <x v="1"/>
    <m/>
    <m/>
    <m/>
    <n v="200308"/>
    <m/>
  </r>
  <r>
    <x v="310"/>
    <x v="6"/>
    <s v="유튜브 광고"/>
    <x v="1"/>
    <x v="1"/>
    <x v="1"/>
    <m/>
    <m/>
    <m/>
    <n v="157080"/>
    <m/>
  </r>
  <r>
    <x v="310"/>
    <x v="6"/>
    <s v="유튜브 광고"/>
    <x v="1"/>
    <x v="1"/>
    <x v="1"/>
    <m/>
    <m/>
    <m/>
    <n v="499862"/>
    <m/>
  </r>
  <r>
    <x v="310"/>
    <x v="6"/>
    <s v="유튜브 광고"/>
    <x v="1"/>
    <x v="1"/>
    <x v="1"/>
    <m/>
    <m/>
    <m/>
    <n v="300609"/>
    <m/>
  </r>
  <r>
    <x v="310"/>
    <x v="6"/>
    <s v="네이버 쇼핑검색"/>
    <x v="1"/>
    <x v="1"/>
    <x v="1"/>
    <m/>
    <m/>
    <m/>
    <n v="10250"/>
    <m/>
  </r>
  <r>
    <x v="310"/>
    <x v="6"/>
    <s v="네이버 쇼핑검색"/>
    <x v="1"/>
    <x v="1"/>
    <x v="1"/>
    <m/>
    <m/>
    <m/>
    <n v="30840"/>
    <m/>
  </r>
  <r>
    <x v="310"/>
    <x v="6"/>
    <s v="네이버 쇼핑검색"/>
    <x v="1"/>
    <x v="1"/>
    <x v="1"/>
    <m/>
    <m/>
    <m/>
    <n v="19610"/>
    <m/>
  </r>
  <r>
    <x v="310"/>
    <x v="6"/>
    <s v="네이버 쇼핑검색"/>
    <x v="1"/>
    <x v="1"/>
    <x v="1"/>
    <m/>
    <m/>
    <m/>
    <n v="26560"/>
    <m/>
  </r>
  <r>
    <x v="310"/>
    <x v="6"/>
    <s v="네이버 브랜드검색"/>
    <x v="3"/>
    <x v="1"/>
    <x v="1"/>
    <m/>
    <m/>
    <m/>
    <n v="0"/>
    <m/>
  </r>
  <r>
    <x v="310"/>
    <x v="6"/>
    <s v="네이버 브랜드검색"/>
    <x v="3"/>
    <x v="1"/>
    <x v="1"/>
    <m/>
    <m/>
    <m/>
    <n v="0"/>
    <m/>
  </r>
  <r>
    <x v="310"/>
    <x v="6"/>
    <s v="카카오 배너"/>
    <x v="1"/>
    <x v="1"/>
    <x v="1"/>
    <m/>
    <m/>
    <m/>
    <n v="182130"/>
    <m/>
  </r>
  <r>
    <x v="310"/>
    <x v="6"/>
    <s v="카카오 배너"/>
    <x v="1"/>
    <x v="1"/>
    <x v="1"/>
    <m/>
    <m/>
    <m/>
    <n v="929479.9999999999"/>
    <m/>
  </r>
  <r>
    <x v="310"/>
    <x v="6"/>
    <m/>
    <x v="1"/>
    <x v="4"/>
    <x v="155"/>
    <n v="27"/>
    <s v="스테이포에버"/>
    <s v="210207"/>
    <m/>
    <n v="918000"/>
  </r>
  <r>
    <x v="310"/>
    <x v="6"/>
    <m/>
    <x v="1"/>
    <x v="4"/>
    <x v="157"/>
    <n v="2"/>
    <s v="이그나이트 + 스테이포에버"/>
    <s v="210207"/>
    <m/>
    <n v="117600"/>
  </r>
  <r>
    <x v="310"/>
    <x v="6"/>
    <m/>
    <x v="1"/>
    <x v="3"/>
    <x v="150"/>
    <n v="3"/>
    <s v="이그나이트 + 스테이포에버"/>
    <s v="210207"/>
    <m/>
    <n v="176400"/>
  </r>
  <r>
    <x v="310"/>
    <x v="6"/>
    <m/>
    <x v="1"/>
    <x v="3"/>
    <x v="151"/>
    <n v="3"/>
    <s v="스테이포에버 2set"/>
    <s v="210207"/>
    <m/>
    <n v="176400"/>
  </r>
  <r>
    <x v="310"/>
    <x v="6"/>
    <m/>
    <x v="1"/>
    <x v="3"/>
    <x v="152"/>
    <n v="32"/>
    <s v="스테이포에버"/>
    <s v="210207"/>
    <m/>
    <n v="1088000"/>
  </r>
  <r>
    <x v="310"/>
    <x v="6"/>
    <m/>
    <x v="1"/>
    <x v="0"/>
    <x v="135"/>
    <n v="5"/>
    <s v="스테이포에버"/>
    <s v="210207"/>
    <m/>
    <n v="170000"/>
  </r>
  <r>
    <x v="310"/>
    <x v="6"/>
    <m/>
    <x v="1"/>
    <x v="0"/>
    <x v="136"/>
    <n v="8"/>
    <s v="스테이포에버 2set"/>
    <s v="210207"/>
    <m/>
    <n v="470400"/>
  </r>
  <r>
    <x v="310"/>
    <x v="6"/>
    <m/>
    <x v="1"/>
    <x v="0"/>
    <x v="137"/>
    <n v="9"/>
    <s v="이그나이트 + 스테이포에버"/>
    <s v="210207"/>
    <m/>
    <n v="529200"/>
  </r>
  <r>
    <x v="310"/>
    <x v="6"/>
    <m/>
    <x v="1"/>
    <x v="0"/>
    <x v="144"/>
    <n v="1"/>
    <s v="이그나이트 + 스테이포에버"/>
    <s v="210207"/>
    <m/>
    <n v="58800"/>
  </r>
  <r>
    <x v="310"/>
    <x v="6"/>
    <m/>
    <x v="1"/>
    <x v="0"/>
    <x v="138"/>
    <n v="182"/>
    <s v="스테이포에버"/>
    <s v="210207"/>
    <m/>
    <n v="6188000"/>
  </r>
  <r>
    <x v="310"/>
    <x v="6"/>
    <m/>
    <x v="1"/>
    <x v="0"/>
    <x v="139"/>
    <n v="102"/>
    <s v="스테이포에버 2set"/>
    <s v="210207"/>
    <m/>
    <n v="5997600"/>
  </r>
  <r>
    <x v="310"/>
    <x v="6"/>
    <m/>
    <x v="1"/>
    <x v="0"/>
    <x v="140"/>
    <n v="7"/>
    <s v="이그나이트 + 스테이포에버"/>
    <s v="210207"/>
    <m/>
    <n v="411600"/>
  </r>
  <r>
    <x v="310"/>
    <x v="6"/>
    <m/>
    <x v="0"/>
    <x v="0"/>
    <x v="0"/>
    <n v="6"/>
    <s v="쇼핑백"/>
    <s v="210207"/>
    <m/>
    <n v="12000"/>
  </r>
  <r>
    <x v="310"/>
    <x v="6"/>
    <m/>
    <x v="1"/>
    <x v="0"/>
    <x v="141"/>
    <n v="2"/>
    <s v="이그나이트"/>
    <s v="210207"/>
    <m/>
    <n v="68000"/>
  </r>
  <r>
    <x v="310"/>
    <x v="6"/>
    <s v="네이버 배너"/>
    <x v="1"/>
    <x v="1"/>
    <x v="1"/>
    <m/>
    <m/>
    <m/>
    <n v="0"/>
    <m/>
  </r>
  <r>
    <x v="310"/>
    <x v="6"/>
    <s v="네이버 배너"/>
    <x v="1"/>
    <x v="1"/>
    <x v="1"/>
    <m/>
    <m/>
    <m/>
    <n v="1524417.272727273"/>
    <m/>
  </r>
  <r>
    <x v="311"/>
    <x v="0"/>
    <s v="페이스북/인스타그램"/>
    <x v="1"/>
    <x v="1"/>
    <x v="1"/>
    <m/>
    <m/>
    <m/>
    <n v="29946"/>
    <m/>
  </r>
  <r>
    <x v="311"/>
    <x v="0"/>
    <s v="페이스북/인스타그램"/>
    <x v="1"/>
    <x v="1"/>
    <x v="1"/>
    <m/>
    <m/>
    <m/>
    <n v="60673"/>
    <m/>
  </r>
  <r>
    <x v="311"/>
    <x v="0"/>
    <s v="페이스북/인스타그램"/>
    <x v="1"/>
    <x v="1"/>
    <x v="1"/>
    <m/>
    <m/>
    <m/>
    <n v="31009"/>
    <m/>
  </r>
  <r>
    <x v="311"/>
    <x v="0"/>
    <s v="페이스북/인스타그램"/>
    <x v="1"/>
    <x v="1"/>
    <x v="1"/>
    <m/>
    <m/>
    <m/>
    <n v="60214"/>
    <m/>
  </r>
  <r>
    <x v="311"/>
    <x v="0"/>
    <s v="페이스북/인스타그램"/>
    <x v="1"/>
    <x v="1"/>
    <x v="1"/>
    <m/>
    <m/>
    <m/>
    <n v="200024"/>
    <m/>
  </r>
  <r>
    <x v="311"/>
    <x v="0"/>
    <s v="페이스북/인스타그램"/>
    <x v="1"/>
    <x v="1"/>
    <x v="1"/>
    <m/>
    <m/>
    <m/>
    <n v="50448"/>
    <m/>
  </r>
  <r>
    <x v="311"/>
    <x v="0"/>
    <s v="페이스북/인스타그램"/>
    <x v="1"/>
    <x v="1"/>
    <x v="1"/>
    <m/>
    <m/>
    <m/>
    <n v="100553"/>
    <m/>
  </r>
  <r>
    <x v="311"/>
    <x v="0"/>
    <s v="페이스북/인스타그램"/>
    <x v="1"/>
    <x v="1"/>
    <x v="1"/>
    <m/>
    <m/>
    <m/>
    <n v="110558"/>
    <m/>
  </r>
  <r>
    <x v="311"/>
    <x v="0"/>
    <s v="페이스북/인스타그램"/>
    <x v="1"/>
    <x v="1"/>
    <x v="1"/>
    <m/>
    <m/>
    <m/>
    <n v="210319"/>
    <m/>
  </r>
  <r>
    <x v="311"/>
    <x v="0"/>
    <s v="페이스북/인스타그램"/>
    <x v="1"/>
    <x v="1"/>
    <x v="1"/>
    <m/>
    <m/>
    <m/>
    <n v="201731"/>
    <m/>
  </r>
  <r>
    <x v="311"/>
    <x v="0"/>
    <s v="페이스북/인스타그램"/>
    <x v="1"/>
    <x v="1"/>
    <x v="1"/>
    <m/>
    <m/>
    <m/>
    <n v="49586"/>
    <m/>
  </r>
  <r>
    <x v="311"/>
    <x v="0"/>
    <s v="페이스북/인스타그램"/>
    <x v="1"/>
    <x v="1"/>
    <x v="1"/>
    <m/>
    <m/>
    <m/>
    <n v="99159"/>
    <m/>
  </r>
  <r>
    <x v="311"/>
    <x v="0"/>
    <s v="페이스북/인스타그램"/>
    <x v="1"/>
    <x v="1"/>
    <x v="1"/>
    <m/>
    <m/>
    <m/>
    <n v="49808"/>
    <m/>
  </r>
  <r>
    <x v="311"/>
    <x v="0"/>
    <s v="페이스북/인스타그램"/>
    <x v="1"/>
    <x v="1"/>
    <x v="1"/>
    <m/>
    <m/>
    <m/>
    <n v="101754"/>
    <m/>
  </r>
  <r>
    <x v="311"/>
    <x v="0"/>
    <s v="페이스북/인스타그램"/>
    <x v="1"/>
    <x v="1"/>
    <x v="1"/>
    <m/>
    <m/>
    <m/>
    <n v="99791"/>
    <m/>
  </r>
  <r>
    <x v="311"/>
    <x v="0"/>
    <s v="페이스북/인스타그램"/>
    <x v="1"/>
    <x v="1"/>
    <x v="1"/>
    <m/>
    <m/>
    <m/>
    <n v="98627"/>
    <m/>
  </r>
  <r>
    <x v="311"/>
    <x v="0"/>
    <s v="페이스북/인스타그램"/>
    <x v="1"/>
    <x v="1"/>
    <x v="1"/>
    <m/>
    <m/>
    <m/>
    <n v="150904"/>
    <m/>
  </r>
  <r>
    <x v="311"/>
    <x v="0"/>
    <s v="페이스북/인스타그램"/>
    <x v="1"/>
    <x v="1"/>
    <x v="1"/>
    <m/>
    <m/>
    <m/>
    <n v="50556"/>
    <m/>
  </r>
  <r>
    <x v="311"/>
    <x v="0"/>
    <s v="페이스북/인스타그램"/>
    <x v="1"/>
    <x v="1"/>
    <x v="1"/>
    <m/>
    <m/>
    <m/>
    <n v="75379"/>
    <m/>
  </r>
  <r>
    <x v="311"/>
    <x v="0"/>
    <s v="유튜브 광고"/>
    <x v="1"/>
    <x v="1"/>
    <x v="1"/>
    <m/>
    <m/>
    <m/>
    <n v="28901"/>
    <m/>
  </r>
  <r>
    <x v="311"/>
    <x v="0"/>
    <s v="유튜브 광고"/>
    <x v="1"/>
    <x v="1"/>
    <x v="1"/>
    <m/>
    <m/>
    <m/>
    <n v="91915"/>
    <m/>
  </r>
  <r>
    <x v="311"/>
    <x v="0"/>
    <s v="유튜브 광고"/>
    <x v="1"/>
    <x v="1"/>
    <x v="1"/>
    <m/>
    <m/>
    <m/>
    <n v="392012"/>
    <m/>
  </r>
  <r>
    <x v="311"/>
    <x v="0"/>
    <s v="유튜브 광고"/>
    <x v="1"/>
    <x v="1"/>
    <x v="1"/>
    <m/>
    <m/>
    <m/>
    <n v="199905"/>
    <m/>
  </r>
  <r>
    <x v="311"/>
    <x v="0"/>
    <s v="유튜브 광고"/>
    <x v="1"/>
    <x v="1"/>
    <x v="1"/>
    <m/>
    <m/>
    <m/>
    <n v="36974"/>
    <m/>
  </r>
  <r>
    <x v="311"/>
    <x v="0"/>
    <s v="유튜브 광고"/>
    <x v="1"/>
    <x v="1"/>
    <x v="1"/>
    <m/>
    <m/>
    <m/>
    <n v="28612"/>
    <m/>
  </r>
  <r>
    <x v="311"/>
    <x v="0"/>
    <s v="유튜브 광고"/>
    <x v="1"/>
    <x v="1"/>
    <x v="1"/>
    <m/>
    <m/>
    <m/>
    <n v="14768"/>
    <m/>
  </r>
  <r>
    <x v="311"/>
    <x v="0"/>
    <s v="유튜브 광고"/>
    <x v="1"/>
    <x v="1"/>
    <x v="1"/>
    <m/>
    <m/>
    <m/>
    <n v="99969"/>
    <m/>
  </r>
  <r>
    <x v="311"/>
    <x v="0"/>
    <s v="유튜브 광고"/>
    <x v="1"/>
    <x v="1"/>
    <x v="1"/>
    <m/>
    <m/>
    <m/>
    <n v="199950"/>
    <m/>
  </r>
  <r>
    <x v="311"/>
    <x v="0"/>
    <s v="유튜브 광고"/>
    <x v="1"/>
    <x v="1"/>
    <x v="1"/>
    <m/>
    <m/>
    <m/>
    <n v="107796"/>
    <m/>
  </r>
  <r>
    <x v="311"/>
    <x v="0"/>
    <s v="유튜브 광고"/>
    <x v="1"/>
    <x v="1"/>
    <x v="1"/>
    <m/>
    <m/>
    <m/>
    <n v="499573"/>
    <m/>
  </r>
  <r>
    <x v="311"/>
    <x v="0"/>
    <s v="유튜브 광고"/>
    <x v="1"/>
    <x v="1"/>
    <x v="1"/>
    <m/>
    <m/>
    <m/>
    <n v="299922"/>
    <m/>
  </r>
  <r>
    <x v="311"/>
    <x v="0"/>
    <s v="유튜브 광고"/>
    <x v="2"/>
    <x v="1"/>
    <x v="1"/>
    <m/>
    <m/>
    <m/>
    <n v="100345"/>
    <m/>
  </r>
  <r>
    <x v="311"/>
    <x v="0"/>
    <s v="네이버 쇼핑검색"/>
    <x v="1"/>
    <x v="1"/>
    <x v="1"/>
    <m/>
    <m/>
    <m/>
    <n v="23470"/>
    <m/>
  </r>
  <r>
    <x v="311"/>
    <x v="0"/>
    <s v="네이버 쇼핑검색"/>
    <x v="1"/>
    <x v="1"/>
    <x v="1"/>
    <m/>
    <m/>
    <m/>
    <n v="8640"/>
    <m/>
  </r>
  <r>
    <x v="311"/>
    <x v="0"/>
    <s v="네이버 쇼핑검색"/>
    <x v="1"/>
    <x v="1"/>
    <x v="1"/>
    <m/>
    <m/>
    <m/>
    <n v="6089.999999999999"/>
    <m/>
  </r>
  <r>
    <x v="311"/>
    <x v="0"/>
    <s v="네이버 쇼핑검색"/>
    <x v="1"/>
    <x v="1"/>
    <x v="1"/>
    <m/>
    <m/>
    <m/>
    <n v="97679.99999999999"/>
    <m/>
  </r>
  <r>
    <x v="311"/>
    <x v="0"/>
    <s v="네이버 브랜드검색"/>
    <x v="3"/>
    <x v="1"/>
    <x v="1"/>
    <m/>
    <m/>
    <m/>
    <n v="0"/>
    <m/>
  </r>
  <r>
    <x v="311"/>
    <x v="0"/>
    <s v="네이버 브랜드검색"/>
    <x v="3"/>
    <x v="1"/>
    <x v="1"/>
    <m/>
    <m/>
    <m/>
    <n v="0"/>
    <m/>
  </r>
  <r>
    <x v="311"/>
    <x v="0"/>
    <s v="카카오 배너"/>
    <x v="1"/>
    <x v="1"/>
    <x v="1"/>
    <m/>
    <m/>
    <m/>
    <n v="182830"/>
    <m/>
  </r>
  <r>
    <x v="311"/>
    <x v="0"/>
    <s v="카카오 배너"/>
    <x v="1"/>
    <x v="1"/>
    <x v="1"/>
    <m/>
    <m/>
    <m/>
    <n v="910129.9999999999"/>
    <m/>
  </r>
  <r>
    <x v="311"/>
    <x v="0"/>
    <m/>
    <x v="1"/>
    <x v="4"/>
    <x v="158"/>
    <n v="1"/>
    <s v="이그나이트"/>
    <s v="210207"/>
    <m/>
    <n v="34000"/>
  </r>
  <r>
    <x v="311"/>
    <x v="0"/>
    <m/>
    <x v="1"/>
    <x v="4"/>
    <x v="155"/>
    <n v="5"/>
    <s v="스테이포에버"/>
    <s v="210207"/>
    <m/>
    <n v="170000"/>
  </r>
  <r>
    <x v="311"/>
    <x v="0"/>
    <m/>
    <x v="1"/>
    <x v="4"/>
    <x v="157"/>
    <n v="2"/>
    <s v="이그나이트 + 스테이포에버"/>
    <s v="210207"/>
    <m/>
    <n v="117600"/>
  </r>
  <r>
    <x v="311"/>
    <x v="0"/>
    <m/>
    <x v="1"/>
    <x v="3"/>
    <x v="150"/>
    <n v="4"/>
    <s v="이그나이트 + 스테이포에버"/>
    <s v="210207"/>
    <m/>
    <n v="235200"/>
  </r>
  <r>
    <x v="311"/>
    <x v="0"/>
    <m/>
    <x v="1"/>
    <x v="3"/>
    <x v="151"/>
    <n v="6"/>
    <s v="스테이포에버 2set"/>
    <s v="210207"/>
    <m/>
    <n v="352800"/>
  </r>
  <r>
    <x v="311"/>
    <x v="0"/>
    <m/>
    <x v="1"/>
    <x v="3"/>
    <x v="152"/>
    <n v="12"/>
    <s v="스테이포에버"/>
    <s v="210207"/>
    <m/>
    <n v="408000"/>
  </r>
  <r>
    <x v="311"/>
    <x v="0"/>
    <m/>
    <x v="1"/>
    <x v="3"/>
    <x v="154"/>
    <n v="1"/>
    <s v="이그나이트"/>
    <s v="210207"/>
    <m/>
    <n v="34000"/>
  </r>
  <r>
    <x v="311"/>
    <x v="0"/>
    <m/>
    <x v="1"/>
    <x v="0"/>
    <x v="134"/>
    <n v="1"/>
    <s v="이그나이트"/>
    <s v="210207"/>
    <m/>
    <n v="34000"/>
  </r>
  <r>
    <x v="311"/>
    <x v="0"/>
    <m/>
    <x v="1"/>
    <x v="0"/>
    <x v="145"/>
    <n v="1"/>
    <s v="이그나이트 2set"/>
    <s v="210207"/>
    <m/>
    <n v="58800"/>
  </r>
  <r>
    <x v="311"/>
    <x v="0"/>
    <m/>
    <x v="1"/>
    <x v="0"/>
    <x v="135"/>
    <n v="6"/>
    <s v="스테이포에버"/>
    <s v="210207"/>
    <m/>
    <n v="204000"/>
  </r>
  <r>
    <x v="311"/>
    <x v="0"/>
    <m/>
    <x v="1"/>
    <x v="0"/>
    <x v="136"/>
    <n v="4"/>
    <s v="스테이포에버 2set"/>
    <s v="210207"/>
    <m/>
    <n v="235200"/>
  </r>
  <r>
    <x v="311"/>
    <x v="0"/>
    <m/>
    <x v="1"/>
    <x v="0"/>
    <x v="137"/>
    <n v="12"/>
    <s v="이그나이트 + 스테이포에버"/>
    <s v="210207"/>
    <m/>
    <n v="705600"/>
  </r>
  <r>
    <x v="311"/>
    <x v="0"/>
    <m/>
    <x v="1"/>
    <x v="0"/>
    <x v="144"/>
    <n v="3"/>
    <s v="이그나이트 + 스테이포에버"/>
    <s v="210207"/>
    <m/>
    <n v="176400"/>
  </r>
  <r>
    <x v="311"/>
    <x v="0"/>
    <m/>
    <x v="1"/>
    <x v="0"/>
    <x v="138"/>
    <n v="182"/>
    <s v="스테이포에버"/>
    <s v="210207"/>
    <m/>
    <n v="6188000"/>
  </r>
  <r>
    <x v="311"/>
    <x v="0"/>
    <m/>
    <x v="1"/>
    <x v="0"/>
    <x v="139"/>
    <n v="111"/>
    <s v="스테이포에버 2set"/>
    <s v="210207"/>
    <m/>
    <n v="6526800"/>
  </r>
  <r>
    <x v="311"/>
    <x v="0"/>
    <m/>
    <x v="1"/>
    <x v="0"/>
    <x v="140"/>
    <n v="12"/>
    <s v="이그나이트 + 스테이포에버"/>
    <s v="210207"/>
    <m/>
    <n v="705600"/>
  </r>
  <r>
    <x v="311"/>
    <x v="0"/>
    <m/>
    <x v="0"/>
    <x v="0"/>
    <x v="0"/>
    <n v="8"/>
    <s v="쇼핑백"/>
    <s v="210207"/>
    <m/>
    <n v="16000"/>
  </r>
  <r>
    <x v="311"/>
    <x v="0"/>
    <m/>
    <x v="1"/>
    <x v="0"/>
    <x v="141"/>
    <n v="4"/>
    <s v="이그나이트"/>
    <s v="210207"/>
    <m/>
    <n v="136000"/>
  </r>
  <r>
    <x v="311"/>
    <x v="0"/>
    <m/>
    <x v="0"/>
    <x v="0"/>
    <x v="143"/>
    <n v="1"/>
    <s v="쇼핑백"/>
    <s v="210207"/>
    <m/>
    <n v="2000"/>
  </r>
  <r>
    <x v="311"/>
    <x v="0"/>
    <s v="네이버 배너"/>
    <x v="1"/>
    <x v="1"/>
    <x v="1"/>
    <m/>
    <m/>
    <m/>
    <n v="1671645.454545454"/>
    <m/>
  </r>
  <r>
    <x v="312"/>
    <x v="3"/>
    <s v="페이스북/인스타그램"/>
    <x v="1"/>
    <x v="1"/>
    <x v="1"/>
    <m/>
    <m/>
    <m/>
    <n v="18452"/>
    <m/>
  </r>
  <r>
    <x v="312"/>
    <x v="3"/>
    <s v="페이스북/인스타그램"/>
    <x v="1"/>
    <x v="1"/>
    <x v="1"/>
    <m/>
    <m/>
    <m/>
    <n v="20054"/>
    <m/>
  </r>
  <r>
    <x v="312"/>
    <x v="3"/>
    <s v="페이스북/인스타그램"/>
    <x v="1"/>
    <x v="1"/>
    <x v="1"/>
    <m/>
    <m/>
    <m/>
    <n v="37293"/>
    <m/>
  </r>
  <r>
    <x v="312"/>
    <x v="3"/>
    <s v="페이스북/인스타그램"/>
    <x v="1"/>
    <x v="1"/>
    <x v="1"/>
    <m/>
    <m/>
    <m/>
    <n v="19374"/>
    <m/>
  </r>
  <r>
    <x v="312"/>
    <x v="3"/>
    <s v="페이스북/인스타그램"/>
    <x v="1"/>
    <x v="1"/>
    <x v="1"/>
    <m/>
    <m/>
    <m/>
    <n v="60630"/>
    <m/>
  </r>
  <r>
    <x v="312"/>
    <x v="3"/>
    <s v="페이스북/인스타그램"/>
    <x v="1"/>
    <x v="1"/>
    <x v="1"/>
    <m/>
    <m/>
    <m/>
    <n v="199179"/>
    <m/>
  </r>
  <r>
    <x v="312"/>
    <x v="3"/>
    <s v="페이스북/인스타그램"/>
    <x v="1"/>
    <x v="1"/>
    <x v="1"/>
    <m/>
    <m/>
    <m/>
    <n v="58521"/>
    <m/>
  </r>
  <r>
    <x v="312"/>
    <x v="3"/>
    <s v="페이스북/인스타그램"/>
    <x v="1"/>
    <x v="1"/>
    <x v="1"/>
    <m/>
    <m/>
    <m/>
    <n v="100992"/>
    <m/>
  </r>
  <r>
    <x v="312"/>
    <x v="3"/>
    <s v="페이스북/인스타그램"/>
    <x v="1"/>
    <x v="1"/>
    <x v="1"/>
    <m/>
    <m/>
    <m/>
    <n v="110954"/>
    <m/>
  </r>
  <r>
    <x v="312"/>
    <x v="3"/>
    <s v="페이스북/인스타그램"/>
    <x v="1"/>
    <x v="1"/>
    <x v="1"/>
    <m/>
    <m/>
    <m/>
    <n v="211520"/>
    <m/>
  </r>
  <r>
    <x v="312"/>
    <x v="3"/>
    <s v="페이스북/인스타그램"/>
    <x v="1"/>
    <x v="1"/>
    <x v="1"/>
    <m/>
    <m/>
    <m/>
    <n v="198625"/>
    <m/>
  </r>
  <r>
    <x v="312"/>
    <x v="3"/>
    <s v="페이스북/인스타그램"/>
    <x v="1"/>
    <x v="1"/>
    <x v="1"/>
    <m/>
    <m/>
    <m/>
    <n v="50147"/>
    <m/>
  </r>
  <r>
    <x v="312"/>
    <x v="3"/>
    <s v="페이스북/인스타그램"/>
    <x v="1"/>
    <x v="1"/>
    <x v="1"/>
    <m/>
    <m/>
    <m/>
    <n v="99176"/>
    <m/>
  </r>
  <r>
    <x v="312"/>
    <x v="3"/>
    <s v="페이스북/인스타그램"/>
    <x v="1"/>
    <x v="1"/>
    <x v="1"/>
    <m/>
    <m/>
    <m/>
    <n v="50648"/>
    <m/>
  </r>
  <r>
    <x v="312"/>
    <x v="3"/>
    <s v="페이스북/인스타그램"/>
    <x v="1"/>
    <x v="1"/>
    <x v="1"/>
    <m/>
    <m/>
    <m/>
    <n v="100730"/>
    <m/>
  </r>
  <r>
    <x v="312"/>
    <x v="3"/>
    <s v="페이스북/인스타그램"/>
    <x v="1"/>
    <x v="1"/>
    <x v="1"/>
    <m/>
    <m/>
    <m/>
    <n v="100345"/>
    <m/>
  </r>
  <r>
    <x v="312"/>
    <x v="3"/>
    <s v="페이스북/인스타그램"/>
    <x v="1"/>
    <x v="1"/>
    <x v="1"/>
    <m/>
    <m/>
    <m/>
    <n v="77333"/>
    <m/>
  </r>
  <r>
    <x v="312"/>
    <x v="3"/>
    <s v="페이스북/인스타그램"/>
    <x v="1"/>
    <x v="1"/>
    <x v="1"/>
    <m/>
    <m/>
    <m/>
    <n v="150728"/>
    <m/>
  </r>
  <r>
    <x v="312"/>
    <x v="3"/>
    <s v="페이스북/인스타그램"/>
    <x v="1"/>
    <x v="1"/>
    <x v="1"/>
    <m/>
    <m/>
    <m/>
    <n v="52587"/>
    <m/>
  </r>
  <r>
    <x v="312"/>
    <x v="3"/>
    <s v="페이스북/인스타그램"/>
    <x v="1"/>
    <x v="1"/>
    <x v="1"/>
    <m/>
    <m/>
    <m/>
    <n v="75445"/>
    <m/>
  </r>
  <r>
    <x v="312"/>
    <x v="3"/>
    <s v="유튜브 광고"/>
    <x v="1"/>
    <x v="1"/>
    <x v="1"/>
    <m/>
    <m/>
    <m/>
    <n v="23754"/>
    <m/>
  </r>
  <r>
    <x v="312"/>
    <x v="3"/>
    <s v="유튜브 광고"/>
    <x v="1"/>
    <x v="1"/>
    <x v="1"/>
    <m/>
    <m/>
    <m/>
    <n v="289193"/>
    <m/>
  </r>
  <r>
    <x v="312"/>
    <x v="3"/>
    <s v="유튜브 광고"/>
    <x v="1"/>
    <x v="1"/>
    <x v="1"/>
    <m/>
    <m/>
    <m/>
    <n v="447458"/>
    <m/>
  </r>
  <r>
    <x v="312"/>
    <x v="3"/>
    <s v="유튜브 광고"/>
    <x v="1"/>
    <x v="1"/>
    <x v="1"/>
    <m/>
    <m/>
    <m/>
    <n v="200034"/>
    <m/>
  </r>
  <r>
    <x v="312"/>
    <x v="3"/>
    <s v="유튜브 광고"/>
    <x v="1"/>
    <x v="1"/>
    <x v="1"/>
    <m/>
    <m/>
    <m/>
    <n v="30901"/>
    <m/>
  </r>
  <r>
    <x v="312"/>
    <x v="3"/>
    <s v="유튜브 광고"/>
    <x v="1"/>
    <x v="1"/>
    <x v="1"/>
    <m/>
    <m/>
    <m/>
    <n v="139999"/>
    <m/>
  </r>
  <r>
    <x v="312"/>
    <x v="3"/>
    <s v="유튜브 광고"/>
    <x v="1"/>
    <x v="1"/>
    <x v="1"/>
    <m/>
    <m/>
    <m/>
    <n v="15922"/>
    <m/>
  </r>
  <r>
    <x v="312"/>
    <x v="3"/>
    <s v="유튜브 광고"/>
    <x v="1"/>
    <x v="1"/>
    <x v="1"/>
    <m/>
    <m/>
    <m/>
    <n v="100103"/>
    <m/>
  </r>
  <r>
    <x v="312"/>
    <x v="3"/>
    <s v="유튜브 광고"/>
    <x v="1"/>
    <x v="1"/>
    <x v="1"/>
    <m/>
    <m/>
    <m/>
    <n v="200015"/>
    <m/>
  </r>
  <r>
    <x v="312"/>
    <x v="3"/>
    <s v="유튜브 광고"/>
    <x v="1"/>
    <x v="1"/>
    <x v="1"/>
    <m/>
    <m/>
    <m/>
    <n v="99691"/>
    <m/>
  </r>
  <r>
    <x v="312"/>
    <x v="3"/>
    <s v="유튜브 광고"/>
    <x v="1"/>
    <x v="1"/>
    <x v="1"/>
    <m/>
    <m/>
    <m/>
    <n v="500503"/>
    <m/>
  </r>
  <r>
    <x v="312"/>
    <x v="3"/>
    <s v="유튜브 광고"/>
    <x v="1"/>
    <x v="1"/>
    <x v="1"/>
    <m/>
    <m/>
    <m/>
    <n v="299988"/>
    <m/>
  </r>
  <r>
    <x v="312"/>
    <x v="3"/>
    <s v="유튜브 광고"/>
    <x v="1"/>
    <x v="1"/>
    <x v="1"/>
    <m/>
    <m/>
    <m/>
    <n v="26938"/>
    <m/>
  </r>
  <r>
    <x v="312"/>
    <x v="3"/>
    <s v="네이버 쇼핑검색"/>
    <x v="1"/>
    <x v="1"/>
    <x v="1"/>
    <m/>
    <m/>
    <m/>
    <n v="5400"/>
    <m/>
  </r>
  <r>
    <x v="312"/>
    <x v="3"/>
    <s v="네이버 쇼핑검색"/>
    <x v="1"/>
    <x v="1"/>
    <x v="1"/>
    <m/>
    <m/>
    <m/>
    <n v="0"/>
    <m/>
  </r>
  <r>
    <x v="312"/>
    <x v="3"/>
    <s v="네이버 쇼핑검색"/>
    <x v="1"/>
    <x v="1"/>
    <x v="1"/>
    <m/>
    <m/>
    <m/>
    <n v="130890"/>
    <m/>
  </r>
  <r>
    <x v="312"/>
    <x v="3"/>
    <s v="네이버 브랜드검색"/>
    <x v="3"/>
    <x v="1"/>
    <x v="1"/>
    <m/>
    <m/>
    <m/>
    <n v="140000"/>
    <m/>
  </r>
  <r>
    <x v="312"/>
    <x v="3"/>
    <s v="네이버 브랜드검색"/>
    <x v="3"/>
    <x v="1"/>
    <x v="1"/>
    <m/>
    <m/>
    <m/>
    <n v="16700"/>
    <m/>
  </r>
  <r>
    <x v="312"/>
    <x v="3"/>
    <s v="카카오 배너"/>
    <x v="1"/>
    <x v="1"/>
    <x v="1"/>
    <m/>
    <m/>
    <m/>
    <n v="182360"/>
    <m/>
  </r>
  <r>
    <x v="312"/>
    <x v="3"/>
    <s v="카카오 배너"/>
    <x v="1"/>
    <x v="1"/>
    <x v="1"/>
    <m/>
    <m/>
    <m/>
    <n v="864289.9999999999"/>
    <m/>
  </r>
  <r>
    <x v="312"/>
    <x v="3"/>
    <m/>
    <x v="1"/>
    <x v="4"/>
    <x v="158"/>
    <n v="1"/>
    <s v="이그나이트"/>
    <s v="210207"/>
    <m/>
    <n v="34000"/>
  </r>
  <r>
    <x v="312"/>
    <x v="3"/>
    <m/>
    <x v="1"/>
    <x v="4"/>
    <x v="155"/>
    <n v="10"/>
    <s v="스테이포에버"/>
    <s v="210207"/>
    <m/>
    <n v="340000"/>
  </r>
  <r>
    <x v="312"/>
    <x v="3"/>
    <m/>
    <x v="1"/>
    <x v="4"/>
    <x v="157"/>
    <n v="1"/>
    <s v="이그나이트 + 스테이포에버"/>
    <s v="210207"/>
    <m/>
    <n v="58800"/>
  </r>
  <r>
    <x v="312"/>
    <x v="3"/>
    <m/>
    <x v="1"/>
    <x v="3"/>
    <x v="150"/>
    <n v="2"/>
    <s v="이그나이트 + 스테이포에버"/>
    <s v="210207"/>
    <m/>
    <n v="117600"/>
  </r>
  <r>
    <x v="312"/>
    <x v="3"/>
    <m/>
    <x v="1"/>
    <x v="3"/>
    <x v="151"/>
    <n v="2"/>
    <s v="스테이포에버 2set"/>
    <s v="210207"/>
    <m/>
    <n v="117600"/>
  </r>
  <r>
    <x v="312"/>
    <x v="3"/>
    <m/>
    <x v="1"/>
    <x v="3"/>
    <x v="152"/>
    <n v="23"/>
    <s v="스테이포에버"/>
    <s v="210207"/>
    <m/>
    <n v="782000"/>
  </r>
  <r>
    <x v="312"/>
    <x v="3"/>
    <m/>
    <x v="1"/>
    <x v="0"/>
    <x v="135"/>
    <n v="4"/>
    <s v="스테이포에버"/>
    <s v="210207"/>
    <m/>
    <n v="136000"/>
  </r>
  <r>
    <x v="312"/>
    <x v="3"/>
    <m/>
    <x v="1"/>
    <x v="0"/>
    <x v="136"/>
    <n v="4"/>
    <s v="스테이포에버 2set"/>
    <s v="210207"/>
    <m/>
    <n v="235200"/>
  </r>
  <r>
    <x v="312"/>
    <x v="3"/>
    <m/>
    <x v="1"/>
    <x v="0"/>
    <x v="137"/>
    <n v="11"/>
    <s v="이그나이트 + 스테이포에버"/>
    <s v="210207"/>
    <m/>
    <n v="646800"/>
  </r>
  <r>
    <x v="312"/>
    <x v="3"/>
    <m/>
    <x v="1"/>
    <x v="0"/>
    <x v="138"/>
    <n v="223"/>
    <s v="스테이포에버"/>
    <s v="210207"/>
    <m/>
    <n v="7582000"/>
  </r>
  <r>
    <x v="312"/>
    <x v="3"/>
    <m/>
    <x v="1"/>
    <x v="0"/>
    <x v="139"/>
    <n v="118"/>
    <s v="스테이포에버 2set"/>
    <s v="210207"/>
    <m/>
    <n v="6938400"/>
  </r>
  <r>
    <x v="312"/>
    <x v="3"/>
    <m/>
    <x v="1"/>
    <x v="0"/>
    <x v="140"/>
    <n v="20"/>
    <s v="이그나이트 + 스테이포에버"/>
    <s v="210207"/>
    <m/>
    <n v="1176000"/>
  </r>
  <r>
    <x v="312"/>
    <x v="3"/>
    <m/>
    <x v="0"/>
    <x v="0"/>
    <x v="0"/>
    <n v="11"/>
    <s v="쇼핑백"/>
    <s v="210207"/>
    <m/>
    <n v="22000"/>
  </r>
  <r>
    <x v="312"/>
    <x v="3"/>
    <m/>
    <x v="1"/>
    <x v="0"/>
    <x v="141"/>
    <n v="3"/>
    <s v="이그나이트"/>
    <s v="210207"/>
    <m/>
    <n v="102000"/>
  </r>
  <r>
    <x v="312"/>
    <x v="3"/>
    <m/>
    <x v="1"/>
    <x v="0"/>
    <x v="142"/>
    <n v="2"/>
    <s v="이그나이트 2set"/>
    <s v="210207"/>
    <m/>
    <n v="117600"/>
  </r>
  <r>
    <x v="312"/>
    <x v="3"/>
    <s v="네이버 배너"/>
    <x v="1"/>
    <x v="1"/>
    <x v="1"/>
    <m/>
    <m/>
    <m/>
    <n v="1783479.090909091"/>
    <m/>
  </r>
  <r>
    <x v="312"/>
    <x v="3"/>
    <s v="네이버 배너(대행사)"/>
    <x v="1"/>
    <x v="1"/>
    <x v="1"/>
    <m/>
    <m/>
    <m/>
    <n v="248768.1818181818"/>
    <m/>
  </r>
  <r>
    <x v="313"/>
    <x v="4"/>
    <s v="페이스북/인스타그램"/>
    <x v="1"/>
    <x v="1"/>
    <x v="1"/>
    <m/>
    <m/>
    <m/>
    <n v="72317"/>
    <m/>
  </r>
  <r>
    <x v="313"/>
    <x v="4"/>
    <s v="페이스북/인스타그램"/>
    <x v="1"/>
    <x v="1"/>
    <x v="1"/>
    <m/>
    <m/>
    <m/>
    <n v="81838"/>
    <m/>
  </r>
  <r>
    <x v="313"/>
    <x v="4"/>
    <s v="페이스북/인스타그램"/>
    <x v="1"/>
    <x v="1"/>
    <x v="1"/>
    <m/>
    <m/>
    <m/>
    <n v="213396"/>
    <m/>
  </r>
  <r>
    <x v="313"/>
    <x v="4"/>
    <s v="페이스북/인스타그램"/>
    <x v="1"/>
    <x v="1"/>
    <x v="1"/>
    <m/>
    <m/>
    <m/>
    <n v="97320"/>
    <m/>
  </r>
  <r>
    <x v="313"/>
    <x v="4"/>
    <s v="페이스북/인스타그램"/>
    <x v="1"/>
    <x v="1"/>
    <x v="1"/>
    <m/>
    <m/>
    <m/>
    <n v="103574"/>
    <m/>
  </r>
  <r>
    <x v="313"/>
    <x v="4"/>
    <s v="페이스북/인스타그램"/>
    <x v="1"/>
    <x v="1"/>
    <x v="1"/>
    <m/>
    <m/>
    <m/>
    <n v="108374"/>
    <m/>
  </r>
  <r>
    <x v="313"/>
    <x v="4"/>
    <s v="페이스북/인스타그램"/>
    <x v="1"/>
    <x v="1"/>
    <x v="1"/>
    <m/>
    <m/>
    <m/>
    <n v="206821"/>
    <m/>
  </r>
  <r>
    <x v="313"/>
    <x v="4"/>
    <s v="페이스북/인스타그램"/>
    <x v="1"/>
    <x v="1"/>
    <x v="1"/>
    <m/>
    <m/>
    <m/>
    <n v="211336"/>
    <m/>
  </r>
  <r>
    <x v="313"/>
    <x v="4"/>
    <s v="페이스북/인스타그램"/>
    <x v="1"/>
    <x v="1"/>
    <x v="1"/>
    <m/>
    <m/>
    <m/>
    <n v="49664"/>
    <m/>
  </r>
  <r>
    <x v="313"/>
    <x v="4"/>
    <s v="페이스북/인스타그램"/>
    <x v="1"/>
    <x v="1"/>
    <x v="1"/>
    <m/>
    <m/>
    <m/>
    <n v="155351"/>
    <m/>
  </r>
  <r>
    <x v="313"/>
    <x v="4"/>
    <s v="페이스북/인스타그램"/>
    <x v="1"/>
    <x v="1"/>
    <x v="1"/>
    <m/>
    <m/>
    <m/>
    <n v="49221"/>
    <m/>
  </r>
  <r>
    <x v="313"/>
    <x v="4"/>
    <s v="페이스북/인스타그램"/>
    <x v="1"/>
    <x v="1"/>
    <x v="1"/>
    <m/>
    <m/>
    <m/>
    <n v="98547"/>
    <m/>
  </r>
  <r>
    <x v="313"/>
    <x v="4"/>
    <s v="페이스북/인스타그램"/>
    <x v="1"/>
    <x v="1"/>
    <x v="1"/>
    <m/>
    <m/>
    <m/>
    <n v="124496"/>
    <m/>
  </r>
  <r>
    <x v="313"/>
    <x v="4"/>
    <s v="페이스북/인스타그램"/>
    <x v="1"/>
    <x v="1"/>
    <x v="1"/>
    <m/>
    <m/>
    <m/>
    <n v="64409"/>
    <m/>
  </r>
  <r>
    <x v="313"/>
    <x v="4"/>
    <s v="페이스북/인스타그램"/>
    <x v="1"/>
    <x v="1"/>
    <x v="1"/>
    <m/>
    <m/>
    <m/>
    <n v="147802"/>
    <m/>
  </r>
  <r>
    <x v="313"/>
    <x v="4"/>
    <s v="페이스북/인스타그램"/>
    <x v="1"/>
    <x v="1"/>
    <x v="1"/>
    <m/>
    <m/>
    <m/>
    <n v="67039"/>
    <m/>
  </r>
  <r>
    <x v="313"/>
    <x v="4"/>
    <s v="페이스북/인스타그램"/>
    <x v="1"/>
    <x v="1"/>
    <x v="1"/>
    <m/>
    <m/>
    <m/>
    <n v="73528"/>
    <m/>
  </r>
  <r>
    <x v="313"/>
    <x v="4"/>
    <s v="유튜브 광고"/>
    <x v="1"/>
    <x v="1"/>
    <x v="1"/>
    <m/>
    <m/>
    <m/>
    <n v="24784"/>
    <m/>
  </r>
  <r>
    <x v="313"/>
    <x v="4"/>
    <s v="유튜브 광고"/>
    <x v="1"/>
    <x v="1"/>
    <x v="1"/>
    <m/>
    <m/>
    <m/>
    <n v="206864"/>
    <m/>
  </r>
  <r>
    <x v="313"/>
    <x v="4"/>
    <s v="유튜브 광고"/>
    <x v="1"/>
    <x v="1"/>
    <x v="1"/>
    <m/>
    <m/>
    <m/>
    <n v="457019"/>
    <m/>
  </r>
  <r>
    <x v="313"/>
    <x v="4"/>
    <s v="유튜브 광고"/>
    <x v="1"/>
    <x v="1"/>
    <x v="1"/>
    <m/>
    <m/>
    <m/>
    <n v="199774"/>
    <m/>
  </r>
  <r>
    <x v="313"/>
    <x v="4"/>
    <s v="유튜브 광고"/>
    <x v="1"/>
    <x v="1"/>
    <x v="1"/>
    <m/>
    <m/>
    <m/>
    <n v="71746"/>
    <m/>
  </r>
  <r>
    <x v="313"/>
    <x v="4"/>
    <s v="유튜브 광고"/>
    <x v="1"/>
    <x v="1"/>
    <x v="1"/>
    <m/>
    <m/>
    <m/>
    <n v="140008"/>
    <m/>
  </r>
  <r>
    <x v="313"/>
    <x v="4"/>
    <s v="유튜브 광고"/>
    <x v="1"/>
    <x v="1"/>
    <x v="1"/>
    <m/>
    <m/>
    <m/>
    <n v="64427"/>
    <m/>
  </r>
  <r>
    <x v="313"/>
    <x v="4"/>
    <s v="유튜브 광고"/>
    <x v="1"/>
    <x v="1"/>
    <x v="1"/>
    <m/>
    <m/>
    <m/>
    <n v="100130"/>
    <m/>
  </r>
  <r>
    <x v="313"/>
    <x v="4"/>
    <s v="유튜브 광고"/>
    <x v="1"/>
    <x v="1"/>
    <x v="1"/>
    <m/>
    <m/>
    <m/>
    <n v="199798"/>
    <m/>
  </r>
  <r>
    <x v="313"/>
    <x v="4"/>
    <s v="유튜브 광고"/>
    <x v="1"/>
    <x v="1"/>
    <x v="1"/>
    <m/>
    <m/>
    <m/>
    <n v="99613"/>
    <m/>
  </r>
  <r>
    <x v="313"/>
    <x v="4"/>
    <s v="유튜브 광고"/>
    <x v="1"/>
    <x v="1"/>
    <x v="1"/>
    <m/>
    <m/>
    <m/>
    <n v="500173"/>
    <m/>
  </r>
  <r>
    <x v="313"/>
    <x v="4"/>
    <s v="유튜브 광고"/>
    <x v="1"/>
    <x v="1"/>
    <x v="1"/>
    <m/>
    <m/>
    <m/>
    <n v="300020"/>
    <m/>
  </r>
  <r>
    <x v="313"/>
    <x v="4"/>
    <s v="유튜브 광고"/>
    <x v="1"/>
    <x v="1"/>
    <x v="1"/>
    <m/>
    <m/>
    <m/>
    <n v="100323"/>
    <m/>
  </r>
  <r>
    <x v="313"/>
    <x v="4"/>
    <s v="네이버 쇼핑검색"/>
    <x v="1"/>
    <x v="1"/>
    <x v="1"/>
    <m/>
    <m/>
    <m/>
    <n v="14340"/>
    <m/>
  </r>
  <r>
    <x v="313"/>
    <x v="4"/>
    <s v="네이버 쇼핑검색"/>
    <x v="1"/>
    <x v="1"/>
    <x v="1"/>
    <m/>
    <m/>
    <m/>
    <n v="0"/>
    <m/>
  </r>
  <r>
    <x v="313"/>
    <x v="4"/>
    <s v="네이버 쇼핑검색"/>
    <x v="1"/>
    <x v="1"/>
    <x v="1"/>
    <m/>
    <m/>
    <m/>
    <n v="122890"/>
    <m/>
  </r>
  <r>
    <x v="313"/>
    <x v="4"/>
    <s v="네이버 브랜드검색"/>
    <x v="3"/>
    <x v="1"/>
    <x v="1"/>
    <m/>
    <m/>
    <m/>
    <n v="140000"/>
    <m/>
  </r>
  <r>
    <x v="313"/>
    <x v="4"/>
    <s v="네이버 브랜드검색"/>
    <x v="3"/>
    <x v="1"/>
    <x v="1"/>
    <m/>
    <m/>
    <m/>
    <n v="16700"/>
    <m/>
  </r>
  <r>
    <x v="313"/>
    <x v="4"/>
    <s v="카카오 배너"/>
    <x v="1"/>
    <x v="1"/>
    <x v="1"/>
    <m/>
    <m/>
    <m/>
    <n v="181950"/>
    <m/>
  </r>
  <r>
    <x v="313"/>
    <x v="4"/>
    <s v="카카오 배너"/>
    <x v="1"/>
    <x v="1"/>
    <x v="1"/>
    <m/>
    <m/>
    <m/>
    <n v="846189.9999999999"/>
    <m/>
  </r>
  <r>
    <x v="313"/>
    <x v="4"/>
    <m/>
    <x v="1"/>
    <x v="4"/>
    <x v="155"/>
    <n v="12"/>
    <s v="스테이포에버"/>
    <s v="210207"/>
    <m/>
    <n v="408000"/>
  </r>
  <r>
    <x v="313"/>
    <x v="4"/>
    <m/>
    <x v="1"/>
    <x v="3"/>
    <x v="153"/>
    <n v="1"/>
    <s v="스테이포에버"/>
    <s v="210207"/>
    <m/>
    <n v="34000"/>
  </r>
  <r>
    <x v="313"/>
    <x v="4"/>
    <m/>
    <x v="1"/>
    <x v="3"/>
    <x v="150"/>
    <n v="1"/>
    <s v="이그나이트 + 스테이포에버"/>
    <s v="210207"/>
    <m/>
    <n v="58800"/>
  </r>
  <r>
    <x v="313"/>
    <x v="4"/>
    <m/>
    <x v="1"/>
    <x v="3"/>
    <x v="152"/>
    <n v="23"/>
    <s v="스테이포에버"/>
    <s v="210207"/>
    <m/>
    <n v="782000"/>
  </r>
  <r>
    <x v="313"/>
    <x v="4"/>
    <m/>
    <x v="1"/>
    <x v="3"/>
    <x v="154"/>
    <n v="1"/>
    <s v="이그나이트"/>
    <s v="210207"/>
    <m/>
    <n v="34000"/>
  </r>
  <r>
    <x v="313"/>
    <x v="4"/>
    <m/>
    <x v="1"/>
    <x v="0"/>
    <x v="145"/>
    <n v="1"/>
    <s v="이그나이트 2set"/>
    <s v="210207"/>
    <m/>
    <n v="58800"/>
  </r>
  <r>
    <x v="313"/>
    <x v="4"/>
    <m/>
    <x v="1"/>
    <x v="0"/>
    <x v="135"/>
    <n v="3"/>
    <s v="스테이포에버"/>
    <s v="210207"/>
    <m/>
    <n v="102000"/>
  </r>
  <r>
    <x v="313"/>
    <x v="4"/>
    <m/>
    <x v="1"/>
    <x v="0"/>
    <x v="136"/>
    <n v="8"/>
    <s v="스테이포에버 2set"/>
    <s v="210207"/>
    <m/>
    <n v="470400"/>
  </r>
  <r>
    <x v="313"/>
    <x v="4"/>
    <m/>
    <x v="1"/>
    <x v="0"/>
    <x v="137"/>
    <n v="14"/>
    <s v="이그나이트 + 스테이포에버"/>
    <s v="210207"/>
    <m/>
    <n v="823200"/>
  </r>
  <r>
    <x v="313"/>
    <x v="4"/>
    <m/>
    <x v="1"/>
    <x v="0"/>
    <x v="144"/>
    <n v="1"/>
    <s v="이그나이트 + 스테이포에버"/>
    <s v="210207"/>
    <m/>
    <n v="58800"/>
  </r>
  <r>
    <x v="313"/>
    <x v="4"/>
    <m/>
    <x v="1"/>
    <x v="0"/>
    <x v="138"/>
    <n v="184"/>
    <s v="스테이포에버"/>
    <s v="210207"/>
    <m/>
    <n v="6256000"/>
  </r>
  <r>
    <x v="313"/>
    <x v="4"/>
    <m/>
    <x v="1"/>
    <x v="0"/>
    <x v="139"/>
    <n v="122"/>
    <s v="스테이포에버 2set"/>
    <s v="210207"/>
    <m/>
    <n v="7173600"/>
  </r>
  <r>
    <x v="313"/>
    <x v="4"/>
    <m/>
    <x v="1"/>
    <x v="0"/>
    <x v="140"/>
    <n v="13"/>
    <s v="이그나이트 + 스테이포에버"/>
    <s v="210207"/>
    <m/>
    <n v="764400"/>
  </r>
  <r>
    <x v="313"/>
    <x v="4"/>
    <m/>
    <x v="0"/>
    <x v="0"/>
    <x v="0"/>
    <n v="9"/>
    <s v="쇼핑백"/>
    <s v="210207"/>
    <m/>
    <n v="18000"/>
  </r>
  <r>
    <x v="313"/>
    <x v="4"/>
    <m/>
    <x v="1"/>
    <x v="0"/>
    <x v="142"/>
    <n v="1"/>
    <s v="이그나이트 2set"/>
    <s v="210207"/>
    <m/>
    <n v="58800"/>
  </r>
  <r>
    <x v="313"/>
    <x v="4"/>
    <s v="네이버 배너"/>
    <x v="1"/>
    <x v="1"/>
    <x v="1"/>
    <m/>
    <m/>
    <m/>
    <n v="0"/>
    <m/>
  </r>
  <r>
    <x v="313"/>
    <x v="4"/>
    <s v="네이버 배너"/>
    <x v="1"/>
    <x v="1"/>
    <x v="1"/>
    <m/>
    <m/>
    <m/>
    <n v="1658197.272727273"/>
    <m/>
  </r>
  <r>
    <x v="313"/>
    <x v="4"/>
    <s v="네이버 배너(대행사)"/>
    <x v="1"/>
    <x v="1"/>
    <x v="1"/>
    <m/>
    <m/>
    <m/>
    <n v="162319.0909090909"/>
    <m/>
  </r>
  <r>
    <x v="314"/>
    <x v="1"/>
    <s v="페이스북/인스타그램"/>
    <x v="1"/>
    <x v="1"/>
    <x v="1"/>
    <m/>
    <m/>
    <m/>
    <n v="97531"/>
    <m/>
  </r>
  <r>
    <x v="314"/>
    <x v="1"/>
    <s v="페이스북/인스타그램"/>
    <x v="1"/>
    <x v="1"/>
    <x v="1"/>
    <m/>
    <m/>
    <m/>
    <n v="94193"/>
    <m/>
  </r>
  <r>
    <x v="314"/>
    <x v="1"/>
    <s v="페이스북/인스타그램"/>
    <x v="1"/>
    <x v="1"/>
    <x v="1"/>
    <m/>
    <m/>
    <m/>
    <n v="236861"/>
    <m/>
  </r>
  <r>
    <x v="314"/>
    <x v="1"/>
    <s v="페이스북/인스타그램"/>
    <x v="1"/>
    <x v="1"/>
    <x v="1"/>
    <m/>
    <m/>
    <m/>
    <n v="99515"/>
    <m/>
  </r>
  <r>
    <x v="314"/>
    <x v="1"/>
    <s v="페이스북/인스타그램"/>
    <x v="1"/>
    <x v="1"/>
    <x v="1"/>
    <m/>
    <m/>
    <m/>
    <n v="95857"/>
    <m/>
  </r>
  <r>
    <x v="314"/>
    <x v="1"/>
    <s v="페이스북/인스타그램"/>
    <x v="1"/>
    <x v="1"/>
    <x v="1"/>
    <m/>
    <m/>
    <m/>
    <n v="111811"/>
    <m/>
  </r>
  <r>
    <x v="314"/>
    <x v="1"/>
    <s v="페이스북/인스타그램"/>
    <x v="1"/>
    <x v="1"/>
    <x v="1"/>
    <m/>
    <m/>
    <m/>
    <n v="242879"/>
    <m/>
  </r>
  <r>
    <x v="314"/>
    <x v="1"/>
    <s v="페이스북/인스타그램"/>
    <x v="1"/>
    <x v="1"/>
    <x v="1"/>
    <m/>
    <m/>
    <m/>
    <n v="232955"/>
    <m/>
  </r>
  <r>
    <x v="314"/>
    <x v="1"/>
    <s v="페이스북/인스타그램"/>
    <x v="1"/>
    <x v="1"/>
    <x v="1"/>
    <m/>
    <m/>
    <m/>
    <n v="50002"/>
    <m/>
  </r>
  <r>
    <x v="314"/>
    <x v="1"/>
    <s v="페이스북/인스타그램"/>
    <x v="1"/>
    <x v="1"/>
    <x v="1"/>
    <m/>
    <m/>
    <m/>
    <n v="185012"/>
    <m/>
  </r>
  <r>
    <x v="314"/>
    <x v="1"/>
    <s v="페이스북/인스타그램"/>
    <x v="1"/>
    <x v="1"/>
    <x v="1"/>
    <m/>
    <m/>
    <m/>
    <n v="49974"/>
    <m/>
  </r>
  <r>
    <x v="314"/>
    <x v="1"/>
    <s v="페이스북/인스타그램"/>
    <x v="1"/>
    <x v="1"/>
    <x v="1"/>
    <m/>
    <m/>
    <m/>
    <n v="98802"/>
    <m/>
  </r>
  <r>
    <x v="314"/>
    <x v="1"/>
    <s v="페이스북/인스타그램"/>
    <x v="1"/>
    <x v="1"/>
    <x v="1"/>
    <m/>
    <m/>
    <m/>
    <n v="140644"/>
    <m/>
  </r>
  <r>
    <x v="314"/>
    <x v="1"/>
    <s v="페이스북/인스타그램"/>
    <x v="1"/>
    <x v="1"/>
    <x v="1"/>
    <m/>
    <m/>
    <m/>
    <n v="67671"/>
    <m/>
  </r>
  <r>
    <x v="314"/>
    <x v="1"/>
    <s v="페이스북/인스타그램"/>
    <x v="1"/>
    <x v="1"/>
    <x v="1"/>
    <m/>
    <m/>
    <m/>
    <n v="149309"/>
    <m/>
  </r>
  <r>
    <x v="314"/>
    <x v="1"/>
    <s v="페이스북/인스타그램"/>
    <x v="1"/>
    <x v="1"/>
    <x v="1"/>
    <m/>
    <m/>
    <m/>
    <n v="68969"/>
    <m/>
  </r>
  <r>
    <x v="314"/>
    <x v="1"/>
    <s v="페이스북/인스타그램"/>
    <x v="1"/>
    <x v="1"/>
    <x v="1"/>
    <m/>
    <m/>
    <m/>
    <n v="76008"/>
    <m/>
  </r>
  <r>
    <x v="315"/>
    <x v="2"/>
    <s v="페이스북/인스타그램"/>
    <x v="1"/>
    <x v="1"/>
    <x v="1"/>
    <m/>
    <m/>
    <m/>
    <n v="102360"/>
    <m/>
  </r>
  <r>
    <x v="315"/>
    <x v="2"/>
    <s v="페이스북/인스타그램"/>
    <x v="1"/>
    <x v="1"/>
    <x v="1"/>
    <m/>
    <m/>
    <m/>
    <n v="96555"/>
    <m/>
  </r>
  <r>
    <x v="315"/>
    <x v="2"/>
    <s v="페이스북/인스타그램"/>
    <x v="1"/>
    <x v="1"/>
    <x v="1"/>
    <m/>
    <m/>
    <m/>
    <n v="241993"/>
    <m/>
  </r>
  <r>
    <x v="315"/>
    <x v="2"/>
    <s v="페이스북/인스타그램"/>
    <x v="1"/>
    <x v="1"/>
    <x v="1"/>
    <m/>
    <m/>
    <m/>
    <n v="83338"/>
    <m/>
  </r>
  <r>
    <x v="315"/>
    <x v="2"/>
    <s v="페이스북/인스타그램"/>
    <x v="1"/>
    <x v="1"/>
    <x v="1"/>
    <m/>
    <m/>
    <m/>
    <n v="94782"/>
    <m/>
  </r>
  <r>
    <x v="315"/>
    <x v="2"/>
    <s v="페이스북/인스타그램"/>
    <x v="1"/>
    <x v="1"/>
    <x v="1"/>
    <m/>
    <m/>
    <m/>
    <n v="109848"/>
    <m/>
  </r>
  <r>
    <x v="315"/>
    <x v="2"/>
    <s v="페이스북/인스타그램"/>
    <x v="1"/>
    <x v="1"/>
    <x v="1"/>
    <m/>
    <m/>
    <m/>
    <n v="260411"/>
    <m/>
  </r>
  <r>
    <x v="315"/>
    <x v="2"/>
    <s v="페이스북/인스타그램"/>
    <x v="1"/>
    <x v="1"/>
    <x v="1"/>
    <m/>
    <m/>
    <m/>
    <n v="245286"/>
    <m/>
  </r>
  <r>
    <x v="315"/>
    <x v="2"/>
    <s v="페이스북/인스타그램"/>
    <x v="1"/>
    <x v="1"/>
    <x v="1"/>
    <m/>
    <m/>
    <m/>
    <n v="51584"/>
    <m/>
  </r>
  <r>
    <x v="315"/>
    <x v="2"/>
    <s v="페이스북/인스타그램"/>
    <x v="1"/>
    <x v="1"/>
    <x v="1"/>
    <m/>
    <m/>
    <m/>
    <n v="197419"/>
    <m/>
  </r>
  <r>
    <x v="315"/>
    <x v="2"/>
    <s v="페이스북/인스타그램"/>
    <x v="1"/>
    <x v="1"/>
    <x v="1"/>
    <m/>
    <m/>
    <m/>
    <n v="52082"/>
    <m/>
  </r>
  <r>
    <x v="315"/>
    <x v="2"/>
    <s v="페이스북/인스타그램"/>
    <x v="1"/>
    <x v="1"/>
    <x v="1"/>
    <m/>
    <m/>
    <m/>
    <n v="100812"/>
    <m/>
  </r>
  <r>
    <x v="315"/>
    <x v="2"/>
    <s v="페이스북/인스타그램"/>
    <x v="1"/>
    <x v="1"/>
    <x v="1"/>
    <m/>
    <m/>
    <m/>
    <n v="145413"/>
    <m/>
  </r>
  <r>
    <x v="315"/>
    <x v="2"/>
    <s v="페이스북/인스타그램"/>
    <x v="1"/>
    <x v="1"/>
    <x v="1"/>
    <m/>
    <m/>
    <m/>
    <n v="71237"/>
    <m/>
  </r>
  <r>
    <x v="315"/>
    <x v="2"/>
    <s v="페이스북/인스타그램"/>
    <x v="1"/>
    <x v="1"/>
    <x v="1"/>
    <m/>
    <m/>
    <m/>
    <n v="154060"/>
    <m/>
  </r>
  <r>
    <x v="315"/>
    <x v="2"/>
    <s v="페이스북/인스타그램"/>
    <x v="1"/>
    <x v="1"/>
    <x v="1"/>
    <m/>
    <m/>
    <m/>
    <n v="71091"/>
    <m/>
  </r>
  <r>
    <x v="315"/>
    <x v="2"/>
    <s v="페이스북/인스타그램"/>
    <x v="1"/>
    <x v="1"/>
    <x v="1"/>
    <m/>
    <m/>
    <m/>
    <n v="76185"/>
    <m/>
  </r>
  <r>
    <x v="316"/>
    <x v="5"/>
    <s v="페이스북/인스타그램"/>
    <x v="1"/>
    <x v="1"/>
    <x v="1"/>
    <m/>
    <m/>
    <m/>
    <n v="150170"/>
    <m/>
  </r>
  <r>
    <x v="316"/>
    <x v="5"/>
    <s v="페이스북/인스타그램"/>
    <x v="1"/>
    <x v="1"/>
    <x v="1"/>
    <m/>
    <m/>
    <m/>
    <n v="101190"/>
    <m/>
  </r>
  <r>
    <x v="316"/>
    <x v="5"/>
    <s v="페이스북/인스타그램"/>
    <x v="1"/>
    <x v="1"/>
    <x v="1"/>
    <m/>
    <m/>
    <m/>
    <n v="250651"/>
    <m/>
  </r>
  <r>
    <x v="316"/>
    <x v="5"/>
    <s v="페이스북/인스타그램"/>
    <x v="1"/>
    <x v="1"/>
    <x v="1"/>
    <m/>
    <m/>
    <m/>
    <n v="50452"/>
    <m/>
  </r>
  <r>
    <x v="316"/>
    <x v="5"/>
    <s v="페이스북/인스타그램"/>
    <x v="1"/>
    <x v="1"/>
    <x v="1"/>
    <m/>
    <m/>
    <m/>
    <n v="100080"/>
    <m/>
  </r>
  <r>
    <x v="316"/>
    <x v="5"/>
    <s v="페이스북/인스타그램"/>
    <x v="1"/>
    <x v="1"/>
    <x v="1"/>
    <m/>
    <m/>
    <m/>
    <n v="110458"/>
    <m/>
  </r>
  <r>
    <x v="316"/>
    <x v="5"/>
    <s v="페이스북/인스타그램"/>
    <x v="1"/>
    <x v="1"/>
    <x v="1"/>
    <m/>
    <m/>
    <m/>
    <n v="260966"/>
    <m/>
  </r>
  <r>
    <x v="316"/>
    <x v="5"/>
    <s v="페이스북/인스타그램"/>
    <x v="1"/>
    <x v="1"/>
    <x v="1"/>
    <m/>
    <m/>
    <m/>
    <n v="250613"/>
    <m/>
  </r>
  <r>
    <x v="316"/>
    <x v="5"/>
    <s v="페이스북/인스타그램"/>
    <x v="1"/>
    <x v="1"/>
    <x v="1"/>
    <m/>
    <m/>
    <m/>
    <n v="50278"/>
    <m/>
  </r>
  <r>
    <x v="316"/>
    <x v="5"/>
    <s v="페이스북/인스타그램"/>
    <x v="1"/>
    <x v="1"/>
    <x v="1"/>
    <m/>
    <m/>
    <m/>
    <n v="201512"/>
    <m/>
  </r>
  <r>
    <x v="316"/>
    <x v="5"/>
    <s v="페이스북/인스타그램"/>
    <x v="1"/>
    <x v="1"/>
    <x v="1"/>
    <m/>
    <m/>
    <m/>
    <n v="50057"/>
    <m/>
  </r>
  <r>
    <x v="316"/>
    <x v="5"/>
    <s v="페이스북/인스타그램"/>
    <x v="1"/>
    <x v="1"/>
    <x v="1"/>
    <m/>
    <m/>
    <m/>
    <n v="100588"/>
    <m/>
  </r>
  <r>
    <x v="316"/>
    <x v="5"/>
    <s v="페이스북/인스타그램"/>
    <x v="1"/>
    <x v="1"/>
    <x v="1"/>
    <m/>
    <m/>
    <m/>
    <n v="150911"/>
    <m/>
  </r>
  <r>
    <x v="316"/>
    <x v="5"/>
    <s v="페이스북/인스타그램"/>
    <x v="1"/>
    <x v="1"/>
    <x v="1"/>
    <m/>
    <m/>
    <m/>
    <n v="70518"/>
    <m/>
  </r>
  <r>
    <x v="316"/>
    <x v="5"/>
    <s v="페이스북/인스타그램"/>
    <x v="1"/>
    <x v="1"/>
    <x v="1"/>
    <m/>
    <m/>
    <m/>
    <n v="150453"/>
    <m/>
  </r>
  <r>
    <x v="316"/>
    <x v="5"/>
    <s v="페이스북/인스타그램"/>
    <x v="1"/>
    <x v="1"/>
    <x v="1"/>
    <m/>
    <m/>
    <m/>
    <n v="70550"/>
    <m/>
  </r>
  <r>
    <x v="316"/>
    <x v="5"/>
    <s v="페이스북/인스타그램"/>
    <x v="1"/>
    <x v="1"/>
    <x v="1"/>
    <m/>
    <m/>
    <m/>
    <n v="75159"/>
    <m/>
  </r>
  <r>
    <x v="314"/>
    <x v="1"/>
    <s v="유튜브 광고"/>
    <x v="1"/>
    <x v="1"/>
    <x v="1"/>
    <m/>
    <m/>
    <m/>
    <n v="37550"/>
    <m/>
  </r>
  <r>
    <x v="314"/>
    <x v="1"/>
    <s v="유튜브 광고"/>
    <x v="1"/>
    <x v="1"/>
    <x v="1"/>
    <m/>
    <m/>
    <m/>
    <n v="154947"/>
    <m/>
  </r>
  <r>
    <x v="314"/>
    <x v="1"/>
    <s v="유튜브 광고"/>
    <x v="1"/>
    <x v="1"/>
    <x v="1"/>
    <m/>
    <m/>
    <m/>
    <n v="449866"/>
    <m/>
  </r>
  <r>
    <x v="314"/>
    <x v="1"/>
    <s v="유튜브 광고"/>
    <x v="1"/>
    <x v="1"/>
    <x v="1"/>
    <m/>
    <m/>
    <m/>
    <n v="199784"/>
    <m/>
  </r>
  <r>
    <x v="314"/>
    <x v="1"/>
    <s v="유튜브 광고"/>
    <x v="1"/>
    <x v="1"/>
    <x v="1"/>
    <m/>
    <m/>
    <m/>
    <n v="45357"/>
    <m/>
  </r>
  <r>
    <x v="314"/>
    <x v="1"/>
    <s v="유튜브 광고"/>
    <x v="1"/>
    <x v="1"/>
    <x v="1"/>
    <m/>
    <m/>
    <m/>
    <n v="139831"/>
    <m/>
  </r>
  <r>
    <x v="314"/>
    <x v="1"/>
    <s v="유튜브 광고"/>
    <x v="1"/>
    <x v="1"/>
    <x v="1"/>
    <m/>
    <m/>
    <m/>
    <n v="15033"/>
    <m/>
  </r>
  <r>
    <x v="314"/>
    <x v="1"/>
    <s v="유튜브 광고"/>
    <x v="1"/>
    <x v="1"/>
    <x v="1"/>
    <m/>
    <m/>
    <m/>
    <n v="99982"/>
    <m/>
  </r>
  <r>
    <x v="314"/>
    <x v="1"/>
    <s v="유튜브 광고"/>
    <x v="1"/>
    <x v="1"/>
    <x v="1"/>
    <m/>
    <m/>
    <m/>
    <n v="200186"/>
    <m/>
  </r>
  <r>
    <x v="314"/>
    <x v="1"/>
    <s v="유튜브 광고"/>
    <x v="1"/>
    <x v="1"/>
    <x v="1"/>
    <m/>
    <m/>
    <m/>
    <n v="99410"/>
    <m/>
  </r>
  <r>
    <x v="314"/>
    <x v="1"/>
    <s v="유튜브 광고"/>
    <x v="1"/>
    <x v="1"/>
    <x v="1"/>
    <m/>
    <m/>
    <m/>
    <n v="499895"/>
    <m/>
  </r>
  <r>
    <x v="314"/>
    <x v="1"/>
    <s v="유튜브 광고"/>
    <x v="1"/>
    <x v="1"/>
    <x v="1"/>
    <m/>
    <m/>
    <m/>
    <n v="299983"/>
    <m/>
  </r>
  <r>
    <x v="314"/>
    <x v="1"/>
    <s v="유튜브 광고"/>
    <x v="1"/>
    <x v="1"/>
    <x v="1"/>
    <m/>
    <m/>
    <m/>
    <n v="99924"/>
    <m/>
  </r>
  <r>
    <x v="314"/>
    <x v="1"/>
    <s v="유튜브 광고"/>
    <x v="1"/>
    <x v="1"/>
    <x v="1"/>
    <m/>
    <m/>
    <m/>
    <n v="99047"/>
    <m/>
  </r>
  <r>
    <x v="315"/>
    <x v="2"/>
    <s v="유튜브 광고"/>
    <x v="1"/>
    <x v="1"/>
    <x v="1"/>
    <m/>
    <m/>
    <m/>
    <n v="42390"/>
    <m/>
  </r>
  <r>
    <x v="315"/>
    <x v="2"/>
    <s v="유튜브 광고"/>
    <x v="1"/>
    <x v="1"/>
    <x v="1"/>
    <m/>
    <m/>
    <m/>
    <n v="120027"/>
    <m/>
  </r>
  <r>
    <x v="315"/>
    <x v="2"/>
    <s v="유튜브 광고"/>
    <x v="1"/>
    <x v="1"/>
    <x v="1"/>
    <m/>
    <m/>
    <m/>
    <n v="440790"/>
    <m/>
  </r>
  <r>
    <x v="315"/>
    <x v="2"/>
    <s v="유튜브 광고"/>
    <x v="1"/>
    <x v="1"/>
    <x v="1"/>
    <m/>
    <m/>
    <m/>
    <n v="201363"/>
    <m/>
  </r>
  <r>
    <x v="315"/>
    <x v="2"/>
    <s v="유튜브 광고"/>
    <x v="1"/>
    <x v="1"/>
    <x v="1"/>
    <m/>
    <m/>
    <m/>
    <n v="71074"/>
    <m/>
  </r>
  <r>
    <x v="315"/>
    <x v="2"/>
    <s v="유튜브 광고"/>
    <x v="1"/>
    <x v="1"/>
    <x v="1"/>
    <m/>
    <m/>
    <m/>
    <n v="139391"/>
    <m/>
  </r>
  <r>
    <x v="315"/>
    <x v="2"/>
    <s v="유튜브 광고"/>
    <x v="1"/>
    <x v="1"/>
    <x v="1"/>
    <m/>
    <m/>
    <m/>
    <n v="199768"/>
    <m/>
  </r>
  <r>
    <x v="315"/>
    <x v="2"/>
    <s v="유튜브 광고"/>
    <x v="1"/>
    <x v="1"/>
    <x v="1"/>
    <m/>
    <m/>
    <m/>
    <n v="146323"/>
    <m/>
  </r>
  <r>
    <x v="315"/>
    <x v="2"/>
    <s v="유튜브 광고"/>
    <x v="1"/>
    <x v="1"/>
    <x v="1"/>
    <m/>
    <m/>
    <m/>
    <n v="99644"/>
    <m/>
  </r>
  <r>
    <x v="315"/>
    <x v="2"/>
    <s v="유튜브 광고"/>
    <x v="1"/>
    <x v="1"/>
    <x v="1"/>
    <m/>
    <m/>
    <m/>
    <n v="501222"/>
    <m/>
  </r>
  <r>
    <x v="315"/>
    <x v="2"/>
    <s v="유튜브 광고"/>
    <x v="1"/>
    <x v="1"/>
    <x v="1"/>
    <m/>
    <m/>
    <m/>
    <n v="300198"/>
    <m/>
  </r>
  <r>
    <x v="315"/>
    <x v="2"/>
    <s v="유튜브 광고"/>
    <x v="1"/>
    <x v="1"/>
    <x v="1"/>
    <m/>
    <m/>
    <m/>
    <n v="99981"/>
    <m/>
  </r>
  <r>
    <x v="316"/>
    <x v="5"/>
    <s v="유튜브 광고"/>
    <x v="1"/>
    <x v="1"/>
    <x v="1"/>
    <m/>
    <m/>
    <m/>
    <n v="58357"/>
    <m/>
  </r>
  <r>
    <x v="316"/>
    <x v="5"/>
    <s v="유튜브 광고"/>
    <x v="1"/>
    <x v="1"/>
    <x v="1"/>
    <m/>
    <m/>
    <m/>
    <n v="87885"/>
    <m/>
  </r>
  <r>
    <x v="316"/>
    <x v="5"/>
    <s v="유튜브 광고"/>
    <x v="1"/>
    <x v="1"/>
    <x v="1"/>
    <m/>
    <m/>
    <m/>
    <n v="450979"/>
    <m/>
  </r>
  <r>
    <x v="316"/>
    <x v="5"/>
    <s v="유튜브 광고"/>
    <x v="1"/>
    <x v="1"/>
    <x v="1"/>
    <m/>
    <m/>
    <m/>
    <n v="200368"/>
    <m/>
  </r>
  <r>
    <x v="316"/>
    <x v="5"/>
    <s v="유튜브 광고"/>
    <x v="1"/>
    <x v="1"/>
    <x v="1"/>
    <m/>
    <m/>
    <m/>
    <n v="59997"/>
    <m/>
  </r>
  <r>
    <x v="316"/>
    <x v="5"/>
    <s v="유튜브 광고"/>
    <x v="1"/>
    <x v="1"/>
    <x v="1"/>
    <m/>
    <m/>
    <m/>
    <n v="36787"/>
    <m/>
  </r>
  <r>
    <x v="316"/>
    <x v="5"/>
    <s v="유튜브 광고"/>
    <x v="1"/>
    <x v="1"/>
    <x v="1"/>
    <m/>
    <m/>
    <m/>
    <n v="200074"/>
    <m/>
  </r>
  <r>
    <x v="316"/>
    <x v="5"/>
    <s v="유튜브 광고"/>
    <x v="1"/>
    <x v="1"/>
    <x v="1"/>
    <m/>
    <m/>
    <m/>
    <n v="100140"/>
    <m/>
  </r>
  <r>
    <x v="316"/>
    <x v="5"/>
    <s v="유튜브 광고"/>
    <x v="1"/>
    <x v="1"/>
    <x v="1"/>
    <m/>
    <m/>
    <m/>
    <n v="99756"/>
    <m/>
  </r>
  <r>
    <x v="316"/>
    <x v="5"/>
    <s v="유튜브 광고"/>
    <x v="1"/>
    <x v="1"/>
    <x v="1"/>
    <m/>
    <m/>
    <m/>
    <n v="500845"/>
    <m/>
  </r>
  <r>
    <x v="316"/>
    <x v="5"/>
    <s v="유튜브 광고"/>
    <x v="1"/>
    <x v="1"/>
    <x v="1"/>
    <m/>
    <m/>
    <m/>
    <n v="300234"/>
    <m/>
  </r>
  <r>
    <x v="316"/>
    <x v="5"/>
    <s v="유튜브 광고"/>
    <x v="1"/>
    <x v="1"/>
    <x v="1"/>
    <m/>
    <m/>
    <m/>
    <n v="99939"/>
    <m/>
  </r>
  <r>
    <x v="316"/>
    <x v="5"/>
    <s v="네이버 쇼핑검색"/>
    <x v="1"/>
    <x v="1"/>
    <x v="1"/>
    <m/>
    <m/>
    <m/>
    <n v="27200"/>
    <m/>
  </r>
  <r>
    <x v="316"/>
    <x v="5"/>
    <s v="네이버 쇼핑검색"/>
    <x v="1"/>
    <x v="1"/>
    <x v="1"/>
    <m/>
    <m/>
    <m/>
    <n v="0"/>
    <m/>
  </r>
  <r>
    <x v="316"/>
    <x v="5"/>
    <s v="네이버 쇼핑검색"/>
    <x v="1"/>
    <x v="1"/>
    <x v="1"/>
    <m/>
    <m/>
    <m/>
    <n v="108880"/>
    <m/>
  </r>
  <r>
    <x v="316"/>
    <x v="5"/>
    <s v="네이버 브랜드검색"/>
    <x v="3"/>
    <x v="1"/>
    <x v="1"/>
    <m/>
    <m/>
    <m/>
    <n v="140000"/>
    <m/>
  </r>
  <r>
    <x v="316"/>
    <x v="5"/>
    <s v="네이버 브랜드검색"/>
    <x v="3"/>
    <x v="1"/>
    <x v="1"/>
    <m/>
    <m/>
    <m/>
    <n v="16700"/>
    <m/>
  </r>
  <r>
    <x v="315"/>
    <x v="2"/>
    <s v="네이버 쇼핑검색"/>
    <x v="1"/>
    <x v="1"/>
    <x v="1"/>
    <m/>
    <m/>
    <m/>
    <n v="11540"/>
    <m/>
  </r>
  <r>
    <x v="315"/>
    <x v="2"/>
    <s v="네이버 쇼핑검색"/>
    <x v="1"/>
    <x v="1"/>
    <x v="1"/>
    <m/>
    <m/>
    <m/>
    <n v="0"/>
    <m/>
  </r>
  <r>
    <x v="315"/>
    <x v="2"/>
    <s v="네이버 쇼핑검색"/>
    <x v="1"/>
    <x v="1"/>
    <x v="1"/>
    <m/>
    <m/>
    <m/>
    <n v="125430"/>
    <m/>
  </r>
  <r>
    <x v="315"/>
    <x v="2"/>
    <s v="네이버 브랜드검색"/>
    <x v="3"/>
    <x v="1"/>
    <x v="1"/>
    <m/>
    <m/>
    <m/>
    <n v="140000"/>
    <m/>
  </r>
  <r>
    <x v="315"/>
    <x v="2"/>
    <s v="네이버 브랜드검색"/>
    <x v="3"/>
    <x v="1"/>
    <x v="1"/>
    <m/>
    <m/>
    <m/>
    <n v="16700"/>
    <m/>
  </r>
  <r>
    <x v="314"/>
    <x v="1"/>
    <s v="네이버 쇼핑검색"/>
    <x v="1"/>
    <x v="1"/>
    <x v="1"/>
    <m/>
    <m/>
    <m/>
    <n v="13560"/>
    <m/>
  </r>
  <r>
    <x v="314"/>
    <x v="1"/>
    <s v="네이버 쇼핑검색"/>
    <x v="1"/>
    <x v="1"/>
    <x v="1"/>
    <m/>
    <m/>
    <m/>
    <n v="0"/>
    <m/>
  </r>
  <r>
    <x v="314"/>
    <x v="1"/>
    <s v="네이버 쇼핑검색"/>
    <x v="1"/>
    <x v="1"/>
    <x v="1"/>
    <m/>
    <m/>
    <m/>
    <n v="87500"/>
    <m/>
  </r>
  <r>
    <x v="314"/>
    <x v="1"/>
    <s v="네이버 브랜드검색"/>
    <x v="3"/>
    <x v="1"/>
    <x v="1"/>
    <m/>
    <m/>
    <m/>
    <n v="140000"/>
    <m/>
  </r>
  <r>
    <x v="314"/>
    <x v="1"/>
    <s v="네이버 브랜드검색"/>
    <x v="3"/>
    <x v="1"/>
    <x v="1"/>
    <m/>
    <m/>
    <m/>
    <n v="16700"/>
    <m/>
  </r>
  <r>
    <x v="314"/>
    <x v="1"/>
    <s v="카카오 배너"/>
    <x v="1"/>
    <x v="1"/>
    <x v="1"/>
    <m/>
    <m/>
    <m/>
    <n v="181750"/>
    <m/>
  </r>
  <r>
    <x v="314"/>
    <x v="1"/>
    <s v="카카오 배너"/>
    <x v="1"/>
    <x v="1"/>
    <x v="1"/>
    <m/>
    <m/>
    <m/>
    <n v="893699.9999999999"/>
    <m/>
  </r>
  <r>
    <x v="315"/>
    <x v="2"/>
    <s v="카카오 배너"/>
    <x v="1"/>
    <x v="1"/>
    <x v="1"/>
    <m/>
    <m/>
    <m/>
    <n v="182050"/>
    <m/>
  </r>
  <r>
    <x v="315"/>
    <x v="2"/>
    <s v="카카오 배너"/>
    <x v="1"/>
    <x v="1"/>
    <x v="1"/>
    <m/>
    <m/>
    <m/>
    <n v="892579.9999999999"/>
    <m/>
  </r>
  <r>
    <x v="316"/>
    <x v="5"/>
    <s v="카카오 배너"/>
    <x v="1"/>
    <x v="1"/>
    <x v="1"/>
    <m/>
    <m/>
    <m/>
    <n v="181830"/>
    <m/>
  </r>
  <r>
    <x v="316"/>
    <x v="5"/>
    <s v="카카오 배너"/>
    <x v="1"/>
    <x v="1"/>
    <x v="1"/>
    <m/>
    <m/>
    <m/>
    <n v="892209.9999999999"/>
    <m/>
  </r>
  <r>
    <x v="314"/>
    <x v="1"/>
    <m/>
    <x v="1"/>
    <x v="4"/>
    <x v="158"/>
    <n v="1"/>
    <s v="이그나이트"/>
    <s v="210207"/>
    <m/>
    <n v="34000"/>
  </r>
  <r>
    <x v="314"/>
    <x v="1"/>
    <m/>
    <x v="1"/>
    <x v="4"/>
    <x v="155"/>
    <n v="11"/>
    <s v="스테이포에버"/>
    <s v="210207"/>
    <m/>
    <n v="374000"/>
  </r>
  <r>
    <x v="314"/>
    <x v="1"/>
    <m/>
    <x v="1"/>
    <x v="3"/>
    <x v="150"/>
    <n v="3"/>
    <s v="이그나이트 + 스테이포에버"/>
    <s v="210207"/>
    <m/>
    <n v="176400"/>
  </r>
  <r>
    <x v="314"/>
    <x v="1"/>
    <m/>
    <x v="1"/>
    <x v="3"/>
    <x v="151"/>
    <n v="1"/>
    <s v="스테이포에버 2set"/>
    <s v="210207"/>
    <m/>
    <n v="58800"/>
  </r>
  <r>
    <x v="314"/>
    <x v="1"/>
    <m/>
    <x v="1"/>
    <x v="3"/>
    <x v="152"/>
    <n v="24"/>
    <s v="스테이포에버"/>
    <s v="210207"/>
    <m/>
    <n v="816000"/>
  </r>
  <r>
    <x v="314"/>
    <x v="1"/>
    <m/>
    <x v="1"/>
    <x v="0"/>
    <x v="135"/>
    <n v="4"/>
    <s v="스테이포에버"/>
    <s v="210207"/>
    <m/>
    <n v="136000"/>
  </r>
  <r>
    <x v="314"/>
    <x v="1"/>
    <m/>
    <x v="1"/>
    <x v="0"/>
    <x v="136"/>
    <n v="5"/>
    <s v="스테이포에버 2set"/>
    <s v="210207"/>
    <m/>
    <n v="294000"/>
  </r>
  <r>
    <x v="314"/>
    <x v="1"/>
    <m/>
    <x v="1"/>
    <x v="0"/>
    <x v="137"/>
    <n v="12"/>
    <s v="이그나이트 + 스테이포에버"/>
    <s v="210207"/>
    <m/>
    <n v="705600"/>
  </r>
  <r>
    <x v="314"/>
    <x v="1"/>
    <m/>
    <x v="1"/>
    <x v="0"/>
    <x v="144"/>
    <n v="1"/>
    <s v="이그나이트 + 스테이포에버"/>
    <s v="210207"/>
    <m/>
    <n v="58800"/>
  </r>
  <r>
    <x v="314"/>
    <x v="1"/>
    <m/>
    <x v="1"/>
    <x v="0"/>
    <x v="138"/>
    <n v="191"/>
    <s v="스테이포에버"/>
    <s v="210207"/>
    <m/>
    <n v="6494000"/>
  </r>
  <r>
    <x v="314"/>
    <x v="1"/>
    <m/>
    <x v="1"/>
    <x v="0"/>
    <x v="139"/>
    <n v="129"/>
    <s v="스테이포에버 2set"/>
    <s v="210207"/>
    <m/>
    <n v="7585200"/>
  </r>
  <r>
    <x v="314"/>
    <x v="1"/>
    <m/>
    <x v="1"/>
    <x v="0"/>
    <x v="140"/>
    <n v="13"/>
    <s v="이그나이트 + 스테이포에버"/>
    <s v="210207"/>
    <m/>
    <n v="764400"/>
  </r>
  <r>
    <x v="314"/>
    <x v="1"/>
    <m/>
    <x v="0"/>
    <x v="0"/>
    <x v="0"/>
    <n v="8"/>
    <s v="쇼핑백"/>
    <s v="210207"/>
    <m/>
    <n v="16000"/>
  </r>
  <r>
    <x v="314"/>
    <x v="1"/>
    <m/>
    <x v="1"/>
    <x v="0"/>
    <x v="141"/>
    <n v="5"/>
    <s v="이그나이트"/>
    <s v="210207"/>
    <m/>
    <n v="170000"/>
  </r>
  <r>
    <x v="314"/>
    <x v="1"/>
    <m/>
    <x v="0"/>
    <x v="0"/>
    <x v="143"/>
    <n v="1"/>
    <s v="쇼핑백"/>
    <s v="210207"/>
    <m/>
    <n v="2000"/>
  </r>
  <r>
    <x v="315"/>
    <x v="2"/>
    <m/>
    <x v="1"/>
    <x v="3"/>
    <x v="151"/>
    <n v="1"/>
    <s v="스테이포에버 2set"/>
    <s v="210207"/>
    <m/>
    <n v="58800"/>
  </r>
  <r>
    <x v="315"/>
    <x v="2"/>
    <m/>
    <x v="1"/>
    <x v="3"/>
    <x v="152"/>
    <n v="15"/>
    <s v="스테이포에버"/>
    <s v="210207"/>
    <m/>
    <n v="510000"/>
  </r>
  <r>
    <x v="315"/>
    <x v="2"/>
    <m/>
    <x v="1"/>
    <x v="0"/>
    <x v="134"/>
    <n v="1"/>
    <s v="이그나이트"/>
    <s v="210207"/>
    <m/>
    <n v="34000"/>
  </r>
  <r>
    <x v="315"/>
    <x v="2"/>
    <m/>
    <x v="1"/>
    <x v="0"/>
    <x v="135"/>
    <n v="10"/>
    <s v="스테이포에버"/>
    <s v="210207"/>
    <m/>
    <n v="340000"/>
  </r>
  <r>
    <x v="315"/>
    <x v="2"/>
    <m/>
    <x v="1"/>
    <x v="0"/>
    <x v="136"/>
    <n v="8"/>
    <s v="스테이포에버 2set"/>
    <s v="210207"/>
    <m/>
    <n v="470400"/>
  </r>
  <r>
    <x v="315"/>
    <x v="2"/>
    <m/>
    <x v="1"/>
    <x v="0"/>
    <x v="137"/>
    <n v="12"/>
    <s v="이그나이트 + 스테이포에버"/>
    <s v="210207"/>
    <m/>
    <n v="705600"/>
  </r>
  <r>
    <x v="315"/>
    <x v="2"/>
    <m/>
    <x v="1"/>
    <x v="0"/>
    <x v="144"/>
    <n v="2"/>
    <s v="이그나이트 + 스테이포에버"/>
    <s v="210207"/>
    <m/>
    <n v="117600"/>
  </r>
  <r>
    <x v="315"/>
    <x v="2"/>
    <m/>
    <x v="1"/>
    <x v="0"/>
    <x v="138"/>
    <n v="224"/>
    <s v="스테이포에버"/>
    <s v="210207"/>
    <m/>
    <n v="7616000"/>
  </r>
  <r>
    <x v="315"/>
    <x v="2"/>
    <m/>
    <x v="1"/>
    <x v="0"/>
    <x v="139"/>
    <n v="130"/>
    <s v="스테이포에버 2set"/>
    <s v="210207"/>
    <m/>
    <n v="7644000"/>
  </r>
  <r>
    <x v="315"/>
    <x v="2"/>
    <m/>
    <x v="1"/>
    <x v="0"/>
    <x v="140"/>
    <n v="15"/>
    <s v="이그나이트 + 스테이포에버"/>
    <s v="210207"/>
    <m/>
    <n v="882000"/>
  </r>
  <r>
    <x v="315"/>
    <x v="2"/>
    <m/>
    <x v="0"/>
    <x v="0"/>
    <x v="0"/>
    <n v="4"/>
    <s v="쇼핑백"/>
    <s v="210207"/>
    <m/>
    <n v="8000"/>
  </r>
  <r>
    <x v="315"/>
    <x v="2"/>
    <m/>
    <x v="1"/>
    <x v="0"/>
    <x v="141"/>
    <n v="3"/>
    <s v="이그나이트"/>
    <s v="210207"/>
    <m/>
    <n v="102000"/>
  </r>
  <r>
    <x v="315"/>
    <x v="2"/>
    <m/>
    <x v="1"/>
    <x v="0"/>
    <x v="142"/>
    <n v="4"/>
    <s v="이그나이트 2set"/>
    <s v="210207"/>
    <m/>
    <n v="235200"/>
  </r>
  <r>
    <x v="316"/>
    <x v="5"/>
    <m/>
    <x v="1"/>
    <x v="3"/>
    <x v="153"/>
    <n v="2"/>
    <s v="스테이포에버"/>
    <s v="210207"/>
    <m/>
    <n v="68000"/>
  </r>
  <r>
    <x v="316"/>
    <x v="5"/>
    <m/>
    <x v="1"/>
    <x v="3"/>
    <x v="150"/>
    <n v="1"/>
    <s v="이그나이트 + 스테이포에버"/>
    <s v="210207"/>
    <m/>
    <n v="58800"/>
  </r>
  <r>
    <x v="316"/>
    <x v="5"/>
    <m/>
    <x v="1"/>
    <x v="3"/>
    <x v="151"/>
    <n v="2"/>
    <s v="스테이포에버 2set"/>
    <s v="210207"/>
    <m/>
    <n v="117600"/>
  </r>
  <r>
    <x v="316"/>
    <x v="5"/>
    <m/>
    <x v="1"/>
    <x v="3"/>
    <x v="152"/>
    <n v="13"/>
    <s v="스테이포에버"/>
    <s v="210207"/>
    <m/>
    <n v="442000"/>
  </r>
  <r>
    <x v="316"/>
    <x v="5"/>
    <m/>
    <x v="1"/>
    <x v="0"/>
    <x v="134"/>
    <n v="1"/>
    <s v="이그나이트"/>
    <s v="210207"/>
    <m/>
    <n v="34000"/>
  </r>
  <r>
    <x v="316"/>
    <x v="5"/>
    <m/>
    <x v="1"/>
    <x v="0"/>
    <x v="145"/>
    <n v="2"/>
    <s v="이그나이트 2set"/>
    <s v="210207"/>
    <m/>
    <n v="117600"/>
  </r>
  <r>
    <x v="316"/>
    <x v="5"/>
    <m/>
    <x v="1"/>
    <x v="0"/>
    <x v="135"/>
    <n v="5"/>
    <s v="스테이포에버"/>
    <s v="210207"/>
    <m/>
    <n v="170000"/>
  </r>
  <r>
    <x v="316"/>
    <x v="5"/>
    <m/>
    <x v="1"/>
    <x v="0"/>
    <x v="136"/>
    <n v="14"/>
    <s v="스테이포에버 2set"/>
    <s v="210207"/>
    <m/>
    <n v="823200"/>
  </r>
  <r>
    <x v="316"/>
    <x v="5"/>
    <m/>
    <x v="1"/>
    <x v="0"/>
    <x v="137"/>
    <n v="12"/>
    <s v="이그나이트 + 스테이포에버"/>
    <s v="210207"/>
    <m/>
    <n v="705600"/>
  </r>
  <r>
    <x v="316"/>
    <x v="5"/>
    <m/>
    <x v="1"/>
    <x v="0"/>
    <x v="144"/>
    <n v="2"/>
    <s v="이그나이트 + 스테이포에버"/>
    <s v="210207"/>
    <m/>
    <n v="117600"/>
  </r>
  <r>
    <x v="316"/>
    <x v="5"/>
    <m/>
    <x v="1"/>
    <x v="0"/>
    <x v="138"/>
    <n v="214"/>
    <s v="스테이포에버"/>
    <s v="210207"/>
    <m/>
    <n v="7276000"/>
  </r>
  <r>
    <x v="316"/>
    <x v="5"/>
    <m/>
    <x v="1"/>
    <x v="0"/>
    <x v="139"/>
    <n v="144"/>
    <s v="스테이포에버 2set"/>
    <s v="210207"/>
    <m/>
    <n v="8467200"/>
  </r>
  <r>
    <x v="316"/>
    <x v="5"/>
    <m/>
    <x v="1"/>
    <x v="0"/>
    <x v="140"/>
    <n v="12"/>
    <s v="이그나이트 + 스테이포에버"/>
    <s v="210207"/>
    <m/>
    <n v="705600"/>
  </r>
  <r>
    <x v="316"/>
    <x v="5"/>
    <m/>
    <x v="0"/>
    <x v="0"/>
    <x v="0"/>
    <n v="8"/>
    <s v="쇼핑백"/>
    <s v="210207"/>
    <m/>
    <n v="16000"/>
  </r>
  <r>
    <x v="316"/>
    <x v="5"/>
    <m/>
    <x v="1"/>
    <x v="0"/>
    <x v="141"/>
    <n v="2"/>
    <s v="이그나이트"/>
    <s v="210207"/>
    <m/>
    <n v="68000"/>
  </r>
  <r>
    <x v="314"/>
    <x v="1"/>
    <s v="네이버 배너"/>
    <x v="1"/>
    <x v="1"/>
    <x v="1"/>
    <m/>
    <m/>
    <m/>
    <n v="1604387.272727273"/>
    <m/>
  </r>
  <r>
    <x v="315"/>
    <x v="2"/>
    <s v="네이버 배너"/>
    <x v="1"/>
    <x v="1"/>
    <x v="1"/>
    <m/>
    <m/>
    <m/>
    <n v="1440240.909090909"/>
    <m/>
  </r>
  <r>
    <x v="316"/>
    <x v="5"/>
    <s v="네이버 배너"/>
    <x v="1"/>
    <x v="1"/>
    <x v="1"/>
    <m/>
    <m/>
    <m/>
    <n v="1505028.181818182"/>
    <m/>
  </r>
  <r>
    <x v="314"/>
    <x v="1"/>
    <s v="네이버 배너(대행사)"/>
    <x v="1"/>
    <x v="1"/>
    <x v="1"/>
    <m/>
    <m/>
    <m/>
    <n v="159542.7272727273"/>
    <m/>
  </r>
  <r>
    <x v="315"/>
    <x v="2"/>
    <s v="네이버 배너(대행사)"/>
    <x v="1"/>
    <x v="1"/>
    <x v="1"/>
    <m/>
    <m/>
    <m/>
    <n v="210468.1818181818"/>
    <m/>
  </r>
  <r>
    <x v="316"/>
    <x v="5"/>
    <s v="네이버 배너(대행사)"/>
    <x v="1"/>
    <x v="1"/>
    <x v="1"/>
    <m/>
    <m/>
    <m/>
    <n v="98655.45454545454"/>
    <m/>
  </r>
  <r>
    <x v="317"/>
    <x v="6"/>
    <s v="페이스북/인스타그램"/>
    <x v="1"/>
    <x v="1"/>
    <x v="1"/>
    <m/>
    <m/>
    <m/>
    <n v="12637"/>
    <m/>
  </r>
  <r>
    <x v="317"/>
    <x v="6"/>
    <s v="페이스북/인스타그램"/>
    <x v="1"/>
    <x v="1"/>
    <x v="1"/>
    <m/>
    <m/>
    <m/>
    <n v="34250"/>
    <m/>
  </r>
  <r>
    <x v="317"/>
    <x v="6"/>
    <s v="페이스북/인스타그램"/>
    <x v="1"/>
    <x v="1"/>
    <x v="1"/>
    <m/>
    <m/>
    <m/>
    <n v="26912"/>
    <m/>
  </r>
  <r>
    <x v="317"/>
    <x v="6"/>
    <s v="페이스북/인스타그램"/>
    <x v="1"/>
    <x v="1"/>
    <x v="1"/>
    <m/>
    <m/>
    <m/>
    <n v="176403"/>
    <m/>
  </r>
  <r>
    <x v="317"/>
    <x v="6"/>
    <s v="페이스북/인스타그램"/>
    <x v="1"/>
    <x v="1"/>
    <x v="1"/>
    <m/>
    <m/>
    <m/>
    <n v="58695"/>
    <m/>
  </r>
  <r>
    <x v="317"/>
    <x v="6"/>
    <s v="페이스북/인스타그램"/>
    <x v="1"/>
    <x v="1"/>
    <x v="1"/>
    <m/>
    <m/>
    <m/>
    <n v="262415"/>
    <m/>
  </r>
  <r>
    <x v="317"/>
    <x v="6"/>
    <s v="페이스북/인스타그램"/>
    <x v="1"/>
    <x v="1"/>
    <x v="1"/>
    <m/>
    <m/>
    <m/>
    <n v="97482"/>
    <m/>
  </r>
  <r>
    <x v="317"/>
    <x v="6"/>
    <s v="페이스북/인스타그램"/>
    <x v="1"/>
    <x v="1"/>
    <x v="1"/>
    <m/>
    <m/>
    <m/>
    <n v="67706"/>
    <m/>
  </r>
  <r>
    <x v="317"/>
    <x v="6"/>
    <s v="페이스북/인스타그램"/>
    <x v="1"/>
    <x v="1"/>
    <x v="1"/>
    <m/>
    <m/>
    <m/>
    <n v="107299"/>
    <m/>
  </r>
  <r>
    <x v="317"/>
    <x v="6"/>
    <s v="페이스북/인스타그램"/>
    <x v="1"/>
    <x v="1"/>
    <x v="1"/>
    <m/>
    <m/>
    <m/>
    <n v="262521"/>
    <m/>
  </r>
  <r>
    <x v="317"/>
    <x v="6"/>
    <s v="페이스북/인스타그램"/>
    <x v="1"/>
    <x v="1"/>
    <x v="1"/>
    <m/>
    <m/>
    <m/>
    <n v="244598"/>
    <m/>
  </r>
  <r>
    <x v="317"/>
    <x v="6"/>
    <s v="페이스북/인스타그램"/>
    <x v="1"/>
    <x v="1"/>
    <x v="1"/>
    <m/>
    <m/>
    <m/>
    <n v="47950"/>
    <m/>
  </r>
  <r>
    <x v="317"/>
    <x v="6"/>
    <s v="페이스북/인스타그램"/>
    <x v="1"/>
    <x v="1"/>
    <x v="1"/>
    <m/>
    <m/>
    <m/>
    <n v="194310"/>
    <m/>
  </r>
  <r>
    <x v="317"/>
    <x v="6"/>
    <s v="페이스북/인스타그램"/>
    <x v="1"/>
    <x v="1"/>
    <x v="1"/>
    <m/>
    <m/>
    <m/>
    <n v="48099"/>
    <m/>
  </r>
  <r>
    <x v="317"/>
    <x v="6"/>
    <s v="페이스북/인스타그램"/>
    <x v="1"/>
    <x v="1"/>
    <x v="1"/>
    <m/>
    <m/>
    <m/>
    <n v="96924"/>
    <m/>
  </r>
  <r>
    <x v="317"/>
    <x v="6"/>
    <s v="페이스북/인스타그램"/>
    <x v="1"/>
    <x v="1"/>
    <x v="1"/>
    <m/>
    <m/>
    <m/>
    <n v="144441"/>
    <m/>
  </r>
  <r>
    <x v="317"/>
    <x v="6"/>
    <s v="페이스북/인스타그램"/>
    <x v="1"/>
    <x v="1"/>
    <x v="1"/>
    <m/>
    <m/>
    <m/>
    <n v="67286"/>
    <m/>
  </r>
  <r>
    <x v="317"/>
    <x v="6"/>
    <s v="페이스북/인스타그램"/>
    <x v="1"/>
    <x v="1"/>
    <x v="1"/>
    <m/>
    <m/>
    <m/>
    <n v="146071"/>
    <m/>
  </r>
  <r>
    <x v="317"/>
    <x v="6"/>
    <s v="페이스북/인스타그램"/>
    <x v="1"/>
    <x v="1"/>
    <x v="1"/>
    <m/>
    <m/>
    <m/>
    <n v="67736"/>
    <m/>
  </r>
  <r>
    <x v="317"/>
    <x v="6"/>
    <s v="페이스북/인스타그램"/>
    <x v="1"/>
    <x v="1"/>
    <x v="1"/>
    <m/>
    <m/>
    <m/>
    <n v="49878"/>
    <m/>
  </r>
  <r>
    <x v="317"/>
    <x v="6"/>
    <s v="유튜브 광고"/>
    <x v="1"/>
    <x v="1"/>
    <x v="1"/>
    <m/>
    <m/>
    <m/>
    <n v="35183"/>
    <m/>
  </r>
  <r>
    <x v="317"/>
    <x v="6"/>
    <s v="유튜브 광고"/>
    <x v="1"/>
    <x v="1"/>
    <x v="1"/>
    <m/>
    <m/>
    <m/>
    <n v="42156"/>
    <m/>
  </r>
  <r>
    <x v="317"/>
    <x v="6"/>
    <s v="유튜브 광고"/>
    <x v="1"/>
    <x v="1"/>
    <x v="1"/>
    <m/>
    <m/>
    <m/>
    <n v="449543"/>
    <m/>
  </r>
  <r>
    <x v="317"/>
    <x v="6"/>
    <s v="유튜브 광고"/>
    <x v="1"/>
    <x v="1"/>
    <x v="1"/>
    <m/>
    <m/>
    <m/>
    <n v="200751"/>
    <m/>
  </r>
  <r>
    <x v="317"/>
    <x v="6"/>
    <s v="유튜브 광고"/>
    <x v="1"/>
    <x v="1"/>
    <x v="1"/>
    <m/>
    <m/>
    <m/>
    <n v="59369"/>
    <m/>
  </r>
  <r>
    <x v="317"/>
    <x v="6"/>
    <s v="유튜브 광고"/>
    <x v="1"/>
    <x v="1"/>
    <x v="1"/>
    <m/>
    <m/>
    <m/>
    <n v="20062"/>
    <m/>
  </r>
  <r>
    <x v="317"/>
    <x v="6"/>
    <s v="유튜브 광고"/>
    <x v="1"/>
    <x v="1"/>
    <x v="1"/>
    <m/>
    <m/>
    <m/>
    <n v="200486"/>
    <m/>
  </r>
  <r>
    <x v="317"/>
    <x v="6"/>
    <s v="유튜브 광고"/>
    <x v="1"/>
    <x v="1"/>
    <x v="1"/>
    <m/>
    <m/>
    <m/>
    <n v="100079"/>
    <m/>
  </r>
  <r>
    <x v="317"/>
    <x v="6"/>
    <s v="유튜브 광고"/>
    <x v="1"/>
    <x v="1"/>
    <x v="1"/>
    <m/>
    <m/>
    <m/>
    <n v="99810"/>
    <m/>
  </r>
  <r>
    <x v="317"/>
    <x v="6"/>
    <s v="유튜브 광고"/>
    <x v="1"/>
    <x v="1"/>
    <x v="1"/>
    <m/>
    <m/>
    <m/>
    <n v="400022"/>
    <m/>
  </r>
  <r>
    <x v="317"/>
    <x v="6"/>
    <s v="유튜브 광고"/>
    <x v="1"/>
    <x v="1"/>
    <x v="1"/>
    <m/>
    <m/>
    <m/>
    <n v="400000"/>
    <m/>
  </r>
  <r>
    <x v="317"/>
    <x v="6"/>
    <s v="유튜브 광고"/>
    <x v="1"/>
    <x v="1"/>
    <x v="1"/>
    <m/>
    <m/>
    <m/>
    <n v="199977"/>
    <m/>
  </r>
  <r>
    <x v="317"/>
    <x v="6"/>
    <s v="유튜브 광고"/>
    <x v="1"/>
    <x v="1"/>
    <x v="1"/>
    <m/>
    <m/>
    <m/>
    <n v="100800"/>
    <m/>
  </r>
  <r>
    <x v="317"/>
    <x v="6"/>
    <s v="네이버 쇼핑검색"/>
    <x v="1"/>
    <x v="1"/>
    <x v="1"/>
    <m/>
    <m/>
    <m/>
    <n v="22380"/>
    <m/>
  </r>
  <r>
    <x v="317"/>
    <x v="6"/>
    <s v="네이버 쇼핑검색"/>
    <x v="1"/>
    <x v="1"/>
    <x v="1"/>
    <m/>
    <m/>
    <m/>
    <n v="0"/>
    <m/>
  </r>
  <r>
    <x v="317"/>
    <x v="6"/>
    <s v="네이버 쇼핑검색"/>
    <x v="1"/>
    <x v="1"/>
    <x v="1"/>
    <m/>
    <m/>
    <m/>
    <n v="114790"/>
    <m/>
  </r>
  <r>
    <x v="317"/>
    <x v="6"/>
    <s v="네이버 브랜드검색"/>
    <x v="3"/>
    <x v="1"/>
    <x v="1"/>
    <m/>
    <m/>
    <m/>
    <n v="0"/>
    <m/>
  </r>
  <r>
    <x v="317"/>
    <x v="6"/>
    <s v="네이버 브랜드검색"/>
    <x v="3"/>
    <x v="1"/>
    <x v="1"/>
    <m/>
    <m/>
    <m/>
    <n v="0"/>
    <m/>
  </r>
  <r>
    <x v="317"/>
    <x v="6"/>
    <s v="카카오 배너"/>
    <x v="1"/>
    <x v="1"/>
    <x v="1"/>
    <m/>
    <m/>
    <m/>
    <n v="181950"/>
    <m/>
  </r>
  <r>
    <x v="317"/>
    <x v="6"/>
    <s v="카카오 배너"/>
    <x v="1"/>
    <x v="1"/>
    <x v="1"/>
    <m/>
    <m/>
    <m/>
    <n v="893669.9999999999"/>
    <m/>
  </r>
  <r>
    <x v="317"/>
    <x v="6"/>
    <m/>
    <x v="1"/>
    <x v="4"/>
    <x v="155"/>
    <n v="12"/>
    <s v="스테이포에버"/>
    <s v="210207"/>
    <m/>
    <n v="408000"/>
  </r>
  <r>
    <x v="317"/>
    <x v="6"/>
    <m/>
    <x v="1"/>
    <x v="4"/>
    <x v="157"/>
    <n v="2"/>
    <s v="이그나이트 + 스테이포에버"/>
    <s v="210207"/>
    <m/>
    <n v="117600"/>
  </r>
  <r>
    <x v="317"/>
    <x v="6"/>
    <m/>
    <x v="1"/>
    <x v="3"/>
    <x v="150"/>
    <n v="2"/>
    <s v="이그나이트 + 스테이포에버"/>
    <s v="210207"/>
    <m/>
    <n v="117600"/>
  </r>
  <r>
    <x v="317"/>
    <x v="6"/>
    <m/>
    <x v="1"/>
    <x v="3"/>
    <x v="151"/>
    <n v="1"/>
    <s v="스테이포에버 2set"/>
    <s v="210207"/>
    <m/>
    <n v="58800"/>
  </r>
  <r>
    <x v="317"/>
    <x v="6"/>
    <m/>
    <x v="1"/>
    <x v="3"/>
    <x v="159"/>
    <n v="1"/>
    <s v="이그나이트 2set"/>
    <s v="210207"/>
    <m/>
    <n v="58800"/>
  </r>
  <r>
    <x v="317"/>
    <x v="6"/>
    <m/>
    <x v="1"/>
    <x v="3"/>
    <x v="152"/>
    <n v="20"/>
    <s v="스테이포에버"/>
    <s v="210207"/>
    <m/>
    <n v="680000"/>
  </r>
  <r>
    <x v="317"/>
    <x v="6"/>
    <m/>
    <x v="0"/>
    <x v="0"/>
    <x v="148"/>
    <n v="2"/>
    <s v="쇼핑백"/>
    <s v="210207"/>
    <m/>
    <n v="4000"/>
  </r>
  <r>
    <x v="317"/>
    <x v="6"/>
    <m/>
    <x v="1"/>
    <x v="0"/>
    <x v="134"/>
    <n v="1"/>
    <s v="이그나이트"/>
    <s v="210207"/>
    <m/>
    <n v="34000"/>
  </r>
  <r>
    <x v="317"/>
    <x v="6"/>
    <m/>
    <x v="1"/>
    <x v="0"/>
    <x v="135"/>
    <n v="9"/>
    <s v="스테이포에버"/>
    <s v="210207"/>
    <m/>
    <n v="306000"/>
  </r>
  <r>
    <x v="317"/>
    <x v="6"/>
    <m/>
    <x v="1"/>
    <x v="0"/>
    <x v="136"/>
    <n v="11"/>
    <s v="스테이포에버 2set"/>
    <s v="210207"/>
    <m/>
    <n v="646800"/>
  </r>
  <r>
    <x v="317"/>
    <x v="6"/>
    <m/>
    <x v="1"/>
    <x v="0"/>
    <x v="137"/>
    <n v="8"/>
    <s v="이그나이트 + 스테이포에버"/>
    <s v="210207"/>
    <m/>
    <n v="470400"/>
  </r>
  <r>
    <x v="317"/>
    <x v="6"/>
    <m/>
    <x v="1"/>
    <x v="0"/>
    <x v="144"/>
    <n v="3"/>
    <s v="이그나이트 + 스테이포에버"/>
    <s v="210207"/>
    <m/>
    <n v="176400"/>
  </r>
  <r>
    <x v="317"/>
    <x v="6"/>
    <m/>
    <x v="1"/>
    <x v="0"/>
    <x v="138"/>
    <n v="212"/>
    <s v="스테이포에버"/>
    <s v="210207"/>
    <m/>
    <n v="7208000"/>
  </r>
  <r>
    <x v="317"/>
    <x v="6"/>
    <m/>
    <x v="1"/>
    <x v="0"/>
    <x v="139"/>
    <n v="133"/>
    <s v="스테이포에버 2set"/>
    <s v="210207"/>
    <m/>
    <n v="7820400"/>
  </r>
  <r>
    <x v="317"/>
    <x v="6"/>
    <m/>
    <x v="1"/>
    <x v="0"/>
    <x v="140"/>
    <n v="14"/>
    <s v="이그나이트 + 스테이포에버"/>
    <s v="210207"/>
    <m/>
    <n v="823200"/>
  </r>
  <r>
    <x v="317"/>
    <x v="6"/>
    <m/>
    <x v="0"/>
    <x v="0"/>
    <x v="0"/>
    <n v="6"/>
    <s v="쇼핑백"/>
    <s v="210207"/>
    <m/>
    <n v="12000"/>
  </r>
  <r>
    <x v="317"/>
    <x v="6"/>
    <m/>
    <x v="1"/>
    <x v="0"/>
    <x v="141"/>
    <n v="1"/>
    <s v="이그나이트"/>
    <s v="210207"/>
    <m/>
    <n v="34000"/>
  </r>
  <r>
    <x v="317"/>
    <x v="6"/>
    <s v="네이버 배너"/>
    <x v="1"/>
    <x v="1"/>
    <x v="1"/>
    <m/>
    <m/>
    <m/>
    <n v="1610337.272727273"/>
    <m/>
  </r>
  <r>
    <x v="318"/>
    <x v="0"/>
    <s v="페이스북/인스타그램"/>
    <x v="1"/>
    <x v="1"/>
    <x v="1"/>
    <m/>
    <m/>
    <m/>
    <n v="15618"/>
    <m/>
  </r>
  <r>
    <x v="318"/>
    <x v="0"/>
    <s v="페이스북/인스타그램"/>
    <x v="1"/>
    <x v="1"/>
    <x v="1"/>
    <m/>
    <m/>
    <m/>
    <n v="47661"/>
    <m/>
  </r>
  <r>
    <x v="318"/>
    <x v="0"/>
    <s v="페이스북/인스타그램"/>
    <x v="1"/>
    <x v="1"/>
    <x v="1"/>
    <m/>
    <m/>
    <m/>
    <n v="95330"/>
    <m/>
  </r>
  <r>
    <x v="318"/>
    <x v="0"/>
    <s v="페이스북/인스타그램"/>
    <x v="1"/>
    <x v="1"/>
    <x v="1"/>
    <m/>
    <m/>
    <m/>
    <n v="38343"/>
    <m/>
  </r>
  <r>
    <x v="318"/>
    <x v="0"/>
    <s v="페이스북/인스타그램"/>
    <x v="1"/>
    <x v="1"/>
    <x v="1"/>
    <m/>
    <m/>
    <m/>
    <n v="227786"/>
    <m/>
  </r>
  <r>
    <x v="318"/>
    <x v="0"/>
    <s v="페이스북/인스타그램"/>
    <x v="1"/>
    <x v="1"/>
    <x v="1"/>
    <m/>
    <m/>
    <m/>
    <n v="48014"/>
    <m/>
  </r>
  <r>
    <x v="318"/>
    <x v="0"/>
    <s v="페이스북/인스타그램"/>
    <x v="1"/>
    <x v="1"/>
    <x v="1"/>
    <m/>
    <m/>
    <m/>
    <n v="307556"/>
    <m/>
  </r>
  <r>
    <x v="318"/>
    <x v="0"/>
    <s v="페이스북/인스타그램"/>
    <x v="1"/>
    <x v="1"/>
    <x v="1"/>
    <m/>
    <m/>
    <m/>
    <n v="133981"/>
    <m/>
  </r>
  <r>
    <x v="318"/>
    <x v="0"/>
    <s v="페이스북/인스타그램"/>
    <x v="1"/>
    <x v="1"/>
    <x v="1"/>
    <m/>
    <m/>
    <m/>
    <n v="69004"/>
    <m/>
  </r>
  <r>
    <x v="318"/>
    <x v="0"/>
    <s v="페이스북/인스타그램"/>
    <x v="1"/>
    <x v="1"/>
    <x v="1"/>
    <m/>
    <m/>
    <m/>
    <n v="111550"/>
    <m/>
  </r>
  <r>
    <x v="318"/>
    <x v="0"/>
    <s v="페이스북/인스타그램"/>
    <x v="1"/>
    <x v="1"/>
    <x v="1"/>
    <m/>
    <m/>
    <m/>
    <n v="278782"/>
    <m/>
  </r>
  <r>
    <x v="318"/>
    <x v="0"/>
    <s v="페이스북/인스타그램"/>
    <x v="1"/>
    <x v="1"/>
    <x v="1"/>
    <m/>
    <m/>
    <m/>
    <n v="251306"/>
    <m/>
  </r>
  <r>
    <x v="318"/>
    <x v="0"/>
    <s v="페이스북/인스타그램"/>
    <x v="1"/>
    <x v="1"/>
    <x v="1"/>
    <m/>
    <m/>
    <m/>
    <n v="50245"/>
    <m/>
  </r>
  <r>
    <x v="318"/>
    <x v="0"/>
    <s v="페이스북/인스타그램"/>
    <x v="1"/>
    <x v="1"/>
    <x v="1"/>
    <m/>
    <m/>
    <m/>
    <n v="196677"/>
    <m/>
  </r>
  <r>
    <x v="318"/>
    <x v="0"/>
    <s v="페이스북/인스타그램"/>
    <x v="1"/>
    <x v="1"/>
    <x v="1"/>
    <m/>
    <m/>
    <m/>
    <n v="50443"/>
    <m/>
  </r>
  <r>
    <x v="318"/>
    <x v="0"/>
    <s v="페이스북/인스타그램"/>
    <x v="1"/>
    <x v="1"/>
    <x v="1"/>
    <m/>
    <m/>
    <m/>
    <n v="97767"/>
    <m/>
  </r>
  <r>
    <x v="318"/>
    <x v="0"/>
    <s v="페이스북/인스타그램"/>
    <x v="1"/>
    <x v="1"/>
    <x v="1"/>
    <m/>
    <m/>
    <m/>
    <n v="146909"/>
    <m/>
  </r>
  <r>
    <x v="318"/>
    <x v="0"/>
    <s v="페이스북/인스타그램"/>
    <x v="1"/>
    <x v="1"/>
    <x v="1"/>
    <m/>
    <m/>
    <m/>
    <n v="41085"/>
    <m/>
  </r>
  <r>
    <x v="318"/>
    <x v="0"/>
    <s v="페이스북/인스타그램"/>
    <x v="1"/>
    <x v="1"/>
    <x v="1"/>
    <m/>
    <m/>
    <m/>
    <n v="151265"/>
    <m/>
  </r>
  <r>
    <x v="318"/>
    <x v="0"/>
    <s v="페이스북/인스타그램"/>
    <x v="1"/>
    <x v="1"/>
    <x v="1"/>
    <m/>
    <m/>
    <m/>
    <n v="69590"/>
    <m/>
  </r>
  <r>
    <x v="318"/>
    <x v="0"/>
    <s v="페이스북/인스타그램"/>
    <x v="1"/>
    <x v="1"/>
    <x v="1"/>
    <m/>
    <m/>
    <m/>
    <n v="35053"/>
    <m/>
  </r>
  <r>
    <x v="318"/>
    <x v="0"/>
    <s v="유튜브 광고"/>
    <x v="1"/>
    <x v="1"/>
    <x v="1"/>
    <m/>
    <m/>
    <m/>
    <n v="32370"/>
    <m/>
  </r>
  <r>
    <x v="318"/>
    <x v="0"/>
    <s v="유튜브 광고"/>
    <x v="1"/>
    <x v="1"/>
    <x v="1"/>
    <m/>
    <m/>
    <m/>
    <n v="12335"/>
    <m/>
  </r>
  <r>
    <x v="318"/>
    <x v="0"/>
    <s v="유튜브 광고"/>
    <x v="1"/>
    <x v="1"/>
    <x v="1"/>
    <m/>
    <m/>
    <m/>
    <n v="439645"/>
    <m/>
  </r>
  <r>
    <x v="318"/>
    <x v="0"/>
    <s v="유튜브 광고"/>
    <x v="1"/>
    <x v="1"/>
    <x v="1"/>
    <m/>
    <m/>
    <m/>
    <n v="200614"/>
    <m/>
  </r>
  <r>
    <x v="318"/>
    <x v="0"/>
    <s v="유튜브 광고"/>
    <x v="1"/>
    <x v="1"/>
    <x v="1"/>
    <m/>
    <m/>
    <m/>
    <n v="58544"/>
    <m/>
  </r>
  <r>
    <x v="318"/>
    <x v="0"/>
    <s v="유튜브 광고"/>
    <x v="1"/>
    <x v="1"/>
    <x v="1"/>
    <m/>
    <m/>
    <m/>
    <n v="11613"/>
    <m/>
  </r>
  <r>
    <x v="318"/>
    <x v="0"/>
    <s v="유튜브 광고"/>
    <x v="1"/>
    <x v="1"/>
    <x v="1"/>
    <m/>
    <m/>
    <m/>
    <n v="149872"/>
    <m/>
  </r>
  <r>
    <x v="318"/>
    <x v="0"/>
    <s v="유튜브 광고"/>
    <x v="1"/>
    <x v="1"/>
    <x v="1"/>
    <m/>
    <m/>
    <m/>
    <n v="69993"/>
    <m/>
  </r>
  <r>
    <x v="318"/>
    <x v="0"/>
    <s v="유튜브 광고"/>
    <x v="1"/>
    <x v="1"/>
    <x v="1"/>
    <m/>
    <m/>
    <m/>
    <n v="99769"/>
    <m/>
  </r>
  <r>
    <x v="318"/>
    <x v="0"/>
    <s v="유튜브 광고"/>
    <x v="1"/>
    <x v="1"/>
    <x v="1"/>
    <m/>
    <m/>
    <m/>
    <n v="400565"/>
    <m/>
  </r>
  <r>
    <x v="318"/>
    <x v="0"/>
    <s v="유튜브 광고"/>
    <x v="1"/>
    <x v="1"/>
    <x v="1"/>
    <m/>
    <m/>
    <m/>
    <n v="400341"/>
    <m/>
  </r>
  <r>
    <x v="318"/>
    <x v="0"/>
    <s v="유튜브 광고"/>
    <x v="1"/>
    <x v="1"/>
    <x v="1"/>
    <m/>
    <m/>
    <m/>
    <n v="300015"/>
    <m/>
  </r>
  <r>
    <x v="318"/>
    <x v="0"/>
    <s v="유튜브 광고"/>
    <x v="1"/>
    <x v="1"/>
    <x v="1"/>
    <m/>
    <m/>
    <m/>
    <n v="99941"/>
    <m/>
  </r>
  <r>
    <x v="318"/>
    <x v="0"/>
    <s v="네이버 쇼핑검색"/>
    <x v="1"/>
    <x v="1"/>
    <x v="1"/>
    <m/>
    <m/>
    <m/>
    <n v="9620"/>
    <m/>
  </r>
  <r>
    <x v="318"/>
    <x v="0"/>
    <s v="네이버 쇼핑검색"/>
    <x v="1"/>
    <x v="1"/>
    <x v="1"/>
    <m/>
    <m/>
    <m/>
    <n v="0"/>
    <m/>
  </r>
  <r>
    <x v="318"/>
    <x v="0"/>
    <s v="네이버 쇼핑검색"/>
    <x v="1"/>
    <x v="1"/>
    <x v="1"/>
    <m/>
    <m/>
    <m/>
    <n v="126400"/>
    <m/>
  </r>
  <r>
    <x v="318"/>
    <x v="0"/>
    <s v="네이버 브랜드검색"/>
    <x v="3"/>
    <x v="1"/>
    <x v="1"/>
    <m/>
    <m/>
    <m/>
    <n v="140000"/>
    <m/>
  </r>
  <r>
    <x v="318"/>
    <x v="0"/>
    <s v="네이버 브랜드검색"/>
    <x v="3"/>
    <x v="1"/>
    <x v="1"/>
    <m/>
    <m/>
    <m/>
    <n v="16700"/>
    <m/>
  </r>
  <r>
    <x v="318"/>
    <x v="0"/>
    <s v="카카오 배너"/>
    <x v="1"/>
    <x v="1"/>
    <x v="1"/>
    <m/>
    <m/>
    <m/>
    <n v="182310"/>
    <m/>
  </r>
  <r>
    <x v="318"/>
    <x v="0"/>
    <s v="카카오 배너"/>
    <x v="1"/>
    <x v="1"/>
    <x v="1"/>
    <m/>
    <m/>
    <m/>
    <n v="940279.9999999999"/>
    <m/>
  </r>
  <r>
    <x v="318"/>
    <x v="0"/>
    <m/>
    <x v="1"/>
    <x v="4"/>
    <x v="155"/>
    <n v="7"/>
    <s v="스테이포에버"/>
    <s v="210207"/>
    <m/>
    <n v="238000"/>
  </r>
  <r>
    <x v="318"/>
    <x v="0"/>
    <m/>
    <x v="1"/>
    <x v="3"/>
    <x v="150"/>
    <n v="4"/>
    <s v="이그나이트 + 스테이포에버"/>
    <s v="210207"/>
    <m/>
    <n v="235200"/>
  </r>
  <r>
    <x v="318"/>
    <x v="0"/>
    <m/>
    <x v="1"/>
    <x v="3"/>
    <x v="151"/>
    <n v="2"/>
    <s v="스테이포에버 2set"/>
    <s v="210207"/>
    <m/>
    <n v="117600"/>
  </r>
  <r>
    <x v="318"/>
    <x v="0"/>
    <m/>
    <x v="1"/>
    <x v="3"/>
    <x v="152"/>
    <n v="17"/>
    <s v="스테이포에버"/>
    <s v="210207"/>
    <m/>
    <n v="578000"/>
  </r>
  <r>
    <x v="318"/>
    <x v="0"/>
    <m/>
    <x v="1"/>
    <x v="2"/>
    <x v="146"/>
    <n v="2"/>
    <s v="이그나이트"/>
    <s v="210207"/>
    <m/>
    <n v="0"/>
  </r>
  <r>
    <x v="318"/>
    <x v="0"/>
    <m/>
    <x v="1"/>
    <x v="0"/>
    <x v="134"/>
    <n v="1"/>
    <s v="이그나이트"/>
    <s v="210207"/>
    <m/>
    <n v="34000"/>
  </r>
  <r>
    <x v="318"/>
    <x v="0"/>
    <m/>
    <x v="1"/>
    <x v="0"/>
    <x v="135"/>
    <n v="4"/>
    <s v="스테이포에버"/>
    <s v="210207"/>
    <m/>
    <n v="136000"/>
  </r>
  <r>
    <x v="318"/>
    <x v="0"/>
    <m/>
    <x v="1"/>
    <x v="0"/>
    <x v="136"/>
    <n v="7"/>
    <s v="스테이포에버 2set"/>
    <s v="210207"/>
    <m/>
    <n v="411600"/>
  </r>
  <r>
    <x v="318"/>
    <x v="0"/>
    <m/>
    <x v="1"/>
    <x v="0"/>
    <x v="137"/>
    <n v="11"/>
    <s v="이그나이트 + 스테이포에버"/>
    <s v="210207"/>
    <m/>
    <n v="646800"/>
  </r>
  <r>
    <x v="318"/>
    <x v="0"/>
    <m/>
    <x v="1"/>
    <x v="0"/>
    <x v="144"/>
    <n v="1"/>
    <s v="이그나이트 + 스테이포에버"/>
    <s v="210207"/>
    <m/>
    <n v="58800"/>
  </r>
  <r>
    <x v="318"/>
    <x v="0"/>
    <m/>
    <x v="1"/>
    <x v="0"/>
    <x v="138"/>
    <n v="195"/>
    <s v="스테이포에버"/>
    <s v="210207"/>
    <m/>
    <n v="6630000"/>
  </r>
  <r>
    <x v="318"/>
    <x v="0"/>
    <m/>
    <x v="1"/>
    <x v="0"/>
    <x v="139"/>
    <n v="126"/>
    <s v="스테이포에버 2set"/>
    <s v="210207"/>
    <m/>
    <n v="7408800"/>
  </r>
  <r>
    <x v="318"/>
    <x v="0"/>
    <m/>
    <x v="1"/>
    <x v="0"/>
    <x v="140"/>
    <n v="15"/>
    <s v="이그나이트 + 스테이포에버"/>
    <s v="210207"/>
    <m/>
    <n v="882000"/>
  </r>
  <r>
    <x v="318"/>
    <x v="0"/>
    <m/>
    <x v="0"/>
    <x v="0"/>
    <x v="0"/>
    <n v="6"/>
    <s v="쇼핑백"/>
    <s v="210207"/>
    <m/>
    <n v="12000"/>
  </r>
  <r>
    <x v="318"/>
    <x v="0"/>
    <m/>
    <x v="1"/>
    <x v="0"/>
    <x v="141"/>
    <n v="2"/>
    <s v="이그나이트"/>
    <s v="210207"/>
    <m/>
    <n v="68000"/>
  </r>
  <r>
    <x v="318"/>
    <x v="0"/>
    <m/>
    <x v="1"/>
    <x v="0"/>
    <x v="142"/>
    <n v="1"/>
    <s v="이그나이트 2set"/>
    <s v="210207"/>
    <m/>
    <n v="58800"/>
  </r>
  <r>
    <x v="318"/>
    <x v="0"/>
    <m/>
    <x v="1"/>
    <x v="0"/>
    <x v="162"/>
    <n v="1"/>
    <s v="스테이포에버"/>
    <s v="210207"/>
    <m/>
    <n v="34000"/>
  </r>
  <r>
    <x v="318"/>
    <x v="0"/>
    <s v="네이버 배너"/>
    <x v="1"/>
    <x v="1"/>
    <x v="1"/>
    <m/>
    <m/>
    <m/>
    <n v="1467889.090909091"/>
    <m/>
  </r>
  <r>
    <x v="318"/>
    <x v="0"/>
    <s v="네이버 배너(대행사)"/>
    <x v="1"/>
    <x v="1"/>
    <x v="1"/>
    <m/>
    <m/>
    <m/>
    <n v="78017.27272727272"/>
    <m/>
  </r>
  <r>
    <x v="319"/>
    <x v="3"/>
    <s v="페이스북/인스타그램"/>
    <x v="1"/>
    <x v="1"/>
    <x v="1"/>
    <m/>
    <m/>
    <m/>
    <n v="28241"/>
    <m/>
  </r>
  <r>
    <x v="319"/>
    <x v="3"/>
    <s v="페이스북/인스타그램"/>
    <x v="1"/>
    <x v="1"/>
    <x v="1"/>
    <m/>
    <m/>
    <m/>
    <n v="58057"/>
    <m/>
  </r>
  <r>
    <x v="319"/>
    <x v="3"/>
    <s v="페이스북/인스타그램"/>
    <x v="1"/>
    <x v="1"/>
    <x v="1"/>
    <m/>
    <m/>
    <m/>
    <n v="97074"/>
    <m/>
  </r>
  <r>
    <x v="319"/>
    <x v="3"/>
    <s v="페이스북/인스타그램"/>
    <x v="1"/>
    <x v="1"/>
    <x v="1"/>
    <m/>
    <m/>
    <m/>
    <n v="38518"/>
    <m/>
  </r>
  <r>
    <x v="319"/>
    <x v="3"/>
    <s v="페이스북/인스타그램"/>
    <x v="1"/>
    <x v="1"/>
    <x v="1"/>
    <m/>
    <m/>
    <m/>
    <n v="246875"/>
    <m/>
  </r>
  <r>
    <x v="319"/>
    <x v="3"/>
    <s v="페이스북/인스타그램"/>
    <x v="1"/>
    <x v="1"/>
    <x v="1"/>
    <m/>
    <m/>
    <m/>
    <n v="48722"/>
    <m/>
  </r>
  <r>
    <x v="319"/>
    <x v="3"/>
    <s v="페이스북/인스타그램"/>
    <x v="1"/>
    <x v="1"/>
    <x v="1"/>
    <m/>
    <m/>
    <m/>
    <n v="315050"/>
    <m/>
  </r>
  <r>
    <x v="319"/>
    <x v="3"/>
    <s v="페이스북/인스타그램"/>
    <x v="1"/>
    <x v="1"/>
    <x v="1"/>
    <m/>
    <m/>
    <m/>
    <n v="164358"/>
    <m/>
  </r>
  <r>
    <x v="319"/>
    <x v="3"/>
    <s v="페이스북/인스타그램"/>
    <x v="1"/>
    <x v="1"/>
    <x v="1"/>
    <m/>
    <m/>
    <m/>
    <n v="46880"/>
    <m/>
  </r>
  <r>
    <x v="319"/>
    <x v="3"/>
    <s v="페이스북/인스타그램"/>
    <x v="1"/>
    <x v="1"/>
    <x v="1"/>
    <m/>
    <m/>
    <m/>
    <n v="107642"/>
    <m/>
  </r>
  <r>
    <x v="319"/>
    <x v="3"/>
    <s v="페이스북/인스타그램"/>
    <x v="1"/>
    <x v="1"/>
    <x v="1"/>
    <m/>
    <m/>
    <m/>
    <n v="275157"/>
    <m/>
  </r>
  <r>
    <x v="319"/>
    <x v="3"/>
    <s v="페이스북/인스타그램"/>
    <x v="1"/>
    <x v="1"/>
    <x v="1"/>
    <m/>
    <m/>
    <m/>
    <n v="247027"/>
    <m/>
  </r>
  <r>
    <x v="319"/>
    <x v="3"/>
    <s v="페이스북/인스타그램"/>
    <x v="1"/>
    <x v="1"/>
    <x v="1"/>
    <m/>
    <m/>
    <m/>
    <n v="49655"/>
    <m/>
  </r>
  <r>
    <x v="319"/>
    <x v="3"/>
    <s v="페이스북/인스타그램"/>
    <x v="1"/>
    <x v="1"/>
    <x v="1"/>
    <m/>
    <m/>
    <m/>
    <n v="198960"/>
    <m/>
  </r>
  <r>
    <x v="319"/>
    <x v="3"/>
    <s v="페이스북/인스타그램"/>
    <x v="1"/>
    <x v="1"/>
    <x v="1"/>
    <m/>
    <m/>
    <m/>
    <n v="49530"/>
    <m/>
  </r>
  <r>
    <x v="319"/>
    <x v="3"/>
    <s v="페이스북/인스타그램"/>
    <x v="1"/>
    <x v="1"/>
    <x v="1"/>
    <m/>
    <m/>
    <m/>
    <n v="98955"/>
    <m/>
  </r>
  <r>
    <x v="319"/>
    <x v="3"/>
    <s v="페이스북/인스타그램"/>
    <x v="1"/>
    <x v="1"/>
    <x v="1"/>
    <m/>
    <m/>
    <m/>
    <n v="149320"/>
    <m/>
  </r>
  <r>
    <x v="319"/>
    <x v="3"/>
    <s v="페이스북/인스타그램"/>
    <x v="1"/>
    <x v="1"/>
    <x v="1"/>
    <m/>
    <m/>
    <m/>
    <n v="28576"/>
    <m/>
  </r>
  <r>
    <x v="319"/>
    <x v="3"/>
    <s v="페이스북/인스타그램"/>
    <x v="1"/>
    <x v="1"/>
    <x v="1"/>
    <m/>
    <m/>
    <m/>
    <n v="147008"/>
    <m/>
  </r>
  <r>
    <x v="319"/>
    <x v="3"/>
    <s v="페이스북/인스타그램"/>
    <x v="1"/>
    <x v="1"/>
    <x v="1"/>
    <m/>
    <m/>
    <m/>
    <n v="69448"/>
    <m/>
  </r>
  <r>
    <x v="319"/>
    <x v="3"/>
    <s v="페이스북/인스타그램"/>
    <x v="1"/>
    <x v="1"/>
    <x v="1"/>
    <m/>
    <m/>
    <m/>
    <n v="28492"/>
    <m/>
  </r>
  <r>
    <x v="319"/>
    <x v="3"/>
    <s v="유튜브 광고"/>
    <x v="1"/>
    <x v="1"/>
    <x v="1"/>
    <m/>
    <m/>
    <m/>
    <n v="43314"/>
    <m/>
  </r>
  <r>
    <x v="319"/>
    <x v="3"/>
    <s v="유튜브 광고"/>
    <x v="1"/>
    <x v="1"/>
    <x v="1"/>
    <m/>
    <m/>
    <m/>
    <n v="10686"/>
    <m/>
  </r>
  <r>
    <x v="319"/>
    <x v="3"/>
    <s v="유튜브 광고"/>
    <x v="1"/>
    <x v="1"/>
    <x v="1"/>
    <m/>
    <m/>
    <m/>
    <n v="610791"/>
    <m/>
  </r>
  <r>
    <x v="319"/>
    <x v="3"/>
    <s v="유튜브 광고"/>
    <x v="1"/>
    <x v="1"/>
    <x v="1"/>
    <m/>
    <m/>
    <m/>
    <n v="204976"/>
    <m/>
  </r>
  <r>
    <x v="319"/>
    <x v="3"/>
    <s v="유튜브 광고"/>
    <x v="1"/>
    <x v="1"/>
    <x v="1"/>
    <m/>
    <m/>
    <m/>
    <n v="87237"/>
    <m/>
  </r>
  <r>
    <x v="319"/>
    <x v="3"/>
    <s v="유튜브 광고"/>
    <x v="1"/>
    <x v="1"/>
    <x v="1"/>
    <m/>
    <m/>
    <m/>
    <n v="12056"/>
    <m/>
  </r>
  <r>
    <x v="319"/>
    <x v="3"/>
    <s v="유튜브 광고"/>
    <x v="1"/>
    <x v="1"/>
    <x v="1"/>
    <m/>
    <m/>
    <m/>
    <n v="111792"/>
    <m/>
  </r>
  <r>
    <x v="319"/>
    <x v="3"/>
    <s v="유튜브 광고"/>
    <x v="1"/>
    <x v="1"/>
    <x v="1"/>
    <m/>
    <m/>
    <m/>
    <n v="71456"/>
    <m/>
  </r>
  <r>
    <x v="319"/>
    <x v="3"/>
    <s v="유튜브 광고"/>
    <x v="1"/>
    <x v="1"/>
    <x v="1"/>
    <m/>
    <m/>
    <m/>
    <n v="101824"/>
    <m/>
  </r>
  <r>
    <x v="319"/>
    <x v="3"/>
    <s v="유튜브 광고"/>
    <x v="1"/>
    <x v="1"/>
    <x v="1"/>
    <m/>
    <m/>
    <m/>
    <n v="408586"/>
    <m/>
  </r>
  <r>
    <x v="319"/>
    <x v="3"/>
    <s v="유튜브 광고"/>
    <x v="1"/>
    <x v="1"/>
    <x v="1"/>
    <m/>
    <m/>
    <m/>
    <n v="408154"/>
    <m/>
  </r>
  <r>
    <x v="319"/>
    <x v="3"/>
    <s v="유튜브 광고"/>
    <x v="1"/>
    <x v="1"/>
    <x v="1"/>
    <m/>
    <m/>
    <m/>
    <n v="306060"/>
    <m/>
  </r>
  <r>
    <x v="319"/>
    <x v="3"/>
    <s v="유튜브 광고"/>
    <x v="1"/>
    <x v="1"/>
    <x v="1"/>
    <m/>
    <m/>
    <m/>
    <n v="203962"/>
    <m/>
  </r>
  <r>
    <x v="319"/>
    <x v="3"/>
    <s v="네이버 쇼핑검색"/>
    <x v="1"/>
    <x v="1"/>
    <x v="1"/>
    <m/>
    <m/>
    <m/>
    <n v="9160"/>
    <m/>
  </r>
  <r>
    <x v="319"/>
    <x v="3"/>
    <s v="네이버 쇼핑검색"/>
    <x v="1"/>
    <x v="1"/>
    <x v="1"/>
    <m/>
    <m/>
    <m/>
    <n v="0"/>
    <m/>
  </r>
  <r>
    <x v="319"/>
    <x v="3"/>
    <s v="네이버 쇼핑검색"/>
    <x v="1"/>
    <x v="1"/>
    <x v="1"/>
    <m/>
    <m/>
    <m/>
    <n v="128620"/>
    <m/>
  </r>
  <r>
    <x v="319"/>
    <x v="3"/>
    <s v="네이버 브랜드검색"/>
    <x v="3"/>
    <x v="1"/>
    <x v="1"/>
    <m/>
    <m/>
    <m/>
    <n v="140000"/>
    <m/>
  </r>
  <r>
    <x v="319"/>
    <x v="3"/>
    <s v="네이버 브랜드검색"/>
    <x v="3"/>
    <x v="1"/>
    <x v="1"/>
    <m/>
    <m/>
    <m/>
    <n v="16700"/>
    <m/>
  </r>
  <r>
    <x v="319"/>
    <x v="3"/>
    <s v="카카오 배너"/>
    <x v="1"/>
    <x v="1"/>
    <x v="1"/>
    <m/>
    <m/>
    <m/>
    <n v="181930"/>
    <m/>
  </r>
  <r>
    <x v="319"/>
    <x v="3"/>
    <s v="카카오 배너"/>
    <x v="1"/>
    <x v="1"/>
    <x v="1"/>
    <m/>
    <m/>
    <m/>
    <n v="1018320"/>
    <m/>
  </r>
  <r>
    <x v="319"/>
    <x v="3"/>
    <m/>
    <x v="1"/>
    <x v="4"/>
    <x v="155"/>
    <n v="6"/>
    <s v="스테이포에버"/>
    <s v="210207"/>
    <m/>
    <n v="204000"/>
  </r>
  <r>
    <x v="319"/>
    <x v="3"/>
    <m/>
    <x v="1"/>
    <x v="3"/>
    <x v="150"/>
    <n v="2"/>
    <s v="이그나이트 + 스테이포에버"/>
    <s v="210207"/>
    <m/>
    <n v="117600"/>
  </r>
  <r>
    <x v="319"/>
    <x v="3"/>
    <m/>
    <x v="1"/>
    <x v="3"/>
    <x v="151"/>
    <n v="2"/>
    <s v="스테이포에버 2set"/>
    <s v="210207"/>
    <m/>
    <n v="117600"/>
  </r>
  <r>
    <x v="319"/>
    <x v="3"/>
    <m/>
    <x v="1"/>
    <x v="3"/>
    <x v="152"/>
    <n v="22"/>
    <s v="스테이포에버"/>
    <s v="210207"/>
    <m/>
    <n v="748000"/>
  </r>
  <r>
    <x v="319"/>
    <x v="3"/>
    <m/>
    <x v="0"/>
    <x v="0"/>
    <x v="148"/>
    <n v="1"/>
    <s v="쇼핑백"/>
    <s v="210207"/>
    <m/>
    <n v="2000"/>
  </r>
  <r>
    <x v="319"/>
    <x v="3"/>
    <m/>
    <x v="1"/>
    <x v="0"/>
    <x v="145"/>
    <n v="1"/>
    <s v="이그나이트 2set"/>
    <s v="210207"/>
    <m/>
    <n v="58800"/>
  </r>
  <r>
    <x v="319"/>
    <x v="3"/>
    <m/>
    <x v="1"/>
    <x v="0"/>
    <x v="135"/>
    <n v="7"/>
    <s v="스테이포에버"/>
    <s v="210207"/>
    <m/>
    <n v="238000"/>
  </r>
  <r>
    <x v="319"/>
    <x v="3"/>
    <m/>
    <x v="1"/>
    <x v="0"/>
    <x v="136"/>
    <n v="10"/>
    <s v="스테이포에버 2set"/>
    <s v="210207"/>
    <m/>
    <n v="588000"/>
  </r>
  <r>
    <x v="319"/>
    <x v="3"/>
    <m/>
    <x v="1"/>
    <x v="0"/>
    <x v="137"/>
    <n v="7"/>
    <s v="이그나이트 + 스테이포에버"/>
    <s v="210207"/>
    <m/>
    <n v="411600"/>
  </r>
  <r>
    <x v="319"/>
    <x v="3"/>
    <m/>
    <x v="1"/>
    <x v="0"/>
    <x v="144"/>
    <n v="2"/>
    <s v="이그나이트 + 스테이포에버"/>
    <s v="210207"/>
    <m/>
    <n v="117600"/>
  </r>
  <r>
    <x v="319"/>
    <x v="3"/>
    <m/>
    <x v="1"/>
    <x v="0"/>
    <x v="138"/>
    <n v="201"/>
    <s v="스테이포에버"/>
    <s v="210207"/>
    <m/>
    <n v="6834000"/>
  </r>
  <r>
    <x v="319"/>
    <x v="3"/>
    <m/>
    <x v="1"/>
    <x v="0"/>
    <x v="139"/>
    <n v="115"/>
    <s v="스테이포에버 2set"/>
    <s v="210207"/>
    <m/>
    <n v="6762000"/>
  </r>
  <r>
    <x v="319"/>
    <x v="3"/>
    <m/>
    <x v="1"/>
    <x v="0"/>
    <x v="140"/>
    <n v="11"/>
    <s v="이그나이트 + 스테이포에버"/>
    <s v="210207"/>
    <m/>
    <n v="646800"/>
  </r>
  <r>
    <x v="319"/>
    <x v="3"/>
    <m/>
    <x v="0"/>
    <x v="0"/>
    <x v="0"/>
    <n v="5"/>
    <s v="쇼핑백"/>
    <s v="210207"/>
    <m/>
    <n v="10000"/>
  </r>
  <r>
    <x v="319"/>
    <x v="3"/>
    <s v="네이버 배너"/>
    <x v="1"/>
    <x v="1"/>
    <x v="1"/>
    <m/>
    <m/>
    <m/>
    <n v="1279975.454545454"/>
    <m/>
  </r>
  <r>
    <x v="319"/>
    <x v="3"/>
    <s v="네이버 배너(대행사)"/>
    <x v="1"/>
    <x v="1"/>
    <x v="1"/>
    <m/>
    <m/>
    <m/>
    <n v="102355.4545454545"/>
    <m/>
  </r>
  <r>
    <x v="320"/>
    <x v="4"/>
    <s v="페이스북/인스타그램"/>
    <x v="2"/>
    <x v="1"/>
    <x v="1"/>
    <m/>
    <m/>
    <m/>
    <n v="12158"/>
    <m/>
  </r>
  <r>
    <x v="320"/>
    <x v="4"/>
    <s v="페이스북/인스타그램"/>
    <x v="1"/>
    <x v="1"/>
    <x v="1"/>
    <m/>
    <m/>
    <m/>
    <n v="25573"/>
    <m/>
  </r>
  <r>
    <x v="320"/>
    <x v="4"/>
    <s v="페이스북/인스타그램"/>
    <x v="1"/>
    <x v="1"/>
    <x v="1"/>
    <m/>
    <m/>
    <m/>
    <n v="59518"/>
    <m/>
  </r>
  <r>
    <x v="320"/>
    <x v="4"/>
    <s v="페이스북/인스타그램"/>
    <x v="2"/>
    <x v="1"/>
    <x v="1"/>
    <m/>
    <m/>
    <m/>
    <n v="30540"/>
    <m/>
  </r>
  <r>
    <x v="320"/>
    <x v="4"/>
    <s v="페이스북/인스타그램"/>
    <x v="1"/>
    <x v="1"/>
    <x v="1"/>
    <m/>
    <m/>
    <m/>
    <n v="63413"/>
    <m/>
  </r>
  <r>
    <x v="320"/>
    <x v="4"/>
    <s v="페이스북/인스타그램"/>
    <x v="1"/>
    <x v="1"/>
    <x v="1"/>
    <m/>
    <m/>
    <m/>
    <n v="28503"/>
    <m/>
  </r>
  <r>
    <x v="320"/>
    <x v="4"/>
    <s v="페이스북/인스타그램"/>
    <x v="1"/>
    <x v="1"/>
    <x v="1"/>
    <m/>
    <m/>
    <m/>
    <n v="268492"/>
    <m/>
  </r>
  <r>
    <x v="320"/>
    <x v="4"/>
    <s v="페이스북/인스타그램"/>
    <x v="1"/>
    <x v="1"/>
    <x v="1"/>
    <m/>
    <m/>
    <m/>
    <n v="48230"/>
    <m/>
  </r>
  <r>
    <x v="320"/>
    <x v="4"/>
    <s v="페이스북/인스타그램"/>
    <x v="1"/>
    <x v="1"/>
    <x v="1"/>
    <m/>
    <m/>
    <m/>
    <n v="309903"/>
    <m/>
  </r>
  <r>
    <x v="320"/>
    <x v="4"/>
    <s v="페이스북/인스타그램"/>
    <x v="2"/>
    <x v="1"/>
    <x v="1"/>
    <m/>
    <m/>
    <m/>
    <n v="186180"/>
    <m/>
  </r>
  <r>
    <x v="320"/>
    <x v="4"/>
    <s v="페이스북/인스타그램"/>
    <x v="1"/>
    <x v="1"/>
    <x v="1"/>
    <m/>
    <m/>
    <m/>
    <n v="11384"/>
    <m/>
  </r>
  <r>
    <x v="320"/>
    <x v="4"/>
    <s v="페이스북/인스타그램"/>
    <x v="1"/>
    <x v="1"/>
    <x v="1"/>
    <m/>
    <m/>
    <m/>
    <n v="108585"/>
    <m/>
  </r>
  <r>
    <x v="320"/>
    <x v="4"/>
    <s v="페이스북/인스타그램"/>
    <x v="1"/>
    <x v="1"/>
    <x v="1"/>
    <m/>
    <m/>
    <m/>
    <n v="253692"/>
    <m/>
  </r>
  <r>
    <x v="320"/>
    <x v="4"/>
    <s v="페이스북/인스타그램"/>
    <x v="1"/>
    <x v="1"/>
    <x v="1"/>
    <m/>
    <m/>
    <m/>
    <n v="243792"/>
    <m/>
  </r>
  <r>
    <x v="320"/>
    <x v="4"/>
    <s v="페이스북/인스타그램"/>
    <x v="1"/>
    <x v="1"/>
    <x v="1"/>
    <m/>
    <m/>
    <m/>
    <n v="49135"/>
    <m/>
  </r>
  <r>
    <x v="320"/>
    <x v="4"/>
    <s v="페이스북/인스타그램"/>
    <x v="1"/>
    <x v="1"/>
    <x v="1"/>
    <m/>
    <m/>
    <m/>
    <n v="198143"/>
    <m/>
  </r>
  <r>
    <x v="320"/>
    <x v="4"/>
    <s v="페이스북/인스타그램"/>
    <x v="1"/>
    <x v="1"/>
    <x v="1"/>
    <m/>
    <m/>
    <m/>
    <n v="34410"/>
    <m/>
  </r>
  <r>
    <x v="320"/>
    <x v="4"/>
    <s v="페이스북/인스타그램"/>
    <x v="1"/>
    <x v="1"/>
    <x v="1"/>
    <m/>
    <m/>
    <m/>
    <n v="71854"/>
    <m/>
  </r>
  <r>
    <x v="320"/>
    <x v="4"/>
    <s v="페이스북/인스타그램"/>
    <x v="1"/>
    <x v="1"/>
    <x v="1"/>
    <m/>
    <m/>
    <m/>
    <n v="149369"/>
    <m/>
  </r>
  <r>
    <x v="320"/>
    <x v="4"/>
    <s v="페이스북/인스타그램"/>
    <x v="1"/>
    <x v="1"/>
    <x v="1"/>
    <m/>
    <m/>
    <m/>
    <n v="7134"/>
    <m/>
  </r>
  <r>
    <x v="320"/>
    <x v="4"/>
    <s v="페이스북/인스타그램"/>
    <x v="1"/>
    <x v="1"/>
    <x v="1"/>
    <m/>
    <m/>
    <m/>
    <n v="147505"/>
    <m/>
  </r>
  <r>
    <x v="320"/>
    <x v="4"/>
    <s v="페이스북/인스타그램"/>
    <x v="1"/>
    <x v="1"/>
    <x v="1"/>
    <m/>
    <m/>
    <m/>
    <n v="70165"/>
    <m/>
  </r>
  <r>
    <x v="320"/>
    <x v="4"/>
    <s v="페이스북/인스타그램"/>
    <x v="1"/>
    <x v="1"/>
    <x v="1"/>
    <m/>
    <m/>
    <m/>
    <n v="29343"/>
    <m/>
  </r>
  <r>
    <x v="320"/>
    <x v="4"/>
    <s v="유튜브 광고"/>
    <x v="1"/>
    <x v="1"/>
    <x v="1"/>
    <m/>
    <m/>
    <m/>
    <n v="42333"/>
    <m/>
  </r>
  <r>
    <x v="320"/>
    <x v="4"/>
    <s v="유튜브 광고"/>
    <x v="1"/>
    <x v="1"/>
    <x v="1"/>
    <m/>
    <m/>
    <m/>
    <n v="8748"/>
    <m/>
  </r>
  <r>
    <x v="320"/>
    <x v="4"/>
    <s v="유튜브 광고"/>
    <x v="1"/>
    <x v="1"/>
    <x v="1"/>
    <m/>
    <m/>
    <m/>
    <n v="392053"/>
    <m/>
  </r>
  <r>
    <x v="320"/>
    <x v="4"/>
    <s v="유튜브 광고"/>
    <x v="1"/>
    <x v="1"/>
    <x v="1"/>
    <m/>
    <m/>
    <m/>
    <n v="155792"/>
    <m/>
  </r>
  <r>
    <x v="320"/>
    <x v="4"/>
    <s v="유튜브 광고"/>
    <x v="1"/>
    <x v="1"/>
    <x v="1"/>
    <m/>
    <m/>
    <m/>
    <n v="114035"/>
    <m/>
  </r>
  <r>
    <x v="320"/>
    <x v="4"/>
    <s v="유튜브 광고"/>
    <x v="1"/>
    <x v="1"/>
    <x v="1"/>
    <m/>
    <m/>
    <m/>
    <n v="7426"/>
    <m/>
  </r>
  <r>
    <x v="320"/>
    <x v="4"/>
    <s v="유튜브 광고"/>
    <x v="1"/>
    <x v="1"/>
    <x v="1"/>
    <m/>
    <m/>
    <m/>
    <n v="196815"/>
    <m/>
  </r>
  <r>
    <x v="320"/>
    <x v="4"/>
    <s v="유튜브 광고"/>
    <x v="1"/>
    <x v="1"/>
    <x v="1"/>
    <m/>
    <m/>
    <m/>
    <n v="72739"/>
    <m/>
  </r>
  <r>
    <x v="320"/>
    <x v="4"/>
    <s v="유튜브 광고"/>
    <x v="1"/>
    <x v="1"/>
    <x v="1"/>
    <m/>
    <m/>
    <m/>
    <n v="51938"/>
    <m/>
  </r>
  <r>
    <x v="320"/>
    <x v="4"/>
    <s v="유튜브 광고"/>
    <x v="1"/>
    <x v="1"/>
    <x v="1"/>
    <m/>
    <m/>
    <m/>
    <n v="415813"/>
    <m/>
  </r>
  <r>
    <x v="320"/>
    <x v="4"/>
    <s v="유튜브 광고"/>
    <x v="1"/>
    <x v="1"/>
    <x v="1"/>
    <m/>
    <m/>
    <m/>
    <n v="416206"/>
    <m/>
  </r>
  <r>
    <x v="320"/>
    <x v="4"/>
    <s v="유튜브 광고"/>
    <x v="1"/>
    <x v="1"/>
    <x v="1"/>
    <m/>
    <m/>
    <m/>
    <n v="311900"/>
    <m/>
  </r>
  <r>
    <x v="320"/>
    <x v="4"/>
    <s v="유튜브 광고"/>
    <x v="1"/>
    <x v="1"/>
    <x v="1"/>
    <m/>
    <m/>
    <m/>
    <n v="207817"/>
    <m/>
  </r>
  <r>
    <x v="320"/>
    <x v="4"/>
    <s v="네이버 쇼핑검색"/>
    <x v="1"/>
    <x v="1"/>
    <x v="1"/>
    <m/>
    <m/>
    <m/>
    <n v="13940"/>
    <m/>
  </r>
  <r>
    <x v="320"/>
    <x v="4"/>
    <s v="네이버 쇼핑검색"/>
    <x v="1"/>
    <x v="1"/>
    <x v="1"/>
    <m/>
    <m/>
    <m/>
    <n v="0"/>
    <m/>
  </r>
  <r>
    <x v="320"/>
    <x v="4"/>
    <s v="네이버 쇼핑검색"/>
    <x v="1"/>
    <x v="1"/>
    <x v="1"/>
    <m/>
    <m/>
    <m/>
    <n v="131070"/>
    <m/>
  </r>
  <r>
    <x v="320"/>
    <x v="4"/>
    <s v="네이버 브랜드검색"/>
    <x v="3"/>
    <x v="1"/>
    <x v="1"/>
    <m/>
    <m/>
    <m/>
    <n v="0"/>
    <m/>
  </r>
  <r>
    <x v="320"/>
    <x v="4"/>
    <s v="네이버 브랜드검색"/>
    <x v="3"/>
    <x v="1"/>
    <x v="1"/>
    <m/>
    <m/>
    <m/>
    <n v="0"/>
    <m/>
  </r>
  <r>
    <x v="320"/>
    <x v="4"/>
    <s v="카카오 배너"/>
    <x v="1"/>
    <x v="1"/>
    <x v="1"/>
    <m/>
    <m/>
    <m/>
    <n v="181950"/>
    <m/>
  </r>
  <r>
    <x v="320"/>
    <x v="4"/>
    <s v="카카오 배너"/>
    <x v="1"/>
    <x v="1"/>
    <x v="1"/>
    <m/>
    <m/>
    <m/>
    <n v="928779.9999999999"/>
    <m/>
  </r>
  <r>
    <x v="320"/>
    <x v="4"/>
    <m/>
    <x v="1"/>
    <x v="4"/>
    <x v="155"/>
    <n v="12"/>
    <s v="스테이포에버"/>
    <s v="210207"/>
    <m/>
    <n v="408000"/>
  </r>
  <r>
    <x v="320"/>
    <x v="4"/>
    <m/>
    <x v="1"/>
    <x v="3"/>
    <x v="150"/>
    <n v="3"/>
    <s v="이그나이트 + 스테이포에버"/>
    <s v="210207"/>
    <m/>
    <n v="176400"/>
  </r>
  <r>
    <x v="320"/>
    <x v="4"/>
    <m/>
    <x v="1"/>
    <x v="3"/>
    <x v="151"/>
    <n v="1"/>
    <s v="스테이포에버 2set"/>
    <s v="210207"/>
    <m/>
    <n v="58800"/>
  </r>
  <r>
    <x v="320"/>
    <x v="4"/>
    <m/>
    <x v="1"/>
    <x v="3"/>
    <x v="159"/>
    <n v="1"/>
    <s v="이그나이트 2set"/>
    <s v="210207"/>
    <m/>
    <n v="58800"/>
  </r>
  <r>
    <x v="320"/>
    <x v="4"/>
    <m/>
    <x v="1"/>
    <x v="3"/>
    <x v="152"/>
    <n v="15"/>
    <s v="스테이포에버"/>
    <s v="210207"/>
    <m/>
    <n v="510000"/>
  </r>
  <r>
    <x v="320"/>
    <x v="4"/>
    <m/>
    <x v="1"/>
    <x v="0"/>
    <x v="145"/>
    <n v="1"/>
    <s v="이그나이트 2set"/>
    <s v="210207"/>
    <m/>
    <n v="58800"/>
  </r>
  <r>
    <x v="320"/>
    <x v="4"/>
    <m/>
    <x v="1"/>
    <x v="0"/>
    <x v="135"/>
    <n v="3"/>
    <s v="스테이포에버"/>
    <s v="210207"/>
    <m/>
    <n v="102000"/>
  </r>
  <r>
    <x v="320"/>
    <x v="4"/>
    <m/>
    <x v="1"/>
    <x v="0"/>
    <x v="136"/>
    <n v="9"/>
    <s v="스테이포에버 2set"/>
    <s v="210207"/>
    <m/>
    <n v="529200"/>
  </r>
  <r>
    <x v="320"/>
    <x v="4"/>
    <m/>
    <x v="1"/>
    <x v="0"/>
    <x v="137"/>
    <n v="7"/>
    <s v="이그나이트 + 스테이포에버"/>
    <s v="210207"/>
    <m/>
    <n v="411600"/>
  </r>
  <r>
    <x v="320"/>
    <x v="4"/>
    <m/>
    <x v="1"/>
    <x v="0"/>
    <x v="144"/>
    <n v="1"/>
    <s v="이그나이트 + 스테이포에버"/>
    <s v="210207"/>
    <m/>
    <n v="58800"/>
  </r>
  <r>
    <x v="320"/>
    <x v="4"/>
    <m/>
    <x v="1"/>
    <x v="0"/>
    <x v="138"/>
    <n v="179"/>
    <s v="스테이포에버"/>
    <s v="210207"/>
    <m/>
    <n v="6086000"/>
  </r>
  <r>
    <x v="320"/>
    <x v="4"/>
    <m/>
    <x v="1"/>
    <x v="0"/>
    <x v="139"/>
    <n v="95"/>
    <s v="스테이포에버 2set"/>
    <s v="210207"/>
    <m/>
    <n v="5586000"/>
  </r>
  <r>
    <x v="320"/>
    <x v="4"/>
    <m/>
    <x v="1"/>
    <x v="0"/>
    <x v="140"/>
    <n v="13"/>
    <s v="이그나이트 + 스테이포에버"/>
    <s v="210207"/>
    <m/>
    <n v="764400"/>
  </r>
  <r>
    <x v="320"/>
    <x v="4"/>
    <m/>
    <x v="0"/>
    <x v="0"/>
    <x v="0"/>
    <n v="6"/>
    <s v="쇼핑백"/>
    <s v="210207"/>
    <m/>
    <n v="12000"/>
  </r>
  <r>
    <x v="320"/>
    <x v="4"/>
    <m/>
    <x v="1"/>
    <x v="0"/>
    <x v="141"/>
    <n v="5"/>
    <s v="이그나이트"/>
    <s v="210207"/>
    <m/>
    <n v="170000"/>
  </r>
  <r>
    <x v="320"/>
    <x v="4"/>
    <m/>
    <x v="1"/>
    <x v="0"/>
    <x v="142"/>
    <n v="2"/>
    <s v="이그나이트 2set"/>
    <s v="210207"/>
    <m/>
    <n v="117600"/>
  </r>
  <r>
    <x v="320"/>
    <x v="4"/>
    <s v="네이버 배너"/>
    <x v="1"/>
    <x v="1"/>
    <x v="1"/>
    <m/>
    <m/>
    <m/>
    <n v="1136484.545454545"/>
    <m/>
  </r>
  <r>
    <x v="321"/>
    <x v="1"/>
    <s v="페이스북/인스타그램"/>
    <x v="1"/>
    <x v="1"/>
    <x v="1"/>
    <m/>
    <m/>
    <m/>
    <n v="28421"/>
    <m/>
  </r>
  <r>
    <x v="321"/>
    <x v="1"/>
    <s v="페이스북/인스타그램"/>
    <x v="1"/>
    <x v="1"/>
    <x v="1"/>
    <m/>
    <m/>
    <m/>
    <n v="27387"/>
    <m/>
  </r>
  <r>
    <x v="321"/>
    <x v="1"/>
    <s v="페이스북/인스타그램"/>
    <x v="1"/>
    <x v="1"/>
    <x v="1"/>
    <m/>
    <m/>
    <m/>
    <n v="58207"/>
    <m/>
  </r>
  <r>
    <x v="321"/>
    <x v="1"/>
    <s v="페이스북/인스타그램"/>
    <x v="1"/>
    <x v="1"/>
    <x v="1"/>
    <m/>
    <m/>
    <m/>
    <n v="7475"/>
    <m/>
  </r>
  <r>
    <x v="321"/>
    <x v="1"/>
    <s v="페이스북/인스타그램"/>
    <x v="1"/>
    <x v="1"/>
    <x v="1"/>
    <m/>
    <m/>
    <m/>
    <n v="45858"/>
    <m/>
  </r>
  <r>
    <x v="321"/>
    <x v="1"/>
    <s v="페이스북/인스타그램"/>
    <x v="1"/>
    <x v="1"/>
    <x v="1"/>
    <m/>
    <m/>
    <m/>
    <n v="27156"/>
    <m/>
  </r>
  <r>
    <x v="321"/>
    <x v="1"/>
    <s v="페이스북/인스타그램"/>
    <x v="1"/>
    <x v="1"/>
    <x v="1"/>
    <m/>
    <m/>
    <m/>
    <n v="317338"/>
    <m/>
  </r>
  <r>
    <x v="321"/>
    <x v="1"/>
    <s v="페이스북/인스타그램"/>
    <x v="1"/>
    <x v="1"/>
    <x v="1"/>
    <m/>
    <m/>
    <m/>
    <n v="48598"/>
    <m/>
  </r>
  <r>
    <x v="321"/>
    <x v="1"/>
    <s v="페이스북/인스타그램"/>
    <x v="1"/>
    <x v="1"/>
    <x v="1"/>
    <m/>
    <m/>
    <m/>
    <n v="290589"/>
    <m/>
  </r>
  <r>
    <x v="321"/>
    <x v="1"/>
    <s v="페이스북/인스타그램"/>
    <x v="1"/>
    <x v="1"/>
    <x v="1"/>
    <m/>
    <m/>
    <m/>
    <n v="251692"/>
    <m/>
  </r>
  <r>
    <x v="321"/>
    <x v="1"/>
    <s v="페이스북/인스타그램"/>
    <x v="1"/>
    <x v="1"/>
    <x v="1"/>
    <m/>
    <m/>
    <m/>
    <n v="56910"/>
    <m/>
  </r>
  <r>
    <x v="321"/>
    <x v="1"/>
    <s v="페이스북/인스타그램"/>
    <x v="1"/>
    <x v="1"/>
    <x v="1"/>
    <m/>
    <m/>
    <m/>
    <n v="108910"/>
    <m/>
  </r>
  <r>
    <x v="321"/>
    <x v="1"/>
    <s v="페이스북/인스타그램"/>
    <x v="1"/>
    <x v="1"/>
    <x v="1"/>
    <m/>
    <m/>
    <m/>
    <n v="243993"/>
    <m/>
  </r>
  <r>
    <x v="321"/>
    <x v="1"/>
    <s v="페이스북/인스타그램"/>
    <x v="1"/>
    <x v="1"/>
    <x v="1"/>
    <m/>
    <m/>
    <m/>
    <n v="246866"/>
    <m/>
  </r>
  <r>
    <x v="321"/>
    <x v="1"/>
    <s v="페이스북/인스타그램"/>
    <x v="1"/>
    <x v="1"/>
    <x v="1"/>
    <m/>
    <m/>
    <m/>
    <n v="50296"/>
    <m/>
  </r>
  <r>
    <x v="321"/>
    <x v="1"/>
    <s v="페이스북/인스타그램"/>
    <x v="1"/>
    <x v="1"/>
    <x v="1"/>
    <m/>
    <m/>
    <m/>
    <n v="199496"/>
    <m/>
  </r>
  <r>
    <x v="321"/>
    <x v="1"/>
    <s v="페이스북/인스타그램"/>
    <x v="1"/>
    <x v="1"/>
    <x v="1"/>
    <m/>
    <m/>
    <m/>
    <n v="27959"/>
    <m/>
  </r>
  <r>
    <x v="321"/>
    <x v="1"/>
    <s v="페이스북/인스타그램"/>
    <x v="1"/>
    <x v="1"/>
    <x v="1"/>
    <m/>
    <m/>
    <m/>
    <n v="65503"/>
    <m/>
  </r>
  <r>
    <x v="321"/>
    <x v="1"/>
    <s v="페이스북/인스타그램"/>
    <x v="1"/>
    <x v="1"/>
    <x v="1"/>
    <m/>
    <m/>
    <m/>
    <n v="149723"/>
    <m/>
  </r>
  <r>
    <x v="321"/>
    <x v="1"/>
    <s v="페이스북/인스타그램"/>
    <x v="1"/>
    <x v="1"/>
    <x v="1"/>
    <m/>
    <m/>
    <m/>
    <n v="34053"/>
    <m/>
  </r>
  <r>
    <x v="321"/>
    <x v="1"/>
    <s v="페이스북/인스타그램"/>
    <x v="1"/>
    <x v="1"/>
    <x v="1"/>
    <m/>
    <m/>
    <m/>
    <n v="148759"/>
    <m/>
  </r>
  <r>
    <x v="321"/>
    <x v="1"/>
    <s v="페이스북/인스타그램"/>
    <x v="1"/>
    <x v="1"/>
    <x v="1"/>
    <m/>
    <m/>
    <m/>
    <n v="68906"/>
    <m/>
  </r>
  <r>
    <x v="321"/>
    <x v="1"/>
    <s v="페이스북/인스타그램"/>
    <x v="1"/>
    <x v="1"/>
    <x v="1"/>
    <m/>
    <m/>
    <m/>
    <n v="29383"/>
    <m/>
  </r>
  <r>
    <x v="322"/>
    <x v="2"/>
    <s v="페이스북/인스타그램"/>
    <x v="1"/>
    <x v="1"/>
    <x v="1"/>
    <m/>
    <m/>
    <m/>
    <n v="29686"/>
    <m/>
  </r>
  <r>
    <x v="322"/>
    <x v="2"/>
    <s v="페이스북/인스타그램"/>
    <x v="1"/>
    <x v="1"/>
    <x v="1"/>
    <m/>
    <m/>
    <m/>
    <n v="30249"/>
    <m/>
  </r>
  <r>
    <x v="322"/>
    <x v="2"/>
    <s v="페이스북/인스타그램"/>
    <x v="1"/>
    <x v="1"/>
    <x v="1"/>
    <m/>
    <m/>
    <m/>
    <n v="61064"/>
    <m/>
  </r>
  <r>
    <x v="322"/>
    <x v="2"/>
    <s v="페이스북/인스타그램"/>
    <x v="1"/>
    <x v="1"/>
    <x v="1"/>
    <m/>
    <m/>
    <m/>
    <n v="45308"/>
    <m/>
  </r>
  <r>
    <x v="322"/>
    <x v="2"/>
    <s v="페이스북/인스타그램"/>
    <x v="1"/>
    <x v="1"/>
    <x v="1"/>
    <m/>
    <m/>
    <m/>
    <n v="30218"/>
    <m/>
  </r>
  <r>
    <x v="322"/>
    <x v="2"/>
    <s v="페이스북/인스타그램"/>
    <x v="1"/>
    <x v="1"/>
    <x v="1"/>
    <m/>
    <m/>
    <m/>
    <n v="318144"/>
    <m/>
  </r>
  <r>
    <x v="322"/>
    <x v="2"/>
    <s v="페이스북/인스타그램"/>
    <x v="1"/>
    <x v="1"/>
    <x v="1"/>
    <m/>
    <m/>
    <m/>
    <n v="51723"/>
    <m/>
  </r>
  <r>
    <x v="322"/>
    <x v="2"/>
    <s v="페이스북/인스타그램"/>
    <x v="1"/>
    <x v="1"/>
    <x v="1"/>
    <m/>
    <m/>
    <m/>
    <n v="305941"/>
    <m/>
  </r>
  <r>
    <x v="322"/>
    <x v="2"/>
    <s v="페이스북/인스타그램"/>
    <x v="1"/>
    <x v="1"/>
    <x v="1"/>
    <m/>
    <m/>
    <m/>
    <n v="273397"/>
    <m/>
  </r>
  <r>
    <x v="322"/>
    <x v="2"/>
    <s v="페이스북/인스타그램"/>
    <x v="1"/>
    <x v="1"/>
    <x v="1"/>
    <m/>
    <m/>
    <m/>
    <n v="57861"/>
    <m/>
  </r>
  <r>
    <x v="322"/>
    <x v="2"/>
    <s v="페이스북/인스타그램"/>
    <x v="1"/>
    <x v="1"/>
    <x v="1"/>
    <m/>
    <m/>
    <m/>
    <n v="115151"/>
    <m/>
  </r>
  <r>
    <x v="322"/>
    <x v="2"/>
    <s v="페이스북/인스타그램"/>
    <x v="1"/>
    <x v="1"/>
    <x v="1"/>
    <m/>
    <m/>
    <m/>
    <n v="258232"/>
    <m/>
  </r>
  <r>
    <x v="322"/>
    <x v="2"/>
    <s v="페이스북/인스타그램"/>
    <x v="1"/>
    <x v="1"/>
    <x v="1"/>
    <m/>
    <m/>
    <m/>
    <n v="264823"/>
    <m/>
  </r>
  <r>
    <x v="322"/>
    <x v="2"/>
    <s v="페이스북/인스타그램"/>
    <x v="1"/>
    <x v="1"/>
    <x v="1"/>
    <m/>
    <m/>
    <m/>
    <n v="51849"/>
    <m/>
  </r>
  <r>
    <x v="322"/>
    <x v="2"/>
    <s v="페이스북/인스타그램"/>
    <x v="1"/>
    <x v="1"/>
    <x v="1"/>
    <m/>
    <m/>
    <m/>
    <n v="210071"/>
    <m/>
  </r>
  <r>
    <x v="322"/>
    <x v="2"/>
    <s v="페이스북/인스타그램"/>
    <x v="1"/>
    <x v="1"/>
    <x v="1"/>
    <m/>
    <m/>
    <m/>
    <n v="29823"/>
    <m/>
  </r>
  <r>
    <x v="322"/>
    <x v="2"/>
    <s v="페이스북/인스타그램"/>
    <x v="1"/>
    <x v="1"/>
    <x v="1"/>
    <m/>
    <m/>
    <m/>
    <n v="69180"/>
    <m/>
  </r>
  <r>
    <x v="322"/>
    <x v="2"/>
    <s v="페이스북/인스타그램"/>
    <x v="1"/>
    <x v="1"/>
    <x v="1"/>
    <m/>
    <m/>
    <m/>
    <n v="157591"/>
    <m/>
  </r>
  <r>
    <x v="322"/>
    <x v="2"/>
    <s v="페이스북/인스타그램"/>
    <x v="1"/>
    <x v="1"/>
    <x v="1"/>
    <m/>
    <m/>
    <m/>
    <n v="34949"/>
    <m/>
  </r>
  <r>
    <x v="322"/>
    <x v="2"/>
    <s v="페이스북/인스타그램"/>
    <x v="1"/>
    <x v="1"/>
    <x v="1"/>
    <m/>
    <m/>
    <m/>
    <n v="158731"/>
    <m/>
  </r>
  <r>
    <x v="322"/>
    <x v="2"/>
    <s v="페이스북/인스타그램"/>
    <x v="1"/>
    <x v="1"/>
    <x v="1"/>
    <m/>
    <m/>
    <m/>
    <n v="73559"/>
    <m/>
  </r>
  <r>
    <x v="322"/>
    <x v="2"/>
    <s v="페이스북/인스타그램"/>
    <x v="1"/>
    <x v="1"/>
    <x v="1"/>
    <m/>
    <m/>
    <m/>
    <n v="30157"/>
    <m/>
  </r>
  <r>
    <x v="323"/>
    <x v="5"/>
    <s v="페이스북/인스타그램"/>
    <x v="1"/>
    <x v="1"/>
    <x v="1"/>
    <m/>
    <m/>
    <m/>
    <n v="30077"/>
    <m/>
  </r>
  <r>
    <x v="323"/>
    <x v="5"/>
    <s v="페이스북/인스타그램"/>
    <x v="1"/>
    <x v="1"/>
    <x v="1"/>
    <m/>
    <m/>
    <m/>
    <n v="30101"/>
    <m/>
  </r>
  <r>
    <x v="323"/>
    <x v="5"/>
    <s v="페이스북/인스타그램"/>
    <x v="1"/>
    <x v="1"/>
    <x v="1"/>
    <m/>
    <m/>
    <m/>
    <n v="59668"/>
    <m/>
  </r>
  <r>
    <x v="323"/>
    <x v="5"/>
    <s v="페이스북/인스타그램"/>
    <x v="1"/>
    <x v="1"/>
    <x v="1"/>
    <m/>
    <m/>
    <m/>
    <n v="49583"/>
    <m/>
  </r>
  <r>
    <x v="323"/>
    <x v="5"/>
    <s v="페이스북/인스타그램"/>
    <x v="1"/>
    <x v="1"/>
    <x v="1"/>
    <m/>
    <m/>
    <m/>
    <n v="30028"/>
    <m/>
  </r>
  <r>
    <x v="323"/>
    <x v="5"/>
    <s v="페이스북/인스타그램"/>
    <x v="1"/>
    <x v="1"/>
    <x v="1"/>
    <m/>
    <m/>
    <m/>
    <n v="316823"/>
    <m/>
  </r>
  <r>
    <x v="323"/>
    <x v="5"/>
    <s v="페이스북/인스타그램"/>
    <x v="1"/>
    <x v="1"/>
    <x v="1"/>
    <m/>
    <m/>
    <m/>
    <n v="50291"/>
    <m/>
  </r>
  <r>
    <x v="323"/>
    <x v="5"/>
    <s v="페이스북/인스타그램"/>
    <x v="1"/>
    <x v="1"/>
    <x v="1"/>
    <m/>
    <m/>
    <m/>
    <n v="300116"/>
    <m/>
  </r>
  <r>
    <x v="323"/>
    <x v="5"/>
    <s v="페이스북/인스타그램"/>
    <x v="1"/>
    <x v="1"/>
    <x v="1"/>
    <m/>
    <m/>
    <m/>
    <n v="280894"/>
    <m/>
  </r>
  <r>
    <x v="323"/>
    <x v="5"/>
    <s v="페이스북/인스타그램"/>
    <x v="1"/>
    <x v="1"/>
    <x v="1"/>
    <m/>
    <m/>
    <m/>
    <n v="50054"/>
    <m/>
  </r>
  <r>
    <x v="323"/>
    <x v="5"/>
    <s v="페이스북/인스타그램"/>
    <x v="1"/>
    <x v="1"/>
    <x v="1"/>
    <m/>
    <m/>
    <m/>
    <n v="110878"/>
    <m/>
  </r>
  <r>
    <x v="323"/>
    <x v="5"/>
    <s v="페이스북/인스타그램"/>
    <x v="1"/>
    <x v="1"/>
    <x v="1"/>
    <m/>
    <m/>
    <m/>
    <n v="250421"/>
    <m/>
  </r>
  <r>
    <x v="323"/>
    <x v="5"/>
    <s v="페이스북/인스타그램"/>
    <x v="1"/>
    <x v="1"/>
    <x v="1"/>
    <m/>
    <m/>
    <m/>
    <n v="250267"/>
    <m/>
  </r>
  <r>
    <x v="323"/>
    <x v="5"/>
    <s v="페이스북/인스타그램"/>
    <x v="1"/>
    <x v="1"/>
    <x v="1"/>
    <m/>
    <m/>
    <m/>
    <n v="49721"/>
    <m/>
  </r>
  <r>
    <x v="323"/>
    <x v="5"/>
    <s v="페이스북/인스타그램"/>
    <x v="1"/>
    <x v="1"/>
    <x v="1"/>
    <m/>
    <m/>
    <m/>
    <n v="199967"/>
    <m/>
  </r>
  <r>
    <x v="323"/>
    <x v="5"/>
    <s v="페이스북/인스타그램"/>
    <x v="1"/>
    <x v="1"/>
    <x v="1"/>
    <m/>
    <m/>
    <m/>
    <n v="30076"/>
    <m/>
  </r>
  <r>
    <x v="323"/>
    <x v="5"/>
    <s v="페이스북/인스타그램"/>
    <x v="1"/>
    <x v="1"/>
    <x v="1"/>
    <m/>
    <m/>
    <m/>
    <n v="70176"/>
    <m/>
  </r>
  <r>
    <x v="323"/>
    <x v="5"/>
    <s v="페이스북/인스타그램"/>
    <x v="1"/>
    <x v="1"/>
    <x v="1"/>
    <m/>
    <m/>
    <m/>
    <n v="151178"/>
    <m/>
  </r>
  <r>
    <x v="323"/>
    <x v="5"/>
    <s v="페이스북/인스타그램"/>
    <x v="1"/>
    <x v="1"/>
    <x v="1"/>
    <m/>
    <m/>
    <m/>
    <n v="30012"/>
    <m/>
  </r>
  <r>
    <x v="323"/>
    <x v="5"/>
    <s v="페이스북/인스타그램"/>
    <x v="1"/>
    <x v="1"/>
    <x v="1"/>
    <m/>
    <m/>
    <m/>
    <n v="150517"/>
    <m/>
  </r>
  <r>
    <x v="323"/>
    <x v="5"/>
    <s v="페이스북/인스타그램"/>
    <x v="1"/>
    <x v="1"/>
    <x v="1"/>
    <m/>
    <m/>
    <m/>
    <n v="69868"/>
    <m/>
  </r>
  <r>
    <x v="323"/>
    <x v="5"/>
    <s v="페이스북/인스타그램"/>
    <x v="1"/>
    <x v="1"/>
    <x v="1"/>
    <m/>
    <m/>
    <m/>
    <n v="30037"/>
    <m/>
  </r>
  <r>
    <x v="321"/>
    <x v="1"/>
    <s v="유튜브 광고"/>
    <x v="1"/>
    <x v="1"/>
    <x v="1"/>
    <m/>
    <m/>
    <m/>
    <n v="48568"/>
    <m/>
  </r>
  <r>
    <x v="321"/>
    <x v="1"/>
    <s v="유튜브 광고"/>
    <x v="1"/>
    <x v="1"/>
    <x v="1"/>
    <m/>
    <m/>
    <m/>
    <n v="10380"/>
    <m/>
  </r>
  <r>
    <x v="321"/>
    <x v="1"/>
    <s v="유튜브 광고"/>
    <x v="1"/>
    <x v="1"/>
    <x v="1"/>
    <m/>
    <m/>
    <m/>
    <n v="518974"/>
    <m/>
  </r>
  <r>
    <x v="321"/>
    <x v="1"/>
    <s v="유튜브 광고"/>
    <x v="1"/>
    <x v="1"/>
    <x v="1"/>
    <m/>
    <m/>
    <m/>
    <n v="102657"/>
    <m/>
  </r>
  <r>
    <x v="321"/>
    <x v="1"/>
    <s v="유튜브 광고"/>
    <x v="1"/>
    <x v="1"/>
    <x v="1"/>
    <m/>
    <m/>
    <m/>
    <n v="106695"/>
    <m/>
  </r>
  <r>
    <x v="321"/>
    <x v="1"/>
    <s v="유튜브 광고"/>
    <x v="1"/>
    <x v="1"/>
    <x v="1"/>
    <m/>
    <m/>
    <m/>
    <n v="8270"/>
    <m/>
  </r>
  <r>
    <x v="321"/>
    <x v="1"/>
    <s v="유튜브 광고"/>
    <x v="1"/>
    <x v="1"/>
    <x v="1"/>
    <m/>
    <m/>
    <m/>
    <n v="147987"/>
    <m/>
  </r>
  <r>
    <x v="321"/>
    <x v="1"/>
    <s v="유튜브 광고"/>
    <x v="1"/>
    <x v="1"/>
    <x v="1"/>
    <m/>
    <m/>
    <m/>
    <n v="71729"/>
    <m/>
  </r>
  <r>
    <x v="321"/>
    <x v="1"/>
    <s v="유튜브 광고"/>
    <x v="1"/>
    <x v="1"/>
    <x v="1"/>
    <m/>
    <m/>
    <m/>
    <n v="35027"/>
    <m/>
  </r>
  <r>
    <x v="321"/>
    <x v="1"/>
    <s v="유튜브 광고"/>
    <x v="1"/>
    <x v="1"/>
    <x v="1"/>
    <m/>
    <m/>
    <m/>
    <n v="410097"/>
    <m/>
  </r>
  <r>
    <x v="321"/>
    <x v="1"/>
    <s v="유튜브 광고"/>
    <x v="1"/>
    <x v="1"/>
    <x v="1"/>
    <m/>
    <m/>
    <m/>
    <n v="409991"/>
    <m/>
  </r>
  <r>
    <x v="321"/>
    <x v="1"/>
    <s v="유튜브 광고"/>
    <x v="1"/>
    <x v="1"/>
    <x v="1"/>
    <m/>
    <m/>
    <m/>
    <n v="307533"/>
    <m/>
  </r>
  <r>
    <x v="321"/>
    <x v="1"/>
    <s v="유튜브 광고"/>
    <x v="1"/>
    <x v="1"/>
    <x v="1"/>
    <m/>
    <m/>
    <m/>
    <n v="309359"/>
    <m/>
  </r>
  <r>
    <x v="322"/>
    <x v="2"/>
    <s v="유튜브 광고"/>
    <x v="1"/>
    <x v="1"/>
    <x v="1"/>
    <m/>
    <m/>
    <m/>
    <n v="31238"/>
    <m/>
  </r>
  <r>
    <x v="322"/>
    <x v="2"/>
    <s v="유튜브 광고"/>
    <x v="1"/>
    <x v="1"/>
    <x v="1"/>
    <m/>
    <m/>
    <m/>
    <n v="8095"/>
    <m/>
  </r>
  <r>
    <x v="322"/>
    <x v="2"/>
    <s v="유튜브 광고"/>
    <x v="1"/>
    <x v="1"/>
    <x v="1"/>
    <m/>
    <m/>
    <m/>
    <n v="458167"/>
    <m/>
  </r>
  <r>
    <x v="322"/>
    <x v="2"/>
    <s v="유튜브 광고"/>
    <x v="1"/>
    <x v="1"/>
    <x v="1"/>
    <m/>
    <m/>
    <m/>
    <n v="99682"/>
    <m/>
  </r>
  <r>
    <x v="322"/>
    <x v="2"/>
    <s v="유튜브 광고"/>
    <x v="1"/>
    <x v="1"/>
    <x v="1"/>
    <m/>
    <m/>
    <m/>
    <n v="100007"/>
    <m/>
  </r>
  <r>
    <x v="322"/>
    <x v="2"/>
    <s v="유튜브 광고"/>
    <x v="1"/>
    <x v="1"/>
    <x v="1"/>
    <m/>
    <m/>
    <m/>
    <n v="6512"/>
    <m/>
  </r>
  <r>
    <x v="322"/>
    <x v="2"/>
    <s v="유튜브 광고"/>
    <x v="1"/>
    <x v="1"/>
    <x v="1"/>
    <m/>
    <m/>
    <m/>
    <n v="154700"/>
    <m/>
  </r>
  <r>
    <x v="322"/>
    <x v="2"/>
    <s v="유튜브 광고"/>
    <x v="1"/>
    <x v="1"/>
    <x v="1"/>
    <m/>
    <m/>
    <m/>
    <n v="69673"/>
    <m/>
  </r>
  <r>
    <x v="322"/>
    <x v="2"/>
    <s v="유튜브 광고"/>
    <x v="1"/>
    <x v="1"/>
    <x v="1"/>
    <m/>
    <m/>
    <m/>
    <n v="398606"/>
    <m/>
  </r>
  <r>
    <x v="322"/>
    <x v="2"/>
    <s v="유튜브 광고"/>
    <x v="1"/>
    <x v="1"/>
    <x v="1"/>
    <m/>
    <m/>
    <m/>
    <n v="398179"/>
    <m/>
  </r>
  <r>
    <x v="322"/>
    <x v="2"/>
    <s v="유튜브 광고"/>
    <x v="1"/>
    <x v="1"/>
    <x v="1"/>
    <m/>
    <m/>
    <m/>
    <n v="298626"/>
    <m/>
  </r>
  <r>
    <x v="322"/>
    <x v="2"/>
    <s v="유튜브 광고"/>
    <x v="1"/>
    <x v="1"/>
    <x v="1"/>
    <m/>
    <m/>
    <m/>
    <n v="299337"/>
    <m/>
  </r>
  <r>
    <x v="323"/>
    <x v="5"/>
    <s v="유튜브 광고"/>
    <x v="1"/>
    <x v="1"/>
    <x v="1"/>
    <m/>
    <m/>
    <m/>
    <n v="42163"/>
    <m/>
  </r>
  <r>
    <x v="323"/>
    <x v="5"/>
    <s v="유튜브 광고"/>
    <x v="1"/>
    <x v="1"/>
    <x v="1"/>
    <m/>
    <m/>
    <m/>
    <n v="9096"/>
    <m/>
  </r>
  <r>
    <x v="323"/>
    <x v="5"/>
    <s v="유튜브 광고"/>
    <x v="1"/>
    <x v="1"/>
    <x v="1"/>
    <m/>
    <m/>
    <m/>
    <n v="436735"/>
    <m/>
  </r>
  <r>
    <x v="323"/>
    <x v="5"/>
    <s v="유튜브 광고"/>
    <x v="1"/>
    <x v="1"/>
    <x v="1"/>
    <m/>
    <m/>
    <m/>
    <n v="98916"/>
    <m/>
  </r>
  <r>
    <x v="323"/>
    <x v="5"/>
    <s v="유튜브 광고"/>
    <x v="1"/>
    <x v="1"/>
    <x v="1"/>
    <m/>
    <m/>
    <m/>
    <n v="99635"/>
    <m/>
  </r>
  <r>
    <x v="323"/>
    <x v="5"/>
    <s v="유튜브 광고"/>
    <x v="1"/>
    <x v="1"/>
    <x v="1"/>
    <m/>
    <m/>
    <m/>
    <n v="11083"/>
    <m/>
  </r>
  <r>
    <x v="323"/>
    <x v="5"/>
    <s v="유튜브 광고"/>
    <x v="1"/>
    <x v="1"/>
    <x v="1"/>
    <m/>
    <m/>
    <m/>
    <n v="161564"/>
    <m/>
  </r>
  <r>
    <x v="323"/>
    <x v="5"/>
    <s v="유튜브 광고"/>
    <x v="1"/>
    <x v="1"/>
    <x v="1"/>
    <m/>
    <m/>
    <m/>
    <n v="69737"/>
    <m/>
  </r>
  <r>
    <x v="323"/>
    <x v="5"/>
    <s v="유튜브 광고"/>
    <x v="1"/>
    <x v="1"/>
    <x v="1"/>
    <m/>
    <m/>
    <m/>
    <n v="398091"/>
    <m/>
  </r>
  <r>
    <x v="323"/>
    <x v="5"/>
    <s v="유튜브 광고"/>
    <x v="1"/>
    <x v="1"/>
    <x v="1"/>
    <m/>
    <m/>
    <m/>
    <n v="398271"/>
    <m/>
  </r>
  <r>
    <x v="323"/>
    <x v="5"/>
    <s v="유튜브 광고"/>
    <x v="1"/>
    <x v="1"/>
    <x v="1"/>
    <m/>
    <m/>
    <m/>
    <n v="298880"/>
    <m/>
  </r>
  <r>
    <x v="323"/>
    <x v="5"/>
    <s v="유튜브 광고"/>
    <x v="1"/>
    <x v="1"/>
    <x v="1"/>
    <m/>
    <m/>
    <m/>
    <n v="299592"/>
    <m/>
  </r>
  <r>
    <x v="323"/>
    <x v="5"/>
    <s v="네이버 쇼핑검색"/>
    <x v="1"/>
    <x v="1"/>
    <x v="1"/>
    <m/>
    <m/>
    <m/>
    <n v="15620"/>
    <m/>
  </r>
  <r>
    <x v="323"/>
    <x v="5"/>
    <s v="네이버 쇼핑검색"/>
    <x v="1"/>
    <x v="1"/>
    <x v="1"/>
    <m/>
    <m/>
    <m/>
    <n v="0"/>
    <m/>
  </r>
  <r>
    <x v="323"/>
    <x v="5"/>
    <s v="네이버 쇼핑검색"/>
    <x v="1"/>
    <x v="1"/>
    <x v="1"/>
    <m/>
    <m/>
    <m/>
    <n v="124810"/>
    <m/>
  </r>
  <r>
    <x v="323"/>
    <x v="5"/>
    <s v="네이버 브랜드검색"/>
    <x v="3"/>
    <x v="1"/>
    <x v="1"/>
    <m/>
    <m/>
    <m/>
    <n v="140000"/>
    <m/>
  </r>
  <r>
    <x v="323"/>
    <x v="5"/>
    <s v="네이버 브랜드검색"/>
    <x v="3"/>
    <x v="1"/>
    <x v="1"/>
    <m/>
    <m/>
    <m/>
    <n v="16700"/>
    <m/>
  </r>
  <r>
    <x v="322"/>
    <x v="2"/>
    <s v="네이버 쇼핑검색"/>
    <x v="1"/>
    <x v="1"/>
    <x v="1"/>
    <m/>
    <m/>
    <m/>
    <n v="4070"/>
    <m/>
  </r>
  <r>
    <x v="322"/>
    <x v="2"/>
    <s v="네이버 쇼핑검색"/>
    <x v="1"/>
    <x v="1"/>
    <x v="1"/>
    <m/>
    <m/>
    <m/>
    <n v="0"/>
    <m/>
  </r>
  <r>
    <x v="322"/>
    <x v="2"/>
    <s v="네이버 쇼핑검색"/>
    <x v="1"/>
    <x v="1"/>
    <x v="1"/>
    <m/>
    <m/>
    <m/>
    <n v="132790"/>
    <m/>
  </r>
  <r>
    <x v="322"/>
    <x v="2"/>
    <s v="네이버 브랜드검색"/>
    <x v="3"/>
    <x v="1"/>
    <x v="1"/>
    <m/>
    <m/>
    <m/>
    <n v="140000"/>
    <m/>
  </r>
  <r>
    <x v="322"/>
    <x v="2"/>
    <s v="네이버 브랜드검색"/>
    <x v="3"/>
    <x v="1"/>
    <x v="1"/>
    <m/>
    <m/>
    <m/>
    <n v="16700"/>
    <m/>
  </r>
  <r>
    <x v="321"/>
    <x v="1"/>
    <s v="네이버 쇼핑검색"/>
    <x v="1"/>
    <x v="1"/>
    <x v="1"/>
    <m/>
    <m/>
    <m/>
    <n v="5340"/>
    <m/>
  </r>
  <r>
    <x v="321"/>
    <x v="1"/>
    <s v="네이버 쇼핑검색"/>
    <x v="1"/>
    <x v="1"/>
    <x v="1"/>
    <m/>
    <m/>
    <m/>
    <n v="0"/>
    <m/>
  </r>
  <r>
    <x v="321"/>
    <x v="1"/>
    <s v="네이버 쇼핑검색"/>
    <x v="1"/>
    <x v="1"/>
    <x v="1"/>
    <m/>
    <m/>
    <m/>
    <n v="130320"/>
    <m/>
  </r>
  <r>
    <x v="321"/>
    <x v="1"/>
    <s v="네이버 브랜드검색"/>
    <x v="3"/>
    <x v="1"/>
    <x v="1"/>
    <m/>
    <m/>
    <m/>
    <n v="140000"/>
    <m/>
  </r>
  <r>
    <x v="321"/>
    <x v="1"/>
    <s v="네이버 브랜드검색"/>
    <x v="3"/>
    <x v="1"/>
    <x v="1"/>
    <m/>
    <m/>
    <m/>
    <n v="16700"/>
    <m/>
  </r>
  <r>
    <x v="321"/>
    <x v="1"/>
    <m/>
    <x v="1"/>
    <x v="4"/>
    <x v="155"/>
    <n v="6"/>
    <s v="스테이포에버"/>
    <s v="210207"/>
    <m/>
    <n v="204000"/>
  </r>
  <r>
    <x v="321"/>
    <x v="1"/>
    <m/>
    <x v="1"/>
    <x v="3"/>
    <x v="150"/>
    <n v="3"/>
    <s v="이그나이트 + 스테이포에버"/>
    <s v="210207"/>
    <m/>
    <n v="176400"/>
  </r>
  <r>
    <x v="321"/>
    <x v="1"/>
    <m/>
    <x v="1"/>
    <x v="3"/>
    <x v="151"/>
    <n v="1"/>
    <s v="스테이포에버 2set"/>
    <s v="210207"/>
    <m/>
    <n v="58800"/>
  </r>
  <r>
    <x v="321"/>
    <x v="1"/>
    <m/>
    <x v="1"/>
    <x v="3"/>
    <x v="152"/>
    <n v="17"/>
    <s v="스테이포에버"/>
    <s v="210207"/>
    <m/>
    <n v="578000"/>
  </r>
  <r>
    <x v="321"/>
    <x v="1"/>
    <m/>
    <x v="0"/>
    <x v="0"/>
    <x v="148"/>
    <n v="1"/>
    <s v="쇼핑백"/>
    <s v="210207"/>
    <m/>
    <n v="2000"/>
  </r>
  <r>
    <x v="321"/>
    <x v="1"/>
    <m/>
    <x v="1"/>
    <x v="0"/>
    <x v="134"/>
    <n v="2"/>
    <s v="이그나이트"/>
    <s v="210207"/>
    <m/>
    <n v="68000"/>
  </r>
  <r>
    <x v="321"/>
    <x v="1"/>
    <m/>
    <x v="1"/>
    <x v="0"/>
    <x v="135"/>
    <n v="6"/>
    <s v="스테이포에버"/>
    <s v="210207"/>
    <m/>
    <n v="204000"/>
  </r>
  <r>
    <x v="321"/>
    <x v="1"/>
    <m/>
    <x v="1"/>
    <x v="0"/>
    <x v="136"/>
    <n v="7"/>
    <s v="스테이포에버 2set"/>
    <s v="210207"/>
    <m/>
    <n v="411600"/>
  </r>
  <r>
    <x v="321"/>
    <x v="1"/>
    <m/>
    <x v="1"/>
    <x v="0"/>
    <x v="137"/>
    <n v="10"/>
    <s v="이그나이트 + 스테이포에버"/>
    <s v="210207"/>
    <m/>
    <n v="588000"/>
  </r>
  <r>
    <x v="321"/>
    <x v="1"/>
    <m/>
    <x v="1"/>
    <x v="0"/>
    <x v="144"/>
    <n v="3"/>
    <s v="이그나이트 + 스테이포에버"/>
    <s v="210207"/>
    <m/>
    <n v="176400"/>
  </r>
  <r>
    <x v="321"/>
    <x v="1"/>
    <m/>
    <x v="1"/>
    <x v="0"/>
    <x v="138"/>
    <n v="228"/>
    <s v="스테이포에버"/>
    <s v="210207"/>
    <m/>
    <n v="7752000"/>
  </r>
  <r>
    <x v="321"/>
    <x v="1"/>
    <m/>
    <x v="1"/>
    <x v="0"/>
    <x v="139"/>
    <n v="129"/>
    <s v="스테이포에버 2set"/>
    <s v="210207"/>
    <m/>
    <n v="7585200"/>
  </r>
  <r>
    <x v="321"/>
    <x v="1"/>
    <m/>
    <x v="1"/>
    <x v="0"/>
    <x v="140"/>
    <n v="13"/>
    <s v="이그나이트 + 스테이포에버"/>
    <s v="210207"/>
    <m/>
    <n v="764400"/>
  </r>
  <r>
    <x v="321"/>
    <x v="1"/>
    <m/>
    <x v="0"/>
    <x v="0"/>
    <x v="0"/>
    <n v="8"/>
    <s v="쇼핑백"/>
    <s v="210207"/>
    <m/>
    <n v="16000"/>
  </r>
  <r>
    <x v="321"/>
    <x v="1"/>
    <m/>
    <x v="1"/>
    <x v="0"/>
    <x v="141"/>
    <n v="2"/>
    <s v="이그나이트"/>
    <s v="210207"/>
    <m/>
    <n v="68000"/>
  </r>
  <r>
    <x v="322"/>
    <x v="2"/>
    <m/>
    <x v="1"/>
    <x v="3"/>
    <x v="150"/>
    <n v="1"/>
    <s v="이그나이트 + 스테이포에버"/>
    <s v="210207"/>
    <m/>
    <n v="58800"/>
  </r>
  <r>
    <x v="322"/>
    <x v="2"/>
    <m/>
    <x v="1"/>
    <x v="3"/>
    <x v="151"/>
    <n v="2"/>
    <s v="스테이포에버 2set"/>
    <s v="210207"/>
    <m/>
    <n v="117600"/>
  </r>
  <r>
    <x v="322"/>
    <x v="2"/>
    <m/>
    <x v="1"/>
    <x v="3"/>
    <x v="152"/>
    <n v="28"/>
    <s v="스테이포에버"/>
    <s v="210207"/>
    <m/>
    <n v="952000"/>
  </r>
  <r>
    <x v="322"/>
    <x v="2"/>
    <m/>
    <x v="1"/>
    <x v="0"/>
    <x v="135"/>
    <n v="7"/>
    <s v="스테이포에버"/>
    <s v="210207"/>
    <m/>
    <n v="238000"/>
  </r>
  <r>
    <x v="322"/>
    <x v="2"/>
    <m/>
    <x v="1"/>
    <x v="0"/>
    <x v="136"/>
    <n v="5"/>
    <s v="스테이포에버 2set"/>
    <s v="210207"/>
    <m/>
    <n v="294000"/>
  </r>
  <r>
    <x v="322"/>
    <x v="2"/>
    <m/>
    <x v="1"/>
    <x v="0"/>
    <x v="137"/>
    <n v="8"/>
    <s v="이그나이트 + 스테이포에버"/>
    <s v="210207"/>
    <m/>
    <n v="470400"/>
  </r>
  <r>
    <x v="322"/>
    <x v="2"/>
    <m/>
    <x v="1"/>
    <x v="0"/>
    <x v="144"/>
    <n v="1"/>
    <s v="이그나이트 + 스테이포에버"/>
    <s v="210207"/>
    <m/>
    <n v="58800"/>
  </r>
  <r>
    <x v="322"/>
    <x v="2"/>
    <m/>
    <x v="1"/>
    <x v="0"/>
    <x v="138"/>
    <n v="202"/>
    <s v="스테이포에버"/>
    <s v="210207"/>
    <m/>
    <n v="6868000"/>
  </r>
  <r>
    <x v="322"/>
    <x v="2"/>
    <m/>
    <x v="1"/>
    <x v="0"/>
    <x v="139"/>
    <n v="144"/>
    <s v="스테이포에버 2set"/>
    <s v="210207"/>
    <m/>
    <n v="8467200"/>
  </r>
  <r>
    <x v="322"/>
    <x v="2"/>
    <m/>
    <x v="1"/>
    <x v="0"/>
    <x v="140"/>
    <n v="15"/>
    <s v="이그나이트 + 스테이포에버"/>
    <s v="210207"/>
    <m/>
    <n v="882000"/>
  </r>
  <r>
    <x v="322"/>
    <x v="2"/>
    <m/>
    <x v="0"/>
    <x v="0"/>
    <x v="0"/>
    <n v="6"/>
    <s v="쇼핑백"/>
    <s v="210207"/>
    <m/>
    <n v="12000"/>
  </r>
  <r>
    <x v="322"/>
    <x v="2"/>
    <m/>
    <x v="1"/>
    <x v="0"/>
    <x v="141"/>
    <n v="2"/>
    <s v="이그나이트"/>
    <s v="210207"/>
    <m/>
    <n v="68000"/>
  </r>
  <r>
    <x v="322"/>
    <x v="2"/>
    <m/>
    <x v="1"/>
    <x v="0"/>
    <x v="142"/>
    <n v="1"/>
    <s v="이그나이트 2set"/>
    <s v="210207"/>
    <m/>
    <n v="58800"/>
  </r>
  <r>
    <x v="323"/>
    <x v="5"/>
    <m/>
    <x v="1"/>
    <x v="3"/>
    <x v="150"/>
    <n v="3"/>
    <s v="이그나이트 + 스테이포에버"/>
    <s v="210207"/>
    <m/>
    <n v="176400"/>
  </r>
  <r>
    <x v="323"/>
    <x v="5"/>
    <m/>
    <x v="1"/>
    <x v="3"/>
    <x v="151"/>
    <n v="3"/>
    <s v="스테이포에버 2set"/>
    <s v="210207"/>
    <m/>
    <n v="176400"/>
  </r>
  <r>
    <x v="323"/>
    <x v="5"/>
    <m/>
    <x v="1"/>
    <x v="3"/>
    <x v="152"/>
    <n v="15"/>
    <s v="스테이포에버"/>
    <s v="210207"/>
    <m/>
    <n v="510000"/>
  </r>
  <r>
    <x v="323"/>
    <x v="5"/>
    <m/>
    <x v="1"/>
    <x v="3"/>
    <x v="154"/>
    <n v="1"/>
    <s v="이그나이트"/>
    <s v="210207"/>
    <m/>
    <n v="34000"/>
  </r>
  <r>
    <x v="323"/>
    <x v="5"/>
    <m/>
    <x v="1"/>
    <x v="0"/>
    <x v="134"/>
    <n v="2"/>
    <s v="이그나이트"/>
    <s v="210207"/>
    <m/>
    <n v="68000"/>
  </r>
  <r>
    <x v="323"/>
    <x v="5"/>
    <m/>
    <x v="1"/>
    <x v="0"/>
    <x v="135"/>
    <n v="5"/>
    <s v="스테이포에버"/>
    <s v="210207"/>
    <m/>
    <n v="170000"/>
  </r>
  <r>
    <x v="323"/>
    <x v="5"/>
    <m/>
    <x v="1"/>
    <x v="0"/>
    <x v="136"/>
    <n v="7"/>
    <s v="스테이포에버 2set"/>
    <s v="210207"/>
    <m/>
    <n v="411600"/>
  </r>
  <r>
    <x v="323"/>
    <x v="5"/>
    <m/>
    <x v="1"/>
    <x v="0"/>
    <x v="137"/>
    <n v="10"/>
    <s v="이그나이트 + 스테이포에버"/>
    <s v="210207"/>
    <m/>
    <n v="588000"/>
  </r>
  <r>
    <x v="323"/>
    <x v="5"/>
    <m/>
    <x v="1"/>
    <x v="0"/>
    <x v="144"/>
    <n v="2"/>
    <s v="이그나이트 + 스테이포에버"/>
    <s v="210207"/>
    <m/>
    <n v="117600"/>
  </r>
  <r>
    <x v="323"/>
    <x v="5"/>
    <m/>
    <x v="1"/>
    <x v="0"/>
    <x v="138"/>
    <n v="195"/>
    <s v="스테이포에버"/>
    <s v="210207"/>
    <m/>
    <n v="6630000"/>
  </r>
  <r>
    <x v="323"/>
    <x v="5"/>
    <m/>
    <x v="1"/>
    <x v="0"/>
    <x v="139"/>
    <n v="141"/>
    <s v="스테이포에버 2set"/>
    <s v="210207"/>
    <m/>
    <n v="8290800"/>
  </r>
  <r>
    <x v="323"/>
    <x v="5"/>
    <m/>
    <x v="1"/>
    <x v="0"/>
    <x v="140"/>
    <n v="15"/>
    <s v="이그나이트 + 스테이포에버"/>
    <s v="210207"/>
    <m/>
    <n v="882000"/>
  </r>
  <r>
    <x v="323"/>
    <x v="5"/>
    <m/>
    <x v="0"/>
    <x v="0"/>
    <x v="0"/>
    <n v="7"/>
    <s v="쇼핑백"/>
    <s v="210207"/>
    <m/>
    <n v="14000"/>
  </r>
  <r>
    <x v="323"/>
    <x v="5"/>
    <m/>
    <x v="1"/>
    <x v="0"/>
    <x v="141"/>
    <n v="2"/>
    <s v="이그나이트"/>
    <s v="210207"/>
    <m/>
    <n v="68000"/>
  </r>
  <r>
    <x v="321"/>
    <x v="1"/>
    <s v="네이버 배너"/>
    <x v="1"/>
    <x v="1"/>
    <x v="1"/>
    <m/>
    <m/>
    <m/>
    <n v="1256041.818181818"/>
    <m/>
  </r>
  <r>
    <x v="322"/>
    <x v="2"/>
    <s v="네이버 배너"/>
    <x v="1"/>
    <x v="1"/>
    <x v="1"/>
    <m/>
    <m/>
    <m/>
    <n v="1146555.454545454"/>
    <m/>
  </r>
  <r>
    <x v="323"/>
    <x v="5"/>
    <s v="네이버 배너"/>
    <x v="1"/>
    <x v="1"/>
    <x v="1"/>
    <m/>
    <m/>
    <m/>
    <n v="1211481.818181818"/>
    <m/>
  </r>
  <r>
    <x v="321"/>
    <x v="1"/>
    <s v="네이버 배너(대행사)"/>
    <x v="1"/>
    <x v="1"/>
    <x v="1"/>
    <m/>
    <m/>
    <m/>
    <n v="252931.8181818181"/>
    <m/>
  </r>
  <r>
    <x v="322"/>
    <x v="2"/>
    <s v="네이버 배너(대행사)"/>
    <x v="1"/>
    <x v="1"/>
    <x v="1"/>
    <m/>
    <m/>
    <m/>
    <n v="504535.4545454545"/>
    <m/>
  </r>
  <r>
    <x v="323"/>
    <x v="5"/>
    <s v="네이버 배너(대행사)"/>
    <x v="1"/>
    <x v="1"/>
    <x v="1"/>
    <m/>
    <m/>
    <m/>
    <n v="747094.5454545454"/>
    <m/>
  </r>
  <r>
    <x v="321"/>
    <x v="1"/>
    <s v="카카오 배너"/>
    <x v="1"/>
    <x v="1"/>
    <x v="1"/>
    <m/>
    <m/>
    <m/>
    <n v="1046850"/>
    <m/>
  </r>
  <r>
    <x v="322"/>
    <x v="2"/>
    <s v="카카오 배너"/>
    <x v="1"/>
    <x v="1"/>
    <x v="1"/>
    <m/>
    <m/>
    <m/>
    <n v="1048410"/>
    <m/>
  </r>
  <r>
    <x v="323"/>
    <x v="5"/>
    <s v="카카오 배너"/>
    <x v="1"/>
    <x v="1"/>
    <x v="1"/>
    <m/>
    <m/>
    <m/>
    <n v="1049830"/>
    <m/>
  </r>
  <r>
    <x v="324"/>
    <x v="6"/>
    <s v="페이스북/인스타그램"/>
    <x v="1"/>
    <x v="1"/>
    <x v="1"/>
    <m/>
    <m/>
    <m/>
    <n v="65082"/>
    <m/>
  </r>
  <r>
    <x v="324"/>
    <x v="6"/>
    <s v="페이스북/인스타그램"/>
    <x v="1"/>
    <x v="1"/>
    <x v="1"/>
    <m/>
    <m/>
    <m/>
    <n v="29439"/>
    <m/>
  </r>
  <r>
    <x v="324"/>
    <x v="6"/>
    <s v="페이스북/인스타그램"/>
    <x v="1"/>
    <x v="1"/>
    <x v="1"/>
    <m/>
    <m/>
    <m/>
    <n v="30596"/>
    <m/>
  </r>
  <r>
    <x v="324"/>
    <x v="6"/>
    <s v="페이스북/인스타그램"/>
    <x v="1"/>
    <x v="1"/>
    <x v="1"/>
    <m/>
    <m/>
    <m/>
    <n v="59418"/>
    <m/>
  </r>
  <r>
    <x v="324"/>
    <x v="6"/>
    <s v="페이스북/인스타그램"/>
    <x v="1"/>
    <x v="1"/>
    <x v="1"/>
    <m/>
    <m/>
    <m/>
    <n v="50035"/>
    <m/>
  </r>
  <r>
    <x v="324"/>
    <x v="6"/>
    <s v="페이스북/인스타그램"/>
    <x v="1"/>
    <x v="1"/>
    <x v="1"/>
    <m/>
    <m/>
    <m/>
    <n v="30062"/>
    <m/>
  </r>
  <r>
    <x v="324"/>
    <x v="6"/>
    <s v="페이스북/인스타그램"/>
    <x v="1"/>
    <x v="1"/>
    <x v="1"/>
    <m/>
    <m/>
    <m/>
    <n v="333391"/>
    <m/>
  </r>
  <r>
    <x v="324"/>
    <x v="6"/>
    <s v="페이스북/인스타그램"/>
    <x v="1"/>
    <x v="1"/>
    <x v="1"/>
    <m/>
    <m/>
    <m/>
    <n v="33396"/>
    <m/>
  </r>
  <r>
    <x v="324"/>
    <x v="6"/>
    <s v="페이스북/인스타그램"/>
    <x v="1"/>
    <x v="1"/>
    <x v="1"/>
    <m/>
    <m/>
    <m/>
    <n v="440568"/>
    <m/>
  </r>
  <r>
    <x v="324"/>
    <x v="6"/>
    <s v="페이스북/인스타그램"/>
    <x v="1"/>
    <x v="1"/>
    <x v="1"/>
    <m/>
    <m/>
    <m/>
    <n v="234839"/>
    <m/>
  </r>
  <r>
    <x v="324"/>
    <x v="6"/>
    <s v="페이스북/인스타그램"/>
    <x v="1"/>
    <x v="1"/>
    <x v="1"/>
    <m/>
    <m/>
    <m/>
    <n v="14373"/>
    <m/>
  </r>
  <r>
    <x v="324"/>
    <x v="6"/>
    <s v="페이스북/인스타그램"/>
    <x v="1"/>
    <x v="1"/>
    <x v="1"/>
    <m/>
    <m/>
    <m/>
    <n v="91715"/>
    <m/>
  </r>
  <r>
    <x v="324"/>
    <x v="6"/>
    <s v="페이스북/인스타그램"/>
    <x v="1"/>
    <x v="1"/>
    <x v="1"/>
    <m/>
    <m/>
    <m/>
    <n v="250230"/>
    <m/>
  </r>
  <r>
    <x v="324"/>
    <x v="6"/>
    <s v="페이스북/인스타그램"/>
    <x v="1"/>
    <x v="1"/>
    <x v="1"/>
    <m/>
    <m/>
    <m/>
    <n v="131399"/>
    <m/>
  </r>
  <r>
    <x v="324"/>
    <x v="6"/>
    <s v="페이스북/인스타그램"/>
    <x v="1"/>
    <x v="1"/>
    <x v="1"/>
    <m/>
    <m/>
    <m/>
    <n v="50017"/>
    <m/>
  </r>
  <r>
    <x v="324"/>
    <x v="6"/>
    <s v="페이스북/인스타그램"/>
    <x v="1"/>
    <x v="1"/>
    <x v="1"/>
    <m/>
    <m/>
    <m/>
    <n v="195198"/>
    <m/>
  </r>
  <r>
    <x v="324"/>
    <x v="6"/>
    <s v="페이스북/인스타그램"/>
    <x v="1"/>
    <x v="1"/>
    <x v="1"/>
    <m/>
    <m/>
    <m/>
    <n v="30309"/>
    <m/>
  </r>
  <r>
    <x v="324"/>
    <x v="6"/>
    <s v="페이스북/인스타그램"/>
    <x v="1"/>
    <x v="1"/>
    <x v="1"/>
    <m/>
    <m/>
    <m/>
    <n v="68942"/>
    <m/>
  </r>
  <r>
    <x v="324"/>
    <x v="6"/>
    <s v="페이스북/인스타그램"/>
    <x v="1"/>
    <x v="1"/>
    <x v="1"/>
    <m/>
    <m/>
    <m/>
    <n v="145953"/>
    <m/>
  </r>
  <r>
    <x v="324"/>
    <x v="6"/>
    <s v="페이스북/인스타그램"/>
    <x v="1"/>
    <x v="1"/>
    <x v="1"/>
    <m/>
    <m/>
    <m/>
    <n v="30241"/>
    <m/>
  </r>
  <r>
    <x v="324"/>
    <x v="6"/>
    <s v="페이스북/인스타그램"/>
    <x v="1"/>
    <x v="1"/>
    <x v="1"/>
    <m/>
    <m/>
    <m/>
    <n v="150251"/>
    <m/>
  </r>
  <r>
    <x v="324"/>
    <x v="6"/>
    <s v="페이스북/인스타그램"/>
    <x v="1"/>
    <x v="1"/>
    <x v="1"/>
    <m/>
    <m/>
    <m/>
    <n v="70068"/>
    <m/>
  </r>
  <r>
    <x v="324"/>
    <x v="6"/>
    <s v="페이스북/인스타그램"/>
    <x v="1"/>
    <x v="1"/>
    <x v="1"/>
    <m/>
    <m/>
    <m/>
    <n v="30152"/>
    <m/>
  </r>
  <r>
    <x v="324"/>
    <x v="6"/>
    <s v="유튜브 광고"/>
    <x v="1"/>
    <x v="1"/>
    <x v="1"/>
    <m/>
    <m/>
    <m/>
    <n v="30948"/>
    <m/>
  </r>
  <r>
    <x v="324"/>
    <x v="6"/>
    <s v="유튜브 광고"/>
    <x v="1"/>
    <x v="1"/>
    <x v="1"/>
    <m/>
    <m/>
    <m/>
    <n v="11612"/>
    <m/>
  </r>
  <r>
    <x v="324"/>
    <x v="6"/>
    <s v="유튜브 광고"/>
    <x v="1"/>
    <x v="1"/>
    <x v="1"/>
    <m/>
    <m/>
    <m/>
    <n v="457018"/>
    <m/>
  </r>
  <r>
    <x v="324"/>
    <x v="6"/>
    <s v="유튜브 광고"/>
    <x v="1"/>
    <x v="1"/>
    <x v="1"/>
    <m/>
    <m/>
    <m/>
    <n v="101115"/>
    <m/>
  </r>
  <r>
    <x v="324"/>
    <x v="6"/>
    <s v="유튜브 광고"/>
    <x v="1"/>
    <x v="1"/>
    <x v="1"/>
    <m/>
    <m/>
    <m/>
    <n v="107896"/>
    <m/>
  </r>
  <r>
    <x v="324"/>
    <x v="6"/>
    <s v="유튜브 광고"/>
    <x v="1"/>
    <x v="1"/>
    <x v="1"/>
    <m/>
    <m/>
    <m/>
    <n v="6638"/>
    <m/>
  </r>
  <r>
    <x v="324"/>
    <x v="6"/>
    <s v="유튜브 광고"/>
    <x v="1"/>
    <x v="1"/>
    <x v="1"/>
    <m/>
    <m/>
    <m/>
    <n v="99579"/>
    <m/>
  </r>
  <r>
    <x v="324"/>
    <x v="6"/>
    <s v="유튜브 광고"/>
    <x v="1"/>
    <x v="1"/>
    <x v="1"/>
    <m/>
    <m/>
    <m/>
    <n v="72703"/>
    <m/>
  </r>
  <r>
    <x v="324"/>
    <x v="6"/>
    <s v="유튜브 광고"/>
    <x v="1"/>
    <x v="1"/>
    <x v="1"/>
    <m/>
    <m/>
    <m/>
    <n v="414116"/>
    <m/>
  </r>
  <r>
    <x v="324"/>
    <x v="6"/>
    <s v="유튜브 광고"/>
    <x v="1"/>
    <x v="1"/>
    <x v="1"/>
    <m/>
    <m/>
    <m/>
    <n v="413918"/>
    <m/>
  </r>
  <r>
    <x v="324"/>
    <x v="6"/>
    <s v="유튜브 광고"/>
    <x v="1"/>
    <x v="1"/>
    <x v="1"/>
    <m/>
    <m/>
    <m/>
    <n v="310727"/>
    <m/>
  </r>
  <r>
    <x v="324"/>
    <x v="6"/>
    <s v="유튜브 광고"/>
    <x v="1"/>
    <x v="1"/>
    <x v="1"/>
    <m/>
    <m/>
    <m/>
    <n v="311295"/>
    <m/>
  </r>
  <r>
    <x v="324"/>
    <x v="6"/>
    <s v="네이버 쇼핑검색"/>
    <x v="1"/>
    <x v="1"/>
    <x v="1"/>
    <m/>
    <m/>
    <m/>
    <n v="12960"/>
    <m/>
  </r>
  <r>
    <x v="324"/>
    <x v="6"/>
    <s v="네이버 쇼핑검색"/>
    <x v="1"/>
    <x v="1"/>
    <x v="1"/>
    <m/>
    <m/>
    <m/>
    <n v="160"/>
    <m/>
  </r>
  <r>
    <x v="324"/>
    <x v="6"/>
    <s v="네이버 쇼핑검색"/>
    <x v="1"/>
    <x v="1"/>
    <x v="1"/>
    <m/>
    <m/>
    <m/>
    <n v="123510"/>
    <m/>
  </r>
  <r>
    <x v="324"/>
    <x v="6"/>
    <s v="네이버 브랜드검색"/>
    <x v="3"/>
    <x v="1"/>
    <x v="1"/>
    <m/>
    <m/>
    <m/>
    <n v="140000"/>
    <m/>
  </r>
  <r>
    <x v="324"/>
    <x v="6"/>
    <s v="네이버 브랜드검색"/>
    <x v="3"/>
    <x v="1"/>
    <x v="1"/>
    <m/>
    <m/>
    <m/>
    <n v="16700"/>
    <m/>
  </r>
  <r>
    <x v="324"/>
    <x v="6"/>
    <s v="카카오 배너"/>
    <x v="1"/>
    <x v="1"/>
    <x v="1"/>
    <m/>
    <m/>
    <m/>
    <n v="180800"/>
    <m/>
  </r>
  <r>
    <x v="324"/>
    <x v="6"/>
    <s v="카카오 배너"/>
    <x v="1"/>
    <x v="1"/>
    <x v="1"/>
    <m/>
    <m/>
    <m/>
    <n v="909189.9999999999"/>
    <m/>
  </r>
  <r>
    <x v="324"/>
    <x v="6"/>
    <m/>
    <x v="1"/>
    <x v="4"/>
    <x v="155"/>
    <n v="16"/>
    <s v="스테이포에버"/>
    <s v="210207"/>
    <m/>
    <n v="544000"/>
  </r>
  <r>
    <x v="324"/>
    <x v="6"/>
    <m/>
    <x v="1"/>
    <x v="4"/>
    <x v="157"/>
    <n v="2"/>
    <s v="이그나이트 + 스테이포에버"/>
    <s v="210207"/>
    <m/>
    <n v="117600"/>
  </r>
  <r>
    <x v="324"/>
    <x v="6"/>
    <m/>
    <x v="1"/>
    <x v="3"/>
    <x v="153"/>
    <n v="1"/>
    <s v="스테이포에버"/>
    <s v="210207"/>
    <m/>
    <n v="34000"/>
  </r>
  <r>
    <x v="324"/>
    <x v="6"/>
    <m/>
    <x v="1"/>
    <x v="3"/>
    <x v="150"/>
    <n v="4"/>
    <s v="이그나이트 + 스테이포에버"/>
    <s v="210207"/>
    <m/>
    <n v="235200"/>
  </r>
  <r>
    <x v="324"/>
    <x v="6"/>
    <m/>
    <x v="1"/>
    <x v="3"/>
    <x v="151"/>
    <n v="3"/>
    <s v="스테이포에버 2set"/>
    <s v="210207"/>
    <m/>
    <n v="176400"/>
  </r>
  <r>
    <x v="324"/>
    <x v="6"/>
    <m/>
    <x v="1"/>
    <x v="3"/>
    <x v="152"/>
    <n v="17"/>
    <s v="스테이포에버"/>
    <s v="210207"/>
    <m/>
    <n v="578000"/>
  </r>
  <r>
    <x v="324"/>
    <x v="6"/>
    <m/>
    <x v="1"/>
    <x v="0"/>
    <x v="134"/>
    <n v="2"/>
    <s v="이그나이트"/>
    <s v="210207"/>
    <m/>
    <n v="68000"/>
  </r>
  <r>
    <x v="324"/>
    <x v="6"/>
    <m/>
    <x v="1"/>
    <x v="0"/>
    <x v="135"/>
    <n v="4"/>
    <s v="스테이포에버"/>
    <s v="210207"/>
    <m/>
    <n v="136000"/>
  </r>
  <r>
    <x v="324"/>
    <x v="6"/>
    <m/>
    <x v="1"/>
    <x v="0"/>
    <x v="136"/>
    <n v="9"/>
    <s v="스테이포에버 2set"/>
    <s v="210207"/>
    <m/>
    <n v="529200"/>
  </r>
  <r>
    <x v="324"/>
    <x v="6"/>
    <m/>
    <x v="1"/>
    <x v="0"/>
    <x v="137"/>
    <n v="17"/>
    <s v="이그나이트 + 스테이포에버"/>
    <s v="210207"/>
    <m/>
    <n v="999600"/>
  </r>
  <r>
    <x v="324"/>
    <x v="6"/>
    <m/>
    <x v="1"/>
    <x v="0"/>
    <x v="144"/>
    <n v="2"/>
    <s v="이그나이트 + 스테이포에버"/>
    <s v="210207"/>
    <m/>
    <n v="117600"/>
  </r>
  <r>
    <x v="324"/>
    <x v="6"/>
    <m/>
    <x v="1"/>
    <x v="0"/>
    <x v="138"/>
    <n v="195"/>
    <s v="스테이포에버"/>
    <s v="210207"/>
    <m/>
    <n v="6630000"/>
  </r>
  <r>
    <x v="324"/>
    <x v="6"/>
    <m/>
    <x v="1"/>
    <x v="0"/>
    <x v="139"/>
    <n v="121"/>
    <s v="스테이포에버 2set"/>
    <s v="210207"/>
    <m/>
    <n v="7114800"/>
  </r>
  <r>
    <x v="324"/>
    <x v="6"/>
    <m/>
    <x v="1"/>
    <x v="0"/>
    <x v="140"/>
    <n v="11"/>
    <s v="이그나이트 + 스테이포에버"/>
    <s v="210207"/>
    <m/>
    <n v="646800"/>
  </r>
  <r>
    <x v="324"/>
    <x v="6"/>
    <m/>
    <x v="0"/>
    <x v="0"/>
    <x v="0"/>
    <n v="7"/>
    <s v="쇼핑백"/>
    <s v="210207"/>
    <m/>
    <n v="14000"/>
  </r>
  <r>
    <x v="324"/>
    <x v="6"/>
    <m/>
    <x v="1"/>
    <x v="0"/>
    <x v="141"/>
    <n v="3"/>
    <s v="이그나이트"/>
    <s v="210207"/>
    <m/>
    <n v="102000"/>
  </r>
  <r>
    <x v="324"/>
    <x v="6"/>
    <m/>
    <x v="1"/>
    <x v="0"/>
    <x v="142"/>
    <n v="1"/>
    <s v="이그나이트 2set"/>
    <s v="210207"/>
    <m/>
    <n v="58800"/>
  </r>
  <r>
    <x v="324"/>
    <x v="6"/>
    <m/>
    <x v="1"/>
    <x v="0"/>
    <x v="162"/>
    <n v="1"/>
    <s v="스테이포에버"/>
    <s v="210207"/>
    <m/>
    <n v="34000"/>
  </r>
  <r>
    <x v="324"/>
    <x v="6"/>
    <s v="네이버 배너"/>
    <x v="1"/>
    <x v="1"/>
    <x v="1"/>
    <m/>
    <m/>
    <m/>
    <n v="1189122.727272727"/>
    <m/>
  </r>
  <r>
    <x v="325"/>
    <x v="0"/>
    <s v="페이스북/인스타그램"/>
    <x v="1"/>
    <x v="1"/>
    <x v="1"/>
    <m/>
    <m/>
    <m/>
    <n v="12424"/>
    <m/>
  </r>
  <r>
    <x v="325"/>
    <x v="0"/>
    <s v="페이스북/인스타그램"/>
    <x v="1"/>
    <x v="1"/>
    <x v="1"/>
    <m/>
    <m/>
    <m/>
    <n v="99198"/>
    <m/>
  </r>
  <r>
    <x v="325"/>
    <x v="0"/>
    <s v="페이스북/인스타그램"/>
    <x v="1"/>
    <x v="1"/>
    <x v="1"/>
    <m/>
    <m/>
    <m/>
    <n v="66794"/>
    <m/>
  </r>
  <r>
    <x v="325"/>
    <x v="0"/>
    <s v="페이스북/인스타그램"/>
    <x v="1"/>
    <x v="1"/>
    <x v="1"/>
    <m/>
    <m/>
    <m/>
    <n v="28265"/>
    <m/>
  </r>
  <r>
    <x v="325"/>
    <x v="0"/>
    <s v="페이스북/인스타그램"/>
    <x v="1"/>
    <x v="1"/>
    <x v="1"/>
    <m/>
    <m/>
    <m/>
    <n v="28330"/>
    <m/>
  </r>
  <r>
    <x v="325"/>
    <x v="0"/>
    <s v="페이스북/인스타그램"/>
    <x v="1"/>
    <x v="1"/>
    <x v="1"/>
    <m/>
    <m/>
    <m/>
    <n v="75385"/>
    <m/>
  </r>
  <r>
    <x v="325"/>
    <x v="0"/>
    <s v="페이스북/인스타그램"/>
    <x v="1"/>
    <x v="1"/>
    <x v="1"/>
    <m/>
    <m/>
    <m/>
    <n v="48569"/>
    <m/>
  </r>
  <r>
    <x v="325"/>
    <x v="0"/>
    <s v="페이스북/인스타그램"/>
    <x v="1"/>
    <x v="1"/>
    <x v="1"/>
    <m/>
    <m/>
    <m/>
    <n v="28547"/>
    <m/>
  </r>
  <r>
    <x v="325"/>
    <x v="0"/>
    <s v="페이스북/인스타그램"/>
    <x v="1"/>
    <x v="1"/>
    <x v="1"/>
    <m/>
    <m/>
    <m/>
    <n v="363751"/>
    <m/>
  </r>
  <r>
    <x v="325"/>
    <x v="0"/>
    <s v="페이스북/인스타그램"/>
    <x v="1"/>
    <x v="1"/>
    <x v="1"/>
    <m/>
    <m/>
    <m/>
    <n v="29762"/>
    <m/>
  </r>
  <r>
    <x v="325"/>
    <x v="0"/>
    <s v="페이스북/인스타그램"/>
    <x v="1"/>
    <x v="1"/>
    <x v="1"/>
    <m/>
    <m/>
    <m/>
    <n v="245742"/>
    <m/>
  </r>
  <r>
    <x v="325"/>
    <x v="0"/>
    <s v="페이스북/인스타그램"/>
    <x v="1"/>
    <x v="1"/>
    <x v="1"/>
    <m/>
    <m/>
    <m/>
    <n v="177580"/>
    <m/>
  </r>
  <r>
    <x v="325"/>
    <x v="0"/>
    <s v="페이스북/인스타그램"/>
    <x v="1"/>
    <x v="1"/>
    <x v="1"/>
    <m/>
    <m/>
    <m/>
    <n v="97324"/>
    <m/>
  </r>
  <r>
    <x v="325"/>
    <x v="0"/>
    <s v="페이스북/인스타그램"/>
    <x v="1"/>
    <x v="1"/>
    <x v="1"/>
    <m/>
    <m/>
    <m/>
    <n v="244035"/>
    <m/>
  </r>
  <r>
    <x v="325"/>
    <x v="0"/>
    <s v="페이스북/인스타그램"/>
    <x v="1"/>
    <x v="1"/>
    <x v="1"/>
    <m/>
    <m/>
    <m/>
    <n v="61227"/>
    <m/>
  </r>
  <r>
    <x v="325"/>
    <x v="0"/>
    <s v="페이스북/인스타그램"/>
    <x v="1"/>
    <x v="1"/>
    <x v="1"/>
    <m/>
    <m/>
    <m/>
    <n v="48998"/>
    <m/>
  </r>
  <r>
    <x v="325"/>
    <x v="0"/>
    <s v="페이스북/인스타그램"/>
    <x v="1"/>
    <x v="1"/>
    <x v="1"/>
    <m/>
    <m/>
    <m/>
    <n v="194983"/>
    <m/>
  </r>
  <r>
    <x v="325"/>
    <x v="0"/>
    <s v="페이스북/인스타그램"/>
    <x v="1"/>
    <x v="1"/>
    <x v="1"/>
    <m/>
    <m/>
    <m/>
    <n v="29087"/>
    <m/>
  </r>
  <r>
    <x v="325"/>
    <x v="0"/>
    <s v="페이스북/인스타그램"/>
    <x v="1"/>
    <x v="1"/>
    <x v="1"/>
    <m/>
    <m/>
    <m/>
    <n v="68994"/>
    <m/>
  </r>
  <r>
    <x v="325"/>
    <x v="0"/>
    <s v="페이스북/인스타그램"/>
    <x v="1"/>
    <x v="1"/>
    <x v="1"/>
    <m/>
    <m/>
    <m/>
    <n v="146881"/>
    <m/>
  </r>
  <r>
    <x v="325"/>
    <x v="0"/>
    <s v="페이스북/인스타그램"/>
    <x v="1"/>
    <x v="1"/>
    <x v="1"/>
    <m/>
    <m/>
    <m/>
    <n v="29255"/>
    <m/>
  </r>
  <r>
    <x v="325"/>
    <x v="0"/>
    <s v="페이스북/인스타그램"/>
    <x v="1"/>
    <x v="1"/>
    <x v="1"/>
    <m/>
    <m/>
    <m/>
    <n v="146664"/>
    <m/>
  </r>
  <r>
    <x v="325"/>
    <x v="0"/>
    <s v="페이스북/인스타그램"/>
    <x v="1"/>
    <x v="1"/>
    <x v="1"/>
    <m/>
    <m/>
    <m/>
    <n v="68812"/>
    <m/>
  </r>
  <r>
    <x v="325"/>
    <x v="0"/>
    <s v="페이스북/인스타그램"/>
    <x v="1"/>
    <x v="1"/>
    <x v="1"/>
    <m/>
    <m/>
    <m/>
    <n v="29332"/>
    <m/>
  </r>
  <r>
    <x v="325"/>
    <x v="0"/>
    <s v="유튜브 광고"/>
    <x v="1"/>
    <x v="1"/>
    <x v="1"/>
    <m/>
    <m/>
    <m/>
    <n v="29562"/>
    <m/>
  </r>
  <r>
    <x v="325"/>
    <x v="0"/>
    <s v="유튜브 광고"/>
    <x v="1"/>
    <x v="1"/>
    <x v="1"/>
    <m/>
    <m/>
    <m/>
    <n v="189670"/>
    <m/>
  </r>
  <r>
    <x v="325"/>
    <x v="0"/>
    <s v="유튜브 광고"/>
    <x v="1"/>
    <x v="1"/>
    <x v="1"/>
    <m/>
    <m/>
    <m/>
    <n v="469088"/>
    <m/>
  </r>
  <r>
    <x v="325"/>
    <x v="0"/>
    <s v="유튜브 광고"/>
    <x v="1"/>
    <x v="1"/>
    <x v="1"/>
    <m/>
    <m/>
    <m/>
    <n v="102524"/>
    <m/>
  </r>
  <r>
    <x v="325"/>
    <x v="0"/>
    <s v="유튜브 광고"/>
    <x v="1"/>
    <x v="1"/>
    <x v="1"/>
    <m/>
    <m/>
    <m/>
    <n v="106315"/>
    <m/>
  </r>
  <r>
    <x v="325"/>
    <x v="0"/>
    <s v="유튜브 광고"/>
    <x v="1"/>
    <x v="1"/>
    <x v="1"/>
    <m/>
    <m/>
    <m/>
    <n v="107947"/>
    <m/>
  </r>
  <r>
    <x v="325"/>
    <x v="0"/>
    <s v="유튜브 광고"/>
    <x v="1"/>
    <x v="1"/>
    <x v="1"/>
    <m/>
    <m/>
    <m/>
    <n v="103968"/>
    <m/>
  </r>
  <r>
    <x v="325"/>
    <x v="0"/>
    <s v="유튜브 광고"/>
    <x v="1"/>
    <x v="1"/>
    <x v="1"/>
    <m/>
    <m/>
    <m/>
    <n v="412859"/>
    <m/>
  </r>
  <r>
    <x v="325"/>
    <x v="0"/>
    <s v="유튜브 광고"/>
    <x v="1"/>
    <x v="1"/>
    <x v="1"/>
    <m/>
    <m/>
    <m/>
    <n v="412439"/>
    <m/>
  </r>
  <r>
    <x v="325"/>
    <x v="0"/>
    <s v="유튜브 광고"/>
    <x v="1"/>
    <x v="1"/>
    <x v="1"/>
    <m/>
    <m/>
    <m/>
    <n v="309555"/>
    <m/>
  </r>
  <r>
    <x v="325"/>
    <x v="0"/>
    <s v="유튜브 광고"/>
    <x v="1"/>
    <x v="1"/>
    <x v="1"/>
    <m/>
    <m/>
    <m/>
    <n v="310193"/>
    <m/>
  </r>
  <r>
    <x v="325"/>
    <x v="0"/>
    <s v="네이버 쇼핑검색"/>
    <x v="1"/>
    <x v="1"/>
    <x v="1"/>
    <m/>
    <m/>
    <m/>
    <n v="22660"/>
    <m/>
  </r>
  <r>
    <x v="325"/>
    <x v="0"/>
    <s v="네이버 쇼핑검색"/>
    <x v="1"/>
    <x v="1"/>
    <x v="1"/>
    <m/>
    <m/>
    <m/>
    <n v="0"/>
    <m/>
  </r>
  <r>
    <x v="325"/>
    <x v="0"/>
    <s v="네이버 쇼핑검색"/>
    <x v="1"/>
    <x v="1"/>
    <x v="1"/>
    <m/>
    <m/>
    <m/>
    <n v="113240"/>
    <m/>
  </r>
  <r>
    <x v="325"/>
    <x v="0"/>
    <s v="네이버 브랜드검색"/>
    <x v="3"/>
    <x v="1"/>
    <x v="1"/>
    <m/>
    <m/>
    <m/>
    <n v="140000"/>
    <m/>
  </r>
  <r>
    <x v="325"/>
    <x v="0"/>
    <s v="네이버 브랜드검색"/>
    <x v="3"/>
    <x v="1"/>
    <x v="1"/>
    <m/>
    <m/>
    <m/>
    <n v="16700"/>
    <m/>
  </r>
  <r>
    <x v="325"/>
    <x v="0"/>
    <s v="카카오 배너"/>
    <x v="1"/>
    <x v="1"/>
    <x v="1"/>
    <m/>
    <m/>
    <m/>
    <n v="181610"/>
    <m/>
  </r>
  <r>
    <x v="325"/>
    <x v="0"/>
    <s v="카카오 배너"/>
    <x v="1"/>
    <x v="1"/>
    <x v="1"/>
    <m/>
    <m/>
    <m/>
    <n v="910799.9999999999"/>
    <m/>
  </r>
  <r>
    <x v="325"/>
    <x v="0"/>
    <m/>
    <x v="1"/>
    <x v="4"/>
    <x v="155"/>
    <n v="11"/>
    <s v="스테이포에버"/>
    <s v="210207"/>
    <m/>
    <n v="374000"/>
  </r>
  <r>
    <x v="325"/>
    <x v="0"/>
    <m/>
    <x v="1"/>
    <x v="4"/>
    <x v="157"/>
    <n v="1"/>
    <s v="이그나이트 + 스테이포에버"/>
    <s v="210207"/>
    <m/>
    <n v="58800"/>
  </r>
  <r>
    <x v="325"/>
    <x v="0"/>
    <m/>
    <x v="1"/>
    <x v="3"/>
    <x v="150"/>
    <n v="2"/>
    <s v="이그나이트 + 스테이포에버"/>
    <s v="210207"/>
    <m/>
    <n v="117600"/>
  </r>
  <r>
    <x v="325"/>
    <x v="0"/>
    <m/>
    <x v="1"/>
    <x v="3"/>
    <x v="151"/>
    <n v="1"/>
    <s v="스테이포에버 2set"/>
    <s v="210207"/>
    <m/>
    <n v="58800"/>
  </r>
  <r>
    <x v="325"/>
    <x v="0"/>
    <m/>
    <x v="1"/>
    <x v="3"/>
    <x v="152"/>
    <n v="19"/>
    <s v="스테이포에버"/>
    <s v="210207"/>
    <m/>
    <n v="646000"/>
  </r>
  <r>
    <x v="325"/>
    <x v="0"/>
    <m/>
    <x v="1"/>
    <x v="3"/>
    <x v="154"/>
    <n v="1"/>
    <s v="이그나이트"/>
    <s v="210207"/>
    <m/>
    <n v="34000"/>
  </r>
  <r>
    <x v="325"/>
    <x v="0"/>
    <m/>
    <x v="1"/>
    <x v="0"/>
    <x v="134"/>
    <n v="1"/>
    <s v="이그나이트"/>
    <s v="210207"/>
    <m/>
    <n v="34000"/>
  </r>
  <r>
    <x v="325"/>
    <x v="0"/>
    <m/>
    <x v="1"/>
    <x v="0"/>
    <x v="145"/>
    <n v="1"/>
    <s v="이그나이트 2set"/>
    <s v="210207"/>
    <m/>
    <n v="58800"/>
  </r>
  <r>
    <x v="325"/>
    <x v="0"/>
    <m/>
    <x v="1"/>
    <x v="0"/>
    <x v="135"/>
    <n v="1"/>
    <s v="스테이포에버"/>
    <s v="210207"/>
    <m/>
    <n v="34000"/>
  </r>
  <r>
    <x v="325"/>
    <x v="0"/>
    <m/>
    <x v="1"/>
    <x v="0"/>
    <x v="136"/>
    <n v="6"/>
    <s v="스테이포에버 2set"/>
    <s v="210207"/>
    <m/>
    <n v="352800"/>
  </r>
  <r>
    <x v="325"/>
    <x v="0"/>
    <m/>
    <x v="1"/>
    <x v="0"/>
    <x v="137"/>
    <n v="14"/>
    <s v="이그나이트 + 스테이포에버"/>
    <s v="210207"/>
    <m/>
    <n v="823200"/>
  </r>
  <r>
    <x v="325"/>
    <x v="0"/>
    <m/>
    <x v="1"/>
    <x v="0"/>
    <x v="138"/>
    <n v="195"/>
    <s v="스테이포에버"/>
    <s v="210207"/>
    <m/>
    <n v="6630000"/>
  </r>
  <r>
    <x v="325"/>
    <x v="0"/>
    <m/>
    <x v="1"/>
    <x v="0"/>
    <x v="139"/>
    <n v="126"/>
    <s v="스테이포에버 2set"/>
    <s v="210207"/>
    <m/>
    <n v="7408800"/>
  </r>
  <r>
    <x v="325"/>
    <x v="0"/>
    <m/>
    <x v="1"/>
    <x v="0"/>
    <x v="140"/>
    <n v="9"/>
    <s v="이그나이트 + 스테이포에버"/>
    <s v="210207"/>
    <m/>
    <n v="529200"/>
  </r>
  <r>
    <x v="325"/>
    <x v="0"/>
    <m/>
    <x v="0"/>
    <x v="0"/>
    <x v="0"/>
    <n v="7"/>
    <s v="쇼핑백"/>
    <s v="210207"/>
    <m/>
    <n v="14000"/>
  </r>
  <r>
    <x v="325"/>
    <x v="0"/>
    <m/>
    <x v="1"/>
    <x v="0"/>
    <x v="141"/>
    <n v="3"/>
    <s v="이그나이트"/>
    <s v="210207"/>
    <m/>
    <n v="102000"/>
  </r>
  <r>
    <x v="325"/>
    <x v="0"/>
    <m/>
    <x v="1"/>
    <x v="0"/>
    <x v="142"/>
    <n v="1"/>
    <s v="이그나이트 2set"/>
    <s v="210207"/>
    <m/>
    <n v="58800"/>
  </r>
  <r>
    <x v="325"/>
    <x v="0"/>
    <m/>
    <x v="0"/>
    <x v="0"/>
    <x v="143"/>
    <n v="1"/>
    <s v="쇼핑백"/>
    <s v="210207"/>
    <m/>
    <n v="2000"/>
  </r>
  <r>
    <x v="325"/>
    <x v="0"/>
    <s v="네이버 배너"/>
    <x v="1"/>
    <x v="1"/>
    <x v="1"/>
    <m/>
    <m/>
    <m/>
    <n v="1252792.727272727"/>
    <m/>
  </r>
  <r>
    <x v="325"/>
    <x v="0"/>
    <s v="네이버 배너(대행사)"/>
    <x v="1"/>
    <x v="1"/>
    <x v="1"/>
    <m/>
    <m/>
    <m/>
    <n v="142991.8181818182"/>
    <m/>
  </r>
  <r>
    <x v="325"/>
    <x v="0"/>
    <m/>
    <x v="1"/>
    <x v="5"/>
    <x v="167"/>
    <n v="185"/>
    <s v="이그나이트"/>
    <s v="210207"/>
    <m/>
    <n v="3113550"/>
  </r>
  <r>
    <x v="325"/>
    <x v="0"/>
    <m/>
    <x v="1"/>
    <x v="5"/>
    <x v="168"/>
    <n v="8"/>
    <s v="스테이포에버"/>
    <s v="210207"/>
    <m/>
    <n v="134640"/>
  </r>
  <r>
    <x v="326"/>
    <x v="3"/>
    <s v="페이스북/인스타그램"/>
    <x v="1"/>
    <x v="1"/>
    <x v="1"/>
    <m/>
    <m/>
    <m/>
    <n v="15951"/>
    <m/>
  </r>
  <r>
    <x v="326"/>
    <x v="3"/>
    <s v="페이스북/인스타그램"/>
    <x v="1"/>
    <x v="1"/>
    <x v="1"/>
    <m/>
    <m/>
    <m/>
    <n v="118210"/>
    <m/>
  </r>
  <r>
    <x v="326"/>
    <x v="3"/>
    <s v="페이스북/인스타그램"/>
    <x v="1"/>
    <x v="1"/>
    <x v="1"/>
    <m/>
    <m/>
    <m/>
    <n v="67362"/>
    <m/>
  </r>
  <r>
    <x v="326"/>
    <x v="3"/>
    <s v="페이스북/인스타그램"/>
    <x v="1"/>
    <x v="1"/>
    <x v="1"/>
    <m/>
    <m/>
    <m/>
    <n v="30147"/>
    <m/>
  </r>
  <r>
    <x v="326"/>
    <x v="3"/>
    <s v="페이스북/인스타그램"/>
    <x v="1"/>
    <x v="1"/>
    <x v="1"/>
    <m/>
    <m/>
    <m/>
    <n v="29632"/>
    <m/>
  </r>
  <r>
    <x v="326"/>
    <x v="3"/>
    <s v="페이스북/인스타그램"/>
    <x v="1"/>
    <x v="1"/>
    <x v="1"/>
    <m/>
    <m/>
    <m/>
    <n v="101694"/>
    <m/>
  </r>
  <r>
    <x v="326"/>
    <x v="3"/>
    <s v="페이스북/인스타그램"/>
    <x v="1"/>
    <x v="1"/>
    <x v="1"/>
    <m/>
    <m/>
    <m/>
    <n v="48890"/>
    <m/>
  </r>
  <r>
    <x v="326"/>
    <x v="3"/>
    <s v="페이스북/인스타그램"/>
    <x v="1"/>
    <x v="1"/>
    <x v="1"/>
    <m/>
    <m/>
    <m/>
    <n v="29647"/>
    <m/>
  </r>
  <r>
    <x v="326"/>
    <x v="3"/>
    <s v="페이스북/인스타그램"/>
    <x v="1"/>
    <x v="1"/>
    <x v="1"/>
    <m/>
    <m/>
    <m/>
    <n v="395278"/>
    <m/>
  </r>
  <r>
    <x v="326"/>
    <x v="3"/>
    <s v="페이스북/인스타그램"/>
    <x v="1"/>
    <x v="1"/>
    <x v="1"/>
    <m/>
    <m/>
    <m/>
    <n v="28614"/>
    <m/>
  </r>
  <r>
    <x v="326"/>
    <x v="3"/>
    <s v="페이스북/인스타그램"/>
    <x v="1"/>
    <x v="1"/>
    <x v="1"/>
    <m/>
    <m/>
    <m/>
    <n v="250178"/>
    <m/>
  </r>
  <r>
    <x v="326"/>
    <x v="3"/>
    <s v="페이스북/인스타그램"/>
    <x v="1"/>
    <x v="1"/>
    <x v="1"/>
    <m/>
    <m/>
    <m/>
    <n v="142506"/>
    <m/>
  </r>
  <r>
    <x v="326"/>
    <x v="3"/>
    <s v="페이스북/인스타그램"/>
    <x v="1"/>
    <x v="1"/>
    <x v="1"/>
    <m/>
    <m/>
    <m/>
    <n v="97002"/>
    <m/>
  </r>
  <r>
    <x v="326"/>
    <x v="3"/>
    <s v="페이스북/인스타그램"/>
    <x v="1"/>
    <x v="1"/>
    <x v="1"/>
    <m/>
    <m/>
    <m/>
    <n v="248773"/>
    <m/>
  </r>
  <r>
    <x v="326"/>
    <x v="3"/>
    <s v="페이스북/인스타그램"/>
    <x v="1"/>
    <x v="1"/>
    <x v="1"/>
    <m/>
    <m/>
    <m/>
    <n v="48215"/>
    <m/>
  </r>
  <r>
    <x v="326"/>
    <x v="3"/>
    <s v="페이스북/인스타그램"/>
    <x v="1"/>
    <x v="1"/>
    <x v="1"/>
    <m/>
    <m/>
    <m/>
    <n v="49144"/>
    <m/>
  </r>
  <r>
    <x v="326"/>
    <x v="3"/>
    <s v="페이스북/인스타그램"/>
    <x v="1"/>
    <x v="1"/>
    <x v="1"/>
    <m/>
    <m/>
    <m/>
    <n v="199762"/>
    <m/>
  </r>
  <r>
    <x v="326"/>
    <x v="3"/>
    <s v="페이스북/인스타그램"/>
    <x v="1"/>
    <x v="1"/>
    <x v="1"/>
    <m/>
    <m/>
    <m/>
    <n v="29599"/>
    <m/>
  </r>
  <r>
    <x v="326"/>
    <x v="3"/>
    <s v="페이스북/인스타그램"/>
    <x v="1"/>
    <x v="1"/>
    <x v="1"/>
    <m/>
    <m/>
    <m/>
    <n v="69200"/>
    <m/>
  </r>
  <r>
    <x v="326"/>
    <x v="3"/>
    <s v="페이스북/인스타그램"/>
    <x v="1"/>
    <x v="1"/>
    <x v="1"/>
    <m/>
    <m/>
    <m/>
    <n v="148049"/>
    <m/>
  </r>
  <r>
    <x v="326"/>
    <x v="3"/>
    <s v="페이스북/인스타그램"/>
    <x v="1"/>
    <x v="1"/>
    <x v="1"/>
    <m/>
    <m/>
    <m/>
    <n v="30293"/>
    <m/>
  </r>
  <r>
    <x v="326"/>
    <x v="3"/>
    <s v="페이스북/인스타그램"/>
    <x v="1"/>
    <x v="1"/>
    <x v="1"/>
    <m/>
    <m/>
    <m/>
    <n v="149871"/>
    <m/>
  </r>
  <r>
    <x v="326"/>
    <x v="3"/>
    <s v="페이스북/인스타그램"/>
    <x v="1"/>
    <x v="1"/>
    <x v="1"/>
    <m/>
    <m/>
    <m/>
    <n v="68735"/>
    <m/>
  </r>
  <r>
    <x v="326"/>
    <x v="3"/>
    <s v="페이스북/인스타그램"/>
    <x v="1"/>
    <x v="1"/>
    <x v="1"/>
    <m/>
    <m/>
    <m/>
    <n v="30264"/>
    <m/>
  </r>
  <r>
    <x v="326"/>
    <x v="3"/>
    <s v="유튜브 광고"/>
    <x v="1"/>
    <x v="1"/>
    <x v="1"/>
    <m/>
    <m/>
    <m/>
    <n v="24592"/>
    <m/>
  </r>
  <r>
    <x v="326"/>
    <x v="3"/>
    <s v="유튜브 광고"/>
    <x v="1"/>
    <x v="1"/>
    <x v="1"/>
    <m/>
    <m/>
    <m/>
    <n v="199875"/>
    <m/>
  </r>
  <r>
    <x v="326"/>
    <x v="3"/>
    <s v="유튜브 광고"/>
    <x v="1"/>
    <x v="1"/>
    <x v="1"/>
    <m/>
    <m/>
    <m/>
    <n v="460162"/>
    <m/>
  </r>
  <r>
    <x v="326"/>
    <x v="3"/>
    <s v="유튜브 광고"/>
    <x v="1"/>
    <x v="1"/>
    <x v="1"/>
    <m/>
    <m/>
    <m/>
    <n v="96119"/>
    <m/>
  </r>
  <r>
    <x v="326"/>
    <x v="3"/>
    <s v="유튜브 광고"/>
    <x v="1"/>
    <x v="1"/>
    <x v="1"/>
    <m/>
    <m/>
    <m/>
    <n v="103115"/>
    <m/>
  </r>
  <r>
    <x v="326"/>
    <x v="3"/>
    <s v="유튜브 광고"/>
    <x v="1"/>
    <x v="1"/>
    <x v="1"/>
    <m/>
    <m/>
    <m/>
    <n v="70441"/>
    <m/>
  </r>
  <r>
    <x v="326"/>
    <x v="3"/>
    <s v="유튜브 광고"/>
    <x v="1"/>
    <x v="1"/>
    <x v="1"/>
    <m/>
    <m/>
    <m/>
    <n v="101634"/>
    <m/>
  </r>
  <r>
    <x v="326"/>
    <x v="3"/>
    <s v="유튜브 광고"/>
    <x v="1"/>
    <x v="1"/>
    <x v="1"/>
    <m/>
    <m/>
    <m/>
    <n v="403359"/>
    <m/>
  </r>
  <r>
    <x v="326"/>
    <x v="3"/>
    <s v="유튜브 광고"/>
    <x v="1"/>
    <x v="1"/>
    <x v="1"/>
    <m/>
    <m/>
    <m/>
    <n v="402942"/>
    <m/>
  </r>
  <r>
    <x v="326"/>
    <x v="3"/>
    <s v="유튜브 광고"/>
    <x v="1"/>
    <x v="1"/>
    <x v="1"/>
    <m/>
    <m/>
    <m/>
    <n v="302345"/>
    <m/>
  </r>
  <r>
    <x v="326"/>
    <x v="3"/>
    <s v="유튜브 광고"/>
    <x v="1"/>
    <x v="1"/>
    <x v="1"/>
    <m/>
    <m/>
    <m/>
    <n v="303363"/>
    <m/>
  </r>
  <r>
    <x v="326"/>
    <x v="3"/>
    <s v="네이버 쇼핑검색"/>
    <x v="1"/>
    <x v="1"/>
    <x v="1"/>
    <m/>
    <m/>
    <m/>
    <n v="26410"/>
    <m/>
  </r>
  <r>
    <x v="326"/>
    <x v="3"/>
    <s v="네이버 쇼핑검색"/>
    <x v="1"/>
    <x v="1"/>
    <x v="1"/>
    <m/>
    <m/>
    <m/>
    <n v="250"/>
    <m/>
  </r>
  <r>
    <x v="326"/>
    <x v="3"/>
    <s v="네이버 쇼핑검색"/>
    <x v="1"/>
    <x v="1"/>
    <x v="1"/>
    <m/>
    <m/>
    <m/>
    <n v="111930"/>
    <m/>
  </r>
  <r>
    <x v="326"/>
    <x v="3"/>
    <s v="네이버 브랜드검색"/>
    <x v="3"/>
    <x v="1"/>
    <x v="1"/>
    <m/>
    <m/>
    <m/>
    <n v="140000"/>
    <m/>
  </r>
  <r>
    <x v="326"/>
    <x v="3"/>
    <s v="네이버 브랜드검색"/>
    <x v="3"/>
    <x v="1"/>
    <x v="1"/>
    <m/>
    <m/>
    <m/>
    <n v="16700"/>
    <m/>
  </r>
  <r>
    <x v="326"/>
    <x v="3"/>
    <s v="카카오 배너"/>
    <x v="1"/>
    <x v="1"/>
    <x v="1"/>
    <m/>
    <m/>
    <m/>
    <n v="182170"/>
    <m/>
  </r>
  <r>
    <x v="326"/>
    <x v="3"/>
    <s v="카카오 배너"/>
    <x v="1"/>
    <x v="1"/>
    <x v="1"/>
    <m/>
    <m/>
    <m/>
    <n v="881379.9999999999"/>
    <m/>
  </r>
  <r>
    <x v="326"/>
    <x v="3"/>
    <m/>
    <x v="1"/>
    <x v="4"/>
    <x v="155"/>
    <n v="15"/>
    <s v="스테이포에버"/>
    <s v="210207"/>
    <m/>
    <n v="510000"/>
  </r>
  <r>
    <x v="326"/>
    <x v="3"/>
    <m/>
    <x v="1"/>
    <x v="4"/>
    <x v="157"/>
    <n v="3"/>
    <s v="이그나이트 + 스테이포에버"/>
    <s v="210207"/>
    <m/>
    <n v="176400"/>
  </r>
  <r>
    <x v="326"/>
    <x v="3"/>
    <m/>
    <x v="1"/>
    <x v="3"/>
    <x v="150"/>
    <n v="5"/>
    <s v="이그나이트 + 스테이포에버"/>
    <s v="210207"/>
    <m/>
    <n v="294000"/>
  </r>
  <r>
    <x v="326"/>
    <x v="3"/>
    <m/>
    <x v="1"/>
    <x v="3"/>
    <x v="151"/>
    <n v="2"/>
    <s v="스테이포에버 2set"/>
    <s v="210207"/>
    <m/>
    <n v="117600"/>
  </r>
  <r>
    <x v="326"/>
    <x v="3"/>
    <m/>
    <x v="1"/>
    <x v="3"/>
    <x v="152"/>
    <n v="20"/>
    <s v="스테이포에버"/>
    <s v="210207"/>
    <m/>
    <n v="680000"/>
  </r>
  <r>
    <x v="326"/>
    <x v="3"/>
    <m/>
    <x v="1"/>
    <x v="0"/>
    <x v="134"/>
    <n v="2"/>
    <s v="이그나이트"/>
    <s v="210207"/>
    <m/>
    <n v="68000"/>
  </r>
  <r>
    <x v="326"/>
    <x v="3"/>
    <m/>
    <x v="1"/>
    <x v="0"/>
    <x v="135"/>
    <n v="4"/>
    <s v="스테이포에버"/>
    <s v="210207"/>
    <m/>
    <n v="136000"/>
  </r>
  <r>
    <x v="326"/>
    <x v="3"/>
    <m/>
    <x v="1"/>
    <x v="0"/>
    <x v="136"/>
    <n v="4"/>
    <s v="스테이포에버 2set"/>
    <s v="210207"/>
    <m/>
    <n v="235200"/>
  </r>
  <r>
    <x v="326"/>
    <x v="3"/>
    <m/>
    <x v="1"/>
    <x v="0"/>
    <x v="137"/>
    <n v="14"/>
    <s v="이그나이트 + 스테이포에버"/>
    <s v="210207"/>
    <m/>
    <n v="823200"/>
  </r>
  <r>
    <x v="326"/>
    <x v="3"/>
    <m/>
    <x v="1"/>
    <x v="0"/>
    <x v="144"/>
    <n v="1"/>
    <s v="이그나이트 + 스테이포에버"/>
    <s v="210207"/>
    <m/>
    <n v="58800"/>
  </r>
  <r>
    <x v="326"/>
    <x v="3"/>
    <m/>
    <x v="1"/>
    <x v="0"/>
    <x v="138"/>
    <n v="164"/>
    <s v="스테이포에버"/>
    <s v="210207"/>
    <m/>
    <n v="5576000"/>
  </r>
  <r>
    <x v="326"/>
    <x v="3"/>
    <m/>
    <x v="1"/>
    <x v="0"/>
    <x v="139"/>
    <n v="142"/>
    <s v="스테이포에버 2set"/>
    <s v="210207"/>
    <m/>
    <n v="8349600"/>
  </r>
  <r>
    <x v="326"/>
    <x v="3"/>
    <m/>
    <x v="1"/>
    <x v="0"/>
    <x v="140"/>
    <n v="16"/>
    <s v="이그나이트 + 스테이포에버"/>
    <s v="210207"/>
    <m/>
    <n v="940800"/>
  </r>
  <r>
    <x v="326"/>
    <x v="3"/>
    <m/>
    <x v="0"/>
    <x v="0"/>
    <x v="0"/>
    <n v="11"/>
    <s v="쇼핑백"/>
    <s v="210207"/>
    <m/>
    <n v="22000"/>
  </r>
  <r>
    <x v="326"/>
    <x v="3"/>
    <m/>
    <x v="1"/>
    <x v="0"/>
    <x v="141"/>
    <n v="1"/>
    <s v="이그나이트"/>
    <s v="210207"/>
    <m/>
    <n v="34000"/>
  </r>
  <r>
    <x v="326"/>
    <x v="3"/>
    <s v="네이버 배너"/>
    <x v="1"/>
    <x v="1"/>
    <x v="1"/>
    <m/>
    <m/>
    <m/>
    <n v="1133987.272727273"/>
    <m/>
  </r>
  <r>
    <x v="326"/>
    <x v="3"/>
    <s v="네이버 배너(대행사)"/>
    <x v="1"/>
    <x v="1"/>
    <x v="1"/>
    <m/>
    <m/>
    <m/>
    <n v="717446.3636363635"/>
    <m/>
  </r>
  <r>
    <x v="326"/>
    <x v="3"/>
    <m/>
    <x v="1"/>
    <x v="5"/>
    <x v="167"/>
    <n v="5"/>
    <m/>
    <s v="210207"/>
    <m/>
    <n v="84150"/>
  </r>
  <r>
    <x v="326"/>
    <x v="3"/>
    <m/>
    <x v="1"/>
    <x v="5"/>
    <x v="168"/>
    <n v="88"/>
    <m/>
    <s v="210207"/>
    <m/>
    <n v="1481040"/>
  </r>
  <r>
    <x v="327"/>
    <x v="4"/>
    <s v="페이스북/인스타그램"/>
    <x v="1"/>
    <x v="1"/>
    <x v="1"/>
    <m/>
    <m/>
    <m/>
    <n v="20444"/>
    <m/>
  </r>
  <r>
    <x v="327"/>
    <x v="4"/>
    <s v="페이스북/인스타그램"/>
    <x v="1"/>
    <x v="1"/>
    <x v="1"/>
    <m/>
    <m/>
    <m/>
    <n v="105869"/>
    <m/>
  </r>
  <r>
    <x v="327"/>
    <x v="4"/>
    <s v="페이스북/인스타그램"/>
    <x v="1"/>
    <x v="1"/>
    <x v="1"/>
    <m/>
    <m/>
    <m/>
    <n v="85856"/>
    <m/>
  </r>
  <r>
    <x v="327"/>
    <x v="4"/>
    <s v="페이스북/인스타그램"/>
    <x v="1"/>
    <x v="1"/>
    <x v="1"/>
    <m/>
    <m/>
    <m/>
    <n v="30290"/>
    <m/>
  </r>
  <r>
    <x v="327"/>
    <x v="4"/>
    <s v="페이스북/인스타그램"/>
    <x v="1"/>
    <x v="1"/>
    <x v="1"/>
    <m/>
    <m/>
    <m/>
    <n v="30052"/>
    <m/>
  </r>
  <r>
    <x v="327"/>
    <x v="4"/>
    <s v="페이스북/인스타그램"/>
    <x v="1"/>
    <x v="1"/>
    <x v="1"/>
    <m/>
    <m/>
    <m/>
    <n v="110610"/>
    <m/>
  </r>
  <r>
    <x v="327"/>
    <x v="4"/>
    <s v="페이스북/인스타그램"/>
    <x v="1"/>
    <x v="1"/>
    <x v="1"/>
    <m/>
    <m/>
    <m/>
    <n v="49145"/>
    <m/>
  </r>
  <r>
    <x v="327"/>
    <x v="4"/>
    <s v="페이스북/인스타그램"/>
    <x v="1"/>
    <x v="1"/>
    <x v="1"/>
    <m/>
    <m/>
    <m/>
    <n v="29035"/>
    <m/>
  </r>
  <r>
    <x v="327"/>
    <x v="4"/>
    <s v="페이스북/인스타그램"/>
    <x v="1"/>
    <x v="1"/>
    <x v="1"/>
    <m/>
    <m/>
    <m/>
    <n v="398183"/>
    <m/>
  </r>
  <r>
    <x v="327"/>
    <x v="4"/>
    <s v="페이스북/인스타그램"/>
    <x v="1"/>
    <x v="1"/>
    <x v="1"/>
    <m/>
    <m/>
    <m/>
    <n v="29733"/>
    <m/>
  </r>
  <r>
    <x v="327"/>
    <x v="4"/>
    <s v="페이스북/인스타그램"/>
    <x v="1"/>
    <x v="1"/>
    <x v="1"/>
    <m/>
    <m/>
    <m/>
    <n v="258225"/>
    <m/>
  </r>
  <r>
    <x v="327"/>
    <x v="4"/>
    <s v="페이스북/인스타그램"/>
    <x v="1"/>
    <x v="1"/>
    <x v="1"/>
    <m/>
    <m/>
    <m/>
    <n v="148276"/>
    <m/>
  </r>
  <r>
    <x v="327"/>
    <x v="4"/>
    <s v="페이스북/인스타그램"/>
    <x v="1"/>
    <x v="1"/>
    <x v="1"/>
    <m/>
    <m/>
    <m/>
    <n v="100525"/>
    <m/>
  </r>
  <r>
    <x v="327"/>
    <x v="4"/>
    <s v="페이스북/인스타그램"/>
    <x v="1"/>
    <x v="1"/>
    <x v="1"/>
    <m/>
    <m/>
    <m/>
    <n v="231123"/>
    <m/>
  </r>
  <r>
    <x v="327"/>
    <x v="4"/>
    <s v="페이스북/인스타그램"/>
    <x v="1"/>
    <x v="1"/>
    <x v="1"/>
    <m/>
    <m/>
    <m/>
    <n v="48939"/>
    <m/>
  </r>
  <r>
    <x v="327"/>
    <x v="4"/>
    <s v="페이스북/인스타그램"/>
    <x v="1"/>
    <x v="1"/>
    <x v="1"/>
    <m/>
    <m/>
    <m/>
    <n v="50655"/>
    <m/>
  </r>
  <r>
    <x v="327"/>
    <x v="4"/>
    <s v="페이스북/인스타그램"/>
    <x v="1"/>
    <x v="1"/>
    <x v="1"/>
    <m/>
    <m/>
    <m/>
    <n v="203436"/>
    <m/>
  </r>
  <r>
    <x v="327"/>
    <x v="4"/>
    <s v="페이스북/인스타그램"/>
    <x v="1"/>
    <x v="1"/>
    <x v="1"/>
    <m/>
    <m/>
    <m/>
    <n v="30575"/>
    <m/>
  </r>
  <r>
    <x v="327"/>
    <x v="4"/>
    <s v="페이스북/인스타그램"/>
    <x v="1"/>
    <x v="1"/>
    <x v="1"/>
    <m/>
    <m/>
    <m/>
    <n v="70334"/>
    <m/>
  </r>
  <r>
    <x v="327"/>
    <x v="4"/>
    <s v="페이스북/인스타그램"/>
    <x v="1"/>
    <x v="1"/>
    <x v="1"/>
    <m/>
    <m/>
    <m/>
    <n v="153609"/>
    <m/>
  </r>
  <r>
    <x v="327"/>
    <x v="4"/>
    <s v="페이스북/인스타그램"/>
    <x v="1"/>
    <x v="1"/>
    <x v="1"/>
    <m/>
    <m/>
    <m/>
    <n v="29956"/>
    <m/>
  </r>
  <r>
    <x v="327"/>
    <x v="4"/>
    <s v="페이스북/인스타그램"/>
    <x v="1"/>
    <x v="1"/>
    <x v="1"/>
    <m/>
    <m/>
    <m/>
    <n v="148559"/>
    <m/>
  </r>
  <r>
    <x v="327"/>
    <x v="4"/>
    <s v="페이스북/인스타그램"/>
    <x v="1"/>
    <x v="1"/>
    <x v="1"/>
    <m/>
    <m/>
    <m/>
    <n v="70455"/>
    <m/>
  </r>
  <r>
    <x v="327"/>
    <x v="4"/>
    <s v="페이스북/인스타그램"/>
    <x v="1"/>
    <x v="1"/>
    <x v="1"/>
    <m/>
    <m/>
    <m/>
    <n v="30008"/>
    <m/>
  </r>
  <r>
    <x v="327"/>
    <x v="4"/>
    <s v="유튜브 광고"/>
    <x v="1"/>
    <x v="1"/>
    <x v="1"/>
    <m/>
    <m/>
    <m/>
    <n v="10859"/>
    <m/>
  </r>
  <r>
    <x v="327"/>
    <x v="4"/>
    <s v="유튜브 광고"/>
    <x v="1"/>
    <x v="1"/>
    <x v="1"/>
    <m/>
    <m/>
    <m/>
    <n v="199924"/>
    <m/>
  </r>
  <r>
    <x v="327"/>
    <x v="4"/>
    <s v="유튜브 광고"/>
    <x v="1"/>
    <x v="1"/>
    <x v="1"/>
    <m/>
    <m/>
    <m/>
    <n v="463207"/>
    <m/>
  </r>
  <r>
    <x v="327"/>
    <x v="4"/>
    <s v="유튜브 광고"/>
    <x v="1"/>
    <x v="1"/>
    <x v="1"/>
    <m/>
    <m/>
    <m/>
    <n v="66378"/>
    <m/>
  </r>
  <r>
    <x v="327"/>
    <x v="4"/>
    <s v="유튜브 광고"/>
    <x v="1"/>
    <x v="1"/>
    <x v="1"/>
    <m/>
    <m/>
    <m/>
    <n v="53053"/>
    <m/>
  </r>
  <r>
    <x v="327"/>
    <x v="4"/>
    <s v="유튜브 광고"/>
    <x v="1"/>
    <x v="1"/>
    <x v="1"/>
    <m/>
    <m/>
    <m/>
    <n v="28547"/>
    <m/>
  </r>
  <r>
    <x v="327"/>
    <x v="4"/>
    <s v="유튜브 광고"/>
    <x v="1"/>
    <x v="1"/>
    <x v="1"/>
    <m/>
    <m/>
    <m/>
    <n v="72782"/>
    <m/>
  </r>
  <r>
    <x v="327"/>
    <x v="4"/>
    <s v="유튜브 광고"/>
    <x v="1"/>
    <x v="1"/>
    <x v="1"/>
    <m/>
    <m/>
    <m/>
    <n v="410219"/>
    <m/>
  </r>
  <r>
    <x v="327"/>
    <x v="4"/>
    <s v="유튜브 광고"/>
    <x v="1"/>
    <x v="1"/>
    <x v="1"/>
    <m/>
    <m/>
    <m/>
    <n v="410094"/>
    <m/>
  </r>
  <r>
    <x v="327"/>
    <x v="4"/>
    <s v="유튜브 광고"/>
    <x v="1"/>
    <x v="1"/>
    <x v="1"/>
    <m/>
    <m/>
    <m/>
    <n v="307752"/>
    <m/>
  </r>
  <r>
    <x v="327"/>
    <x v="4"/>
    <s v="유튜브 광고"/>
    <x v="1"/>
    <x v="1"/>
    <x v="1"/>
    <m/>
    <m/>
    <m/>
    <n v="308525"/>
    <m/>
  </r>
  <r>
    <x v="327"/>
    <x v="4"/>
    <s v="네이버 쇼핑검색"/>
    <x v="1"/>
    <x v="1"/>
    <x v="1"/>
    <m/>
    <m/>
    <m/>
    <n v="8390"/>
    <m/>
  </r>
  <r>
    <x v="327"/>
    <x v="4"/>
    <s v="네이버 쇼핑검색"/>
    <x v="1"/>
    <x v="1"/>
    <x v="1"/>
    <m/>
    <m/>
    <m/>
    <n v="0"/>
    <m/>
  </r>
  <r>
    <x v="327"/>
    <x v="4"/>
    <s v="네이버 쇼핑검색"/>
    <x v="1"/>
    <x v="1"/>
    <x v="1"/>
    <m/>
    <m/>
    <m/>
    <n v="127430"/>
    <m/>
  </r>
  <r>
    <x v="327"/>
    <x v="4"/>
    <s v="네이버 브랜드검색"/>
    <x v="3"/>
    <x v="1"/>
    <x v="1"/>
    <m/>
    <m/>
    <m/>
    <n v="88000"/>
    <m/>
  </r>
  <r>
    <x v="327"/>
    <x v="4"/>
    <s v="네이버 브랜드검색"/>
    <x v="3"/>
    <x v="1"/>
    <x v="1"/>
    <m/>
    <m/>
    <m/>
    <n v="16700"/>
    <m/>
  </r>
  <r>
    <x v="327"/>
    <x v="4"/>
    <s v="카카오 배너"/>
    <x v="1"/>
    <x v="1"/>
    <x v="1"/>
    <m/>
    <m/>
    <m/>
    <n v="181930"/>
    <m/>
  </r>
  <r>
    <x v="327"/>
    <x v="4"/>
    <s v="카카오 배너"/>
    <x v="1"/>
    <x v="1"/>
    <x v="1"/>
    <m/>
    <m/>
    <m/>
    <n v="788209.9999999999"/>
    <m/>
  </r>
  <r>
    <x v="327"/>
    <x v="4"/>
    <m/>
    <x v="1"/>
    <x v="4"/>
    <x v="155"/>
    <n v="7"/>
    <s v="스테이포에버"/>
    <s v="210207"/>
    <m/>
    <n v="238000"/>
  </r>
  <r>
    <x v="327"/>
    <x v="4"/>
    <m/>
    <x v="1"/>
    <x v="4"/>
    <x v="157"/>
    <n v="1"/>
    <s v="이그나이트 + 스테이포에버"/>
    <s v="210207"/>
    <m/>
    <n v="58800"/>
  </r>
  <r>
    <x v="327"/>
    <x v="4"/>
    <m/>
    <x v="1"/>
    <x v="3"/>
    <x v="150"/>
    <n v="1"/>
    <s v="이그나이트 + 스테이포에버"/>
    <s v="210207"/>
    <m/>
    <n v="58800"/>
  </r>
  <r>
    <x v="327"/>
    <x v="4"/>
    <m/>
    <x v="1"/>
    <x v="3"/>
    <x v="151"/>
    <n v="3"/>
    <s v="스테이포에버 2set"/>
    <s v="210207"/>
    <m/>
    <n v="176400"/>
  </r>
  <r>
    <x v="327"/>
    <x v="4"/>
    <m/>
    <x v="1"/>
    <x v="3"/>
    <x v="152"/>
    <n v="16"/>
    <s v="스테이포에버"/>
    <s v="210207"/>
    <m/>
    <n v="544000"/>
  </r>
  <r>
    <x v="327"/>
    <x v="4"/>
    <m/>
    <x v="0"/>
    <x v="0"/>
    <x v="148"/>
    <n v="1"/>
    <s v="쇼핑백"/>
    <s v="210207"/>
    <m/>
    <n v="2000"/>
  </r>
  <r>
    <x v="327"/>
    <x v="4"/>
    <m/>
    <x v="1"/>
    <x v="0"/>
    <x v="134"/>
    <n v="1"/>
    <s v="이그나이트"/>
    <s v="210207"/>
    <m/>
    <n v="34000"/>
  </r>
  <r>
    <x v="327"/>
    <x v="4"/>
    <m/>
    <x v="1"/>
    <x v="0"/>
    <x v="135"/>
    <n v="7"/>
    <s v="스테이포에버"/>
    <s v="210207"/>
    <m/>
    <n v="238000"/>
  </r>
  <r>
    <x v="327"/>
    <x v="4"/>
    <m/>
    <x v="1"/>
    <x v="0"/>
    <x v="136"/>
    <n v="8"/>
    <s v="스테이포에버 2set"/>
    <s v="210207"/>
    <m/>
    <n v="470400"/>
  </r>
  <r>
    <x v="327"/>
    <x v="4"/>
    <m/>
    <x v="1"/>
    <x v="0"/>
    <x v="137"/>
    <n v="11"/>
    <s v="이그나이트 + 스테이포에버"/>
    <s v="210207"/>
    <m/>
    <n v="646800"/>
  </r>
  <r>
    <x v="327"/>
    <x v="4"/>
    <m/>
    <x v="1"/>
    <x v="0"/>
    <x v="138"/>
    <n v="150"/>
    <s v="스테이포에버"/>
    <s v="210207"/>
    <m/>
    <n v="5100000"/>
  </r>
  <r>
    <x v="327"/>
    <x v="4"/>
    <m/>
    <x v="1"/>
    <x v="0"/>
    <x v="139"/>
    <n v="107"/>
    <s v="스테이포에버 2set"/>
    <s v="210207"/>
    <m/>
    <n v="6291600"/>
  </r>
  <r>
    <x v="327"/>
    <x v="4"/>
    <m/>
    <x v="1"/>
    <x v="0"/>
    <x v="140"/>
    <n v="13"/>
    <s v="이그나이트 + 스테이포에버"/>
    <s v="210207"/>
    <m/>
    <n v="764400"/>
  </r>
  <r>
    <x v="327"/>
    <x v="4"/>
    <m/>
    <x v="0"/>
    <x v="0"/>
    <x v="0"/>
    <n v="4"/>
    <s v="쇼핑백"/>
    <s v="210207"/>
    <m/>
    <n v="8000"/>
  </r>
  <r>
    <x v="327"/>
    <x v="4"/>
    <m/>
    <x v="1"/>
    <x v="0"/>
    <x v="141"/>
    <n v="1"/>
    <s v="이그나이트"/>
    <s v="210207"/>
    <m/>
    <n v="34000"/>
  </r>
  <r>
    <x v="327"/>
    <x v="4"/>
    <m/>
    <x v="1"/>
    <x v="0"/>
    <x v="142"/>
    <n v="1"/>
    <s v="이그나이트 2set"/>
    <s v="210207"/>
    <m/>
    <n v="58800"/>
  </r>
  <r>
    <x v="327"/>
    <x v="4"/>
    <s v="네이버 배너"/>
    <x v="1"/>
    <x v="1"/>
    <x v="1"/>
    <m/>
    <m/>
    <m/>
    <n v="886525.4545454545"/>
    <m/>
  </r>
  <r>
    <x v="327"/>
    <x v="4"/>
    <s v="네이버 배너(대행사)"/>
    <x v="1"/>
    <x v="1"/>
    <x v="1"/>
    <m/>
    <m/>
    <m/>
    <n v="188105.4545454545"/>
    <m/>
  </r>
  <r>
    <x v="327"/>
    <x v="4"/>
    <m/>
    <x v="1"/>
    <x v="5"/>
    <x v="167"/>
    <n v="3"/>
    <s v="이그나이트"/>
    <s v="210207"/>
    <m/>
    <n v="50490"/>
  </r>
  <r>
    <x v="327"/>
    <x v="4"/>
    <m/>
    <x v="1"/>
    <x v="5"/>
    <x v="168"/>
    <n v="91"/>
    <s v="스테이포에버"/>
    <s v="210207"/>
    <m/>
    <n v="1531530"/>
  </r>
  <r>
    <x v="328"/>
    <x v="1"/>
    <s v="페이스북/인스타그램"/>
    <x v="1"/>
    <x v="1"/>
    <x v="1"/>
    <m/>
    <m/>
    <m/>
    <n v="19981"/>
    <m/>
  </r>
  <r>
    <x v="328"/>
    <x v="1"/>
    <s v="페이스북/인스타그램"/>
    <x v="1"/>
    <x v="1"/>
    <x v="1"/>
    <m/>
    <m/>
    <m/>
    <n v="113907"/>
    <m/>
  </r>
  <r>
    <x v="328"/>
    <x v="1"/>
    <s v="페이스북/인스타그램"/>
    <x v="1"/>
    <x v="1"/>
    <x v="1"/>
    <m/>
    <m/>
    <m/>
    <n v="92425"/>
    <m/>
  </r>
  <r>
    <x v="328"/>
    <x v="1"/>
    <s v="페이스북/인스타그램"/>
    <x v="1"/>
    <x v="1"/>
    <x v="1"/>
    <m/>
    <m/>
    <m/>
    <n v="30465"/>
    <m/>
  </r>
  <r>
    <x v="328"/>
    <x v="1"/>
    <s v="페이스북/인스타그램"/>
    <x v="1"/>
    <x v="1"/>
    <x v="1"/>
    <m/>
    <m/>
    <m/>
    <n v="29529"/>
    <m/>
  </r>
  <r>
    <x v="328"/>
    <x v="1"/>
    <s v="페이스북/인스타그램"/>
    <x v="1"/>
    <x v="1"/>
    <x v="1"/>
    <m/>
    <m/>
    <m/>
    <n v="107230"/>
    <m/>
  </r>
  <r>
    <x v="328"/>
    <x v="1"/>
    <s v="페이스북/인스타그램"/>
    <x v="1"/>
    <x v="1"/>
    <x v="1"/>
    <m/>
    <m/>
    <m/>
    <n v="49400"/>
    <m/>
  </r>
  <r>
    <x v="328"/>
    <x v="1"/>
    <s v="페이스북/인스타그램"/>
    <x v="1"/>
    <x v="1"/>
    <x v="1"/>
    <m/>
    <m/>
    <m/>
    <n v="30278"/>
    <m/>
  </r>
  <r>
    <x v="328"/>
    <x v="1"/>
    <s v="페이스북/인스타그램"/>
    <x v="1"/>
    <x v="1"/>
    <x v="1"/>
    <m/>
    <m/>
    <m/>
    <n v="384446"/>
    <m/>
  </r>
  <r>
    <x v="328"/>
    <x v="1"/>
    <s v="페이스북/인스타그램"/>
    <x v="1"/>
    <x v="1"/>
    <x v="1"/>
    <m/>
    <m/>
    <m/>
    <n v="28505"/>
    <m/>
  </r>
  <r>
    <x v="328"/>
    <x v="1"/>
    <s v="페이스북/인스타그램"/>
    <x v="1"/>
    <x v="1"/>
    <x v="1"/>
    <m/>
    <m/>
    <m/>
    <n v="246423"/>
    <m/>
  </r>
  <r>
    <x v="328"/>
    <x v="1"/>
    <s v="페이스북/인스타그램"/>
    <x v="1"/>
    <x v="1"/>
    <x v="1"/>
    <m/>
    <m/>
    <m/>
    <n v="142646"/>
    <m/>
  </r>
  <r>
    <x v="328"/>
    <x v="1"/>
    <s v="페이스북/인스타그램"/>
    <x v="1"/>
    <x v="1"/>
    <x v="1"/>
    <m/>
    <m/>
    <m/>
    <n v="97531"/>
    <m/>
  </r>
  <r>
    <x v="328"/>
    <x v="1"/>
    <s v="페이스북/인스타그램"/>
    <x v="1"/>
    <x v="1"/>
    <x v="1"/>
    <m/>
    <m/>
    <m/>
    <n v="208975"/>
    <m/>
  </r>
  <r>
    <x v="328"/>
    <x v="1"/>
    <s v="페이스북/인스타그램"/>
    <x v="1"/>
    <x v="1"/>
    <x v="1"/>
    <m/>
    <m/>
    <m/>
    <n v="48341"/>
    <m/>
  </r>
  <r>
    <x v="328"/>
    <x v="1"/>
    <s v="페이스북/인스타그램"/>
    <x v="1"/>
    <x v="1"/>
    <x v="1"/>
    <m/>
    <m/>
    <m/>
    <n v="48850"/>
    <m/>
  </r>
  <r>
    <x v="328"/>
    <x v="1"/>
    <s v="페이스북/인스타그램"/>
    <x v="1"/>
    <x v="1"/>
    <x v="1"/>
    <m/>
    <m/>
    <m/>
    <n v="196472"/>
    <m/>
  </r>
  <r>
    <x v="328"/>
    <x v="1"/>
    <s v="페이스북/인스타그램"/>
    <x v="1"/>
    <x v="1"/>
    <x v="1"/>
    <m/>
    <m/>
    <m/>
    <n v="29090"/>
    <m/>
  </r>
  <r>
    <x v="328"/>
    <x v="1"/>
    <s v="페이스북/인스타그램"/>
    <x v="1"/>
    <x v="1"/>
    <x v="1"/>
    <m/>
    <m/>
    <m/>
    <n v="68815"/>
    <m/>
  </r>
  <r>
    <x v="328"/>
    <x v="1"/>
    <s v="페이스북/인스타그램"/>
    <x v="1"/>
    <x v="1"/>
    <x v="1"/>
    <m/>
    <m/>
    <m/>
    <n v="147991"/>
    <m/>
  </r>
  <r>
    <x v="328"/>
    <x v="1"/>
    <s v="페이스북/인스타그램"/>
    <x v="1"/>
    <x v="1"/>
    <x v="1"/>
    <m/>
    <m/>
    <m/>
    <n v="29220"/>
    <m/>
  </r>
  <r>
    <x v="328"/>
    <x v="1"/>
    <s v="페이스북/인스타그램"/>
    <x v="1"/>
    <x v="1"/>
    <x v="1"/>
    <m/>
    <m/>
    <m/>
    <n v="148723"/>
    <m/>
  </r>
  <r>
    <x v="328"/>
    <x v="1"/>
    <s v="페이스북/인스타그램"/>
    <x v="1"/>
    <x v="1"/>
    <x v="1"/>
    <m/>
    <m/>
    <m/>
    <n v="69511"/>
    <m/>
  </r>
  <r>
    <x v="328"/>
    <x v="1"/>
    <s v="페이스북/인스타그램"/>
    <x v="1"/>
    <x v="1"/>
    <x v="1"/>
    <m/>
    <m/>
    <m/>
    <n v="29432"/>
    <m/>
  </r>
  <r>
    <x v="329"/>
    <x v="2"/>
    <s v="페이스북/인스타그램"/>
    <x v="1"/>
    <x v="1"/>
    <x v="1"/>
    <m/>
    <m/>
    <m/>
    <n v="21582"/>
    <m/>
  </r>
  <r>
    <x v="329"/>
    <x v="2"/>
    <s v="페이스북/인스타그램"/>
    <x v="2"/>
    <x v="1"/>
    <x v="1"/>
    <m/>
    <m/>
    <m/>
    <n v="124760"/>
    <m/>
  </r>
  <r>
    <x v="329"/>
    <x v="2"/>
    <s v="페이스북/인스타그램"/>
    <x v="1"/>
    <x v="1"/>
    <x v="1"/>
    <m/>
    <m/>
    <m/>
    <n v="98825"/>
    <m/>
  </r>
  <r>
    <x v="329"/>
    <x v="2"/>
    <s v="페이스북/인스타그램"/>
    <x v="1"/>
    <x v="1"/>
    <x v="1"/>
    <m/>
    <m/>
    <m/>
    <n v="31234"/>
    <m/>
  </r>
  <r>
    <x v="329"/>
    <x v="2"/>
    <s v="페이스북/인스타그램"/>
    <x v="1"/>
    <x v="1"/>
    <x v="1"/>
    <m/>
    <m/>
    <m/>
    <n v="31469"/>
    <m/>
  </r>
  <r>
    <x v="329"/>
    <x v="2"/>
    <s v="페이스북/인스타그램"/>
    <x v="1"/>
    <x v="1"/>
    <x v="1"/>
    <m/>
    <m/>
    <m/>
    <n v="110817"/>
    <m/>
  </r>
  <r>
    <x v="329"/>
    <x v="2"/>
    <s v="페이스북/인스타그램"/>
    <x v="1"/>
    <x v="1"/>
    <x v="1"/>
    <m/>
    <m/>
    <m/>
    <n v="54075"/>
    <m/>
  </r>
  <r>
    <x v="329"/>
    <x v="2"/>
    <s v="페이스북/인스타그램"/>
    <x v="1"/>
    <x v="1"/>
    <x v="1"/>
    <m/>
    <m/>
    <m/>
    <n v="32170"/>
    <m/>
  </r>
  <r>
    <x v="329"/>
    <x v="2"/>
    <s v="페이스북/인스타그램"/>
    <x v="1"/>
    <x v="1"/>
    <x v="1"/>
    <m/>
    <m/>
    <m/>
    <n v="409297"/>
    <m/>
  </r>
  <r>
    <x v="329"/>
    <x v="2"/>
    <s v="페이스북/인스타그램"/>
    <x v="1"/>
    <x v="1"/>
    <x v="1"/>
    <m/>
    <m/>
    <m/>
    <n v="30533"/>
    <m/>
  </r>
  <r>
    <x v="329"/>
    <x v="2"/>
    <s v="페이스북/인스타그램"/>
    <x v="1"/>
    <x v="1"/>
    <x v="1"/>
    <m/>
    <m/>
    <m/>
    <n v="257172"/>
    <m/>
  </r>
  <r>
    <x v="329"/>
    <x v="2"/>
    <s v="페이스북/인스타그램"/>
    <x v="1"/>
    <x v="1"/>
    <x v="1"/>
    <m/>
    <m/>
    <m/>
    <n v="152894"/>
    <m/>
  </r>
  <r>
    <x v="329"/>
    <x v="2"/>
    <s v="페이스북/인스타그램"/>
    <x v="1"/>
    <x v="1"/>
    <x v="1"/>
    <m/>
    <m/>
    <m/>
    <n v="102610"/>
    <m/>
  </r>
  <r>
    <x v="329"/>
    <x v="2"/>
    <s v="페이스북/인스타그램"/>
    <x v="1"/>
    <x v="1"/>
    <x v="1"/>
    <m/>
    <m/>
    <m/>
    <n v="217240"/>
    <m/>
  </r>
  <r>
    <x v="329"/>
    <x v="2"/>
    <s v="페이스북/인스타그램"/>
    <x v="1"/>
    <x v="1"/>
    <x v="1"/>
    <m/>
    <m/>
    <m/>
    <n v="50214"/>
    <m/>
  </r>
  <r>
    <x v="329"/>
    <x v="2"/>
    <s v="페이스북/인스타그램"/>
    <x v="1"/>
    <x v="1"/>
    <x v="1"/>
    <m/>
    <m/>
    <m/>
    <n v="52156"/>
    <m/>
  </r>
  <r>
    <x v="329"/>
    <x v="2"/>
    <s v="페이스북/인스타그램"/>
    <x v="1"/>
    <x v="1"/>
    <x v="1"/>
    <m/>
    <m/>
    <m/>
    <n v="208448"/>
    <m/>
  </r>
  <r>
    <x v="329"/>
    <x v="2"/>
    <s v="페이스북/인스타그램"/>
    <x v="1"/>
    <x v="1"/>
    <x v="1"/>
    <m/>
    <m/>
    <m/>
    <n v="31010"/>
    <m/>
  </r>
  <r>
    <x v="329"/>
    <x v="2"/>
    <s v="페이스북/인스타그램"/>
    <x v="1"/>
    <x v="1"/>
    <x v="1"/>
    <m/>
    <m/>
    <m/>
    <n v="73058"/>
    <m/>
  </r>
  <r>
    <x v="329"/>
    <x v="2"/>
    <s v="페이스북/인스타그램"/>
    <x v="1"/>
    <x v="1"/>
    <x v="1"/>
    <m/>
    <m/>
    <m/>
    <n v="155641"/>
    <m/>
  </r>
  <r>
    <x v="329"/>
    <x v="2"/>
    <s v="페이스북/인스타그램"/>
    <x v="1"/>
    <x v="1"/>
    <x v="1"/>
    <m/>
    <m/>
    <m/>
    <n v="30986"/>
    <m/>
  </r>
  <r>
    <x v="329"/>
    <x v="2"/>
    <s v="페이스북/인스타그램"/>
    <x v="1"/>
    <x v="1"/>
    <x v="1"/>
    <m/>
    <m/>
    <m/>
    <n v="155090"/>
    <m/>
  </r>
  <r>
    <x v="329"/>
    <x v="2"/>
    <s v="페이스북/인스타그램"/>
    <x v="1"/>
    <x v="1"/>
    <x v="1"/>
    <m/>
    <m/>
    <m/>
    <n v="72069"/>
    <m/>
  </r>
  <r>
    <x v="329"/>
    <x v="2"/>
    <s v="페이스북/인스타그램"/>
    <x v="1"/>
    <x v="1"/>
    <x v="1"/>
    <m/>
    <m/>
    <m/>
    <n v="30765"/>
    <m/>
  </r>
  <r>
    <x v="330"/>
    <x v="5"/>
    <s v="페이스북/인스타그램"/>
    <x v="1"/>
    <x v="1"/>
    <x v="1"/>
    <m/>
    <m/>
    <m/>
    <n v="20083"/>
    <m/>
  </r>
  <r>
    <x v="330"/>
    <x v="5"/>
    <s v="페이스북/인스타그램"/>
    <x v="2"/>
    <x v="1"/>
    <x v="1"/>
    <m/>
    <m/>
    <m/>
    <n v="104652"/>
    <m/>
  </r>
  <r>
    <x v="330"/>
    <x v="5"/>
    <s v="페이스북/인스타그램"/>
    <x v="1"/>
    <x v="1"/>
    <x v="1"/>
    <m/>
    <m/>
    <m/>
    <n v="100659"/>
    <m/>
  </r>
  <r>
    <x v="330"/>
    <x v="5"/>
    <s v="페이스북/인스타그램"/>
    <x v="1"/>
    <x v="1"/>
    <x v="1"/>
    <m/>
    <m/>
    <m/>
    <n v="30244"/>
    <m/>
  </r>
  <r>
    <x v="330"/>
    <x v="5"/>
    <s v="페이스북/인스타그램"/>
    <x v="1"/>
    <x v="1"/>
    <x v="1"/>
    <m/>
    <m/>
    <m/>
    <n v="30183"/>
    <m/>
  </r>
  <r>
    <x v="330"/>
    <x v="5"/>
    <s v="페이스북/인스타그램"/>
    <x v="1"/>
    <x v="1"/>
    <x v="1"/>
    <m/>
    <m/>
    <m/>
    <n v="110460"/>
    <m/>
  </r>
  <r>
    <x v="330"/>
    <x v="5"/>
    <s v="페이스북/인스타그램"/>
    <x v="1"/>
    <x v="1"/>
    <x v="1"/>
    <m/>
    <m/>
    <m/>
    <n v="50015"/>
    <m/>
  </r>
  <r>
    <x v="330"/>
    <x v="5"/>
    <s v="페이스북/인스타그램"/>
    <x v="1"/>
    <x v="1"/>
    <x v="1"/>
    <m/>
    <m/>
    <m/>
    <n v="29487"/>
    <m/>
  </r>
  <r>
    <x v="330"/>
    <x v="5"/>
    <s v="페이스북/인스타그램"/>
    <x v="1"/>
    <x v="1"/>
    <x v="1"/>
    <m/>
    <m/>
    <m/>
    <n v="416964"/>
    <m/>
  </r>
  <r>
    <x v="330"/>
    <x v="5"/>
    <s v="페이스북/인스타그램"/>
    <x v="1"/>
    <x v="1"/>
    <x v="1"/>
    <m/>
    <m/>
    <m/>
    <n v="30378"/>
    <m/>
  </r>
  <r>
    <x v="330"/>
    <x v="5"/>
    <s v="페이스북/인스타그램"/>
    <x v="1"/>
    <x v="1"/>
    <x v="1"/>
    <m/>
    <m/>
    <m/>
    <n v="297950"/>
    <m/>
  </r>
  <r>
    <x v="330"/>
    <x v="5"/>
    <s v="페이스북/인스타그램"/>
    <x v="1"/>
    <x v="1"/>
    <x v="1"/>
    <m/>
    <m/>
    <m/>
    <n v="150692"/>
    <m/>
  </r>
  <r>
    <x v="330"/>
    <x v="5"/>
    <s v="페이스북/인스타그램"/>
    <x v="1"/>
    <x v="1"/>
    <x v="1"/>
    <m/>
    <m/>
    <m/>
    <n v="100887"/>
    <m/>
  </r>
  <r>
    <x v="330"/>
    <x v="5"/>
    <s v="페이스북/인스타그램"/>
    <x v="1"/>
    <x v="1"/>
    <x v="1"/>
    <m/>
    <m/>
    <m/>
    <n v="219919"/>
    <m/>
  </r>
  <r>
    <x v="330"/>
    <x v="5"/>
    <s v="페이스북/인스타그램"/>
    <x v="1"/>
    <x v="1"/>
    <x v="1"/>
    <m/>
    <m/>
    <m/>
    <n v="50111"/>
    <m/>
  </r>
  <r>
    <x v="330"/>
    <x v="5"/>
    <s v="페이스북/인스타그램"/>
    <x v="1"/>
    <x v="1"/>
    <x v="1"/>
    <m/>
    <m/>
    <m/>
    <n v="50704"/>
    <m/>
  </r>
  <r>
    <x v="330"/>
    <x v="5"/>
    <s v="페이스북/인스타그램"/>
    <x v="1"/>
    <x v="1"/>
    <x v="1"/>
    <m/>
    <m/>
    <m/>
    <n v="200565"/>
    <m/>
  </r>
  <r>
    <x v="330"/>
    <x v="5"/>
    <s v="페이스북/인스타그램"/>
    <x v="1"/>
    <x v="1"/>
    <x v="1"/>
    <m/>
    <m/>
    <m/>
    <n v="30155"/>
    <m/>
  </r>
  <r>
    <x v="330"/>
    <x v="5"/>
    <s v="페이스북/인스타그램"/>
    <x v="1"/>
    <x v="1"/>
    <x v="1"/>
    <m/>
    <m/>
    <m/>
    <n v="70155"/>
    <m/>
  </r>
  <r>
    <x v="330"/>
    <x v="5"/>
    <s v="페이스북/인스타그램"/>
    <x v="1"/>
    <x v="1"/>
    <x v="1"/>
    <m/>
    <m/>
    <m/>
    <n v="148823"/>
    <m/>
  </r>
  <r>
    <x v="330"/>
    <x v="5"/>
    <s v="페이스북/인스타그램"/>
    <x v="1"/>
    <x v="1"/>
    <x v="1"/>
    <m/>
    <m/>
    <m/>
    <n v="30392"/>
    <m/>
  </r>
  <r>
    <x v="330"/>
    <x v="5"/>
    <s v="페이스북/인스타그램"/>
    <x v="1"/>
    <x v="1"/>
    <x v="1"/>
    <m/>
    <m/>
    <m/>
    <n v="150381"/>
    <m/>
  </r>
  <r>
    <x v="330"/>
    <x v="5"/>
    <s v="페이스북/인스타그램"/>
    <x v="1"/>
    <x v="1"/>
    <x v="1"/>
    <m/>
    <m/>
    <m/>
    <n v="70380"/>
    <m/>
  </r>
  <r>
    <x v="330"/>
    <x v="5"/>
    <s v="페이스북/인스타그램"/>
    <x v="1"/>
    <x v="1"/>
    <x v="1"/>
    <m/>
    <m/>
    <m/>
    <n v="30217"/>
    <m/>
  </r>
  <r>
    <x v="328"/>
    <x v="1"/>
    <s v="유튜브 광고"/>
    <x v="1"/>
    <x v="1"/>
    <x v="1"/>
    <m/>
    <m/>
    <m/>
    <n v="18939"/>
    <m/>
  </r>
  <r>
    <x v="328"/>
    <x v="1"/>
    <s v="유튜브 광고"/>
    <x v="1"/>
    <x v="1"/>
    <x v="1"/>
    <m/>
    <m/>
    <m/>
    <n v="174907"/>
    <m/>
  </r>
  <r>
    <x v="328"/>
    <x v="1"/>
    <s v="유튜브 광고"/>
    <x v="1"/>
    <x v="1"/>
    <x v="1"/>
    <m/>
    <m/>
    <m/>
    <n v="396808"/>
    <m/>
  </r>
  <r>
    <x v="328"/>
    <x v="1"/>
    <s v="유튜브 광고"/>
    <x v="1"/>
    <x v="1"/>
    <x v="1"/>
    <m/>
    <m/>
    <m/>
    <n v="30748"/>
    <m/>
  </r>
  <r>
    <x v="328"/>
    <x v="1"/>
    <s v="유튜브 광고"/>
    <x v="1"/>
    <x v="1"/>
    <x v="1"/>
    <m/>
    <m/>
    <m/>
    <n v="10470"/>
    <m/>
  </r>
  <r>
    <x v="328"/>
    <x v="1"/>
    <s v="유튜브 광고"/>
    <x v="1"/>
    <x v="1"/>
    <x v="1"/>
    <m/>
    <m/>
    <m/>
    <n v="8106"/>
    <m/>
  </r>
  <r>
    <x v="328"/>
    <x v="1"/>
    <s v="유튜브 광고"/>
    <x v="1"/>
    <x v="1"/>
    <x v="1"/>
    <m/>
    <m/>
    <m/>
    <n v="51507"/>
    <m/>
  </r>
  <r>
    <x v="328"/>
    <x v="1"/>
    <s v="유튜브 광고"/>
    <x v="1"/>
    <x v="1"/>
    <x v="1"/>
    <m/>
    <m/>
    <m/>
    <n v="402864"/>
    <m/>
  </r>
  <r>
    <x v="328"/>
    <x v="1"/>
    <s v="유튜브 광고"/>
    <x v="1"/>
    <x v="1"/>
    <x v="1"/>
    <m/>
    <m/>
    <m/>
    <n v="403010"/>
    <m/>
  </r>
  <r>
    <x v="328"/>
    <x v="1"/>
    <s v="유튜브 광고"/>
    <x v="1"/>
    <x v="1"/>
    <x v="1"/>
    <m/>
    <m/>
    <m/>
    <n v="302821"/>
    <m/>
  </r>
  <r>
    <x v="328"/>
    <x v="1"/>
    <s v="유튜브 광고"/>
    <x v="1"/>
    <x v="1"/>
    <x v="1"/>
    <m/>
    <m/>
    <m/>
    <n v="303312"/>
    <m/>
  </r>
  <r>
    <x v="329"/>
    <x v="2"/>
    <s v="유튜브 광고"/>
    <x v="1"/>
    <x v="1"/>
    <x v="1"/>
    <m/>
    <m/>
    <m/>
    <n v="9728"/>
    <m/>
  </r>
  <r>
    <x v="329"/>
    <x v="2"/>
    <s v="유튜브 광고"/>
    <x v="1"/>
    <x v="1"/>
    <x v="1"/>
    <m/>
    <m/>
    <m/>
    <n v="114597"/>
    <m/>
  </r>
  <r>
    <x v="329"/>
    <x v="2"/>
    <s v="유튜브 광고"/>
    <x v="1"/>
    <x v="1"/>
    <x v="1"/>
    <m/>
    <m/>
    <m/>
    <n v="427167"/>
    <m/>
  </r>
  <r>
    <x v="329"/>
    <x v="2"/>
    <s v="유튜브 광고"/>
    <x v="1"/>
    <x v="1"/>
    <x v="1"/>
    <m/>
    <m/>
    <m/>
    <n v="103057"/>
    <m/>
  </r>
  <r>
    <x v="329"/>
    <x v="2"/>
    <s v="유튜브 광고"/>
    <x v="1"/>
    <x v="1"/>
    <x v="1"/>
    <m/>
    <m/>
    <m/>
    <n v="17476"/>
    <m/>
  </r>
  <r>
    <x v="329"/>
    <x v="2"/>
    <s v="유튜브 광고"/>
    <x v="1"/>
    <x v="1"/>
    <x v="1"/>
    <m/>
    <m/>
    <m/>
    <n v="10727"/>
    <m/>
  </r>
  <r>
    <x v="329"/>
    <x v="2"/>
    <s v="유튜브 광고"/>
    <x v="1"/>
    <x v="1"/>
    <x v="1"/>
    <m/>
    <m/>
    <m/>
    <n v="49859"/>
    <m/>
  </r>
  <r>
    <x v="329"/>
    <x v="2"/>
    <s v="유튜브 광고"/>
    <x v="1"/>
    <x v="1"/>
    <x v="1"/>
    <m/>
    <m/>
    <m/>
    <n v="389789"/>
    <m/>
  </r>
  <r>
    <x v="329"/>
    <x v="2"/>
    <s v="유튜브 광고"/>
    <x v="1"/>
    <x v="1"/>
    <x v="1"/>
    <m/>
    <m/>
    <m/>
    <n v="390713"/>
    <m/>
  </r>
  <r>
    <x v="329"/>
    <x v="2"/>
    <s v="유튜브 광고"/>
    <x v="1"/>
    <x v="1"/>
    <x v="1"/>
    <m/>
    <m/>
    <m/>
    <n v="293240"/>
    <m/>
  </r>
  <r>
    <x v="329"/>
    <x v="2"/>
    <s v="유튜브 광고"/>
    <x v="1"/>
    <x v="1"/>
    <x v="1"/>
    <m/>
    <m/>
    <m/>
    <n v="293955"/>
    <m/>
  </r>
  <r>
    <x v="330"/>
    <x v="5"/>
    <s v="유튜브 광고"/>
    <x v="1"/>
    <x v="1"/>
    <x v="1"/>
    <m/>
    <m/>
    <m/>
    <n v="19179"/>
    <m/>
  </r>
  <r>
    <x v="330"/>
    <x v="5"/>
    <s v="유튜브 광고"/>
    <x v="1"/>
    <x v="1"/>
    <x v="1"/>
    <m/>
    <m/>
    <m/>
    <n v="126134"/>
    <m/>
  </r>
  <r>
    <x v="330"/>
    <x v="5"/>
    <s v="유튜브 광고"/>
    <x v="1"/>
    <x v="1"/>
    <x v="1"/>
    <m/>
    <m/>
    <m/>
    <n v="434780"/>
    <m/>
  </r>
  <r>
    <x v="330"/>
    <x v="5"/>
    <s v="유튜브 광고"/>
    <x v="1"/>
    <x v="1"/>
    <x v="1"/>
    <m/>
    <m/>
    <m/>
    <n v="200179"/>
    <m/>
  </r>
  <r>
    <x v="330"/>
    <x v="5"/>
    <s v="유튜브 광고"/>
    <x v="1"/>
    <x v="1"/>
    <x v="1"/>
    <m/>
    <m/>
    <m/>
    <n v="23186"/>
    <m/>
  </r>
  <r>
    <x v="330"/>
    <x v="5"/>
    <s v="유튜브 광고"/>
    <x v="1"/>
    <x v="1"/>
    <x v="1"/>
    <m/>
    <m/>
    <m/>
    <n v="5737"/>
    <m/>
  </r>
  <r>
    <x v="330"/>
    <x v="5"/>
    <s v="유튜브 광고"/>
    <x v="1"/>
    <x v="1"/>
    <x v="1"/>
    <m/>
    <m/>
    <m/>
    <n v="49839"/>
    <m/>
  </r>
  <r>
    <x v="330"/>
    <x v="5"/>
    <s v="유튜브 광고"/>
    <x v="1"/>
    <x v="1"/>
    <x v="1"/>
    <m/>
    <m/>
    <m/>
    <n v="391844"/>
    <m/>
  </r>
  <r>
    <x v="330"/>
    <x v="5"/>
    <s v="유튜브 광고"/>
    <x v="1"/>
    <x v="1"/>
    <x v="1"/>
    <m/>
    <m/>
    <m/>
    <n v="390627"/>
    <m/>
  </r>
  <r>
    <x v="330"/>
    <x v="5"/>
    <s v="유튜브 광고"/>
    <x v="1"/>
    <x v="1"/>
    <x v="1"/>
    <m/>
    <m/>
    <m/>
    <n v="293611"/>
    <m/>
  </r>
  <r>
    <x v="330"/>
    <x v="5"/>
    <s v="유튜브 광고"/>
    <x v="1"/>
    <x v="1"/>
    <x v="1"/>
    <m/>
    <m/>
    <m/>
    <n v="294241"/>
    <m/>
  </r>
  <r>
    <x v="330"/>
    <x v="5"/>
    <s v="네이버 쇼핑검색"/>
    <x v="1"/>
    <x v="1"/>
    <x v="1"/>
    <m/>
    <m/>
    <m/>
    <n v="23900"/>
    <m/>
  </r>
  <r>
    <x v="330"/>
    <x v="5"/>
    <s v="네이버 쇼핑검색"/>
    <x v="1"/>
    <x v="1"/>
    <x v="1"/>
    <m/>
    <m/>
    <m/>
    <n v="0"/>
    <m/>
  </r>
  <r>
    <x v="330"/>
    <x v="5"/>
    <s v="네이버 쇼핑검색"/>
    <x v="1"/>
    <x v="1"/>
    <x v="1"/>
    <m/>
    <m/>
    <m/>
    <n v="111350"/>
    <m/>
  </r>
  <r>
    <x v="330"/>
    <x v="5"/>
    <s v="네이버 브랜드검색"/>
    <x v="3"/>
    <x v="1"/>
    <x v="1"/>
    <m/>
    <m/>
    <m/>
    <n v="88000"/>
    <m/>
  </r>
  <r>
    <x v="330"/>
    <x v="5"/>
    <s v="네이버 브랜드검색"/>
    <x v="3"/>
    <x v="1"/>
    <x v="1"/>
    <m/>
    <m/>
    <m/>
    <n v="16700"/>
    <m/>
  </r>
  <r>
    <x v="329"/>
    <x v="2"/>
    <s v="네이버 쇼핑검색"/>
    <x v="1"/>
    <x v="1"/>
    <x v="1"/>
    <m/>
    <m/>
    <m/>
    <n v="18690"/>
    <m/>
  </r>
  <r>
    <x v="329"/>
    <x v="2"/>
    <s v="네이버 쇼핑검색"/>
    <x v="1"/>
    <x v="1"/>
    <x v="1"/>
    <m/>
    <m/>
    <m/>
    <n v="250"/>
    <m/>
  </r>
  <r>
    <x v="329"/>
    <x v="2"/>
    <s v="네이버 쇼핑검색"/>
    <x v="1"/>
    <x v="1"/>
    <x v="1"/>
    <m/>
    <m/>
    <m/>
    <n v="113310"/>
    <m/>
  </r>
  <r>
    <x v="329"/>
    <x v="2"/>
    <s v="네이버 브랜드검색"/>
    <x v="3"/>
    <x v="1"/>
    <x v="1"/>
    <m/>
    <m/>
    <m/>
    <n v="88000"/>
    <m/>
  </r>
  <r>
    <x v="329"/>
    <x v="2"/>
    <s v="네이버 브랜드검색"/>
    <x v="3"/>
    <x v="1"/>
    <x v="1"/>
    <m/>
    <m/>
    <m/>
    <n v="16700"/>
    <m/>
  </r>
  <r>
    <x v="328"/>
    <x v="1"/>
    <s v="네이버 쇼핑검색"/>
    <x v="1"/>
    <x v="1"/>
    <x v="1"/>
    <m/>
    <m/>
    <m/>
    <n v="17760"/>
    <m/>
  </r>
  <r>
    <x v="328"/>
    <x v="1"/>
    <s v="네이버 쇼핑검색"/>
    <x v="1"/>
    <x v="1"/>
    <x v="1"/>
    <m/>
    <m/>
    <m/>
    <n v="250"/>
    <m/>
  </r>
  <r>
    <x v="328"/>
    <x v="1"/>
    <s v="네이버 쇼핑검색"/>
    <x v="1"/>
    <x v="1"/>
    <x v="1"/>
    <m/>
    <m/>
    <m/>
    <n v="118470"/>
    <m/>
  </r>
  <r>
    <x v="328"/>
    <x v="1"/>
    <s v="네이버 브랜드검색"/>
    <x v="3"/>
    <x v="1"/>
    <x v="1"/>
    <m/>
    <m/>
    <m/>
    <n v="88000"/>
    <m/>
  </r>
  <r>
    <x v="328"/>
    <x v="1"/>
    <s v="네이버 브랜드검색"/>
    <x v="3"/>
    <x v="1"/>
    <x v="1"/>
    <m/>
    <m/>
    <m/>
    <n v="16700"/>
    <m/>
  </r>
  <r>
    <x v="328"/>
    <x v="1"/>
    <s v="카카오 배너"/>
    <x v="1"/>
    <x v="1"/>
    <x v="1"/>
    <m/>
    <m/>
    <m/>
    <n v="183410"/>
    <m/>
  </r>
  <r>
    <x v="328"/>
    <x v="1"/>
    <s v="카카오 배너"/>
    <x v="1"/>
    <x v="1"/>
    <x v="1"/>
    <m/>
    <m/>
    <m/>
    <n v="749889.9999999999"/>
    <m/>
  </r>
  <r>
    <x v="329"/>
    <x v="2"/>
    <s v="카카오 배너"/>
    <x v="1"/>
    <x v="1"/>
    <x v="1"/>
    <m/>
    <m/>
    <m/>
    <n v="182160"/>
    <m/>
  </r>
  <r>
    <x v="329"/>
    <x v="2"/>
    <s v="카카오 배너"/>
    <x v="1"/>
    <x v="1"/>
    <x v="1"/>
    <m/>
    <m/>
    <m/>
    <n v="729409.9999999999"/>
    <m/>
  </r>
  <r>
    <x v="330"/>
    <x v="5"/>
    <s v="카카오 배너"/>
    <x v="1"/>
    <x v="1"/>
    <x v="1"/>
    <m/>
    <m/>
    <m/>
    <n v="126230"/>
    <m/>
  </r>
  <r>
    <x v="330"/>
    <x v="5"/>
    <s v="카카오 배너"/>
    <x v="1"/>
    <x v="1"/>
    <x v="1"/>
    <m/>
    <m/>
    <m/>
    <n v="728219.9999999999"/>
    <m/>
  </r>
  <r>
    <x v="328"/>
    <x v="1"/>
    <m/>
    <x v="1"/>
    <x v="4"/>
    <x v="155"/>
    <n v="5"/>
    <s v="스테이포에버"/>
    <s v="210207"/>
    <m/>
    <n v="170000"/>
  </r>
  <r>
    <x v="328"/>
    <x v="1"/>
    <m/>
    <x v="1"/>
    <x v="4"/>
    <x v="157"/>
    <n v="1"/>
    <s v="이그나이트 + 스테이포에버"/>
    <s v="210207"/>
    <m/>
    <n v="58800"/>
  </r>
  <r>
    <x v="328"/>
    <x v="1"/>
    <m/>
    <x v="1"/>
    <x v="3"/>
    <x v="150"/>
    <n v="1"/>
    <s v="이그나이트 + 스테이포에버"/>
    <s v="210207"/>
    <m/>
    <n v="58800"/>
  </r>
  <r>
    <x v="328"/>
    <x v="1"/>
    <m/>
    <x v="1"/>
    <x v="3"/>
    <x v="151"/>
    <n v="1"/>
    <s v="스테이포에버 2set"/>
    <s v="210207"/>
    <m/>
    <n v="58800"/>
  </r>
  <r>
    <x v="328"/>
    <x v="1"/>
    <m/>
    <x v="1"/>
    <x v="3"/>
    <x v="152"/>
    <n v="10"/>
    <s v="스테이포에버"/>
    <s v="210207"/>
    <m/>
    <n v="340000"/>
  </r>
  <r>
    <x v="328"/>
    <x v="1"/>
    <m/>
    <x v="1"/>
    <x v="0"/>
    <x v="134"/>
    <n v="1"/>
    <s v="이그나이트"/>
    <s v="210207"/>
    <m/>
    <n v="34000"/>
  </r>
  <r>
    <x v="328"/>
    <x v="1"/>
    <m/>
    <x v="1"/>
    <x v="0"/>
    <x v="135"/>
    <n v="1"/>
    <s v="스테이포에버"/>
    <s v="210207"/>
    <m/>
    <n v="34000"/>
  </r>
  <r>
    <x v="328"/>
    <x v="1"/>
    <m/>
    <x v="1"/>
    <x v="0"/>
    <x v="136"/>
    <n v="7"/>
    <s v="스테이포에버 2set"/>
    <s v="210207"/>
    <m/>
    <n v="411600"/>
  </r>
  <r>
    <x v="328"/>
    <x v="1"/>
    <m/>
    <x v="1"/>
    <x v="0"/>
    <x v="137"/>
    <n v="9"/>
    <s v="이그나이트 + 스테이포에버"/>
    <s v="210207"/>
    <m/>
    <n v="529200"/>
  </r>
  <r>
    <x v="328"/>
    <x v="1"/>
    <m/>
    <x v="1"/>
    <x v="0"/>
    <x v="144"/>
    <n v="1"/>
    <s v="이그나이트 + 스테이포에버"/>
    <s v="210207"/>
    <m/>
    <n v="58800"/>
  </r>
  <r>
    <x v="328"/>
    <x v="1"/>
    <m/>
    <x v="1"/>
    <x v="0"/>
    <x v="138"/>
    <n v="157"/>
    <s v="스테이포에버"/>
    <s v="210207"/>
    <m/>
    <n v="5338000"/>
  </r>
  <r>
    <x v="328"/>
    <x v="1"/>
    <m/>
    <x v="1"/>
    <x v="0"/>
    <x v="139"/>
    <n v="114"/>
    <s v="스테이포에버 2set"/>
    <s v="210207"/>
    <m/>
    <n v="6703200"/>
  </r>
  <r>
    <x v="328"/>
    <x v="1"/>
    <m/>
    <x v="1"/>
    <x v="0"/>
    <x v="140"/>
    <n v="6"/>
    <s v="이그나이트 + 스테이포에버"/>
    <s v="210207"/>
    <m/>
    <n v="352800"/>
  </r>
  <r>
    <x v="328"/>
    <x v="1"/>
    <m/>
    <x v="0"/>
    <x v="0"/>
    <x v="0"/>
    <n v="3"/>
    <s v="쇼핑백"/>
    <s v="210207"/>
    <m/>
    <n v="6000"/>
  </r>
  <r>
    <x v="328"/>
    <x v="1"/>
    <m/>
    <x v="1"/>
    <x v="0"/>
    <x v="141"/>
    <n v="4"/>
    <s v="이그나이트"/>
    <s v="210207"/>
    <m/>
    <n v="136000"/>
  </r>
  <r>
    <x v="329"/>
    <x v="2"/>
    <m/>
    <x v="1"/>
    <x v="3"/>
    <x v="153"/>
    <n v="1"/>
    <s v="스테이포에버"/>
    <s v="210207"/>
    <m/>
    <n v="34000"/>
  </r>
  <r>
    <x v="329"/>
    <x v="2"/>
    <m/>
    <x v="1"/>
    <x v="3"/>
    <x v="150"/>
    <n v="2"/>
    <s v="이그나이트 + 스테이포에버"/>
    <s v="210207"/>
    <m/>
    <n v="117600"/>
  </r>
  <r>
    <x v="329"/>
    <x v="2"/>
    <m/>
    <x v="1"/>
    <x v="3"/>
    <x v="151"/>
    <n v="1"/>
    <s v="스테이포에버 2set"/>
    <s v="210207"/>
    <m/>
    <n v="58800"/>
  </r>
  <r>
    <x v="329"/>
    <x v="2"/>
    <m/>
    <x v="1"/>
    <x v="3"/>
    <x v="152"/>
    <n v="13"/>
    <s v="스테이포에버"/>
    <s v="210207"/>
    <m/>
    <n v="442000"/>
  </r>
  <r>
    <x v="329"/>
    <x v="2"/>
    <m/>
    <x v="1"/>
    <x v="0"/>
    <x v="134"/>
    <n v="1"/>
    <s v="이그나이트"/>
    <s v="210207"/>
    <m/>
    <n v="34000"/>
  </r>
  <r>
    <x v="329"/>
    <x v="2"/>
    <m/>
    <x v="1"/>
    <x v="0"/>
    <x v="145"/>
    <n v="2"/>
    <s v="이그나이트 2set"/>
    <s v="210207"/>
    <m/>
    <n v="117600"/>
  </r>
  <r>
    <x v="329"/>
    <x v="2"/>
    <m/>
    <x v="1"/>
    <x v="0"/>
    <x v="135"/>
    <n v="5"/>
    <s v="스테이포에버"/>
    <s v="210207"/>
    <m/>
    <n v="170000"/>
  </r>
  <r>
    <x v="329"/>
    <x v="2"/>
    <m/>
    <x v="1"/>
    <x v="0"/>
    <x v="136"/>
    <n v="13"/>
    <s v="스테이포에버 2set"/>
    <s v="210207"/>
    <m/>
    <n v="764400"/>
  </r>
  <r>
    <x v="329"/>
    <x v="2"/>
    <m/>
    <x v="1"/>
    <x v="0"/>
    <x v="137"/>
    <n v="12"/>
    <s v="이그나이트 + 스테이포에버"/>
    <s v="210207"/>
    <m/>
    <n v="705600"/>
  </r>
  <r>
    <x v="329"/>
    <x v="2"/>
    <m/>
    <x v="1"/>
    <x v="0"/>
    <x v="138"/>
    <n v="153"/>
    <s v="스테이포에버"/>
    <s v="210207"/>
    <m/>
    <n v="5202000"/>
  </r>
  <r>
    <x v="329"/>
    <x v="2"/>
    <m/>
    <x v="1"/>
    <x v="0"/>
    <x v="139"/>
    <n v="142"/>
    <s v="스테이포에버 2set"/>
    <s v="210207"/>
    <m/>
    <n v="8349600"/>
  </r>
  <r>
    <x v="329"/>
    <x v="2"/>
    <m/>
    <x v="1"/>
    <x v="0"/>
    <x v="140"/>
    <n v="18"/>
    <s v="이그나이트 + 스테이포에버"/>
    <s v="210207"/>
    <m/>
    <n v="1058400"/>
  </r>
  <r>
    <x v="329"/>
    <x v="2"/>
    <m/>
    <x v="0"/>
    <x v="0"/>
    <x v="0"/>
    <n v="5"/>
    <s v="쇼핑백"/>
    <s v="210207"/>
    <m/>
    <n v="10000"/>
  </r>
  <r>
    <x v="329"/>
    <x v="2"/>
    <m/>
    <x v="1"/>
    <x v="0"/>
    <x v="141"/>
    <n v="3"/>
    <s v="이그나이트"/>
    <s v="210207"/>
    <m/>
    <n v="102000"/>
  </r>
  <r>
    <x v="329"/>
    <x v="2"/>
    <m/>
    <x v="1"/>
    <x v="0"/>
    <x v="142"/>
    <n v="1"/>
    <s v="이그나이트 2set"/>
    <s v="210207"/>
    <m/>
    <n v="58800"/>
  </r>
  <r>
    <x v="330"/>
    <x v="5"/>
    <m/>
    <x v="1"/>
    <x v="3"/>
    <x v="150"/>
    <n v="2"/>
    <s v="이그나이트 + 스테이포에버"/>
    <s v="210207"/>
    <m/>
    <n v="117600"/>
  </r>
  <r>
    <x v="330"/>
    <x v="5"/>
    <m/>
    <x v="1"/>
    <x v="3"/>
    <x v="151"/>
    <n v="1"/>
    <s v="스테이포에버 2set"/>
    <s v="210207"/>
    <m/>
    <n v="58800"/>
  </r>
  <r>
    <x v="330"/>
    <x v="5"/>
    <m/>
    <x v="1"/>
    <x v="3"/>
    <x v="152"/>
    <n v="20"/>
    <s v="스테이포에버"/>
    <s v="210207"/>
    <m/>
    <n v="680000"/>
  </r>
  <r>
    <x v="330"/>
    <x v="5"/>
    <m/>
    <x v="0"/>
    <x v="0"/>
    <x v="148"/>
    <n v="1"/>
    <s v="쇼핑백"/>
    <s v="210207"/>
    <m/>
    <n v="2000"/>
  </r>
  <r>
    <x v="330"/>
    <x v="5"/>
    <m/>
    <x v="1"/>
    <x v="0"/>
    <x v="135"/>
    <n v="6"/>
    <s v="스테이포에버"/>
    <s v="210207"/>
    <m/>
    <n v="204000"/>
  </r>
  <r>
    <x v="330"/>
    <x v="5"/>
    <m/>
    <x v="1"/>
    <x v="0"/>
    <x v="136"/>
    <n v="10"/>
    <s v="스테이포에버 2set"/>
    <s v="210207"/>
    <m/>
    <n v="588000"/>
  </r>
  <r>
    <x v="330"/>
    <x v="5"/>
    <m/>
    <x v="1"/>
    <x v="0"/>
    <x v="137"/>
    <n v="17"/>
    <s v="이그나이트 + 스테이포에버"/>
    <s v="210207"/>
    <m/>
    <n v="999600"/>
  </r>
  <r>
    <x v="330"/>
    <x v="5"/>
    <m/>
    <x v="1"/>
    <x v="0"/>
    <x v="144"/>
    <n v="6"/>
    <s v="이그나이트 + 스테이포에버"/>
    <s v="210207"/>
    <m/>
    <n v="352800"/>
  </r>
  <r>
    <x v="330"/>
    <x v="5"/>
    <m/>
    <x v="1"/>
    <x v="0"/>
    <x v="138"/>
    <n v="200"/>
    <s v="스테이포에버"/>
    <s v="210207"/>
    <m/>
    <n v="6800000"/>
  </r>
  <r>
    <x v="330"/>
    <x v="5"/>
    <m/>
    <x v="1"/>
    <x v="0"/>
    <x v="139"/>
    <n v="148"/>
    <s v="스테이포에버 2set"/>
    <s v="210207"/>
    <m/>
    <n v="8702400"/>
  </r>
  <r>
    <x v="330"/>
    <x v="5"/>
    <m/>
    <x v="1"/>
    <x v="0"/>
    <x v="140"/>
    <n v="10"/>
    <s v="이그나이트 + 스테이포에버"/>
    <s v="210207"/>
    <m/>
    <n v="588000"/>
  </r>
  <r>
    <x v="330"/>
    <x v="5"/>
    <m/>
    <x v="0"/>
    <x v="0"/>
    <x v="0"/>
    <n v="9"/>
    <s v="쇼핑백"/>
    <s v="210207"/>
    <m/>
    <n v="18000"/>
  </r>
  <r>
    <x v="330"/>
    <x v="5"/>
    <m/>
    <x v="1"/>
    <x v="0"/>
    <x v="141"/>
    <n v="1"/>
    <s v="이그나이트"/>
    <s v="210207"/>
    <m/>
    <n v="34000"/>
  </r>
  <r>
    <x v="328"/>
    <x v="1"/>
    <s v="네이버 배너"/>
    <x v="1"/>
    <x v="1"/>
    <x v="1"/>
    <m/>
    <m/>
    <m/>
    <n v="874659.0909090908"/>
    <m/>
  </r>
  <r>
    <x v="329"/>
    <x v="2"/>
    <s v="네이버 배너"/>
    <x v="1"/>
    <x v="1"/>
    <x v="1"/>
    <m/>
    <m/>
    <m/>
    <n v="729019.9999999999"/>
    <m/>
  </r>
  <r>
    <x v="330"/>
    <x v="5"/>
    <s v="네이버 배너"/>
    <x v="1"/>
    <x v="1"/>
    <x v="1"/>
    <m/>
    <m/>
    <m/>
    <n v="846559.0909090908"/>
    <m/>
  </r>
  <r>
    <x v="328"/>
    <x v="1"/>
    <s v="네이버 배너(대행사)"/>
    <x v="1"/>
    <x v="1"/>
    <x v="1"/>
    <m/>
    <m/>
    <m/>
    <n v="374229.9999999999"/>
    <m/>
  </r>
  <r>
    <x v="329"/>
    <x v="2"/>
    <s v="네이버 배너(대행사)"/>
    <x v="1"/>
    <x v="1"/>
    <x v="1"/>
    <m/>
    <m/>
    <m/>
    <n v="504198.1818181818"/>
    <m/>
  </r>
  <r>
    <x v="330"/>
    <x v="5"/>
    <s v="네이버 배너(대행사)"/>
    <x v="1"/>
    <x v="1"/>
    <x v="1"/>
    <m/>
    <m/>
    <m/>
    <n v="514199.0909090909"/>
    <m/>
  </r>
  <r>
    <x v="328"/>
    <x v="1"/>
    <m/>
    <x v="1"/>
    <x v="5"/>
    <x v="167"/>
    <n v="86"/>
    <s v="이그나이트"/>
    <s v="210207"/>
    <m/>
    <n v="1447380"/>
  </r>
  <r>
    <x v="328"/>
    <x v="1"/>
    <m/>
    <x v="1"/>
    <x v="5"/>
    <x v="168"/>
    <n v="4"/>
    <s v="스테이포에버"/>
    <s v="210207"/>
    <m/>
    <n v="67320"/>
  </r>
  <r>
    <x v="331"/>
    <x v="6"/>
    <s v="페이스북/인스타그램"/>
    <x v="1"/>
    <x v="1"/>
    <x v="1"/>
    <m/>
    <m/>
    <m/>
    <n v="19235"/>
    <m/>
  </r>
  <r>
    <x v="331"/>
    <x v="6"/>
    <s v="페이스북/인스타그램"/>
    <x v="1"/>
    <x v="1"/>
    <x v="1"/>
    <m/>
    <m/>
    <m/>
    <n v="20253"/>
    <m/>
  </r>
  <r>
    <x v="331"/>
    <x v="6"/>
    <s v="페이스북/인스타그램"/>
    <x v="1"/>
    <x v="1"/>
    <x v="1"/>
    <m/>
    <m/>
    <m/>
    <n v="91918"/>
    <m/>
  </r>
  <r>
    <x v="331"/>
    <x v="6"/>
    <s v="페이스북/인스타그램"/>
    <x v="1"/>
    <x v="1"/>
    <x v="1"/>
    <m/>
    <m/>
    <m/>
    <n v="78288"/>
    <m/>
  </r>
  <r>
    <x v="331"/>
    <x v="6"/>
    <s v="페이스북/인스타그램"/>
    <x v="1"/>
    <x v="1"/>
    <x v="1"/>
    <m/>
    <m/>
    <m/>
    <n v="30110"/>
    <m/>
  </r>
  <r>
    <x v="331"/>
    <x v="6"/>
    <s v="페이스북/인스타그램"/>
    <x v="1"/>
    <x v="1"/>
    <x v="1"/>
    <m/>
    <m/>
    <m/>
    <n v="30640"/>
    <m/>
  </r>
  <r>
    <x v="331"/>
    <x v="6"/>
    <s v="페이스북/인스타그램"/>
    <x v="1"/>
    <x v="1"/>
    <x v="1"/>
    <m/>
    <m/>
    <m/>
    <n v="121463"/>
    <m/>
  </r>
  <r>
    <x v="331"/>
    <x v="6"/>
    <s v="페이스북/인스타그램"/>
    <x v="1"/>
    <x v="1"/>
    <x v="1"/>
    <m/>
    <m/>
    <m/>
    <n v="50394"/>
    <m/>
  </r>
  <r>
    <x v="331"/>
    <x v="6"/>
    <s v="페이스북/인스타그램"/>
    <x v="1"/>
    <x v="1"/>
    <x v="1"/>
    <m/>
    <m/>
    <m/>
    <n v="30224"/>
    <m/>
  </r>
  <r>
    <x v="331"/>
    <x v="6"/>
    <s v="페이스북/인스타그램"/>
    <x v="1"/>
    <x v="1"/>
    <x v="1"/>
    <m/>
    <m/>
    <m/>
    <n v="546833"/>
    <m/>
  </r>
  <r>
    <x v="331"/>
    <x v="6"/>
    <s v="페이스북/인스타그램"/>
    <x v="1"/>
    <x v="1"/>
    <x v="1"/>
    <m/>
    <m/>
    <m/>
    <n v="9502"/>
    <m/>
  </r>
  <r>
    <x v="331"/>
    <x v="6"/>
    <s v="페이스북/인스타그램"/>
    <x v="1"/>
    <x v="1"/>
    <x v="1"/>
    <m/>
    <m/>
    <m/>
    <n v="301080"/>
    <m/>
  </r>
  <r>
    <x v="331"/>
    <x v="6"/>
    <s v="페이스북/인스타그램"/>
    <x v="1"/>
    <x v="1"/>
    <x v="1"/>
    <m/>
    <m/>
    <m/>
    <n v="150406"/>
    <m/>
  </r>
  <r>
    <x v="331"/>
    <x v="6"/>
    <s v="페이스북/인스타그램"/>
    <x v="1"/>
    <x v="1"/>
    <x v="1"/>
    <m/>
    <m/>
    <m/>
    <n v="77711"/>
    <m/>
  </r>
  <r>
    <x v="331"/>
    <x v="6"/>
    <s v="페이스북/인스타그램"/>
    <x v="1"/>
    <x v="1"/>
    <x v="1"/>
    <m/>
    <m/>
    <m/>
    <n v="205699"/>
    <m/>
  </r>
  <r>
    <x v="331"/>
    <x v="6"/>
    <s v="페이스북/인스타그램"/>
    <x v="1"/>
    <x v="1"/>
    <x v="1"/>
    <m/>
    <m/>
    <m/>
    <n v="33847"/>
    <m/>
  </r>
  <r>
    <x v="331"/>
    <x v="6"/>
    <s v="페이스북/인스타그램"/>
    <x v="1"/>
    <x v="1"/>
    <x v="1"/>
    <m/>
    <m/>
    <m/>
    <n v="50610"/>
    <m/>
  </r>
  <r>
    <x v="331"/>
    <x v="6"/>
    <s v="페이스북/인스타그램"/>
    <x v="1"/>
    <x v="1"/>
    <x v="1"/>
    <m/>
    <m/>
    <m/>
    <n v="201012"/>
    <m/>
  </r>
  <r>
    <x v="331"/>
    <x v="6"/>
    <s v="페이스북/인스타그램"/>
    <x v="1"/>
    <x v="1"/>
    <x v="1"/>
    <m/>
    <m/>
    <m/>
    <n v="40832"/>
    <m/>
  </r>
  <r>
    <x v="331"/>
    <x v="6"/>
    <s v="페이스북/인스타그램"/>
    <x v="1"/>
    <x v="1"/>
    <x v="1"/>
    <m/>
    <m/>
    <m/>
    <n v="85288"/>
    <m/>
  </r>
  <r>
    <x v="331"/>
    <x v="6"/>
    <s v="페이스북/인스타그램"/>
    <x v="1"/>
    <x v="1"/>
    <x v="1"/>
    <m/>
    <m/>
    <m/>
    <n v="151815"/>
    <m/>
  </r>
  <r>
    <x v="331"/>
    <x v="6"/>
    <s v="페이스북/인스타그램"/>
    <x v="1"/>
    <x v="1"/>
    <x v="1"/>
    <m/>
    <m/>
    <m/>
    <n v="30174"/>
    <m/>
  </r>
  <r>
    <x v="331"/>
    <x v="6"/>
    <s v="페이스북/인스타그램"/>
    <x v="1"/>
    <x v="1"/>
    <x v="1"/>
    <m/>
    <m/>
    <m/>
    <n v="150601"/>
    <m/>
  </r>
  <r>
    <x v="331"/>
    <x v="6"/>
    <s v="페이스북/인스타그램"/>
    <x v="1"/>
    <x v="1"/>
    <x v="1"/>
    <m/>
    <m/>
    <m/>
    <n v="84518"/>
    <m/>
  </r>
  <r>
    <x v="331"/>
    <x v="6"/>
    <s v="페이스북/인스타그램"/>
    <x v="1"/>
    <x v="1"/>
    <x v="1"/>
    <m/>
    <m/>
    <m/>
    <n v="30270"/>
    <m/>
  </r>
  <r>
    <x v="331"/>
    <x v="6"/>
    <s v="유튜브 광고"/>
    <x v="1"/>
    <x v="1"/>
    <x v="1"/>
    <m/>
    <m/>
    <m/>
    <n v="29207"/>
    <m/>
  </r>
  <r>
    <x v="331"/>
    <x v="6"/>
    <s v="유튜브 광고"/>
    <x v="1"/>
    <x v="1"/>
    <x v="1"/>
    <m/>
    <m/>
    <m/>
    <n v="69732"/>
    <m/>
  </r>
  <r>
    <x v="331"/>
    <x v="6"/>
    <s v="유튜브 광고"/>
    <x v="1"/>
    <x v="1"/>
    <x v="1"/>
    <m/>
    <m/>
    <m/>
    <n v="500610"/>
    <m/>
  </r>
  <r>
    <x v="331"/>
    <x v="6"/>
    <s v="유튜브 광고"/>
    <x v="1"/>
    <x v="1"/>
    <x v="1"/>
    <m/>
    <m/>
    <m/>
    <n v="125092"/>
    <m/>
  </r>
  <r>
    <x v="331"/>
    <x v="6"/>
    <s v="유튜브 광고"/>
    <x v="1"/>
    <x v="1"/>
    <x v="1"/>
    <m/>
    <m/>
    <m/>
    <n v="8404"/>
    <m/>
  </r>
  <r>
    <x v="331"/>
    <x v="6"/>
    <s v="유튜브 광고"/>
    <x v="1"/>
    <x v="1"/>
    <x v="1"/>
    <m/>
    <m/>
    <m/>
    <n v="555"/>
    <m/>
  </r>
  <r>
    <x v="331"/>
    <x v="6"/>
    <s v="유튜브 광고"/>
    <x v="1"/>
    <x v="1"/>
    <x v="1"/>
    <m/>
    <m/>
    <m/>
    <n v="47293"/>
    <m/>
  </r>
  <r>
    <x v="331"/>
    <x v="6"/>
    <s v="유튜브 광고"/>
    <x v="1"/>
    <x v="1"/>
    <x v="1"/>
    <m/>
    <m/>
    <m/>
    <n v="406367"/>
    <m/>
  </r>
  <r>
    <x v="331"/>
    <x v="6"/>
    <s v="유튜브 광고"/>
    <x v="1"/>
    <x v="1"/>
    <x v="1"/>
    <m/>
    <m/>
    <m/>
    <n v="406135"/>
    <m/>
  </r>
  <r>
    <x v="331"/>
    <x v="6"/>
    <s v="유튜브 광고"/>
    <x v="1"/>
    <x v="1"/>
    <x v="1"/>
    <m/>
    <m/>
    <m/>
    <n v="304424"/>
    <m/>
  </r>
  <r>
    <x v="331"/>
    <x v="6"/>
    <s v="유튜브 광고"/>
    <x v="1"/>
    <x v="1"/>
    <x v="1"/>
    <m/>
    <m/>
    <m/>
    <n v="305909"/>
    <m/>
  </r>
  <r>
    <x v="331"/>
    <x v="6"/>
    <s v="네이버 쇼핑검색"/>
    <x v="1"/>
    <x v="1"/>
    <x v="1"/>
    <m/>
    <m/>
    <m/>
    <n v="25320"/>
    <m/>
  </r>
  <r>
    <x v="331"/>
    <x v="6"/>
    <s v="네이버 쇼핑검색"/>
    <x v="1"/>
    <x v="1"/>
    <x v="1"/>
    <m/>
    <m/>
    <m/>
    <n v="0"/>
    <m/>
  </r>
  <r>
    <x v="331"/>
    <x v="6"/>
    <s v="네이버 쇼핑검색"/>
    <x v="1"/>
    <x v="1"/>
    <x v="1"/>
    <m/>
    <m/>
    <m/>
    <n v="94759.99999999999"/>
    <m/>
  </r>
  <r>
    <x v="331"/>
    <x v="6"/>
    <s v="네이버 브랜드검색"/>
    <x v="3"/>
    <x v="1"/>
    <x v="1"/>
    <m/>
    <m/>
    <m/>
    <n v="88000"/>
    <m/>
  </r>
  <r>
    <x v="331"/>
    <x v="6"/>
    <s v="네이버 브랜드검색"/>
    <x v="3"/>
    <x v="1"/>
    <x v="1"/>
    <m/>
    <m/>
    <m/>
    <n v="16700"/>
    <m/>
  </r>
  <r>
    <x v="331"/>
    <x v="6"/>
    <s v="카카오 배너"/>
    <x v="1"/>
    <x v="1"/>
    <x v="1"/>
    <m/>
    <m/>
    <m/>
    <n v="91349.99999999999"/>
    <m/>
  </r>
  <r>
    <x v="331"/>
    <x v="6"/>
    <s v="카카오 배너"/>
    <x v="1"/>
    <x v="1"/>
    <x v="1"/>
    <m/>
    <m/>
    <m/>
    <n v="661150"/>
    <m/>
  </r>
  <r>
    <x v="331"/>
    <x v="6"/>
    <m/>
    <x v="1"/>
    <x v="4"/>
    <x v="155"/>
    <n v="23"/>
    <s v="스테이포에버"/>
    <s v="210207"/>
    <m/>
    <n v="782000"/>
  </r>
  <r>
    <x v="331"/>
    <x v="6"/>
    <m/>
    <x v="1"/>
    <x v="4"/>
    <x v="157"/>
    <n v="1"/>
    <s v="이그나이트 + 스테이포에버"/>
    <s v="210207"/>
    <m/>
    <n v="58800"/>
  </r>
  <r>
    <x v="331"/>
    <x v="6"/>
    <m/>
    <x v="1"/>
    <x v="3"/>
    <x v="150"/>
    <n v="2"/>
    <s v="이그나이트 + 스테이포에버"/>
    <s v="210207"/>
    <m/>
    <n v="117600"/>
  </r>
  <r>
    <x v="331"/>
    <x v="6"/>
    <m/>
    <x v="1"/>
    <x v="3"/>
    <x v="159"/>
    <n v="1"/>
    <s v="이그나이트 2set"/>
    <s v="210207"/>
    <m/>
    <n v="58800"/>
  </r>
  <r>
    <x v="331"/>
    <x v="6"/>
    <m/>
    <x v="1"/>
    <x v="3"/>
    <x v="152"/>
    <n v="9"/>
    <s v="스테이포에버"/>
    <s v="210207"/>
    <m/>
    <n v="306000"/>
  </r>
  <r>
    <x v="331"/>
    <x v="6"/>
    <m/>
    <x v="1"/>
    <x v="0"/>
    <x v="135"/>
    <n v="4"/>
    <s v="스테이포에버"/>
    <s v="210207"/>
    <m/>
    <n v="136000"/>
  </r>
  <r>
    <x v="331"/>
    <x v="6"/>
    <m/>
    <x v="1"/>
    <x v="0"/>
    <x v="136"/>
    <n v="11"/>
    <s v="스테이포에버 2set"/>
    <s v="210207"/>
    <m/>
    <n v="646800"/>
  </r>
  <r>
    <x v="331"/>
    <x v="6"/>
    <m/>
    <x v="1"/>
    <x v="0"/>
    <x v="137"/>
    <n v="12"/>
    <s v="이그나이트 + 스테이포에버"/>
    <s v="210207"/>
    <m/>
    <n v="705600"/>
  </r>
  <r>
    <x v="331"/>
    <x v="6"/>
    <m/>
    <x v="1"/>
    <x v="0"/>
    <x v="144"/>
    <n v="2"/>
    <s v="이그나이트 + 스테이포에버"/>
    <s v="210207"/>
    <m/>
    <n v="117600"/>
  </r>
  <r>
    <x v="331"/>
    <x v="6"/>
    <m/>
    <x v="1"/>
    <x v="0"/>
    <x v="138"/>
    <n v="159"/>
    <s v="스테이포에버"/>
    <s v="210207"/>
    <m/>
    <n v="5406000"/>
  </r>
  <r>
    <x v="331"/>
    <x v="6"/>
    <m/>
    <x v="1"/>
    <x v="0"/>
    <x v="139"/>
    <n v="117"/>
    <s v="스테이포에버 2set"/>
    <s v="210207"/>
    <m/>
    <n v="6879600"/>
  </r>
  <r>
    <x v="331"/>
    <x v="6"/>
    <m/>
    <x v="1"/>
    <x v="0"/>
    <x v="140"/>
    <n v="13"/>
    <s v="이그나이트 + 스테이포에버"/>
    <s v="210207"/>
    <m/>
    <n v="764400"/>
  </r>
  <r>
    <x v="331"/>
    <x v="6"/>
    <m/>
    <x v="0"/>
    <x v="0"/>
    <x v="0"/>
    <n v="6"/>
    <s v="쇼핑백"/>
    <s v="210207"/>
    <m/>
    <n v="12000"/>
  </r>
  <r>
    <x v="331"/>
    <x v="6"/>
    <m/>
    <x v="1"/>
    <x v="0"/>
    <x v="141"/>
    <n v="4"/>
    <s v="이그나이트"/>
    <s v="210207"/>
    <m/>
    <n v="136000"/>
  </r>
  <r>
    <x v="331"/>
    <x v="6"/>
    <m/>
    <x v="1"/>
    <x v="0"/>
    <x v="142"/>
    <n v="1"/>
    <s v="이그나이트 2set"/>
    <s v="210207"/>
    <m/>
    <n v="58800"/>
  </r>
  <r>
    <x v="331"/>
    <x v="6"/>
    <s v="네이버 배너"/>
    <x v="1"/>
    <x v="1"/>
    <x v="1"/>
    <m/>
    <m/>
    <m/>
    <n v="898135.4545454545"/>
    <m/>
  </r>
  <r>
    <x v="331"/>
    <x v="6"/>
    <s v="네이버 배너(대행사)"/>
    <x v="1"/>
    <x v="1"/>
    <x v="1"/>
    <m/>
    <m/>
    <m/>
    <n v="370219.9999999999"/>
    <m/>
  </r>
  <r>
    <x v="331"/>
    <x v="6"/>
    <m/>
    <x v="1"/>
    <x v="5"/>
    <x v="167"/>
    <n v="119"/>
    <s v="이그나이트"/>
    <s v="210207"/>
    <m/>
    <n v="2002770"/>
  </r>
  <r>
    <x v="331"/>
    <x v="6"/>
    <m/>
    <x v="1"/>
    <x v="5"/>
    <x v="168"/>
    <n v="4"/>
    <s v="스테이포에버"/>
    <s v="210207"/>
    <m/>
    <n v="67320"/>
  </r>
  <r>
    <x v="332"/>
    <x v="0"/>
    <s v="페이스북/인스타그램"/>
    <x v="1"/>
    <x v="1"/>
    <x v="1"/>
    <m/>
    <m/>
    <m/>
    <n v="61982"/>
    <m/>
  </r>
  <r>
    <x v="332"/>
    <x v="0"/>
    <s v="페이스북/인스타그램"/>
    <x v="1"/>
    <x v="1"/>
    <x v="1"/>
    <m/>
    <m/>
    <m/>
    <n v="19590"/>
    <m/>
  </r>
  <r>
    <x v="332"/>
    <x v="0"/>
    <s v="페이스북/인스타그램"/>
    <x v="1"/>
    <x v="1"/>
    <x v="1"/>
    <m/>
    <m/>
    <m/>
    <n v="123326"/>
    <m/>
  </r>
  <r>
    <x v="332"/>
    <x v="0"/>
    <s v="페이스북/인스타그램"/>
    <x v="1"/>
    <x v="1"/>
    <x v="1"/>
    <m/>
    <m/>
    <m/>
    <n v="88517"/>
    <m/>
  </r>
  <r>
    <x v="332"/>
    <x v="0"/>
    <s v="페이스북/인스타그램"/>
    <x v="1"/>
    <x v="1"/>
    <x v="1"/>
    <m/>
    <m/>
    <m/>
    <n v="28614"/>
    <m/>
  </r>
  <r>
    <x v="332"/>
    <x v="0"/>
    <s v="페이스북/인스타그램"/>
    <x v="1"/>
    <x v="1"/>
    <x v="1"/>
    <m/>
    <m/>
    <m/>
    <n v="29872"/>
    <m/>
  </r>
  <r>
    <x v="332"/>
    <x v="0"/>
    <s v="페이스북/인스타그램"/>
    <x v="1"/>
    <x v="1"/>
    <x v="1"/>
    <m/>
    <m/>
    <m/>
    <n v="136884"/>
    <m/>
  </r>
  <r>
    <x v="332"/>
    <x v="0"/>
    <s v="페이스북/인스타그램"/>
    <x v="1"/>
    <x v="1"/>
    <x v="1"/>
    <m/>
    <m/>
    <m/>
    <n v="48742"/>
    <m/>
  </r>
  <r>
    <x v="332"/>
    <x v="0"/>
    <s v="페이스북/인스타그램"/>
    <x v="1"/>
    <x v="1"/>
    <x v="1"/>
    <m/>
    <m/>
    <m/>
    <n v="28992"/>
    <m/>
  </r>
  <r>
    <x v="332"/>
    <x v="0"/>
    <s v="페이스북/인스타그램"/>
    <x v="1"/>
    <x v="1"/>
    <x v="1"/>
    <m/>
    <m/>
    <m/>
    <n v="616364"/>
    <m/>
  </r>
  <r>
    <x v="332"/>
    <x v="0"/>
    <s v="페이스북/인스타그램"/>
    <x v="1"/>
    <x v="1"/>
    <x v="1"/>
    <m/>
    <m/>
    <m/>
    <n v="261093"/>
    <m/>
  </r>
  <r>
    <x v="332"/>
    <x v="0"/>
    <s v="페이스북/인스타그램"/>
    <x v="1"/>
    <x v="1"/>
    <x v="1"/>
    <m/>
    <m/>
    <m/>
    <n v="117630"/>
    <m/>
  </r>
  <r>
    <x v="332"/>
    <x v="0"/>
    <s v="페이스북/인스타그램"/>
    <x v="1"/>
    <x v="1"/>
    <x v="1"/>
    <m/>
    <m/>
    <m/>
    <n v="48920"/>
    <m/>
  </r>
  <r>
    <x v="332"/>
    <x v="0"/>
    <s v="페이스북/인스타그램"/>
    <x v="1"/>
    <x v="1"/>
    <x v="1"/>
    <m/>
    <m/>
    <m/>
    <n v="170274"/>
    <m/>
  </r>
  <r>
    <x v="332"/>
    <x v="0"/>
    <s v="페이스북/인스타그램"/>
    <x v="1"/>
    <x v="1"/>
    <x v="1"/>
    <m/>
    <m/>
    <m/>
    <n v="29165"/>
    <m/>
  </r>
  <r>
    <x v="332"/>
    <x v="0"/>
    <s v="페이스북/인스타그램"/>
    <x v="1"/>
    <x v="1"/>
    <x v="1"/>
    <m/>
    <m/>
    <m/>
    <n v="48630"/>
    <m/>
  </r>
  <r>
    <x v="332"/>
    <x v="0"/>
    <s v="페이스북/인스타그램"/>
    <x v="1"/>
    <x v="1"/>
    <x v="1"/>
    <m/>
    <m/>
    <m/>
    <n v="196173"/>
    <m/>
  </r>
  <r>
    <x v="332"/>
    <x v="0"/>
    <s v="페이스북/인스타그램"/>
    <x v="1"/>
    <x v="1"/>
    <x v="1"/>
    <m/>
    <m/>
    <m/>
    <n v="47776"/>
    <m/>
  </r>
  <r>
    <x v="332"/>
    <x v="0"/>
    <s v="페이스북/인스타그램"/>
    <x v="1"/>
    <x v="1"/>
    <x v="1"/>
    <m/>
    <m/>
    <m/>
    <n v="96757"/>
    <m/>
  </r>
  <r>
    <x v="332"/>
    <x v="0"/>
    <s v="페이스북/인스타그램"/>
    <x v="1"/>
    <x v="1"/>
    <x v="1"/>
    <m/>
    <m/>
    <m/>
    <n v="146610"/>
    <m/>
  </r>
  <r>
    <x v="332"/>
    <x v="0"/>
    <s v="페이스북/인스타그램"/>
    <x v="1"/>
    <x v="1"/>
    <x v="1"/>
    <m/>
    <m/>
    <m/>
    <n v="29293"/>
    <m/>
  </r>
  <r>
    <x v="332"/>
    <x v="0"/>
    <s v="페이스북/인스타그램"/>
    <x v="1"/>
    <x v="1"/>
    <x v="1"/>
    <m/>
    <m/>
    <m/>
    <n v="149800"/>
    <m/>
  </r>
  <r>
    <x v="332"/>
    <x v="0"/>
    <s v="페이스북/인스타그램"/>
    <x v="1"/>
    <x v="1"/>
    <x v="1"/>
    <m/>
    <m/>
    <m/>
    <n v="96266"/>
    <m/>
  </r>
  <r>
    <x v="332"/>
    <x v="0"/>
    <s v="페이스북/인스타그램"/>
    <x v="1"/>
    <x v="1"/>
    <x v="1"/>
    <m/>
    <m/>
    <m/>
    <n v="29784"/>
    <m/>
  </r>
  <r>
    <x v="332"/>
    <x v="0"/>
    <s v="유튜브 광고"/>
    <x v="1"/>
    <x v="1"/>
    <x v="1"/>
    <m/>
    <m/>
    <m/>
    <n v="29205"/>
    <m/>
  </r>
  <r>
    <x v="332"/>
    <x v="0"/>
    <s v="유튜브 광고"/>
    <x v="1"/>
    <x v="1"/>
    <x v="1"/>
    <m/>
    <m/>
    <m/>
    <n v="115855"/>
    <m/>
  </r>
  <r>
    <x v="332"/>
    <x v="0"/>
    <s v="유튜브 광고"/>
    <x v="1"/>
    <x v="1"/>
    <x v="1"/>
    <m/>
    <m/>
    <m/>
    <n v="457195"/>
    <m/>
  </r>
  <r>
    <x v="332"/>
    <x v="0"/>
    <s v="유튜브 광고"/>
    <x v="1"/>
    <x v="1"/>
    <x v="1"/>
    <m/>
    <m/>
    <m/>
    <n v="118331"/>
    <m/>
  </r>
  <r>
    <x v="332"/>
    <x v="0"/>
    <s v="유튜브 광고"/>
    <x v="1"/>
    <x v="1"/>
    <x v="1"/>
    <m/>
    <m/>
    <m/>
    <n v="6843"/>
    <m/>
  </r>
  <r>
    <x v="332"/>
    <x v="0"/>
    <s v="유튜브 광고"/>
    <x v="1"/>
    <x v="1"/>
    <x v="1"/>
    <m/>
    <m/>
    <m/>
    <n v="405585"/>
    <m/>
  </r>
  <r>
    <x v="332"/>
    <x v="0"/>
    <s v="유튜브 광고"/>
    <x v="1"/>
    <x v="1"/>
    <x v="1"/>
    <m/>
    <m/>
    <m/>
    <n v="405385"/>
    <m/>
  </r>
  <r>
    <x v="332"/>
    <x v="0"/>
    <s v="유튜브 광고"/>
    <x v="1"/>
    <x v="1"/>
    <x v="1"/>
    <m/>
    <m/>
    <m/>
    <n v="304596"/>
    <m/>
  </r>
  <r>
    <x v="332"/>
    <x v="0"/>
    <s v="유튜브 광고"/>
    <x v="1"/>
    <x v="1"/>
    <x v="1"/>
    <m/>
    <m/>
    <m/>
    <n v="306089"/>
    <m/>
  </r>
  <r>
    <x v="332"/>
    <x v="0"/>
    <s v="네이버 쇼핑검색"/>
    <x v="1"/>
    <x v="1"/>
    <x v="1"/>
    <m/>
    <m/>
    <m/>
    <n v="15070"/>
    <m/>
  </r>
  <r>
    <x v="332"/>
    <x v="0"/>
    <s v="네이버 쇼핑검색"/>
    <x v="1"/>
    <x v="1"/>
    <x v="1"/>
    <m/>
    <m/>
    <m/>
    <n v="0"/>
    <m/>
  </r>
  <r>
    <x v="332"/>
    <x v="0"/>
    <s v="네이버 쇼핑검색"/>
    <x v="1"/>
    <x v="1"/>
    <x v="1"/>
    <m/>
    <m/>
    <m/>
    <n v="120760"/>
    <m/>
  </r>
  <r>
    <x v="332"/>
    <x v="0"/>
    <s v="네이버 브랜드검색"/>
    <x v="3"/>
    <x v="1"/>
    <x v="1"/>
    <m/>
    <m/>
    <m/>
    <n v="88000"/>
    <m/>
  </r>
  <r>
    <x v="332"/>
    <x v="0"/>
    <s v="네이버 브랜드검색"/>
    <x v="3"/>
    <x v="1"/>
    <x v="1"/>
    <m/>
    <m/>
    <m/>
    <n v="16700"/>
    <m/>
  </r>
  <r>
    <x v="332"/>
    <x v="0"/>
    <m/>
    <x v="1"/>
    <x v="4"/>
    <x v="155"/>
    <n v="8"/>
    <s v="스테이포에버"/>
    <s v="210207"/>
    <m/>
    <n v="272000"/>
  </r>
  <r>
    <x v="332"/>
    <x v="0"/>
    <m/>
    <x v="1"/>
    <x v="4"/>
    <x v="157"/>
    <n v="1"/>
    <s v="이그나이트 + 스테이포에버"/>
    <s v="210207"/>
    <m/>
    <n v="58800"/>
  </r>
  <r>
    <x v="332"/>
    <x v="0"/>
    <m/>
    <x v="1"/>
    <x v="3"/>
    <x v="150"/>
    <n v="3"/>
    <s v="이그나이트 + 스테이포에버"/>
    <s v="210207"/>
    <m/>
    <n v="176400"/>
  </r>
  <r>
    <x v="332"/>
    <x v="0"/>
    <m/>
    <x v="1"/>
    <x v="3"/>
    <x v="151"/>
    <n v="1"/>
    <s v="스테이포에버 2set"/>
    <s v="210207"/>
    <m/>
    <n v="58800"/>
  </r>
  <r>
    <x v="332"/>
    <x v="0"/>
    <m/>
    <x v="1"/>
    <x v="3"/>
    <x v="152"/>
    <n v="22"/>
    <s v="스테이포에버"/>
    <s v="210207"/>
    <m/>
    <n v="748000"/>
  </r>
  <r>
    <x v="332"/>
    <x v="0"/>
    <m/>
    <x v="1"/>
    <x v="2"/>
    <x v="41"/>
    <n v="1"/>
    <s v="스테이포에버"/>
    <s v="210207"/>
    <m/>
    <n v="0"/>
  </r>
  <r>
    <x v="332"/>
    <x v="0"/>
    <m/>
    <x v="1"/>
    <x v="0"/>
    <x v="134"/>
    <n v="2"/>
    <s v="이그나이트"/>
    <s v="210207"/>
    <m/>
    <n v="68000"/>
  </r>
  <r>
    <x v="332"/>
    <x v="0"/>
    <m/>
    <x v="1"/>
    <x v="0"/>
    <x v="145"/>
    <n v="2"/>
    <s v="이그나이트 2set"/>
    <s v="210207"/>
    <m/>
    <n v="117600"/>
  </r>
  <r>
    <x v="332"/>
    <x v="0"/>
    <m/>
    <x v="1"/>
    <x v="0"/>
    <x v="135"/>
    <n v="9"/>
    <s v="스테이포에버"/>
    <s v="210207"/>
    <m/>
    <n v="306000"/>
  </r>
  <r>
    <x v="332"/>
    <x v="0"/>
    <m/>
    <x v="1"/>
    <x v="0"/>
    <x v="136"/>
    <n v="6"/>
    <s v="스테이포에버 2set"/>
    <s v="210207"/>
    <m/>
    <n v="352800"/>
  </r>
  <r>
    <x v="332"/>
    <x v="0"/>
    <m/>
    <x v="1"/>
    <x v="0"/>
    <x v="137"/>
    <n v="12"/>
    <s v="이그나이트 + 스테이포에버"/>
    <s v="210207"/>
    <m/>
    <n v="705600"/>
  </r>
  <r>
    <x v="332"/>
    <x v="0"/>
    <m/>
    <x v="1"/>
    <x v="0"/>
    <x v="144"/>
    <n v="2"/>
    <s v="이그나이트 + 스테이포에버"/>
    <s v="210207"/>
    <m/>
    <n v="117600"/>
  </r>
  <r>
    <x v="332"/>
    <x v="0"/>
    <m/>
    <x v="1"/>
    <x v="0"/>
    <x v="138"/>
    <n v="172"/>
    <s v="스테이포에버"/>
    <s v="210207"/>
    <m/>
    <n v="5848000"/>
  </r>
  <r>
    <x v="332"/>
    <x v="0"/>
    <m/>
    <x v="1"/>
    <x v="0"/>
    <x v="139"/>
    <n v="138"/>
    <s v="스테이포에버 2set"/>
    <s v="210207"/>
    <m/>
    <n v="8114400"/>
  </r>
  <r>
    <x v="332"/>
    <x v="0"/>
    <m/>
    <x v="1"/>
    <x v="0"/>
    <x v="140"/>
    <n v="10"/>
    <s v="이그나이트 + 스테이포에버"/>
    <s v="210207"/>
    <m/>
    <n v="588000"/>
  </r>
  <r>
    <x v="332"/>
    <x v="0"/>
    <m/>
    <x v="0"/>
    <x v="0"/>
    <x v="0"/>
    <n v="6"/>
    <s v="쇼핑백"/>
    <s v="210207"/>
    <m/>
    <n v="12000"/>
  </r>
  <r>
    <x v="332"/>
    <x v="0"/>
    <m/>
    <x v="1"/>
    <x v="0"/>
    <x v="141"/>
    <n v="8"/>
    <s v="이그나이트"/>
    <s v="210207"/>
    <m/>
    <n v="272000"/>
  </r>
  <r>
    <x v="332"/>
    <x v="0"/>
    <m/>
    <x v="1"/>
    <x v="0"/>
    <x v="142"/>
    <n v="2"/>
    <s v="이그나이트 2set"/>
    <s v="210207"/>
    <m/>
    <n v="117600"/>
  </r>
  <r>
    <x v="332"/>
    <x v="0"/>
    <s v="네이버 배너"/>
    <x v="1"/>
    <x v="1"/>
    <x v="1"/>
    <m/>
    <m/>
    <m/>
    <n v="859980.9090909091"/>
    <m/>
  </r>
  <r>
    <x v="332"/>
    <x v="0"/>
    <s v="네이버 배너(대행사)"/>
    <x v="1"/>
    <x v="1"/>
    <x v="1"/>
    <m/>
    <m/>
    <m/>
    <n v="473440.9090909091"/>
    <m/>
  </r>
  <r>
    <x v="332"/>
    <x v="0"/>
    <m/>
    <x v="1"/>
    <x v="5"/>
    <x v="167"/>
    <n v="113"/>
    <s v="이그나이트"/>
    <s v="210207"/>
    <m/>
    <n v="1901790"/>
  </r>
  <r>
    <x v="332"/>
    <x v="0"/>
    <m/>
    <x v="1"/>
    <x v="5"/>
    <x v="168"/>
    <n v="1"/>
    <s v="스테이포에버"/>
    <s v="210207"/>
    <m/>
    <n v="16830"/>
  </r>
  <r>
    <x v="332"/>
    <x v="0"/>
    <s v="카카오 배너"/>
    <x v="1"/>
    <x v="1"/>
    <x v="1"/>
    <m/>
    <m/>
    <m/>
    <n v="614620"/>
    <m/>
  </r>
  <r>
    <x v="333"/>
    <x v="3"/>
    <s v="페이스북/인스타그램"/>
    <x v="1"/>
    <x v="1"/>
    <x v="1"/>
    <m/>
    <m/>
    <m/>
    <n v="63438"/>
    <m/>
  </r>
  <r>
    <x v="333"/>
    <x v="3"/>
    <s v="페이스북/인스타그램"/>
    <x v="1"/>
    <x v="1"/>
    <x v="1"/>
    <m/>
    <m/>
    <m/>
    <n v="39328"/>
    <m/>
  </r>
  <r>
    <x v="333"/>
    <x v="3"/>
    <s v="페이스북/인스타그램"/>
    <x v="1"/>
    <x v="1"/>
    <x v="1"/>
    <m/>
    <m/>
    <m/>
    <n v="153949"/>
    <m/>
  </r>
  <r>
    <x v="333"/>
    <x v="3"/>
    <s v="페이스북/인스타그램"/>
    <x v="1"/>
    <x v="1"/>
    <x v="1"/>
    <m/>
    <m/>
    <m/>
    <n v="67556"/>
    <m/>
  </r>
  <r>
    <x v="333"/>
    <x v="3"/>
    <s v="페이스북/인스타그램"/>
    <x v="1"/>
    <x v="1"/>
    <x v="1"/>
    <m/>
    <m/>
    <m/>
    <n v="50302"/>
    <m/>
  </r>
  <r>
    <x v="333"/>
    <x v="3"/>
    <s v="페이스북/인스타그램"/>
    <x v="1"/>
    <x v="1"/>
    <x v="1"/>
    <m/>
    <m/>
    <m/>
    <n v="28491"/>
    <m/>
  </r>
  <r>
    <x v="333"/>
    <x v="3"/>
    <s v="페이스북/인스타그램"/>
    <x v="1"/>
    <x v="1"/>
    <x v="1"/>
    <m/>
    <m/>
    <m/>
    <n v="126633"/>
    <m/>
  </r>
  <r>
    <x v="333"/>
    <x v="3"/>
    <s v="페이스북/인스타그램"/>
    <x v="1"/>
    <x v="1"/>
    <x v="1"/>
    <m/>
    <m/>
    <m/>
    <n v="48067"/>
    <m/>
  </r>
  <r>
    <x v="333"/>
    <x v="3"/>
    <s v="페이스북/인스타그램"/>
    <x v="1"/>
    <x v="1"/>
    <x v="1"/>
    <m/>
    <m/>
    <m/>
    <n v="29171"/>
    <m/>
  </r>
  <r>
    <x v="333"/>
    <x v="3"/>
    <s v="페이스북/인스타그램"/>
    <x v="1"/>
    <x v="1"/>
    <x v="1"/>
    <m/>
    <m/>
    <m/>
    <n v="705562"/>
    <m/>
  </r>
  <r>
    <x v="333"/>
    <x v="3"/>
    <s v="페이스북/인스타그램"/>
    <x v="1"/>
    <x v="1"/>
    <x v="1"/>
    <m/>
    <m/>
    <m/>
    <n v="244019"/>
    <m/>
  </r>
  <r>
    <x v="333"/>
    <x v="3"/>
    <s v="페이스북/인스타그램"/>
    <x v="1"/>
    <x v="1"/>
    <x v="1"/>
    <m/>
    <m/>
    <m/>
    <n v="95730"/>
    <m/>
  </r>
  <r>
    <x v="333"/>
    <x v="3"/>
    <s v="페이스북/인스타그램"/>
    <x v="1"/>
    <x v="1"/>
    <x v="1"/>
    <m/>
    <m/>
    <m/>
    <n v="49844"/>
    <m/>
  </r>
  <r>
    <x v="333"/>
    <x v="3"/>
    <s v="페이스북/인스타그램"/>
    <x v="1"/>
    <x v="1"/>
    <x v="1"/>
    <m/>
    <m/>
    <m/>
    <n v="148542"/>
    <m/>
  </r>
  <r>
    <x v="333"/>
    <x v="3"/>
    <s v="페이스북/인스타그램"/>
    <x v="1"/>
    <x v="1"/>
    <x v="1"/>
    <m/>
    <m/>
    <m/>
    <n v="28874"/>
    <m/>
  </r>
  <r>
    <x v="333"/>
    <x v="3"/>
    <s v="페이스북/인스타그램"/>
    <x v="1"/>
    <x v="1"/>
    <x v="1"/>
    <m/>
    <m/>
    <m/>
    <n v="49000"/>
    <m/>
  </r>
  <r>
    <x v="333"/>
    <x v="3"/>
    <s v="페이스북/인스타그램"/>
    <x v="1"/>
    <x v="1"/>
    <x v="1"/>
    <m/>
    <m/>
    <m/>
    <n v="197475"/>
    <m/>
  </r>
  <r>
    <x v="333"/>
    <x v="3"/>
    <s v="유튜브 광고"/>
    <x v="1"/>
    <x v="1"/>
    <x v="1"/>
    <m/>
    <m/>
    <m/>
    <n v="27755"/>
    <m/>
  </r>
  <r>
    <x v="333"/>
    <x v="3"/>
    <s v="유튜브 광고"/>
    <x v="1"/>
    <x v="1"/>
    <x v="1"/>
    <m/>
    <m/>
    <m/>
    <n v="199953"/>
    <m/>
  </r>
  <r>
    <x v="333"/>
    <x v="3"/>
    <s v="유튜브 광고"/>
    <x v="1"/>
    <x v="1"/>
    <x v="1"/>
    <m/>
    <m/>
    <m/>
    <n v="391274"/>
    <m/>
  </r>
  <r>
    <x v="333"/>
    <x v="3"/>
    <s v="유튜브 광고"/>
    <x v="1"/>
    <x v="1"/>
    <x v="1"/>
    <m/>
    <m/>
    <m/>
    <n v="103074"/>
    <m/>
  </r>
  <r>
    <x v="333"/>
    <x v="3"/>
    <s v="유튜브 광고"/>
    <x v="1"/>
    <x v="1"/>
    <x v="1"/>
    <m/>
    <m/>
    <m/>
    <n v="8363"/>
    <m/>
  </r>
  <r>
    <x v="333"/>
    <x v="3"/>
    <s v="유튜브 광고"/>
    <x v="1"/>
    <x v="1"/>
    <x v="1"/>
    <m/>
    <m/>
    <m/>
    <n v="380286"/>
    <m/>
  </r>
  <r>
    <x v="333"/>
    <x v="3"/>
    <s v="유튜브 광고"/>
    <x v="1"/>
    <x v="1"/>
    <x v="1"/>
    <m/>
    <m/>
    <m/>
    <n v="300036"/>
    <m/>
  </r>
  <r>
    <x v="333"/>
    <x v="3"/>
    <s v="유튜브 광고"/>
    <x v="1"/>
    <x v="1"/>
    <x v="1"/>
    <m/>
    <m/>
    <m/>
    <n v="400023"/>
    <m/>
  </r>
  <r>
    <x v="333"/>
    <x v="3"/>
    <s v="유튜브 광고"/>
    <x v="1"/>
    <x v="1"/>
    <x v="1"/>
    <m/>
    <m/>
    <m/>
    <n v="399982"/>
    <m/>
  </r>
  <r>
    <x v="333"/>
    <x v="3"/>
    <s v="네이버 쇼핑검색"/>
    <x v="1"/>
    <x v="1"/>
    <x v="1"/>
    <m/>
    <m/>
    <m/>
    <n v="14350"/>
    <m/>
  </r>
  <r>
    <x v="333"/>
    <x v="3"/>
    <s v="네이버 쇼핑검색"/>
    <x v="1"/>
    <x v="1"/>
    <x v="1"/>
    <m/>
    <m/>
    <m/>
    <n v="0"/>
    <m/>
  </r>
  <r>
    <x v="333"/>
    <x v="3"/>
    <s v="네이버 쇼핑검색"/>
    <x v="1"/>
    <x v="1"/>
    <x v="1"/>
    <m/>
    <m/>
    <m/>
    <n v="122070"/>
    <m/>
  </r>
  <r>
    <x v="333"/>
    <x v="3"/>
    <s v="네이버 브랜드검색"/>
    <x v="3"/>
    <x v="1"/>
    <x v="1"/>
    <m/>
    <m/>
    <m/>
    <n v="88000"/>
    <m/>
  </r>
  <r>
    <x v="333"/>
    <x v="3"/>
    <s v="네이버 브랜드검색"/>
    <x v="3"/>
    <x v="1"/>
    <x v="1"/>
    <m/>
    <m/>
    <m/>
    <n v="16700"/>
    <m/>
  </r>
  <r>
    <x v="333"/>
    <x v="3"/>
    <m/>
    <x v="1"/>
    <x v="4"/>
    <x v="155"/>
    <n v="2"/>
    <s v="스테이포에버"/>
    <s v="210207"/>
    <m/>
    <n v="68000"/>
  </r>
  <r>
    <x v="333"/>
    <x v="3"/>
    <m/>
    <x v="1"/>
    <x v="3"/>
    <x v="151"/>
    <n v="2"/>
    <s v="스테이포에버 2set"/>
    <s v="210207"/>
    <m/>
    <n v="117600"/>
  </r>
  <r>
    <x v="333"/>
    <x v="3"/>
    <m/>
    <x v="1"/>
    <x v="3"/>
    <x v="152"/>
    <n v="19"/>
    <s v="스테이포에버"/>
    <s v="210207"/>
    <m/>
    <n v="646000"/>
  </r>
  <r>
    <x v="333"/>
    <x v="3"/>
    <m/>
    <x v="1"/>
    <x v="3"/>
    <x v="154"/>
    <n v="2"/>
    <s v="이그나이트"/>
    <s v="210207"/>
    <m/>
    <n v="68000"/>
  </r>
  <r>
    <x v="333"/>
    <x v="3"/>
    <m/>
    <x v="0"/>
    <x v="0"/>
    <x v="148"/>
    <n v="1"/>
    <s v="쇼핑백"/>
    <s v="210207"/>
    <m/>
    <n v="2000"/>
  </r>
  <r>
    <x v="333"/>
    <x v="3"/>
    <m/>
    <x v="1"/>
    <x v="0"/>
    <x v="145"/>
    <n v="1"/>
    <s v="이그나이트 2set"/>
    <s v="210207"/>
    <m/>
    <n v="58800"/>
  </r>
  <r>
    <x v="333"/>
    <x v="3"/>
    <m/>
    <x v="1"/>
    <x v="0"/>
    <x v="135"/>
    <n v="3"/>
    <s v="스테이포에버"/>
    <s v="210207"/>
    <m/>
    <n v="102000"/>
  </r>
  <r>
    <x v="333"/>
    <x v="3"/>
    <m/>
    <x v="1"/>
    <x v="0"/>
    <x v="136"/>
    <n v="5"/>
    <s v="스테이포에버 2set"/>
    <s v="210207"/>
    <m/>
    <n v="294000"/>
  </r>
  <r>
    <x v="333"/>
    <x v="3"/>
    <m/>
    <x v="1"/>
    <x v="0"/>
    <x v="137"/>
    <n v="10"/>
    <s v="이그나이트 + 스테이포에버"/>
    <s v="210207"/>
    <m/>
    <n v="588000"/>
  </r>
  <r>
    <x v="333"/>
    <x v="3"/>
    <m/>
    <x v="1"/>
    <x v="0"/>
    <x v="144"/>
    <n v="1"/>
    <s v="이그나이트 + 스테이포에버"/>
    <s v="210207"/>
    <m/>
    <n v="58800"/>
  </r>
  <r>
    <x v="333"/>
    <x v="3"/>
    <m/>
    <x v="1"/>
    <x v="0"/>
    <x v="138"/>
    <n v="201"/>
    <s v="스테이포에버"/>
    <s v="210207"/>
    <m/>
    <n v="6834000"/>
  </r>
  <r>
    <x v="333"/>
    <x v="3"/>
    <m/>
    <x v="1"/>
    <x v="0"/>
    <x v="139"/>
    <n v="123"/>
    <s v="스테이포에버 2set"/>
    <s v="210207"/>
    <m/>
    <n v="7232400"/>
  </r>
  <r>
    <x v="333"/>
    <x v="3"/>
    <m/>
    <x v="1"/>
    <x v="0"/>
    <x v="140"/>
    <n v="9"/>
    <s v="이그나이트 + 스테이포에버"/>
    <s v="210207"/>
    <m/>
    <n v="529200"/>
  </r>
  <r>
    <x v="333"/>
    <x v="3"/>
    <m/>
    <x v="0"/>
    <x v="0"/>
    <x v="0"/>
    <n v="4"/>
    <s v="쇼핑백"/>
    <s v="210207"/>
    <m/>
    <n v="8000"/>
  </r>
  <r>
    <x v="333"/>
    <x v="3"/>
    <m/>
    <x v="1"/>
    <x v="0"/>
    <x v="141"/>
    <n v="5"/>
    <s v="이그나이트"/>
    <s v="210207"/>
    <m/>
    <n v="170000"/>
  </r>
  <r>
    <x v="333"/>
    <x v="3"/>
    <s v="네이버 배너"/>
    <x v="1"/>
    <x v="1"/>
    <x v="1"/>
    <m/>
    <m/>
    <m/>
    <n v="779274.5454545454"/>
    <m/>
  </r>
  <r>
    <x v="333"/>
    <x v="3"/>
    <s v="네이버 배너(대행사)"/>
    <x v="2"/>
    <x v="1"/>
    <x v="1"/>
    <m/>
    <m/>
    <m/>
    <n v="612028.1818181818"/>
    <m/>
  </r>
  <r>
    <x v="333"/>
    <x v="3"/>
    <m/>
    <x v="1"/>
    <x v="5"/>
    <x v="167"/>
    <n v="4"/>
    <s v="이그나이트"/>
    <s v="210207"/>
    <m/>
    <n v="67320"/>
  </r>
  <r>
    <x v="333"/>
    <x v="3"/>
    <m/>
    <x v="1"/>
    <x v="5"/>
    <x v="168"/>
    <n v="50"/>
    <s v="스테이포에버"/>
    <s v="210207"/>
    <m/>
    <n v="841500"/>
  </r>
  <r>
    <x v="333"/>
    <x v="3"/>
    <s v="카카오 배너"/>
    <x v="2"/>
    <x v="1"/>
    <x v="1"/>
    <m/>
    <m/>
    <m/>
    <n v="620750"/>
    <m/>
  </r>
  <r>
    <x v="334"/>
    <x v="4"/>
    <s v="페이스북/인스타그램"/>
    <x v="1"/>
    <x v="1"/>
    <x v="1"/>
    <m/>
    <m/>
    <m/>
    <n v="62537"/>
    <m/>
  </r>
  <r>
    <x v="334"/>
    <x v="4"/>
    <s v="페이스북/인스타그램"/>
    <x v="1"/>
    <x v="1"/>
    <x v="1"/>
    <m/>
    <m/>
    <m/>
    <n v="48757"/>
    <m/>
  </r>
  <r>
    <x v="334"/>
    <x v="4"/>
    <s v="페이스북/인스타그램"/>
    <x v="1"/>
    <x v="1"/>
    <x v="1"/>
    <m/>
    <m/>
    <m/>
    <n v="121933"/>
    <m/>
  </r>
  <r>
    <x v="334"/>
    <x v="4"/>
    <s v="페이스북/인스타그램"/>
    <x v="1"/>
    <x v="1"/>
    <x v="1"/>
    <m/>
    <m/>
    <m/>
    <n v="59226"/>
    <m/>
  </r>
  <r>
    <x v="334"/>
    <x v="4"/>
    <s v="페이스북/인스타그램"/>
    <x v="1"/>
    <x v="1"/>
    <x v="1"/>
    <m/>
    <m/>
    <m/>
    <n v="49216"/>
    <m/>
  </r>
  <r>
    <x v="334"/>
    <x v="4"/>
    <s v="페이스북/인스타그램"/>
    <x v="1"/>
    <x v="1"/>
    <x v="1"/>
    <m/>
    <m/>
    <m/>
    <n v="29188"/>
    <m/>
  </r>
  <r>
    <x v="334"/>
    <x v="4"/>
    <s v="페이스북/인스타그램"/>
    <x v="1"/>
    <x v="1"/>
    <x v="1"/>
    <m/>
    <m/>
    <m/>
    <n v="117300"/>
    <m/>
  </r>
  <r>
    <x v="334"/>
    <x v="4"/>
    <s v="페이스북/인스타그램"/>
    <x v="1"/>
    <x v="1"/>
    <x v="1"/>
    <m/>
    <m/>
    <m/>
    <n v="48872"/>
    <m/>
  </r>
  <r>
    <x v="334"/>
    <x v="4"/>
    <s v="페이스북/인스타그램"/>
    <x v="1"/>
    <x v="1"/>
    <x v="1"/>
    <m/>
    <m/>
    <m/>
    <n v="29691"/>
    <m/>
  </r>
  <r>
    <x v="334"/>
    <x v="4"/>
    <s v="페이스북/인스타그램"/>
    <x v="1"/>
    <x v="1"/>
    <x v="1"/>
    <m/>
    <m/>
    <m/>
    <n v="822824"/>
    <m/>
  </r>
  <r>
    <x v="334"/>
    <x v="4"/>
    <s v="페이스북/인스타그램"/>
    <x v="1"/>
    <x v="1"/>
    <x v="1"/>
    <m/>
    <m/>
    <m/>
    <n v="245090"/>
    <m/>
  </r>
  <r>
    <x v="334"/>
    <x v="4"/>
    <s v="페이스북/인스타그램"/>
    <x v="1"/>
    <x v="1"/>
    <x v="1"/>
    <m/>
    <m/>
    <m/>
    <n v="96712"/>
    <m/>
  </r>
  <r>
    <x v="334"/>
    <x v="4"/>
    <s v="페이스북/인스타그램"/>
    <x v="1"/>
    <x v="1"/>
    <x v="1"/>
    <m/>
    <m/>
    <m/>
    <n v="49717"/>
    <m/>
  </r>
  <r>
    <x v="334"/>
    <x v="4"/>
    <s v="페이스북/인스타그램"/>
    <x v="1"/>
    <x v="1"/>
    <x v="1"/>
    <m/>
    <m/>
    <m/>
    <n v="148195"/>
    <m/>
  </r>
  <r>
    <x v="334"/>
    <x v="4"/>
    <s v="페이스북/인스타그램"/>
    <x v="1"/>
    <x v="1"/>
    <x v="1"/>
    <m/>
    <m/>
    <m/>
    <n v="29058"/>
    <m/>
  </r>
  <r>
    <x v="334"/>
    <x v="4"/>
    <s v="페이스북/인스타그램"/>
    <x v="1"/>
    <x v="1"/>
    <x v="1"/>
    <m/>
    <m/>
    <m/>
    <n v="49124"/>
    <m/>
  </r>
  <r>
    <x v="334"/>
    <x v="4"/>
    <s v="페이스북/인스타그램"/>
    <x v="1"/>
    <x v="1"/>
    <x v="1"/>
    <m/>
    <m/>
    <m/>
    <n v="197470"/>
    <m/>
  </r>
  <r>
    <x v="334"/>
    <x v="4"/>
    <s v="페이스북/인스타그램"/>
    <x v="1"/>
    <x v="1"/>
    <x v="1"/>
    <m/>
    <m/>
    <m/>
    <n v="48604"/>
    <m/>
  </r>
  <r>
    <x v="334"/>
    <x v="4"/>
    <s v="페이스북/인스타그램"/>
    <x v="1"/>
    <x v="1"/>
    <x v="1"/>
    <m/>
    <m/>
    <m/>
    <n v="97307"/>
    <m/>
  </r>
  <r>
    <x v="334"/>
    <x v="4"/>
    <s v="페이스북/인스타그램"/>
    <x v="1"/>
    <x v="1"/>
    <x v="1"/>
    <m/>
    <m/>
    <m/>
    <n v="148443"/>
    <m/>
  </r>
  <r>
    <x v="334"/>
    <x v="4"/>
    <s v="페이스북/인스타그램"/>
    <x v="1"/>
    <x v="1"/>
    <x v="1"/>
    <m/>
    <m/>
    <m/>
    <n v="29588"/>
    <m/>
  </r>
  <r>
    <x v="334"/>
    <x v="4"/>
    <s v="페이스북/인스타그램"/>
    <x v="1"/>
    <x v="1"/>
    <x v="1"/>
    <m/>
    <m/>
    <m/>
    <n v="148339"/>
    <m/>
  </r>
  <r>
    <x v="334"/>
    <x v="4"/>
    <s v="페이스북/인스타그램"/>
    <x v="1"/>
    <x v="1"/>
    <x v="1"/>
    <m/>
    <m/>
    <m/>
    <n v="98196"/>
    <m/>
  </r>
  <r>
    <x v="334"/>
    <x v="4"/>
    <s v="페이스북/인스타그램"/>
    <x v="1"/>
    <x v="1"/>
    <x v="1"/>
    <m/>
    <m/>
    <m/>
    <n v="29784"/>
    <m/>
  </r>
  <r>
    <x v="334"/>
    <x v="4"/>
    <s v="유튜브 광고"/>
    <x v="1"/>
    <x v="1"/>
    <x v="1"/>
    <m/>
    <m/>
    <m/>
    <n v="20461"/>
    <m/>
  </r>
  <r>
    <x v="334"/>
    <x v="4"/>
    <s v="유튜브 광고"/>
    <x v="1"/>
    <x v="1"/>
    <x v="1"/>
    <m/>
    <m/>
    <m/>
    <n v="200087"/>
    <m/>
  </r>
  <r>
    <x v="334"/>
    <x v="4"/>
    <s v="유튜브 광고"/>
    <x v="1"/>
    <x v="1"/>
    <x v="1"/>
    <m/>
    <m/>
    <m/>
    <n v="393889"/>
    <m/>
  </r>
  <r>
    <x v="334"/>
    <x v="4"/>
    <s v="유튜브 광고"/>
    <x v="1"/>
    <x v="1"/>
    <x v="1"/>
    <m/>
    <m/>
    <m/>
    <n v="93961"/>
    <m/>
  </r>
  <r>
    <x v="334"/>
    <x v="4"/>
    <s v="유튜브 광고"/>
    <x v="1"/>
    <x v="1"/>
    <x v="1"/>
    <m/>
    <m/>
    <m/>
    <n v="384392"/>
    <m/>
  </r>
  <r>
    <x v="334"/>
    <x v="4"/>
    <s v="유튜브 광고"/>
    <x v="1"/>
    <x v="1"/>
    <x v="1"/>
    <m/>
    <m/>
    <m/>
    <n v="302984"/>
    <m/>
  </r>
  <r>
    <x v="334"/>
    <x v="4"/>
    <s v="유튜브 광고"/>
    <x v="1"/>
    <x v="1"/>
    <x v="1"/>
    <m/>
    <m/>
    <m/>
    <n v="404648"/>
    <m/>
  </r>
  <r>
    <x v="334"/>
    <x v="4"/>
    <s v="유튜브 광고"/>
    <x v="1"/>
    <x v="1"/>
    <x v="1"/>
    <m/>
    <m/>
    <m/>
    <n v="404332"/>
    <m/>
  </r>
  <r>
    <x v="334"/>
    <x v="4"/>
    <s v="네이버 쇼핑검색"/>
    <x v="1"/>
    <x v="1"/>
    <x v="1"/>
    <m/>
    <m/>
    <m/>
    <n v="14560"/>
    <m/>
  </r>
  <r>
    <x v="334"/>
    <x v="4"/>
    <s v="네이버 쇼핑검색"/>
    <x v="1"/>
    <x v="1"/>
    <x v="1"/>
    <m/>
    <m/>
    <m/>
    <n v="49.99999999999999"/>
    <m/>
  </r>
  <r>
    <x v="334"/>
    <x v="4"/>
    <s v="네이버 쇼핑검색"/>
    <x v="1"/>
    <x v="1"/>
    <x v="1"/>
    <m/>
    <m/>
    <m/>
    <n v="122360"/>
    <m/>
  </r>
  <r>
    <x v="334"/>
    <x v="4"/>
    <s v="네이버 브랜드검색"/>
    <x v="3"/>
    <x v="1"/>
    <x v="1"/>
    <m/>
    <m/>
    <m/>
    <n v="88000"/>
    <m/>
  </r>
  <r>
    <x v="334"/>
    <x v="4"/>
    <s v="네이버 브랜드검색"/>
    <x v="3"/>
    <x v="1"/>
    <x v="1"/>
    <m/>
    <m/>
    <m/>
    <n v="16700"/>
    <m/>
  </r>
  <r>
    <x v="334"/>
    <x v="4"/>
    <m/>
    <x v="1"/>
    <x v="4"/>
    <x v="155"/>
    <n v="5"/>
    <s v="스테이포에버"/>
    <s v="210207"/>
    <m/>
    <n v="170000"/>
  </r>
  <r>
    <x v="334"/>
    <x v="4"/>
    <m/>
    <x v="1"/>
    <x v="4"/>
    <x v="157"/>
    <n v="1"/>
    <s v="이그나이트 + 스테이포에버"/>
    <s v="210207"/>
    <m/>
    <n v="58800"/>
  </r>
  <r>
    <x v="334"/>
    <x v="4"/>
    <m/>
    <x v="1"/>
    <x v="3"/>
    <x v="151"/>
    <n v="2"/>
    <s v="스테이포에버 2set"/>
    <s v="210207"/>
    <m/>
    <n v="117600"/>
  </r>
  <r>
    <x v="334"/>
    <x v="4"/>
    <m/>
    <x v="1"/>
    <x v="3"/>
    <x v="152"/>
    <n v="84"/>
    <s v="스테이포에버"/>
    <s v="210207"/>
    <m/>
    <n v="2856000"/>
  </r>
  <r>
    <x v="334"/>
    <x v="4"/>
    <m/>
    <x v="1"/>
    <x v="3"/>
    <x v="154"/>
    <n v="1"/>
    <s v="이그나이트"/>
    <s v="210207"/>
    <m/>
    <n v="34000"/>
  </r>
  <r>
    <x v="334"/>
    <x v="4"/>
    <m/>
    <x v="1"/>
    <x v="0"/>
    <x v="134"/>
    <n v="5"/>
    <s v="이그나이트"/>
    <s v="210207"/>
    <m/>
    <n v="170000"/>
  </r>
  <r>
    <x v="334"/>
    <x v="4"/>
    <m/>
    <x v="1"/>
    <x v="0"/>
    <x v="135"/>
    <n v="2"/>
    <s v="스테이포에버"/>
    <s v="210207"/>
    <m/>
    <n v="68000"/>
  </r>
  <r>
    <x v="334"/>
    <x v="4"/>
    <m/>
    <x v="1"/>
    <x v="0"/>
    <x v="136"/>
    <n v="4"/>
    <s v="스테이포에버 2set"/>
    <s v="210207"/>
    <m/>
    <n v="235200"/>
  </r>
  <r>
    <x v="334"/>
    <x v="4"/>
    <m/>
    <x v="1"/>
    <x v="0"/>
    <x v="137"/>
    <n v="11"/>
    <s v="이그나이트 + 스테이포에버"/>
    <s v="210207"/>
    <m/>
    <n v="646800"/>
  </r>
  <r>
    <x v="334"/>
    <x v="4"/>
    <m/>
    <x v="1"/>
    <x v="0"/>
    <x v="144"/>
    <n v="3"/>
    <s v="이그나이트 + 스테이포에버"/>
    <s v="210207"/>
    <m/>
    <n v="176400"/>
  </r>
  <r>
    <x v="334"/>
    <x v="4"/>
    <m/>
    <x v="1"/>
    <x v="0"/>
    <x v="138"/>
    <n v="173"/>
    <s v="스테이포에버"/>
    <s v="210207"/>
    <m/>
    <n v="5882000"/>
  </r>
  <r>
    <x v="334"/>
    <x v="4"/>
    <m/>
    <x v="1"/>
    <x v="0"/>
    <x v="139"/>
    <n v="113"/>
    <s v="스테이포에버 2set"/>
    <s v="210207"/>
    <m/>
    <n v="6644400"/>
  </r>
  <r>
    <x v="334"/>
    <x v="4"/>
    <m/>
    <x v="1"/>
    <x v="0"/>
    <x v="140"/>
    <n v="8"/>
    <s v="이그나이트 + 스테이포에버"/>
    <s v="210207"/>
    <m/>
    <n v="470400"/>
  </r>
  <r>
    <x v="334"/>
    <x v="4"/>
    <m/>
    <x v="0"/>
    <x v="0"/>
    <x v="0"/>
    <n v="4"/>
    <s v="쇼핑백"/>
    <s v="210207"/>
    <m/>
    <n v="8000"/>
  </r>
  <r>
    <x v="334"/>
    <x v="4"/>
    <m/>
    <x v="1"/>
    <x v="0"/>
    <x v="141"/>
    <n v="1"/>
    <s v="이그나이트"/>
    <s v="210207"/>
    <m/>
    <n v="34000"/>
  </r>
  <r>
    <x v="334"/>
    <x v="4"/>
    <m/>
    <x v="1"/>
    <x v="0"/>
    <x v="142"/>
    <n v="1"/>
    <s v="이그나이트 2set"/>
    <s v="210207"/>
    <m/>
    <n v="58800"/>
  </r>
  <r>
    <x v="334"/>
    <x v="4"/>
    <m/>
    <x v="0"/>
    <x v="0"/>
    <x v="143"/>
    <n v="1"/>
    <s v="쇼핑백"/>
    <s v="210207"/>
    <m/>
    <n v="2000"/>
  </r>
  <r>
    <x v="334"/>
    <x v="4"/>
    <s v="네이버 배너"/>
    <x v="1"/>
    <x v="1"/>
    <x v="1"/>
    <m/>
    <m/>
    <m/>
    <n v="807987.2727272727"/>
    <m/>
  </r>
  <r>
    <x v="334"/>
    <x v="4"/>
    <s v="네이버 배너(대행사)"/>
    <x v="1"/>
    <x v="1"/>
    <x v="1"/>
    <m/>
    <m/>
    <m/>
    <n v="240577.2727272727"/>
    <m/>
  </r>
  <r>
    <x v="334"/>
    <x v="4"/>
    <m/>
    <x v="1"/>
    <x v="5"/>
    <x v="167"/>
    <n v="1"/>
    <m/>
    <s v="210207"/>
    <m/>
    <n v="16830"/>
  </r>
  <r>
    <x v="334"/>
    <x v="4"/>
    <m/>
    <x v="1"/>
    <x v="5"/>
    <x v="168"/>
    <n v="56"/>
    <m/>
    <s v="210207"/>
    <m/>
    <n v="942480"/>
  </r>
  <r>
    <x v="334"/>
    <x v="4"/>
    <s v="카카오 배너"/>
    <x v="1"/>
    <x v="1"/>
    <x v="1"/>
    <m/>
    <m/>
    <m/>
    <n v="619240"/>
    <m/>
  </r>
  <r>
    <x v="335"/>
    <x v="1"/>
    <s v="페이스북/인스타그램"/>
    <x v="2"/>
    <x v="1"/>
    <x v="1"/>
    <m/>
    <m/>
    <m/>
    <n v="7905"/>
    <m/>
  </r>
  <r>
    <x v="335"/>
    <x v="1"/>
    <s v="페이스북/인스타그램"/>
    <x v="1"/>
    <x v="1"/>
    <x v="1"/>
    <m/>
    <m/>
    <m/>
    <n v="62473"/>
    <m/>
  </r>
  <r>
    <x v="335"/>
    <x v="1"/>
    <s v="페이스북/인스타그램"/>
    <x v="1"/>
    <x v="1"/>
    <x v="1"/>
    <m/>
    <m/>
    <m/>
    <n v="61576"/>
    <m/>
  </r>
  <r>
    <x v="335"/>
    <x v="1"/>
    <s v="페이스북/인스타그램"/>
    <x v="1"/>
    <x v="1"/>
    <x v="1"/>
    <m/>
    <m/>
    <m/>
    <n v="107022"/>
    <m/>
  </r>
  <r>
    <x v="335"/>
    <x v="1"/>
    <s v="페이스북/인스타그램"/>
    <x v="1"/>
    <x v="1"/>
    <x v="1"/>
    <m/>
    <m/>
    <m/>
    <n v="58848"/>
    <m/>
  </r>
  <r>
    <x v="335"/>
    <x v="1"/>
    <s v="페이스북/인스타그램"/>
    <x v="1"/>
    <x v="1"/>
    <x v="1"/>
    <m/>
    <m/>
    <m/>
    <n v="67890"/>
    <m/>
  </r>
  <r>
    <x v="335"/>
    <x v="1"/>
    <s v="페이스북/인스타그램"/>
    <x v="1"/>
    <x v="1"/>
    <x v="1"/>
    <m/>
    <m/>
    <m/>
    <n v="29784"/>
    <m/>
  </r>
  <r>
    <x v="335"/>
    <x v="1"/>
    <s v="페이스북/인스타그램"/>
    <x v="1"/>
    <x v="1"/>
    <x v="1"/>
    <m/>
    <m/>
    <m/>
    <n v="142039"/>
    <m/>
  </r>
  <r>
    <x v="335"/>
    <x v="1"/>
    <s v="페이스북/인스타그램"/>
    <x v="1"/>
    <x v="1"/>
    <x v="1"/>
    <m/>
    <m/>
    <m/>
    <n v="49553"/>
    <m/>
  </r>
  <r>
    <x v="335"/>
    <x v="1"/>
    <s v="페이스북/인스타그램"/>
    <x v="1"/>
    <x v="1"/>
    <x v="1"/>
    <m/>
    <m/>
    <m/>
    <n v="29706"/>
    <m/>
  </r>
  <r>
    <x v="335"/>
    <x v="1"/>
    <s v="페이스북/인스타그램"/>
    <x v="1"/>
    <x v="1"/>
    <x v="1"/>
    <m/>
    <m/>
    <m/>
    <n v="751419"/>
    <m/>
  </r>
  <r>
    <x v="335"/>
    <x v="1"/>
    <s v="페이스북/인스타그램"/>
    <x v="1"/>
    <x v="1"/>
    <x v="1"/>
    <m/>
    <m/>
    <m/>
    <n v="238958"/>
    <m/>
  </r>
  <r>
    <x v="335"/>
    <x v="1"/>
    <s v="페이스북/인스타그램"/>
    <x v="1"/>
    <x v="1"/>
    <x v="1"/>
    <m/>
    <m/>
    <m/>
    <n v="97350"/>
    <m/>
  </r>
  <r>
    <x v="335"/>
    <x v="1"/>
    <s v="페이스북/인스타그램"/>
    <x v="1"/>
    <x v="1"/>
    <x v="1"/>
    <m/>
    <m/>
    <m/>
    <n v="49278"/>
    <m/>
  </r>
  <r>
    <x v="335"/>
    <x v="1"/>
    <s v="페이스북/인스타그램"/>
    <x v="1"/>
    <x v="1"/>
    <x v="1"/>
    <m/>
    <m/>
    <m/>
    <n v="146451"/>
    <m/>
  </r>
  <r>
    <x v="335"/>
    <x v="1"/>
    <s v="페이스북/인스타그램"/>
    <x v="1"/>
    <x v="1"/>
    <x v="1"/>
    <m/>
    <m/>
    <m/>
    <n v="29031"/>
    <m/>
  </r>
  <r>
    <x v="335"/>
    <x v="1"/>
    <s v="페이스북/인스타그램"/>
    <x v="1"/>
    <x v="1"/>
    <x v="1"/>
    <m/>
    <m/>
    <m/>
    <n v="49471"/>
    <m/>
  </r>
  <r>
    <x v="335"/>
    <x v="1"/>
    <s v="페이스북/인스타그램"/>
    <x v="1"/>
    <x v="1"/>
    <x v="1"/>
    <m/>
    <m/>
    <m/>
    <n v="196809"/>
    <m/>
  </r>
  <r>
    <x v="335"/>
    <x v="1"/>
    <s v="페이스북/인스타그램"/>
    <x v="1"/>
    <x v="1"/>
    <x v="1"/>
    <m/>
    <m/>
    <m/>
    <n v="49335"/>
    <m/>
  </r>
  <r>
    <x v="335"/>
    <x v="1"/>
    <s v="페이스북/인스타그램"/>
    <x v="1"/>
    <x v="1"/>
    <x v="1"/>
    <m/>
    <m/>
    <m/>
    <n v="97555"/>
    <m/>
  </r>
  <r>
    <x v="335"/>
    <x v="1"/>
    <s v="페이스북/인스타그램"/>
    <x v="1"/>
    <x v="1"/>
    <x v="1"/>
    <m/>
    <m/>
    <m/>
    <n v="148155"/>
    <m/>
  </r>
  <r>
    <x v="335"/>
    <x v="1"/>
    <s v="페이스북/인스타그램"/>
    <x v="1"/>
    <x v="1"/>
    <x v="1"/>
    <m/>
    <m/>
    <m/>
    <n v="29547"/>
    <m/>
  </r>
  <r>
    <x v="335"/>
    <x v="1"/>
    <s v="페이스북/인스타그램"/>
    <x v="1"/>
    <x v="1"/>
    <x v="1"/>
    <m/>
    <m/>
    <m/>
    <n v="146965"/>
    <m/>
  </r>
  <r>
    <x v="335"/>
    <x v="1"/>
    <s v="페이스북/인스타그램"/>
    <x v="1"/>
    <x v="1"/>
    <x v="1"/>
    <m/>
    <m/>
    <m/>
    <n v="97016"/>
    <m/>
  </r>
  <r>
    <x v="335"/>
    <x v="1"/>
    <s v="페이스북/인스타그램"/>
    <x v="1"/>
    <x v="1"/>
    <x v="1"/>
    <m/>
    <m/>
    <m/>
    <n v="29390"/>
    <m/>
  </r>
  <r>
    <x v="336"/>
    <x v="2"/>
    <s v="페이스북/인스타그램"/>
    <x v="1"/>
    <x v="1"/>
    <x v="1"/>
    <m/>
    <m/>
    <m/>
    <n v="29066"/>
    <m/>
  </r>
  <r>
    <x v="336"/>
    <x v="2"/>
    <s v="페이스북/인스타그램"/>
    <x v="1"/>
    <x v="1"/>
    <x v="1"/>
    <m/>
    <m/>
    <m/>
    <n v="63147"/>
    <m/>
  </r>
  <r>
    <x v="336"/>
    <x v="2"/>
    <s v="페이스북/인스타그램"/>
    <x v="1"/>
    <x v="1"/>
    <x v="1"/>
    <m/>
    <m/>
    <m/>
    <n v="65474"/>
    <m/>
  </r>
  <r>
    <x v="336"/>
    <x v="2"/>
    <s v="페이스북/인스타그램"/>
    <x v="1"/>
    <x v="1"/>
    <x v="1"/>
    <m/>
    <m/>
    <m/>
    <n v="112170"/>
    <m/>
  </r>
  <r>
    <x v="336"/>
    <x v="2"/>
    <s v="페이스북/인스타그램"/>
    <x v="1"/>
    <x v="1"/>
    <x v="1"/>
    <m/>
    <m/>
    <m/>
    <n v="61364"/>
    <m/>
  </r>
  <r>
    <x v="336"/>
    <x v="2"/>
    <s v="페이스북/인스타그램"/>
    <x v="1"/>
    <x v="1"/>
    <x v="1"/>
    <m/>
    <m/>
    <m/>
    <n v="73049"/>
    <m/>
  </r>
  <r>
    <x v="336"/>
    <x v="2"/>
    <s v="페이스북/인스타그램"/>
    <x v="1"/>
    <x v="1"/>
    <x v="1"/>
    <m/>
    <m/>
    <m/>
    <n v="31747"/>
    <m/>
  </r>
  <r>
    <x v="336"/>
    <x v="2"/>
    <s v="페이스북/인스타그램"/>
    <x v="1"/>
    <x v="1"/>
    <x v="1"/>
    <m/>
    <m/>
    <m/>
    <n v="128952"/>
    <m/>
  </r>
  <r>
    <x v="336"/>
    <x v="2"/>
    <s v="페이스북/인스타그램"/>
    <x v="1"/>
    <x v="1"/>
    <x v="1"/>
    <m/>
    <m/>
    <m/>
    <n v="53892"/>
    <m/>
  </r>
  <r>
    <x v="336"/>
    <x v="2"/>
    <s v="페이스북/인스타그램"/>
    <x v="1"/>
    <x v="1"/>
    <x v="1"/>
    <m/>
    <m/>
    <m/>
    <n v="32497"/>
    <m/>
  </r>
  <r>
    <x v="336"/>
    <x v="2"/>
    <s v="페이스북/인스타그램"/>
    <x v="1"/>
    <x v="1"/>
    <x v="1"/>
    <m/>
    <m/>
    <m/>
    <n v="794601"/>
    <m/>
  </r>
  <r>
    <x v="336"/>
    <x v="2"/>
    <s v="페이스북/인스타그램"/>
    <x v="1"/>
    <x v="1"/>
    <x v="1"/>
    <m/>
    <m/>
    <m/>
    <n v="250336"/>
    <m/>
  </r>
  <r>
    <x v="336"/>
    <x v="2"/>
    <s v="페이스북/인스타그램"/>
    <x v="1"/>
    <x v="1"/>
    <x v="1"/>
    <m/>
    <m/>
    <m/>
    <n v="113758"/>
    <m/>
  </r>
  <r>
    <x v="336"/>
    <x v="2"/>
    <s v="페이스북/인스타그램"/>
    <x v="1"/>
    <x v="1"/>
    <x v="1"/>
    <m/>
    <m/>
    <m/>
    <n v="50111"/>
    <m/>
  </r>
  <r>
    <x v="336"/>
    <x v="2"/>
    <s v="페이스북/인스타그램"/>
    <x v="1"/>
    <x v="1"/>
    <x v="1"/>
    <m/>
    <m/>
    <m/>
    <n v="154497"/>
    <m/>
  </r>
  <r>
    <x v="336"/>
    <x v="2"/>
    <s v="페이스북/인스타그램"/>
    <x v="1"/>
    <x v="1"/>
    <x v="1"/>
    <m/>
    <m/>
    <m/>
    <n v="30573"/>
    <m/>
  </r>
  <r>
    <x v="336"/>
    <x v="2"/>
    <s v="페이스북/인스타그램"/>
    <x v="1"/>
    <x v="1"/>
    <x v="1"/>
    <m/>
    <m/>
    <m/>
    <n v="51629"/>
    <m/>
  </r>
  <r>
    <x v="336"/>
    <x v="2"/>
    <s v="페이스북/인스타그램"/>
    <x v="1"/>
    <x v="1"/>
    <x v="1"/>
    <m/>
    <m/>
    <m/>
    <n v="209862"/>
    <m/>
  </r>
  <r>
    <x v="336"/>
    <x v="2"/>
    <s v="페이스북/인스타그램"/>
    <x v="1"/>
    <x v="1"/>
    <x v="1"/>
    <m/>
    <m/>
    <m/>
    <n v="51357"/>
    <m/>
  </r>
  <r>
    <x v="336"/>
    <x v="2"/>
    <s v="페이스북/인스타그램"/>
    <x v="1"/>
    <x v="1"/>
    <x v="1"/>
    <m/>
    <m/>
    <m/>
    <n v="101895"/>
    <m/>
  </r>
  <r>
    <x v="336"/>
    <x v="2"/>
    <s v="페이스북/인스타그램"/>
    <x v="1"/>
    <x v="1"/>
    <x v="1"/>
    <m/>
    <m/>
    <m/>
    <n v="155929"/>
    <m/>
  </r>
  <r>
    <x v="336"/>
    <x v="2"/>
    <s v="페이스북/인스타그램"/>
    <x v="1"/>
    <x v="1"/>
    <x v="1"/>
    <m/>
    <m/>
    <m/>
    <n v="31051"/>
    <m/>
  </r>
  <r>
    <x v="336"/>
    <x v="2"/>
    <s v="페이스북/인스타그램"/>
    <x v="1"/>
    <x v="1"/>
    <x v="1"/>
    <m/>
    <m/>
    <m/>
    <n v="153938"/>
    <m/>
  </r>
  <r>
    <x v="336"/>
    <x v="2"/>
    <s v="페이스북/인스타그램"/>
    <x v="1"/>
    <x v="1"/>
    <x v="1"/>
    <m/>
    <m/>
    <m/>
    <n v="102744"/>
    <m/>
  </r>
  <r>
    <x v="336"/>
    <x v="2"/>
    <s v="페이스북/인스타그램"/>
    <x v="1"/>
    <x v="1"/>
    <x v="1"/>
    <m/>
    <m/>
    <m/>
    <n v="30787"/>
    <m/>
  </r>
  <r>
    <x v="337"/>
    <x v="5"/>
    <s v="페이스북/인스타그램"/>
    <x v="1"/>
    <x v="1"/>
    <x v="1"/>
    <m/>
    <m/>
    <m/>
    <n v="61022"/>
    <m/>
  </r>
  <r>
    <x v="337"/>
    <x v="5"/>
    <s v="페이스북/인스타그램"/>
    <x v="1"/>
    <x v="1"/>
    <x v="1"/>
    <m/>
    <m/>
    <m/>
    <n v="100364"/>
    <m/>
  </r>
  <r>
    <x v="337"/>
    <x v="5"/>
    <s v="페이스북/인스타그램"/>
    <x v="1"/>
    <x v="1"/>
    <x v="1"/>
    <m/>
    <m/>
    <m/>
    <n v="100099"/>
    <m/>
  </r>
  <r>
    <x v="337"/>
    <x v="5"/>
    <s v="페이스북/인스타그램"/>
    <x v="1"/>
    <x v="1"/>
    <x v="1"/>
    <m/>
    <m/>
    <m/>
    <n v="60422"/>
    <m/>
  </r>
  <r>
    <x v="337"/>
    <x v="5"/>
    <s v="페이스북/인스타그램"/>
    <x v="1"/>
    <x v="1"/>
    <x v="1"/>
    <m/>
    <m/>
    <m/>
    <n v="80750"/>
    <m/>
  </r>
  <r>
    <x v="337"/>
    <x v="5"/>
    <s v="페이스북/인스타그램"/>
    <x v="1"/>
    <x v="1"/>
    <x v="1"/>
    <m/>
    <m/>
    <m/>
    <n v="30286"/>
    <m/>
  </r>
  <r>
    <x v="337"/>
    <x v="5"/>
    <s v="페이스북/인스타그램"/>
    <x v="1"/>
    <x v="1"/>
    <x v="1"/>
    <m/>
    <m/>
    <m/>
    <n v="110866"/>
    <m/>
  </r>
  <r>
    <x v="337"/>
    <x v="5"/>
    <s v="페이스북/인스타그램"/>
    <x v="1"/>
    <x v="1"/>
    <x v="1"/>
    <m/>
    <m/>
    <m/>
    <n v="50532"/>
    <m/>
  </r>
  <r>
    <x v="337"/>
    <x v="5"/>
    <s v="페이스북/인스타그램"/>
    <x v="1"/>
    <x v="1"/>
    <x v="1"/>
    <m/>
    <m/>
    <m/>
    <n v="30392"/>
    <m/>
  </r>
  <r>
    <x v="337"/>
    <x v="5"/>
    <s v="페이스북/인스타그램"/>
    <x v="1"/>
    <x v="1"/>
    <x v="1"/>
    <m/>
    <m/>
    <m/>
    <n v="801555"/>
    <m/>
  </r>
  <r>
    <x v="337"/>
    <x v="5"/>
    <s v="페이스북/인스타그램"/>
    <x v="1"/>
    <x v="1"/>
    <x v="1"/>
    <m/>
    <m/>
    <m/>
    <n v="250359"/>
    <m/>
  </r>
  <r>
    <x v="337"/>
    <x v="5"/>
    <s v="페이스북/인스타그램"/>
    <x v="1"/>
    <x v="1"/>
    <x v="1"/>
    <m/>
    <m/>
    <m/>
    <n v="100349"/>
    <m/>
  </r>
  <r>
    <x v="337"/>
    <x v="5"/>
    <s v="페이스북/인스타그램"/>
    <x v="1"/>
    <x v="1"/>
    <x v="1"/>
    <m/>
    <m/>
    <m/>
    <n v="50346"/>
    <m/>
  </r>
  <r>
    <x v="337"/>
    <x v="5"/>
    <s v="페이스북/인스타그램"/>
    <x v="1"/>
    <x v="1"/>
    <x v="1"/>
    <m/>
    <m/>
    <m/>
    <n v="150979"/>
    <m/>
  </r>
  <r>
    <x v="337"/>
    <x v="5"/>
    <s v="페이스북/인스타그램"/>
    <x v="1"/>
    <x v="1"/>
    <x v="1"/>
    <m/>
    <m/>
    <m/>
    <n v="30369"/>
    <m/>
  </r>
  <r>
    <x v="337"/>
    <x v="5"/>
    <s v="페이스북/인스타그램"/>
    <x v="1"/>
    <x v="1"/>
    <x v="1"/>
    <m/>
    <m/>
    <m/>
    <n v="50095"/>
    <m/>
  </r>
  <r>
    <x v="337"/>
    <x v="5"/>
    <s v="페이스북/인스타그램"/>
    <x v="1"/>
    <x v="1"/>
    <x v="1"/>
    <m/>
    <m/>
    <m/>
    <n v="201144"/>
    <m/>
  </r>
  <r>
    <x v="337"/>
    <x v="5"/>
    <s v="페이스북/인스타그램"/>
    <x v="1"/>
    <x v="1"/>
    <x v="1"/>
    <m/>
    <m/>
    <m/>
    <n v="50115"/>
    <m/>
  </r>
  <r>
    <x v="337"/>
    <x v="5"/>
    <s v="페이스북/인스타그램"/>
    <x v="1"/>
    <x v="1"/>
    <x v="1"/>
    <m/>
    <m/>
    <m/>
    <n v="100869"/>
    <m/>
  </r>
  <r>
    <x v="337"/>
    <x v="5"/>
    <s v="페이스북/인스타그램"/>
    <x v="1"/>
    <x v="1"/>
    <x v="1"/>
    <m/>
    <m/>
    <m/>
    <n v="150545"/>
    <m/>
  </r>
  <r>
    <x v="337"/>
    <x v="5"/>
    <s v="페이스북/인스타그램"/>
    <x v="1"/>
    <x v="1"/>
    <x v="1"/>
    <m/>
    <m/>
    <m/>
    <n v="30307"/>
    <m/>
  </r>
  <r>
    <x v="337"/>
    <x v="5"/>
    <s v="페이스북/인스타그램"/>
    <x v="1"/>
    <x v="1"/>
    <x v="1"/>
    <m/>
    <m/>
    <m/>
    <n v="150357"/>
    <m/>
  </r>
  <r>
    <x v="337"/>
    <x v="5"/>
    <s v="페이스북/인스타그램"/>
    <x v="1"/>
    <x v="1"/>
    <x v="1"/>
    <m/>
    <m/>
    <m/>
    <n v="100288"/>
    <m/>
  </r>
  <r>
    <x v="337"/>
    <x v="5"/>
    <s v="페이스북/인스타그램"/>
    <x v="1"/>
    <x v="1"/>
    <x v="1"/>
    <m/>
    <m/>
    <m/>
    <n v="30055"/>
    <m/>
  </r>
  <r>
    <x v="335"/>
    <x v="1"/>
    <s v="유튜브 광고"/>
    <x v="1"/>
    <x v="1"/>
    <x v="1"/>
    <m/>
    <m/>
    <m/>
    <n v="19439"/>
    <m/>
  </r>
  <r>
    <x v="335"/>
    <x v="1"/>
    <s v="유튜브 광고"/>
    <x v="1"/>
    <x v="1"/>
    <x v="1"/>
    <m/>
    <m/>
    <m/>
    <n v="50000"/>
    <m/>
  </r>
  <r>
    <x v="335"/>
    <x v="1"/>
    <s v="유튜브 광고"/>
    <x v="1"/>
    <x v="1"/>
    <x v="1"/>
    <m/>
    <m/>
    <m/>
    <n v="603273"/>
    <m/>
  </r>
  <r>
    <x v="335"/>
    <x v="1"/>
    <s v="유튜브 광고"/>
    <x v="1"/>
    <x v="1"/>
    <x v="1"/>
    <m/>
    <m/>
    <m/>
    <n v="61287"/>
    <m/>
  </r>
  <r>
    <x v="335"/>
    <x v="1"/>
    <s v="유튜브 광고"/>
    <x v="1"/>
    <x v="1"/>
    <x v="1"/>
    <m/>
    <m/>
    <m/>
    <n v="376558"/>
    <m/>
  </r>
  <r>
    <x v="335"/>
    <x v="1"/>
    <s v="유튜브 광고"/>
    <x v="1"/>
    <x v="1"/>
    <x v="1"/>
    <m/>
    <m/>
    <m/>
    <n v="296987"/>
    <m/>
  </r>
  <r>
    <x v="335"/>
    <x v="1"/>
    <s v="유튜브 광고"/>
    <x v="1"/>
    <x v="1"/>
    <x v="1"/>
    <m/>
    <m/>
    <m/>
    <n v="395868"/>
    <m/>
  </r>
  <r>
    <x v="335"/>
    <x v="1"/>
    <s v="유튜브 광고"/>
    <x v="1"/>
    <x v="1"/>
    <x v="1"/>
    <m/>
    <m/>
    <m/>
    <n v="396156"/>
    <m/>
  </r>
  <r>
    <x v="335"/>
    <x v="1"/>
    <s v="유튜브 광고"/>
    <x v="1"/>
    <x v="1"/>
    <x v="1"/>
    <m/>
    <m/>
    <m/>
    <n v="50010"/>
    <m/>
  </r>
  <r>
    <x v="336"/>
    <x v="2"/>
    <s v="유튜브 광고"/>
    <x v="1"/>
    <x v="1"/>
    <x v="1"/>
    <m/>
    <m/>
    <m/>
    <n v="26023"/>
    <m/>
  </r>
  <r>
    <x v="336"/>
    <x v="2"/>
    <s v="유튜브 광고"/>
    <x v="1"/>
    <x v="1"/>
    <x v="1"/>
    <m/>
    <m/>
    <m/>
    <n v="49000"/>
    <m/>
  </r>
  <r>
    <x v="336"/>
    <x v="2"/>
    <s v="유튜브 광고"/>
    <x v="1"/>
    <x v="1"/>
    <x v="1"/>
    <m/>
    <m/>
    <m/>
    <n v="594759"/>
    <m/>
  </r>
  <r>
    <x v="336"/>
    <x v="2"/>
    <s v="유튜브 광고"/>
    <x v="1"/>
    <x v="1"/>
    <x v="1"/>
    <m/>
    <m/>
    <m/>
    <n v="117733"/>
    <m/>
  </r>
  <r>
    <x v="336"/>
    <x v="2"/>
    <s v="유튜브 광고"/>
    <x v="1"/>
    <x v="1"/>
    <x v="1"/>
    <m/>
    <m/>
    <m/>
    <n v="392271"/>
    <m/>
  </r>
  <r>
    <x v="336"/>
    <x v="2"/>
    <s v="유튜브 광고"/>
    <x v="1"/>
    <x v="1"/>
    <x v="1"/>
    <m/>
    <m/>
    <m/>
    <n v="294253"/>
    <m/>
  </r>
  <r>
    <x v="336"/>
    <x v="2"/>
    <s v="유튜브 광고"/>
    <x v="1"/>
    <x v="1"/>
    <x v="1"/>
    <m/>
    <m/>
    <m/>
    <n v="392278"/>
    <m/>
  </r>
  <r>
    <x v="336"/>
    <x v="2"/>
    <s v="유튜브 광고"/>
    <x v="1"/>
    <x v="1"/>
    <x v="1"/>
    <m/>
    <m/>
    <m/>
    <n v="392291"/>
    <m/>
  </r>
  <r>
    <x v="336"/>
    <x v="2"/>
    <s v="유튜브 광고"/>
    <x v="1"/>
    <x v="1"/>
    <x v="1"/>
    <m/>
    <m/>
    <m/>
    <n v="49036"/>
    <m/>
  </r>
  <r>
    <x v="337"/>
    <x v="5"/>
    <s v="유튜브 광고"/>
    <x v="1"/>
    <x v="1"/>
    <x v="1"/>
    <m/>
    <m/>
    <m/>
    <n v="40211"/>
    <m/>
  </r>
  <r>
    <x v="337"/>
    <x v="5"/>
    <s v="유튜브 광고"/>
    <x v="1"/>
    <x v="1"/>
    <x v="1"/>
    <m/>
    <m/>
    <m/>
    <n v="37056"/>
    <m/>
  </r>
  <r>
    <x v="337"/>
    <x v="5"/>
    <s v="유튜브 광고"/>
    <x v="1"/>
    <x v="1"/>
    <x v="1"/>
    <m/>
    <m/>
    <m/>
    <n v="527679"/>
    <m/>
  </r>
  <r>
    <x v="337"/>
    <x v="5"/>
    <s v="유튜브 광고"/>
    <x v="1"/>
    <x v="1"/>
    <x v="1"/>
    <m/>
    <m/>
    <m/>
    <n v="109104"/>
    <m/>
  </r>
  <r>
    <x v="337"/>
    <x v="5"/>
    <s v="유튜브 광고"/>
    <x v="1"/>
    <x v="1"/>
    <x v="1"/>
    <m/>
    <m/>
    <m/>
    <n v="392472"/>
    <m/>
  </r>
  <r>
    <x v="337"/>
    <x v="5"/>
    <s v="유튜브 광고"/>
    <x v="1"/>
    <x v="1"/>
    <x v="1"/>
    <m/>
    <m/>
    <m/>
    <n v="294205"/>
    <m/>
  </r>
  <r>
    <x v="337"/>
    <x v="5"/>
    <s v="유튜브 광고"/>
    <x v="1"/>
    <x v="1"/>
    <x v="1"/>
    <m/>
    <m/>
    <m/>
    <n v="392264"/>
    <m/>
  </r>
  <r>
    <x v="337"/>
    <x v="5"/>
    <s v="유튜브 광고"/>
    <x v="1"/>
    <x v="1"/>
    <x v="1"/>
    <m/>
    <m/>
    <m/>
    <n v="392255"/>
    <m/>
  </r>
  <r>
    <x v="337"/>
    <x v="5"/>
    <s v="유튜브 광고"/>
    <x v="1"/>
    <x v="1"/>
    <x v="1"/>
    <m/>
    <m/>
    <m/>
    <n v="49062"/>
    <m/>
  </r>
  <r>
    <x v="337"/>
    <x v="5"/>
    <s v="네이버 쇼핑검색"/>
    <x v="1"/>
    <x v="1"/>
    <x v="1"/>
    <m/>
    <m/>
    <m/>
    <n v="16910"/>
    <m/>
  </r>
  <r>
    <x v="337"/>
    <x v="5"/>
    <s v="네이버 쇼핑검색"/>
    <x v="1"/>
    <x v="1"/>
    <x v="1"/>
    <m/>
    <m/>
    <m/>
    <n v="0"/>
    <m/>
  </r>
  <r>
    <x v="337"/>
    <x v="5"/>
    <s v="네이버 쇼핑검색"/>
    <x v="1"/>
    <x v="1"/>
    <x v="1"/>
    <m/>
    <m/>
    <m/>
    <n v="120060"/>
    <m/>
  </r>
  <r>
    <x v="337"/>
    <x v="5"/>
    <s v="네이버 브랜드검색"/>
    <x v="3"/>
    <x v="1"/>
    <x v="1"/>
    <m/>
    <m/>
    <m/>
    <n v="88000"/>
    <m/>
  </r>
  <r>
    <x v="337"/>
    <x v="5"/>
    <s v="네이버 브랜드검색"/>
    <x v="3"/>
    <x v="1"/>
    <x v="1"/>
    <m/>
    <m/>
    <m/>
    <n v="16700"/>
    <m/>
  </r>
  <r>
    <x v="336"/>
    <x v="2"/>
    <s v="네이버 쇼핑검색"/>
    <x v="1"/>
    <x v="1"/>
    <x v="1"/>
    <m/>
    <m/>
    <m/>
    <n v="20120"/>
    <m/>
  </r>
  <r>
    <x v="336"/>
    <x v="2"/>
    <s v="네이버 쇼핑검색"/>
    <x v="1"/>
    <x v="1"/>
    <x v="1"/>
    <m/>
    <m/>
    <m/>
    <n v="49.99999999999999"/>
    <m/>
  </r>
  <r>
    <x v="336"/>
    <x v="2"/>
    <s v="네이버 쇼핑검색"/>
    <x v="1"/>
    <x v="1"/>
    <x v="1"/>
    <m/>
    <m/>
    <m/>
    <n v="117490"/>
    <m/>
  </r>
  <r>
    <x v="336"/>
    <x v="2"/>
    <s v="네이버 브랜드검색"/>
    <x v="3"/>
    <x v="1"/>
    <x v="1"/>
    <m/>
    <m/>
    <m/>
    <n v="88000"/>
    <m/>
  </r>
  <r>
    <x v="336"/>
    <x v="2"/>
    <s v="네이버 브랜드검색"/>
    <x v="3"/>
    <x v="1"/>
    <x v="1"/>
    <m/>
    <m/>
    <m/>
    <n v="16700"/>
    <m/>
  </r>
  <r>
    <x v="335"/>
    <x v="1"/>
    <s v="네이버 쇼핑검색"/>
    <x v="1"/>
    <x v="1"/>
    <x v="1"/>
    <m/>
    <m/>
    <m/>
    <n v="18520"/>
    <m/>
  </r>
  <r>
    <x v="335"/>
    <x v="1"/>
    <s v="네이버 쇼핑검색"/>
    <x v="1"/>
    <x v="1"/>
    <x v="1"/>
    <m/>
    <m/>
    <m/>
    <n v="99.99999999999999"/>
    <m/>
  </r>
  <r>
    <x v="335"/>
    <x v="1"/>
    <s v="네이버 쇼핑검색"/>
    <x v="1"/>
    <x v="1"/>
    <x v="1"/>
    <m/>
    <m/>
    <m/>
    <n v="117220"/>
    <m/>
  </r>
  <r>
    <x v="335"/>
    <x v="1"/>
    <s v="네이버 브랜드검색"/>
    <x v="3"/>
    <x v="1"/>
    <x v="1"/>
    <m/>
    <m/>
    <m/>
    <n v="88000"/>
    <m/>
  </r>
  <r>
    <x v="335"/>
    <x v="1"/>
    <s v="네이버 브랜드검색"/>
    <x v="3"/>
    <x v="1"/>
    <x v="1"/>
    <m/>
    <m/>
    <m/>
    <n v="16700"/>
    <m/>
  </r>
  <r>
    <x v="335"/>
    <x v="1"/>
    <m/>
    <x v="1"/>
    <x v="4"/>
    <x v="155"/>
    <n v="7"/>
    <s v="스테이포에버"/>
    <s v="210207"/>
    <m/>
    <n v="238000"/>
  </r>
  <r>
    <x v="335"/>
    <x v="1"/>
    <m/>
    <x v="1"/>
    <x v="4"/>
    <x v="157"/>
    <n v="1"/>
    <s v="이그나이트 + 스테이포에버"/>
    <s v="210207"/>
    <m/>
    <n v="58800"/>
  </r>
  <r>
    <x v="335"/>
    <x v="1"/>
    <m/>
    <x v="1"/>
    <x v="3"/>
    <x v="150"/>
    <n v="1"/>
    <s v="이그나이트 + 스테이포에버"/>
    <s v="210207"/>
    <m/>
    <n v="58800"/>
  </r>
  <r>
    <x v="335"/>
    <x v="1"/>
    <m/>
    <x v="1"/>
    <x v="3"/>
    <x v="151"/>
    <n v="1"/>
    <s v="스테이포에버 2set"/>
    <s v="210207"/>
    <m/>
    <n v="58800"/>
  </r>
  <r>
    <x v="335"/>
    <x v="1"/>
    <m/>
    <x v="1"/>
    <x v="3"/>
    <x v="152"/>
    <n v="23"/>
    <s v="스테이포에버"/>
    <s v="210207"/>
    <m/>
    <n v="782000"/>
  </r>
  <r>
    <x v="335"/>
    <x v="1"/>
    <m/>
    <x v="1"/>
    <x v="0"/>
    <x v="135"/>
    <n v="7"/>
    <s v="스테이포에버"/>
    <s v="210207"/>
    <m/>
    <n v="238000"/>
  </r>
  <r>
    <x v="335"/>
    <x v="1"/>
    <m/>
    <x v="1"/>
    <x v="0"/>
    <x v="136"/>
    <n v="5"/>
    <s v="스테이포에버 2set"/>
    <s v="210207"/>
    <m/>
    <n v="294000"/>
  </r>
  <r>
    <x v="335"/>
    <x v="1"/>
    <m/>
    <x v="1"/>
    <x v="0"/>
    <x v="137"/>
    <n v="8"/>
    <s v="이그나이트 + 스테이포에버"/>
    <s v="210207"/>
    <m/>
    <n v="470400"/>
  </r>
  <r>
    <x v="335"/>
    <x v="1"/>
    <m/>
    <x v="1"/>
    <x v="0"/>
    <x v="144"/>
    <n v="2"/>
    <s v="이그나이트 + 스테이포에버"/>
    <s v="210207"/>
    <m/>
    <n v="117600"/>
  </r>
  <r>
    <x v="335"/>
    <x v="1"/>
    <m/>
    <x v="1"/>
    <x v="0"/>
    <x v="138"/>
    <n v="194"/>
    <s v="스테이포에버"/>
    <s v="210207"/>
    <m/>
    <n v="6596000"/>
  </r>
  <r>
    <x v="335"/>
    <x v="1"/>
    <m/>
    <x v="1"/>
    <x v="0"/>
    <x v="139"/>
    <n v="113"/>
    <s v="스테이포에버 2set"/>
    <s v="210207"/>
    <m/>
    <n v="6644400"/>
  </r>
  <r>
    <x v="335"/>
    <x v="1"/>
    <m/>
    <x v="1"/>
    <x v="0"/>
    <x v="140"/>
    <n v="6"/>
    <s v="이그나이트 + 스테이포에버"/>
    <s v="210207"/>
    <m/>
    <n v="352800"/>
  </r>
  <r>
    <x v="335"/>
    <x v="1"/>
    <m/>
    <x v="0"/>
    <x v="0"/>
    <x v="0"/>
    <n v="3"/>
    <s v="쇼핑백"/>
    <s v="210207"/>
    <m/>
    <n v="6000"/>
  </r>
  <r>
    <x v="335"/>
    <x v="1"/>
    <m/>
    <x v="1"/>
    <x v="0"/>
    <x v="141"/>
    <n v="1"/>
    <s v="이그나이트"/>
    <s v="210207"/>
    <m/>
    <n v="34000"/>
  </r>
  <r>
    <x v="335"/>
    <x v="1"/>
    <m/>
    <x v="1"/>
    <x v="0"/>
    <x v="142"/>
    <n v="1"/>
    <s v="이그나이트 2set"/>
    <s v="210207"/>
    <m/>
    <n v="58800"/>
  </r>
  <r>
    <x v="335"/>
    <x v="1"/>
    <m/>
    <x v="0"/>
    <x v="0"/>
    <x v="143"/>
    <n v="1"/>
    <s v="쇼핑백"/>
    <s v="210207"/>
    <m/>
    <n v="2000"/>
  </r>
  <r>
    <x v="336"/>
    <x v="2"/>
    <m/>
    <x v="1"/>
    <x v="3"/>
    <x v="150"/>
    <n v="1"/>
    <s v="이그나이트 + 스테이포에버"/>
    <s v="210207"/>
    <m/>
    <n v="58800"/>
  </r>
  <r>
    <x v="336"/>
    <x v="2"/>
    <m/>
    <x v="1"/>
    <x v="3"/>
    <x v="151"/>
    <n v="1"/>
    <s v="스테이포에버 2set"/>
    <s v="210207"/>
    <m/>
    <n v="58800"/>
  </r>
  <r>
    <x v="336"/>
    <x v="2"/>
    <m/>
    <x v="1"/>
    <x v="3"/>
    <x v="152"/>
    <n v="17"/>
    <s v="스테이포에버"/>
    <s v="210207"/>
    <m/>
    <n v="578000"/>
  </r>
  <r>
    <x v="336"/>
    <x v="2"/>
    <m/>
    <x v="1"/>
    <x v="3"/>
    <x v="154"/>
    <n v="1"/>
    <s v="이그나이트"/>
    <s v="210207"/>
    <m/>
    <n v="34000"/>
  </r>
  <r>
    <x v="336"/>
    <x v="2"/>
    <m/>
    <x v="1"/>
    <x v="0"/>
    <x v="145"/>
    <n v="1"/>
    <s v="이그나이트 2set"/>
    <s v="210207"/>
    <m/>
    <n v="58800"/>
  </r>
  <r>
    <x v="336"/>
    <x v="2"/>
    <m/>
    <x v="1"/>
    <x v="0"/>
    <x v="135"/>
    <n v="4"/>
    <s v="스테이포에버"/>
    <s v="210207"/>
    <m/>
    <n v="136000"/>
  </r>
  <r>
    <x v="336"/>
    <x v="2"/>
    <m/>
    <x v="1"/>
    <x v="0"/>
    <x v="136"/>
    <n v="10"/>
    <s v="스테이포에버 2set"/>
    <s v="210207"/>
    <m/>
    <n v="588000"/>
  </r>
  <r>
    <x v="336"/>
    <x v="2"/>
    <m/>
    <x v="1"/>
    <x v="0"/>
    <x v="137"/>
    <n v="13"/>
    <s v="이그나이트 + 스테이포에버"/>
    <s v="210207"/>
    <m/>
    <n v="764400"/>
  </r>
  <r>
    <x v="336"/>
    <x v="2"/>
    <m/>
    <x v="1"/>
    <x v="0"/>
    <x v="144"/>
    <n v="2"/>
    <s v="이그나이트 + 스테이포에버"/>
    <s v="210207"/>
    <m/>
    <n v="117600"/>
  </r>
  <r>
    <x v="336"/>
    <x v="2"/>
    <m/>
    <x v="1"/>
    <x v="0"/>
    <x v="138"/>
    <n v="283"/>
    <s v="스테이포에버"/>
    <s v="210207"/>
    <m/>
    <n v="9622000"/>
  </r>
  <r>
    <x v="336"/>
    <x v="2"/>
    <m/>
    <x v="1"/>
    <x v="0"/>
    <x v="139"/>
    <n v="178"/>
    <s v="스테이포에버 2set"/>
    <s v="210207"/>
    <m/>
    <n v="10466400"/>
  </r>
  <r>
    <x v="336"/>
    <x v="2"/>
    <m/>
    <x v="1"/>
    <x v="0"/>
    <x v="140"/>
    <n v="21"/>
    <s v="이그나이트 + 스테이포에버"/>
    <s v="210207"/>
    <m/>
    <n v="1234800"/>
  </r>
  <r>
    <x v="336"/>
    <x v="2"/>
    <m/>
    <x v="0"/>
    <x v="0"/>
    <x v="0"/>
    <n v="8"/>
    <s v="쇼핑백"/>
    <s v="210207"/>
    <m/>
    <n v="16000"/>
  </r>
  <r>
    <x v="336"/>
    <x v="2"/>
    <m/>
    <x v="1"/>
    <x v="0"/>
    <x v="141"/>
    <n v="2"/>
    <s v="이그나이트"/>
    <s v="210207"/>
    <m/>
    <n v="68000"/>
  </r>
  <r>
    <x v="336"/>
    <x v="2"/>
    <m/>
    <x v="1"/>
    <x v="0"/>
    <x v="142"/>
    <n v="1"/>
    <s v="이그나이트 2set"/>
    <s v="210207"/>
    <m/>
    <n v="58800"/>
  </r>
  <r>
    <x v="337"/>
    <x v="5"/>
    <m/>
    <x v="1"/>
    <x v="3"/>
    <x v="150"/>
    <n v="3"/>
    <s v="이그나이트 + 스테이포에버"/>
    <s v="210207"/>
    <m/>
    <n v="176400"/>
  </r>
  <r>
    <x v="337"/>
    <x v="5"/>
    <m/>
    <x v="1"/>
    <x v="3"/>
    <x v="151"/>
    <n v="1"/>
    <s v="스테이포에버 2set"/>
    <s v="210207"/>
    <m/>
    <n v="58800"/>
  </r>
  <r>
    <x v="337"/>
    <x v="5"/>
    <m/>
    <x v="1"/>
    <x v="3"/>
    <x v="152"/>
    <n v="15"/>
    <s v="스테이포에버"/>
    <s v="210207"/>
    <m/>
    <n v="510000"/>
  </r>
  <r>
    <x v="337"/>
    <x v="5"/>
    <m/>
    <x v="0"/>
    <x v="0"/>
    <x v="148"/>
    <n v="1"/>
    <s v="쇼핑백"/>
    <s v="210207"/>
    <m/>
    <n v="2000"/>
  </r>
  <r>
    <x v="337"/>
    <x v="5"/>
    <m/>
    <x v="1"/>
    <x v="0"/>
    <x v="135"/>
    <n v="5"/>
    <s v="스테이포에버"/>
    <s v="210207"/>
    <m/>
    <n v="170000"/>
  </r>
  <r>
    <x v="337"/>
    <x v="5"/>
    <m/>
    <x v="1"/>
    <x v="0"/>
    <x v="136"/>
    <n v="8"/>
    <s v="스테이포에버 2set"/>
    <s v="210207"/>
    <m/>
    <n v="470400"/>
  </r>
  <r>
    <x v="337"/>
    <x v="5"/>
    <m/>
    <x v="1"/>
    <x v="0"/>
    <x v="137"/>
    <n v="10"/>
    <s v="이그나이트 + 스테이포에버"/>
    <s v="210207"/>
    <m/>
    <n v="588000"/>
  </r>
  <r>
    <x v="337"/>
    <x v="5"/>
    <m/>
    <x v="1"/>
    <x v="0"/>
    <x v="144"/>
    <n v="1"/>
    <s v="이그나이트 + 스테이포에버"/>
    <s v="210207"/>
    <m/>
    <n v="58800"/>
  </r>
  <r>
    <x v="337"/>
    <x v="5"/>
    <m/>
    <x v="1"/>
    <x v="0"/>
    <x v="138"/>
    <n v="263"/>
    <s v="스테이포에버"/>
    <s v="210207"/>
    <m/>
    <n v="8942000"/>
  </r>
  <r>
    <x v="337"/>
    <x v="5"/>
    <m/>
    <x v="1"/>
    <x v="0"/>
    <x v="139"/>
    <n v="170"/>
    <s v="스테이포에버 2set"/>
    <s v="210207"/>
    <m/>
    <n v="9996000"/>
  </r>
  <r>
    <x v="337"/>
    <x v="5"/>
    <m/>
    <x v="1"/>
    <x v="0"/>
    <x v="140"/>
    <n v="35"/>
    <s v="이그나이트 + 스테이포에버"/>
    <s v="210207"/>
    <m/>
    <n v="2058000"/>
  </r>
  <r>
    <x v="337"/>
    <x v="5"/>
    <m/>
    <x v="0"/>
    <x v="0"/>
    <x v="0"/>
    <n v="14"/>
    <s v="쇼핑백"/>
    <s v="210207"/>
    <m/>
    <n v="28000"/>
  </r>
  <r>
    <x v="337"/>
    <x v="5"/>
    <m/>
    <x v="1"/>
    <x v="0"/>
    <x v="141"/>
    <n v="1"/>
    <s v="이그나이트"/>
    <s v="210207"/>
    <m/>
    <n v="34000"/>
  </r>
  <r>
    <x v="337"/>
    <x v="5"/>
    <m/>
    <x v="1"/>
    <x v="0"/>
    <x v="142"/>
    <n v="2"/>
    <s v="이그나이트 2set"/>
    <s v="210207"/>
    <m/>
    <n v="117600"/>
  </r>
  <r>
    <x v="335"/>
    <x v="1"/>
    <s v="네이버 배너"/>
    <x v="1"/>
    <x v="1"/>
    <x v="1"/>
    <m/>
    <m/>
    <m/>
    <n v="852768.1818181818"/>
    <m/>
  </r>
  <r>
    <x v="336"/>
    <x v="2"/>
    <s v="네이버 배너"/>
    <x v="1"/>
    <x v="1"/>
    <x v="1"/>
    <m/>
    <m/>
    <m/>
    <n v="1133682.727272727"/>
    <m/>
  </r>
  <r>
    <x v="337"/>
    <x v="5"/>
    <s v="네이버 배너"/>
    <x v="1"/>
    <x v="1"/>
    <x v="1"/>
    <m/>
    <m/>
    <m/>
    <n v="1149204.545454545"/>
    <m/>
  </r>
  <r>
    <x v="334"/>
    <x v="4"/>
    <s v="카카오 배너"/>
    <x v="2"/>
    <x v="1"/>
    <x v="1"/>
    <m/>
    <m/>
    <m/>
    <n v="619240"/>
    <m/>
  </r>
  <r>
    <x v="335"/>
    <x v="1"/>
    <s v="카카오 배너"/>
    <x v="2"/>
    <x v="1"/>
    <x v="1"/>
    <m/>
    <m/>
    <m/>
    <n v="756490"/>
    <m/>
  </r>
  <r>
    <x v="336"/>
    <x v="2"/>
    <s v="카카오 배너"/>
    <x v="2"/>
    <x v="1"/>
    <x v="1"/>
    <m/>
    <m/>
    <m/>
    <n v="818520"/>
    <m/>
  </r>
  <r>
    <x v="337"/>
    <x v="5"/>
    <s v="카카오 배너"/>
    <x v="2"/>
    <x v="1"/>
    <x v="1"/>
    <m/>
    <m/>
    <m/>
    <n v="824540"/>
    <m/>
  </r>
  <r>
    <x v="335"/>
    <x v="1"/>
    <m/>
    <x v="1"/>
    <x v="5"/>
    <x v="167"/>
    <n v="1"/>
    <m/>
    <s v="210207"/>
    <m/>
    <n v="16830"/>
  </r>
  <r>
    <x v="335"/>
    <x v="1"/>
    <m/>
    <x v="1"/>
    <x v="5"/>
    <x v="168"/>
    <n v="42"/>
    <m/>
    <s v="210207"/>
    <m/>
    <n v="706860"/>
  </r>
  <r>
    <x v="336"/>
    <x v="2"/>
    <m/>
    <x v="1"/>
    <x v="5"/>
    <x v="167"/>
    <n v="1"/>
    <m/>
    <s v="210207"/>
    <m/>
    <n v="16830"/>
  </r>
  <r>
    <x v="336"/>
    <x v="2"/>
    <m/>
    <x v="1"/>
    <x v="5"/>
    <x v="168"/>
    <n v="48"/>
    <m/>
    <s v="210207"/>
    <m/>
    <n v="807840"/>
  </r>
  <r>
    <x v="262"/>
    <x v="7"/>
    <m/>
    <x v="2"/>
    <x v="1"/>
    <x v="1"/>
    <m/>
    <m/>
    <m/>
    <m/>
    <m/>
  </r>
  <r>
    <x v="338"/>
    <x v="6"/>
    <s v="페이스북/인스타그램"/>
    <x v="1"/>
    <x v="1"/>
    <x v="1"/>
    <m/>
    <m/>
    <m/>
    <n v="58716"/>
    <m/>
  </r>
  <r>
    <x v="338"/>
    <x v="6"/>
    <s v="페이스북/인스타그램"/>
    <x v="1"/>
    <x v="1"/>
    <x v="1"/>
    <m/>
    <m/>
    <m/>
    <n v="96464"/>
    <m/>
  </r>
  <r>
    <x v="338"/>
    <x v="6"/>
    <s v="페이스북/인스타그램"/>
    <x v="1"/>
    <x v="1"/>
    <x v="1"/>
    <m/>
    <m/>
    <m/>
    <n v="95941"/>
    <m/>
  </r>
  <r>
    <x v="338"/>
    <x v="6"/>
    <s v="페이스북/인스타그램"/>
    <x v="1"/>
    <x v="1"/>
    <x v="1"/>
    <m/>
    <m/>
    <m/>
    <n v="57972"/>
    <m/>
  </r>
  <r>
    <x v="338"/>
    <x v="6"/>
    <s v="페이스북/인스타그램"/>
    <x v="1"/>
    <x v="1"/>
    <x v="1"/>
    <m/>
    <m/>
    <m/>
    <n v="77526"/>
    <m/>
  </r>
  <r>
    <x v="338"/>
    <x v="6"/>
    <s v="페이스북/인스타그램"/>
    <x v="1"/>
    <x v="1"/>
    <x v="1"/>
    <m/>
    <m/>
    <m/>
    <n v="28897"/>
    <m/>
  </r>
  <r>
    <x v="338"/>
    <x v="6"/>
    <s v="페이스북/인스타그램"/>
    <x v="1"/>
    <x v="1"/>
    <x v="1"/>
    <m/>
    <m/>
    <m/>
    <n v="106254"/>
    <m/>
  </r>
  <r>
    <x v="338"/>
    <x v="6"/>
    <s v="페이스북/인스타그램"/>
    <x v="1"/>
    <x v="1"/>
    <x v="1"/>
    <m/>
    <m/>
    <m/>
    <n v="46957"/>
    <m/>
  </r>
  <r>
    <x v="338"/>
    <x v="6"/>
    <s v="페이스북/인스타그램"/>
    <x v="1"/>
    <x v="1"/>
    <x v="1"/>
    <m/>
    <m/>
    <m/>
    <n v="28218"/>
    <m/>
  </r>
  <r>
    <x v="338"/>
    <x v="6"/>
    <s v="페이스북/인스타그램"/>
    <x v="1"/>
    <x v="1"/>
    <x v="1"/>
    <m/>
    <m/>
    <m/>
    <n v="870290"/>
    <m/>
  </r>
  <r>
    <x v="338"/>
    <x v="6"/>
    <s v="페이스북/인스타그램"/>
    <x v="1"/>
    <x v="1"/>
    <x v="1"/>
    <m/>
    <m/>
    <m/>
    <n v="273709"/>
    <m/>
  </r>
  <r>
    <x v="338"/>
    <x v="6"/>
    <s v="페이스북/인스타그램"/>
    <x v="1"/>
    <x v="1"/>
    <x v="1"/>
    <m/>
    <m/>
    <m/>
    <n v="96540"/>
    <m/>
  </r>
  <r>
    <x v="338"/>
    <x v="6"/>
    <s v="페이스북/인스타그램"/>
    <x v="1"/>
    <x v="1"/>
    <x v="1"/>
    <m/>
    <m/>
    <m/>
    <n v="48388"/>
    <m/>
  </r>
  <r>
    <x v="338"/>
    <x v="6"/>
    <s v="페이스북/인스타그램"/>
    <x v="1"/>
    <x v="1"/>
    <x v="1"/>
    <m/>
    <m/>
    <m/>
    <n v="169051"/>
    <m/>
  </r>
  <r>
    <x v="338"/>
    <x v="6"/>
    <s v="페이스북/인스타그램"/>
    <x v="1"/>
    <x v="1"/>
    <x v="1"/>
    <m/>
    <m/>
    <m/>
    <n v="74040"/>
    <m/>
  </r>
  <r>
    <x v="338"/>
    <x v="6"/>
    <s v="페이스북/인스타그램"/>
    <x v="1"/>
    <x v="1"/>
    <x v="1"/>
    <m/>
    <m/>
    <m/>
    <n v="48026"/>
    <m/>
  </r>
  <r>
    <x v="338"/>
    <x v="6"/>
    <s v="페이스북/인스타그램"/>
    <x v="1"/>
    <x v="1"/>
    <x v="1"/>
    <m/>
    <m/>
    <m/>
    <n v="165862"/>
    <m/>
  </r>
  <r>
    <x v="338"/>
    <x v="6"/>
    <s v="페이스북/인스타그램"/>
    <x v="1"/>
    <x v="1"/>
    <x v="1"/>
    <m/>
    <m/>
    <m/>
    <n v="48259"/>
    <m/>
  </r>
  <r>
    <x v="338"/>
    <x v="6"/>
    <s v="페이스북/인스타그램"/>
    <x v="1"/>
    <x v="1"/>
    <x v="1"/>
    <m/>
    <m/>
    <m/>
    <n v="97162"/>
    <m/>
  </r>
  <r>
    <x v="338"/>
    <x v="6"/>
    <s v="페이스북/인스타그램"/>
    <x v="1"/>
    <x v="1"/>
    <x v="1"/>
    <m/>
    <m/>
    <m/>
    <n v="144142"/>
    <m/>
  </r>
  <r>
    <x v="338"/>
    <x v="6"/>
    <s v="페이스북/인스타그램"/>
    <x v="1"/>
    <x v="1"/>
    <x v="1"/>
    <m/>
    <m/>
    <m/>
    <n v="28798"/>
    <m/>
  </r>
  <r>
    <x v="338"/>
    <x v="6"/>
    <s v="페이스북/인스타그램"/>
    <x v="1"/>
    <x v="1"/>
    <x v="1"/>
    <m/>
    <m/>
    <m/>
    <n v="144968"/>
    <m/>
  </r>
  <r>
    <x v="338"/>
    <x v="6"/>
    <s v="페이스북/인스타그램"/>
    <x v="1"/>
    <x v="1"/>
    <x v="1"/>
    <m/>
    <m/>
    <m/>
    <n v="95953"/>
    <m/>
  </r>
  <r>
    <x v="338"/>
    <x v="6"/>
    <s v="페이스북/인스타그램"/>
    <x v="1"/>
    <x v="1"/>
    <x v="1"/>
    <m/>
    <m/>
    <m/>
    <n v="29201"/>
    <m/>
  </r>
  <r>
    <x v="338"/>
    <x v="6"/>
    <s v="유튜브 광고"/>
    <x v="1"/>
    <x v="1"/>
    <x v="1"/>
    <m/>
    <m/>
    <m/>
    <n v="37100"/>
    <m/>
  </r>
  <r>
    <x v="338"/>
    <x v="6"/>
    <s v="유튜브 광고"/>
    <x v="1"/>
    <x v="1"/>
    <x v="1"/>
    <m/>
    <m/>
    <m/>
    <n v="18749"/>
    <m/>
  </r>
  <r>
    <x v="338"/>
    <x v="6"/>
    <s v="유튜브 광고"/>
    <x v="1"/>
    <x v="1"/>
    <x v="1"/>
    <m/>
    <m/>
    <m/>
    <n v="650001"/>
    <m/>
  </r>
  <r>
    <x v="338"/>
    <x v="6"/>
    <s v="유튜브 광고"/>
    <x v="1"/>
    <x v="1"/>
    <x v="1"/>
    <m/>
    <m/>
    <m/>
    <n v="50008"/>
    <m/>
  </r>
  <r>
    <x v="338"/>
    <x v="6"/>
    <s v="유튜브 광고"/>
    <x v="1"/>
    <x v="1"/>
    <x v="1"/>
    <m/>
    <m/>
    <m/>
    <n v="392359"/>
    <m/>
  </r>
  <r>
    <x v="338"/>
    <x v="6"/>
    <s v="유튜브 광고"/>
    <x v="1"/>
    <x v="1"/>
    <x v="1"/>
    <m/>
    <m/>
    <m/>
    <n v="350029"/>
    <m/>
  </r>
  <r>
    <x v="338"/>
    <x v="6"/>
    <s v="유튜브 광고"/>
    <x v="1"/>
    <x v="1"/>
    <x v="1"/>
    <m/>
    <m/>
    <m/>
    <n v="450095"/>
    <m/>
  </r>
  <r>
    <x v="338"/>
    <x v="6"/>
    <s v="유튜브 광고"/>
    <x v="1"/>
    <x v="1"/>
    <x v="1"/>
    <m/>
    <m/>
    <m/>
    <n v="450225"/>
    <m/>
  </r>
  <r>
    <x v="338"/>
    <x v="6"/>
    <s v="유튜브 광고"/>
    <x v="1"/>
    <x v="1"/>
    <x v="1"/>
    <m/>
    <m/>
    <m/>
    <n v="49057"/>
    <m/>
  </r>
  <r>
    <x v="338"/>
    <x v="6"/>
    <s v="네이버 쇼핑검색"/>
    <x v="1"/>
    <x v="1"/>
    <x v="1"/>
    <m/>
    <m/>
    <m/>
    <n v="19400"/>
    <m/>
  </r>
  <r>
    <x v="338"/>
    <x v="6"/>
    <s v="네이버 쇼핑검색"/>
    <x v="1"/>
    <x v="1"/>
    <x v="1"/>
    <m/>
    <m/>
    <m/>
    <n v="49.99999999999999"/>
    <m/>
  </r>
  <r>
    <x v="338"/>
    <x v="6"/>
    <s v="네이버 쇼핑검색"/>
    <x v="1"/>
    <x v="1"/>
    <x v="1"/>
    <m/>
    <m/>
    <m/>
    <n v="117100"/>
    <m/>
  </r>
  <r>
    <x v="338"/>
    <x v="6"/>
    <s v="네이버 브랜드검색"/>
    <x v="3"/>
    <x v="1"/>
    <x v="1"/>
    <m/>
    <m/>
    <m/>
    <n v="88000"/>
    <m/>
  </r>
  <r>
    <x v="338"/>
    <x v="6"/>
    <s v="네이버 브랜드검색"/>
    <x v="3"/>
    <x v="1"/>
    <x v="1"/>
    <m/>
    <m/>
    <m/>
    <n v="16700"/>
    <m/>
  </r>
  <r>
    <x v="338"/>
    <x v="6"/>
    <m/>
    <x v="1"/>
    <x v="4"/>
    <x v="158"/>
    <n v="1"/>
    <s v="이그나이트"/>
    <s v="210207"/>
    <m/>
    <n v="34000"/>
  </r>
  <r>
    <x v="338"/>
    <x v="6"/>
    <m/>
    <x v="1"/>
    <x v="4"/>
    <x v="155"/>
    <n v="7"/>
    <s v="스테이포에버"/>
    <s v="210207"/>
    <m/>
    <n v="238000"/>
  </r>
  <r>
    <x v="338"/>
    <x v="6"/>
    <m/>
    <x v="1"/>
    <x v="3"/>
    <x v="151"/>
    <n v="2"/>
    <s v="스테이포에버 2set"/>
    <s v="210207"/>
    <m/>
    <n v="117600"/>
  </r>
  <r>
    <x v="338"/>
    <x v="6"/>
    <m/>
    <x v="1"/>
    <x v="3"/>
    <x v="152"/>
    <n v="18"/>
    <s v="스테이포에버"/>
    <s v="210207"/>
    <m/>
    <n v="612000"/>
  </r>
  <r>
    <x v="338"/>
    <x v="6"/>
    <m/>
    <x v="0"/>
    <x v="0"/>
    <x v="148"/>
    <n v="1"/>
    <s v="쇼핑백"/>
    <s v="210207"/>
    <m/>
    <n v="2000"/>
  </r>
  <r>
    <x v="338"/>
    <x v="6"/>
    <m/>
    <x v="1"/>
    <x v="0"/>
    <x v="135"/>
    <n v="4"/>
    <s v="스테이포에버"/>
    <s v="210207"/>
    <m/>
    <n v="136000"/>
  </r>
  <r>
    <x v="338"/>
    <x v="6"/>
    <m/>
    <x v="1"/>
    <x v="0"/>
    <x v="136"/>
    <n v="7"/>
    <s v="스테이포에버 2set"/>
    <s v="210207"/>
    <m/>
    <n v="411600"/>
  </r>
  <r>
    <x v="338"/>
    <x v="6"/>
    <m/>
    <x v="1"/>
    <x v="0"/>
    <x v="137"/>
    <n v="14"/>
    <s v="이그나이트 + 스테이포에버"/>
    <s v="210207"/>
    <m/>
    <n v="823200"/>
  </r>
  <r>
    <x v="338"/>
    <x v="6"/>
    <m/>
    <x v="1"/>
    <x v="0"/>
    <x v="144"/>
    <n v="2"/>
    <s v="이그나이트 + 스테이포에버"/>
    <s v="210207"/>
    <m/>
    <n v="117600"/>
  </r>
  <r>
    <x v="338"/>
    <x v="6"/>
    <m/>
    <x v="1"/>
    <x v="0"/>
    <x v="138"/>
    <n v="200"/>
    <s v="스테이포에버"/>
    <s v="210207"/>
    <m/>
    <n v="6800000"/>
  </r>
  <r>
    <x v="338"/>
    <x v="6"/>
    <m/>
    <x v="1"/>
    <x v="0"/>
    <x v="139"/>
    <n v="115"/>
    <s v="스테이포에버 2set"/>
    <s v="210207"/>
    <m/>
    <n v="6762000"/>
  </r>
  <r>
    <x v="338"/>
    <x v="6"/>
    <m/>
    <x v="1"/>
    <x v="0"/>
    <x v="140"/>
    <n v="23"/>
    <s v="이그나이트 + 스테이포에버"/>
    <s v="210207"/>
    <m/>
    <n v="1352400"/>
  </r>
  <r>
    <x v="338"/>
    <x v="6"/>
    <m/>
    <x v="0"/>
    <x v="0"/>
    <x v="0"/>
    <n v="15"/>
    <s v="쇼핑백"/>
    <s v="210207"/>
    <m/>
    <n v="30000"/>
  </r>
  <r>
    <x v="338"/>
    <x v="6"/>
    <m/>
    <x v="1"/>
    <x v="0"/>
    <x v="141"/>
    <n v="2"/>
    <s v="이그나이트"/>
    <s v="210207"/>
    <m/>
    <n v="68000"/>
  </r>
  <r>
    <x v="338"/>
    <x v="6"/>
    <m/>
    <x v="1"/>
    <x v="0"/>
    <x v="142"/>
    <n v="1"/>
    <s v="이그나이트 2set"/>
    <s v="210207"/>
    <m/>
    <n v="58800"/>
  </r>
  <r>
    <x v="338"/>
    <x v="6"/>
    <s v="네이버 배너"/>
    <x v="1"/>
    <x v="1"/>
    <x v="1"/>
    <m/>
    <m/>
    <m/>
    <n v="878633.6363636362"/>
    <m/>
  </r>
  <r>
    <x v="338"/>
    <x v="6"/>
    <s v="카카오 배너"/>
    <x v="1"/>
    <x v="1"/>
    <x v="1"/>
    <m/>
    <m/>
    <m/>
    <n v="91289.99999999999"/>
    <m/>
  </r>
  <r>
    <x v="338"/>
    <x v="6"/>
    <s v="카카오 배너"/>
    <x v="1"/>
    <x v="1"/>
    <x v="1"/>
    <m/>
    <m/>
    <m/>
    <n v="684410"/>
    <m/>
  </r>
  <r>
    <x v="335"/>
    <x v="1"/>
    <s v="네이버 배너(대행사)"/>
    <x v="1"/>
    <x v="1"/>
    <x v="1"/>
    <m/>
    <m/>
    <m/>
    <n v="857774.5454545454"/>
    <m/>
  </r>
  <r>
    <x v="336"/>
    <x v="2"/>
    <s v="네이버 배너(대행사)"/>
    <x v="1"/>
    <x v="1"/>
    <x v="1"/>
    <m/>
    <m/>
    <m/>
    <n v="1543059.090909091"/>
    <m/>
  </r>
  <r>
    <x v="337"/>
    <x v="5"/>
    <s v="네이버 배너(대행사)"/>
    <x v="1"/>
    <x v="1"/>
    <x v="1"/>
    <m/>
    <m/>
    <m/>
    <n v="1284830"/>
    <m/>
  </r>
  <r>
    <x v="338"/>
    <x v="6"/>
    <s v="네이버 배너(대행사)"/>
    <x v="1"/>
    <x v="1"/>
    <x v="1"/>
    <m/>
    <m/>
    <m/>
    <n v="335057.2727272727"/>
    <m/>
  </r>
  <r>
    <x v="338"/>
    <x v="6"/>
    <m/>
    <x v="1"/>
    <x v="5"/>
    <x v="167"/>
    <n v="5"/>
    <s v="이그나이트"/>
    <n v="210501"/>
    <m/>
    <n v="84150"/>
  </r>
  <r>
    <x v="338"/>
    <x v="6"/>
    <m/>
    <x v="1"/>
    <x v="5"/>
    <x v="168"/>
    <n v="130"/>
    <s v="스테이포에버"/>
    <n v="210501"/>
    <m/>
    <n v="2187900"/>
  </r>
  <r>
    <x v="339"/>
    <x v="0"/>
    <s v="페이스북/인스타그램"/>
    <x v="1"/>
    <x v="1"/>
    <x v="1"/>
    <m/>
    <m/>
    <m/>
    <n v="33917"/>
    <m/>
  </r>
  <r>
    <x v="339"/>
    <x v="0"/>
    <s v="페이스북/인스타그램"/>
    <x v="1"/>
    <x v="1"/>
    <x v="1"/>
    <m/>
    <m/>
    <m/>
    <n v="68493"/>
    <m/>
  </r>
  <r>
    <x v="339"/>
    <x v="0"/>
    <s v="페이스북/인스타그램"/>
    <x v="1"/>
    <x v="1"/>
    <x v="1"/>
    <m/>
    <m/>
    <m/>
    <n v="99545"/>
    <m/>
  </r>
  <r>
    <x v="339"/>
    <x v="0"/>
    <s v="페이스북/인스타그램"/>
    <x v="1"/>
    <x v="1"/>
    <x v="1"/>
    <m/>
    <m/>
    <m/>
    <n v="98190"/>
    <m/>
  </r>
  <r>
    <x v="339"/>
    <x v="0"/>
    <s v="페이스북/인스타그램"/>
    <x v="1"/>
    <x v="1"/>
    <x v="1"/>
    <m/>
    <m/>
    <m/>
    <n v="60215"/>
    <m/>
  </r>
  <r>
    <x v="339"/>
    <x v="0"/>
    <s v="페이스북/인스타그램"/>
    <x v="1"/>
    <x v="1"/>
    <x v="1"/>
    <m/>
    <m/>
    <m/>
    <n v="59569"/>
    <m/>
  </r>
  <r>
    <x v="339"/>
    <x v="0"/>
    <s v="페이스북/인스타그램"/>
    <x v="1"/>
    <x v="1"/>
    <x v="1"/>
    <m/>
    <m/>
    <m/>
    <n v="29386"/>
    <m/>
  </r>
  <r>
    <x v="339"/>
    <x v="0"/>
    <s v="페이스북/인스타그램"/>
    <x v="1"/>
    <x v="1"/>
    <x v="1"/>
    <m/>
    <m/>
    <m/>
    <n v="109220"/>
    <m/>
  </r>
  <r>
    <x v="339"/>
    <x v="0"/>
    <s v="페이스북/인스타그램"/>
    <x v="1"/>
    <x v="1"/>
    <x v="1"/>
    <m/>
    <m/>
    <m/>
    <n v="49184"/>
    <m/>
  </r>
  <r>
    <x v="339"/>
    <x v="0"/>
    <s v="페이스북/인스타그램"/>
    <x v="1"/>
    <x v="1"/>
    <x v="1"/>
    <m/>
    <m/>
    <m/>
    <n v="30467"/>
    <m/>
  </r>
  <r>
    <x v="339"/>
    <x v="0"/>
    <s v="페이스북/인스타그램"/>
    <x v="1"/>
    <x v="1"/>
    <x v="1"/>
    <m/>
    <m/>
    <m/>
    <n v="926467"/>
    <m/>
  </r>
  <r>
    <x v="339"/>
    <x v="0"/>
    <s v="페이스북/인스타그램"/>
    <x v="1"/>
    <x v="1"/>
    <x v="1"/>
    <m/>
    <m/>
    <m/>
    <n v="262238"/>
    <m/>
  </r>
  <r>
    <x v="339"/>
    <x v="0"/>
    <s v="페이스북/인스타그램"/>
    <x v="1"/>
    <x v="1"/>
    <x v="1"/>
    <m/>
    <m/>
    <m/>
    <n v="99028"/>
    <m/>
  </r>
  <r>
    <x v="339"/>
    <x v="0"/>
    <s v="페이스북/인스타그램"/>
    <x v="1"/>
    <x v="1"/>
    <x v="1"/>
    <m/>
    <m/>
    <m/>
    <n v="49727"/>
    <m/>
  </r>
  <r>
    <x v="339"/>
    <x v="0"/>
    <s v="페이스북/인스타그램"/>
    <x v="1"/>
    <x v="1"/>
    <x v="1"/>
    <m/>
    <m/>
    <m/>
    <n v="176930"/>
    <m/>
  </r>
  <r>
    <x v="339"/>
    <x v="0"/>
    <s v="페이스북/인스타그램"/>
    <x v="1"/>
    <x v="1"/>
    <x v="1"/>
    <m/>
    <m/>
    <m/>
    <n v="83192"/>
    <m/>
  </r>
  <r>
    <x v="339"/>
    <x v="0"/>
    <s v="페이스북/인스타그램"/>
    <x v="1"/>
    <x v="1"/>
    <x v="1"/>
    <m/>
    <m/>
    <m/>
    <n v="49913"/>
    <m/>
  </r>
  <r>
    <x v="339"/>
    <x v="0"/>
    <s v="페이스북/인스타그램"/>
    <x v="1"/>
    <x v="1"/>
    <x v="1"/>
    <m/>
    <m/>
    <m/>
    <n v="202931"/>
    <m/>
  </r>
  <r>
    <x v="339"/>
    <x v="0"/>
    <s v="페이스북/인스타그램"/>
    <x v="1"/>
    <x v="1"/>
    <x v="1"/>
    <m/>
    <m/>
    <m/>
    <n v="49332"/>
    <m/>
  </r>
  <r>
    <x v="339"/>
    <x v="0"/>
    <s v="페이스북/인스타그램"/>
    <x v="1"/>
    <x v="1"/>
    <x v="1"/>
    <m/>
    <m/>
    <m/>
    <n v="99414"/>
    <m/>
  </r>
  <r>
    <x v="339"/>
    <x v="0"/>
    <s v="페이스북/인스타그램"/>
    <x v="1"/>
    <x v="1"/>
    <x v="1"/>
    <m/>
    <m/>
    <m/>
    <n v="146650"/>
    <m/>
  </r>
  <r>
    <x v="339"/>
    <x v="0"/>
    <s v="페이스북/인스타그램"/>
    <x v="1"/>
    <x v="1"/>
    <x v="1"/>
    <m/>
    <m/>
    <m/>
    <n v="29972"/>
    <m/>
  </r>
  <r>
    <x v="339"/>
    <x v="0"/>
    <s v="페이스북/인스타그램"/>
    <x v="1"/>
    <x v="1"/>
    <x v="1"/>
    <m/>
    <m/>
    <m/>
    <n v="131749"/>
    <m/>
  </r>
  <r>
    <x v="339"/>
    <x v="0"/>
    <s v="페이스북/인스타그램"/>
    <x v="1"/>
    <x v="1"/>
    <x v="1"/>
    <m/>
    <m/>
    <m/>
    <n v="101151"/>
    <m/>
  </r>
  <r>
    <x v="339"/>
    <x v="0"/>
    <s v="페이스북/인스타그램"/>
    <x v="1"/>
    <x v="1"/>
    <x v="1"/>
    <m/>
    <m/>
    <m/>
    <n v="30228"/>
    <m/>
  </r>
  <r>
    <x v="340"/>
    <x v="3"/>
    <s v="페이스북/인스타그램"/>
    <x v="1"/>
    <x v="1"/>
    <x v="1"/>
    <m/>
    <m/>
    <m/>
    <n v="49028"/>
    <m/>
  </r>
  <r>
    <x v="340"/>
    <x v="3"/>
    <s v="페이스북/인스타그램"/>
    <x v="1"/>
    <x v="1"/>
    <x v="1"/>
    <m/>
    <m/>
    <m/>
    <n v="88964"/>
    <m/>
  </r>
  <r>
    <x v="340"/>
    <x v="3"/>
    <s v="페이스북/인스타그램"/>
    <x v="1"/>
    <x v="1"/>
    <x v="1"/>
    <m/>
    <m/>
    <m/>
    <n v="101068"/>
    <m/>
  </r>
  <r>
    <x v="340"/>
    <x v="3"/>
    <s v="페이스북/인스타그램"/>
    <x v="1"/>
    <x v="1"/>
    <x v="1"/>
    <m/>
    <m/>
    <m/>
    <n v="101713"/>
    <m/>
  </r>
  <r>
    <x v="340"/>
    <x v="3"/>
    <s v="페이스북/인스타그램"/>
    <x v="1"/>
    <x v="1"/>
    <x v="1"/>
    <m/>
    <m/>
    <m/>
    <n v="44261"/>
    <m/>
  </r>
  <r>
    <x v="340"/>
    <x v="3"/>
    <s v="페이스북/인스타그램"/>
    <x v="1"/>
    <x v="1"/>
    <x v="1"/>
    <m/>
    <m/>
    <m/>
    <n v="51271"/>
    <m/>
  </r>
  <r>
    <x v="340"/>
    <x v="3"/>
    <s v="페이스북/인스타그램"/>
    <x v="1"/>
    <x v="1"/>
    <x v="1"/>
    <m/>
    <m/>
    <m/>
    <n v="30595"/>
    <m/>
  </r>
  <r>
    <x v="340"/>
    <x v="3"/>
    <s v="페이스북/인스타그램"/>
    <x v="1"/>
    <x v="1"/>
    <x v="1"/>
    <m/>
    <m/>
    <m/>
    <n v="112557"/>
    <m/>
  </r>
  <r>
    <x v="340"/>
    <x v="3"/>
    <s v="페이스북/인스타그램"/>
    <x v="1"/>
    <x v="1"/>
    <x v="1"/>
    <m/>
    <m/>
    <m/>
    <n v="51069"/>
    <m/>
  </r>
  <r>
    <x v="340"/>
    <x v="3"/>
    <s v="페이스북/인스타그램"/>
    <x v="1"/>
    <x v="1"/>
    <x v="1"/>
    <m/>
    <m/>
    <m/>
    <n v="30555"/>
    <m/>
  </r>
  <r>
    <x v="340"/>
    <x v="3"/>
    <s v="페이스북/인스타그램"/>
    <x v="1"/>
    <x v="1"/>
    <x v="1"/>
    <m/>
    <m/>
    <m/>
    <n v="941413"/>
    <m/>
  </r>
  <r>
    <x v="340"/>
    <x v="3"/>
    <s v="페이스북/인스타그램"/>
    <x v="1"/>
    <x v="1"/>
    <x v="1"/>
    <m/>
    <m/>
    <m/>
    <n v="183976"/>
    <m/>
  </r>
  <r>
    <x v="340"/>
    <x v="3"/>
    <s v="페이스북/인스타그램"/>
    <x v="1"/>
    <x v="1"/>
    <x v="1"/>
    <m/>
    <m/>
    <m/>
    <n v="101377"/>
    <m/>
  </r>
  <r>
    <x v="340"/>
    <x v="3"/>
    <s v="페이스북/인스타그램"/>
    <x v="1"/>
    <x v="1"/>
    <x v="1"/>
    <m/>
    <m/>
    <m/>
    <n v="50551"/>
    <m/>
  </r>
  <r>
    <x v="340"/>
    <x v="3"/>
    <s v="페이스북/인스타그램"/>
    <x v="1"/>
    <x v="1"/>
    <x v="1"/>
    <m/>
    <m/>
    <m/>
    <n v="179337"/>
    <m/>
  </r>
  <r>
    <x v="340"/>
    <x v="3"/>
    <s v="페이스북/인스타그램"/>
    <x v="1"/>
    <x v="1"/>
    <x v="1"/>
    <m/>
    <m/>
    <m/>
    <n v="49973"/>
    <m/>
  </r>
  <r>
    <x v="340"/>
    <x v="3"/>
    <s v="페이스북/인스타그램"/>
    <x v="1"/>
    <x v="1"/>
    <x v="1"/>
    <m/>
    <m/>
    <m/>
    <n v="50745"/>
    <m/>
  </r>
  <r>
    <x v="340"/>
    <x v="3"/>
    <s v="페이스북/인스타그램"/>
    <x v="1"/>
    <x v="1"/>
    <x v="1"/>
    <m/>
    <m/>
    <m/>
    <n v="207919"/>
    <m/>
  </r>
  <r>
    <x v="340"/>
    <x v="3"/>
    <s v="페이스북/인스타그램"/>
    <x v="1"/>
    <x v="1"/>
    <x v="1"/>
    <m/>
    <m/>
    <m/>
    <n v="50922"/>
    <m/>
  </r>
  <r>
    <x v="340"/>
    <x v="3"/>
    <s v="페이스북/인스타그램"/>
    <x v="1"/>
    <x v="1"/>
    <x v="1"/>
    <m/>
    <m/>
    <m/>
    <n v="102134"/>
    <m/>
  </r>
  <r>
    <x v="340"/>
    <x v="3"/>
    <s v="페이스북/인스타그램"/>
    <x v="1"/>
    <x v="1"/>
    <x v="1"/>
    <m/>
    <m/>
    <m/>
    <n v="100470"/>
    <m/>
  </r>
  <r>
    <x v="340"/>
    <x v="3"/>
    <s v="페이스북/인스타그램"/>
    <x v="1"/>
    <x v="1"/>
    <x v="1"/>
    <m/>
    <m/>
    <m/>
    <n v="30306"/>
    <m/>
  </r>
  <r>
    <x v="340"/>
    <x v="3"/>
    <s v="페이스북/인스타그램"/>
    <x v="1"/>
    <x v="1"/>
    <x v="1"/>
    <m/>
    <m/>
    <m/>
    <n v="100334"/>
    <m/>
  </r>
  <r>
    <x v="340"/>
    <x v="3"/>
    <s v="페이스북/인스타그램"/>
    <x v="1"/>
    <x v="1"/>
    <x v="1"/>
    <m/>
    <m/>
    <m/>
    <n v="100991"/>
    <m/>
  </r>
  <r>
    <x v="340"/>
    <x v="3"/>
    <s v="페이스북/인스타그램"/>
    <x v="1"/>
    <x v="1"/>
    <x v="1"/>
    <m/>
    <m/>
    <m/>
    <n v="30308"/>
    <m/>
  </r>
  <r>
    <x v="339"/>
    <x v="0"/>
    <s v="유튜브 광고"/>
    <x v="1"/>
    <x v="1"/>
    <x v="1"/>
    <m/>
    <m/>
    <m/>
    <n v="39110"/>
    <m/>
  </r>
  <r>
    <x v="339"/>
    <x v="0"/>
    <s v="유튜브 광고"/>
    <x v="1"/>
    <x v="1"/>
    <x v="1"/>
    <m/>
    <m/>
    <m/>
    <n v="15497"/>
    <m/>
  </r>
  <r>
    <x v="339"/>
    <x v="0"/>
    <s v="유튜브 광고"/>
    <x v="1"/>
    <x v="1"/>
    <x v="1"/>
    <m/>
    <m/>
    <m/>
    <n v="598250"/>
    <m/>
  </r>
  <r>
    <x v="339"/>
    <x v="0"/>
    <s v="유튜브 광고"/>
    <x v="1"/>
    <x v="1"/>
    <x v="1"/>
    <m/>
    <m/>
    <m/>
    <n v="49976"/>
    <m/>
  </r>
  <r>
    <x v="339"/>
    <x v="0"/>
    <s v="유튜브 광고"/>
    <x v="1"/>
    <x v="1"/>
    <x v="1"/>
    <m/>
    <m/>
    <m/>
    <n v="392515"/>
    <m/>
  </r>
  <r>
    <x v="339"/>
    <x v="0"/>
    <s v="유튜브 광고"/>
    <x v="1"/>
    <x v="1"/>
    <x v="1"/>
    <m/>
    <m/>
    <m/>
    <n v="349935"/>
    <m/>
  </r>
  <r>
    <x v="339"/>
    <x v="0"/>
    <s v="유튜브 광고"/>
    <x v="1"/>
    <x v="1"/>
    <x v="1"/>
    <m/>
    <m/>
    <m/>
    <n v="399790"/>
    <m/>
  </r>
  <r>
    <x v="339"/>
    <x v="0"/>
    <s v="유튜브 광고"/>
    <x v="1"/>
    <x v="1"/>
    <x v="1"/>
    <m/>
    <m/>
    <m/>
    <n v="399734"/>
    <m/>
  </r>
  <r>
    <x v="339"/>
    <x v="0"/>
    <s v="유튜브 광고"/>
    <x v="1"/>
    <x v="1"/>
    <x v="1"/>
    <m/>
    <m/>
    <m/>
    <n v="49034"/>
    <m/>
  </r>
  <r>
    <x v="340"/>
    <x v="3"/>
    <s v="유튜브 광고"/>
    <x v="1"/>
    <x v="1"/>
    <x v="1"/>
    <m/>
    <m/>
    <m/>
    <n v="44877"/>
    <m/>
  </r>
  <r>
    <x v="340"/>
    <x v="3"/>
    <s v="유튜브 광고"/>
    <x v="1"/>
    <x v="1"/>
    <x v="1"/>
    <m/>
    <m/>
    <m/>
    <n v="28638"/>
    <m/>
  </r>
  <r>
    <x v="340"/>
    <x v="3"/>
    <s v="유튜브 광고"/>
    <x v="1"/>
    <x v="1"/>
    <x v="1"/>
    <m/>
    <m/>
    <m/>
    <n v="603382"/>
    <m/>
  </r>
  <r>
    <x v="340"/>
    <x v="3"/>
    <s v="유튜브 광고"/>
    <x v="1"/>
    <x v="1"/>
    <x v="1"/>
    <m/>
    <m/>
    <m/>
    <n v="50391"/>
    <m/>
  </r>
  <r>
    <x v="340"/>
    <x v="3"/>
    <s v="유튜브 광고"/>
    <x v="1"/>
    <x v="1"/>
    <x v="1"/>
    <m/>
    <m/>
    <m/>
    <n v="392556"/>
    <m/>
  </r>
  <r>
    <x v="340"/>
    <x v="3"/>
    <s v="유튜브 광고"/>
    <x v="1"/>
    <x v="1"/>
    <x v="1"/>
    <m/>
    <m/>
    <m/>
    <n v="350300"/>
    <m/>
  </r>
  <r>
    <x v="340"/>
    <x v="3"/>
    <s v="유튜브 광고"/>
    <x v="1"/>
    <x v="1"/>
    <x v="1"/>
    <m/>
    <m/>
    <m/>
    <n v="400004"/>
    <m/>
  </r>
  <r>
    <x v="340"/>
    <x v="3"/>
    <s v="유튜브 광고"/>
    <x v="1"/>
    <x v="1"/>
    <x v="1"/>
    <m/>
    <m/>
    <m/>
    <n v="400035"/>
    <m/>
  </r>
  <r>
    <x v="340"/>
    <x v="3"/>
    <s v="유튜브 광고"/>
    <x v="1"/>
    <x v="1"/>
    <x v="1"/>
    <m/>
    <m/>
    <m/>
    <n v="49313"/>
    <m/>
  </r>
  <r>
    <x v="340"/>
    <x v="3"/>
    <s v="네이버 쇼핑검색"/>
    <x v="1"/>
    <x v="1"/>
    <x v="1"/>
    <m/>
    <m/>
    <m/>
    <n v="23250"/>
    <m/>
  </r>
  <r>
    <x v="340"/>
    <x v="3"/>
    <s v="네이버 쇼핑검색"/>
    <x v="1"/>
    <x v="1"/>
    <x v="1"/>
    <m/>
    <m/>
    <m/>
    <n v="0"/>
    <m/>
  </r>
  <r>
    <x v="340"/>
    <x v="3"/>
    <s v="네이버 쇼핑검색"/>
    <x v="1"/>
    <x v="1"/>
    <x v="1"/>
    <m/>
    <m/>
    <m/>
    <n v="113110"/>
    <m/>
  </r>
  <r>
    <x v="340"/>
    <x v="3"/>
    <s v="네이버 브랜드검색"/>
    <x v="3"/>
    <x v="1"/>
    <x v="1"/>
    <m/>
    <m/>
    <m/>
    <n v="88000"/>
    <m/>
  </r>
  <r>
    <x v="340"/>
    <x v="3"/>
    <s v="네이버 브랜드검색"/>
    <x v="3"/>
    <x v="1"/>
    <x v="1"/>
    <m/>
    <m/>
    <m/>
    <n v="16700"/>
    <m/>
  </r>
  <r>
    <x v="339"/>
    <x v="0"/>
    <s v="네이버 쇼핑검색"/>
    <x v="1"/>
    <x v="1"/>
    <x v="1"/>
    <m/>
    <m/>
    <m/>
    <n v="37590"/>
    <m/>
  </r>
  <r>
    <x v="339"/>
    <x v="0"/>
    <s v="네이버 쇼핑검색"/>
    <x v="1"/>
    <x v="1"/>
    <x v="1"/>
    <m/>
    <m/>
    <m/>
    <n v="0"/>
    <m/>
  </r>
  <r>
    <x v="339"/>
    <x v="0"/>
    <s v="네이버 쇼핑검색"/>
    <x v="1"/>
    <x v="1"/>
    <x v="1"/>
    <m/>
    <m/>
    <m/>
    <n v="105700"/>
    <m/>
  </r>
  <r>
    <x v="339"/>
    <x v="0"/>
    <s v="네이버 브랜드검색"/>
    <x v="3"/>
    <x v="1"/>
    <x v="1"/>
    <m/>
    <m/>
    <m/>
    <n v="88000"/>
    <m/>
  </r>
  <r>
    <x v="339"/>
    <x v="0"/>
    <s v="네이버 브랜드검색"/>
    <x v="3"/>
    <x v="1"/>
    <x v="1"/>
    <m/>
    <m/>
    <m/>
    <n v="16700"/>
    <m/>
  </r>
  <r>
    <x v="339"/>
    <x v="0"/>
    <m/>
    <x v="1"/>
    <x v="4"/>
    <x v="155"/>
    <n v="1"/>
    <s v="스테이포에버"/>
    <s v="210501"/>
    <m/>
    <n v="34000"/>
  </r>
  <r>
    <x v="339"/>
    <x v="0"/>
    <m/>
    <x v="1"/>
    <x v="3"/>
    <x v="152"/>
    <n v="21"/>
    <s v="스테이포에버"/>
    <s v="210501"/>
    <m/>
    <n v="408000"/>
  </r>
  <r>
    <x v="339"/>
    <x v="0"/>
    <m/>
    <x v="4"/>
    <x v="2"/>
    <x v="169"/>
    <n v="1"/>
    <s v="0"/>
    <s v="210501"/>
    <m/>
    <n v="0"/>
  </r>
  <r>
    <x v="339"/>
    <x v="0"/>
    <m/>
    <x v="1"/>
    <x v="0"/>
    <x v="134"/>
    <n v="1"/>
    <s v="이그나이트"/>
    <s v="210501"/>
    <m/>
    <n v="34000"/>
  </r>
  <r>
    <x v="339"/>
    <x v="0"/>
    <m/>
    <x v="1"/>
    <x v="0"/>
    <x v="145"/>
    <n v="1"/>
    <s v="이그나이트 2set"/>
    <s v="210501"/>
    <m/>
    <n v="58800"/>
  </r>
  <r>
    <x v="339"/>
    <x v="0"/>
    <m/>
    <x v="1"/>
    <x v="0"/>
    <x v="135"/>
    <n v="2"/>
    <s v="스테이포에버"/>
    <s v="210501"/>
    <m/>
    <n v="68000"/>
  </r>
  <r>
    <x v="339"/>
    <x v="0"/>
    <m/>
    <x v="1"/>
    <x v="0"/>
    <x v="136"/>
    <n v="11"/>
    <s v="스테이포에버 2set"/>
    <s v="210501"/>
    <m/>
    <n v="646800"/>
  </r>
  <r>
    <x v="339"/>
    <x v="0"/>
    <m/>
    <x v="1"/>
    <x v="0"/>
    <x v="137"/>
    <n v="9"/>
    <s v="이그나이트 + 스테이포에버"/>
    <s v="210501"/>
    <m/>
    <n v="529200"/>
  </r>
  <r>
    <x v="339"/>
    <x v="0"/>
    <m/>
    <x v="1"/>
    <x v="0"/>
    <x v="144"/>
    <n v="3"/>
    <s v="이그나이트 + 스테이포에버"/>
    <s v="210501"/>
    <m/>
    <n v="176400"/>
  </r>
  <r>
    <x v="339"/>
    <x v="0"/>
    <m/>
    <x v="1"/>
    <x v="0"/>
    <x v="138"/>
    <n v="172"/>
    <s v="스테이포에버"/>
    <s v="210501"/>
    <m/>
    <n v="5848000"/>
  </r>
  <r>
    <x v="339"/>
    <x v="0"/>
    <m/>
    <x v="1"/>
    <x v="0"/>
    <x v="139"/>
    <n v="131"/>
    <s v="스테이포에버 2set"/>
    <s v="210501"/>
    <m/>
    <n v="7702800"/>
  </r>
  <r>
    <x v="339"/>
    <x v="0"/>
    <m/>
    <x v="1"/>
    <x v="0"/>
    <x v="140"/>
    <n v="14"/>
    <s v="이그나이트 + 스테이포에버"/>
    <s v="210501"/>
    <m/>
    <n v="823200"/>
  </r>
  <r>
    <x v="339"/>
    <x v="0"/>
    <m/>
    <x v="0"/>
    <x v="0"/>
    <x v="0"/>
    <n v="12"/>
    <s v="쇼핑백"/>
    <s v="210501"/>
    <m/>
    <n v="24000"/>
  </r>
  <r>
    <x v="339"/>
    <x v="0"/>
    <m/>
    <x v="1"/>
    <x v="0"/>
    <x v="141"/>
    <n v="5"/>
    <s v="이그나이트"/>
    <s v="210501"/>
    <m/>
    <n v="170000"/>
  </r>
  <r>
    <x v="340"/>
    <x v="3"/>
    <m/>
    <x v="1"/>
    <x v="0"/>
    <x v="134"/>
    <n v="1"/>
    <s v="이그나이트"/>
    <s v="210501"/>
    <m/>
    <n v="34000"/>
  </r>
  <r>
    <x v="340"/>
    <x v="3"/>
    <m/>
    <x v="1"/>
    <x v="0"/>
    <x v="135"/>
    <n v="3"/>
    <s v="스테이포에버"/>
    <s v="210501"/>
    <m/>
    <n v="102000"/>
  </r>
  <r>
    <x v="340"/>
    <x v="3"/>
    <m/>
    <x v="1"/>
    <x v="0"/>
    <x v="136"/>
    <n v="12"/>
    <s v="스테이포에버 2set"/>
    <s v="210501"/>
    <m/>
    <n v="705600"/>
  </r>
  <r>
    <x v="340"/>
    <x v="3"/>
    <m/>
    <x v="1"/>
    <x v="0"/>
    <x v="137"/>
    <n v="11"/>
    <s v="이그나이트 + 스테이포에버"/>
    <s v="210501"/>
    <m/>
    <n v="646800"/>
  </r>
  <r>
    <x v="340"/>
    <x v="3"/>
    <m/>
    <x v="1"/>
    <x v="0"/>
    <x v="144"/>
    <n v="2"/>
    <s v="이그나이트 + 스테이포에버"/>
    <s v="210501"/>
    <m/>
    <n v="117600"/>
  </r>
  <r>
    <x v="340"/>
    <x v="3"/>
    <m/>
    <x v="1"/>
    <x v="0"/>
    <x v="138"/>
    <n v="199"/>
    <s v="스테이포에버"/>
    <s v="210501"/>
    <m/>
    <n v="6766000"/>
  </r>
  <r>
    <x v="340"/>
    <x v="3"/>
    <m/>
    <x v="1"/>
    <x v="0"/>
    <x v="139"/>
    <n v="148"/>
    <s v="스테이포에버 2set"/>
    <s v="210501"/>
    <m/>
    <n v="8702400"/>
  </r>
  <r>
    <x v="340"/>
    <x v="3"/>
    <m/>
    <x v="1"/>
    <x v="0"/>
    <x v="140"/>
    <n v="14"/>
    <s v="이그나이트 + 스테이포에버"/>
    <s v="210501"/>
    <m/>
    <n v="823200"/>
  </r>
  <r>
    <x v="340"/>
    <x v="3"/>
    <m/>
    <x v="0"/>
    <x v="0"/>
    <x v="0"/>
    <n v="4"/>
    <s v="쇼핑백"/>
    <s v="210501"/>
    <m/>
    <n v="8000"/>
  </r>
  <r>
    <x v="340"/>
    <x v="3"/>
    <m/>
    <x v="1"/>
    <x v="0"/>
    <x v="141"/>
    <n v="2"/>
    <s v="이그나이트"/>
    <s v="210501"/>
    <m/>
    <n v="68000"/>
  </r>
  <r>
    <x v="339"/>
    <x v="0"/>
    <s v="네이버 배너"/>
    <x v="1"/>
    <x v="1"/>
    <x v="1"/>
    <m/>
    <m/>
    <m/>
    <n v="748109.9999999999"/>
    <m/>
  </r>
  <r>
    <x v="340"/>
    <x v="3"/>
    <s v="네이버 배너"/>
    <x v="1"/>
    <x v="1"/>
    <x v="1"/>
    <m/>
    <m/>
    <m/>
    <n v="834742.7272727272"/>
    <m/>
  </r>
  <r>
    <x v="339"/>
    <x v="0"/>
    <s v="카카오 배너"/>
    <x v="1"/>
    <x v="1"/>
    <x v="1"/>
    <m/>
    <m/>
    <m/>
    <n v="1114270"/>
    <m/>
  </r>
  <r>
    <x v="340"/>
    <x v="3"/>
    <s v="카카오 배너"/>
    <x v="1"/>
    <x v="1"/>
    <x v="1"/>
    <m/>
    <m/>
    <m/>
    <n v="1105060"/>
    <m/>
  </r>
  <r>
    <x v="339"/>
    <x v="7"/>
    <m/>
    <x v="1"/>
    <x v="5"/>
    <x v="167"/>
    <n v="3"/>
    <s v="이그나이트"/>
    <s v="210501"/>
    <m/>
    <n v="50490"/>
  </r>
  <r>
    <x v="339"/>
    <x v="7"/>
    <m/>
    <x v="1"/>
    <x v="5"/>
    <x v="168"/>
    <n v="99"/>
    <s v="스테이포에버"/>
    <s v="210501"/>
    <m/>
    <n v="1666170"/>
  </r>
  <r>
    <x v="339"/>
    <x v="0"/>
    <s v="네이버 배너(대행사)"/>
    <x v="1"/>
    <x v="1"/>
    <x v="1"/>
    <m/>
    <m/>
    <m/>
    <n v="262328.1818181818"/>
    <m/>
  </r>
  <r>
    <x v="340"/>
    <x v="3"/>
    <s v="네이버 배너(대행사)"/>
    <x v="1"/>
    <x v="1"/>
    <x v="1"/>
    <m/>
    <m/>
    <m/>
    <n v="397696.3636363636"/>
    <m/>
  </r>
  <r>
    <x v="341"/>
    <x v="4"/>
    <s v="유튜브 광고"/>
    <x v="1"/>
    <x v="1"/>
    <x v="1"/>
    <m/>
    <m/>
    <m/>
    <n v="41181"/>
    <m/>
  </r>
  <r>
    <x v="341"/>
    <x v="4"/>
    <s v="유튜브 광고"/>
    <x v="1"/>
    <x v="1"/>
    <x v="1"/>
    <m/>
    <m/>
    <m/>
    <n v="8948"/>
    <m/>
  </r>
  <r>
    <x v="341"/>
    <x v="4"/>
    <s v="유튜브 광고"/>
    <x v="1"/>
    <x v="1"/>
    <x v="1"/>
    <m/>
    <m/>
    <m/>
    <n v="599533"/>
    <m/>
  </r>
  <r>
    <x v="341"/>
    <x v="4"/>
    <s v="유튜브 광고"/>
    <x v="1"/>
    <x v="1"/>
    <x v="1"/>
    <m/>
    <m/>
    <m/>
    <n v="44902"/>
    <m/>
  </r>
  <r>
    <x v="341"/>
    <x v="4"/>
    <s v="유튜브 광고"/>
    <x v="1"/>
    <x v="1"/>
    <x v="1"/>
    <m/>
    <m/>
    <m/>
    <n v="393053"/>
    <m/>
  </r>
  <r>
    <x v="341"/>
    <x v="4"/>
    <s v="유튜브 광고"/>
    <x v="1"/>
    <x v="1"/>
    <x v="1"/>
    <m/>
    <m/>
    <m/>
    <n v="350753"/>
    <m/>
  </r>
  <r>
    <x v="341"/>
    <x v="4"/>
    <s v="유튜브 광고"/>
    <x v="1"/>
    <x v="1"/>
    <x v="1"/>
    <m/>
    <m/>
    <m/>
    <n v="400296"/>
    <m/>
  </r>
  <r>
    <x v="341"/>
    <x v="4"/>
    <s v="유튜브 광고"/>
    <x v="1"/>
    <x v="1"/>
    <x v="1"/>
    <m/>
    <m/>
    <m/>
    <n v="400433"/>
    <m/>
  </r>
  <r>
    <x v="341"/>
    <x v="4"/>
    <s v="유튜브 광고"/>
    <x v="1"/>
    <x v="1"/>
    <x v="1"/>
    <m/>
    <m/>
    <m/>
    <n v="46575"/>
    <m/>
  </r>
  <r>
    <x v="341"/>
    <x v="4"/>
    <s v="네이버 쇼핑검색"/>
    <x v="1"/>
    <x v="1"/>
    <x v="1"/>
    <m/>
    <m/>
    <m/>
    <n v="33790"/>
    <m/>
  </r>
  <r>
    <x v="341"/>
    <x v="4"/>
    <s v="네이버 쇼핑검색"/>
    <x v="1"/>
    <x v="1"/>
    <x v="1"/>
    <m/>
    <m/>
    <m/>
    <n v="250"/>
    <m/>
  </r>
  <r>
    <x v="341"/>
    <x v="4"/>
    <s v="네이버 쇼핑검색"/>
    <x v="1"/>
    <x v="1"/>
    <x v="1"/>
    <m/>
    <m/>
    <m/>
    <n v="101940"/>
    <m/>
  </r>
  <r>
    <x v="341"/>
    <x v="4"/>
    <s v="네이버 브랜드검색"/>
    <x v="3"/>
    <x v="1"/>
    <x v="1"/>
    <m/>
    <m/>
    <m/>
    <n v="88000"/>
    <m/>
  </r>
  <r>
    <x v="341"/>
    <x v="4"/>
    <s v="네이버 브랜드검색"/>
    <x v="3"/>
    <x v="1"/>
    <x v="1"/>
    <m/>
    <m/>
    <m/>
    <n v="16700"/>
    <m/>
  </r>
  <r>
    <x v="341"/>
    <x v="4"/>
    <m/>
    <x v="1"/>
    <x v="4"/>
    <x v="155"/>
    <n v="16"/>
    <s v="스테이포에버"/>
    <s v="210501"/>
    <m/>
    <n v="544000"/>
  </r>
  <r>
    <x v="341"/>
    <x v="4"/>
    <m/>
    <x v="1"/>
    <x v="4"/>
    <x v="157"/>
    <n v="2"/>
    <s v="이그나이트 + 스테이포에버"/>
    <s v="210501"/>
    <m/>
    <n v="117600"/>
  </r>
  <r>
    <x v="341"/>
    <x v="4"/>
    <m/>
    <x v="0"/>
    <x v="0"/>
    <x v="148"/>
    <n v="3"/>
    <s v="쇼핑백"/>
    <s v="210501"/>
    <m/>
    <n v="6000"/>
  </r>
  <r>
    <x v="341"/>
    <x v="4"/>
    <m/>
    <x v="1"/>
    <x v="0"/>
    <x v="135"/>
    <n v="1"/>
    <s v="스테이포에버"/>
    <s v="210501"/>
    <m/>
    <n v="34000"/>
  </r>
  <r>
    <x v="341"/>
    <x v="4"/>
    <m/>
    <x v="1"/>
    <x v="0"/>
    <x v="136"/>
    <n v="7"/>
    <s v="스테이포에버 2set"/>
    <s v="210501"/>
    <m/>
    <n v="411600"/>
  </r>
  <r>
    <x v="341"/>
    <x v="4"/>
    <m/>
    <x v="1"/>
    <x v="0"/>
    <x v="137"/>
    <n v="16"/>
    <s v="이그나이트 + 스테이포에버"/>
    <s v="210501"/>
    <m/>
    <n v="940800"/>
  </r>
  <r>
    <x v="341"/>
    <x v="4"/>
    <m/>
    <x v="1"/>
    <x v="0"/>
    <x v="144"/>
    <n v="3"/>
    <s v="이그나이트 + 스테이포에버"/>
    <s v="210501"/>
    <m/>
    <n v="176400"/>
  </r>
  <r>
    <x v="341"/>
    <x v="4"/>
    <m/>
    <x v="1"/>
    <x v="0"/>
    <x v="138"/>
    <n v="204"/>
    <s v="스테이포에버"/>
    <s v="210501"/>
    <m/>
    <n v="6936000"/>
  </r>
  <r>
    <x v="341"/>
    <x v="4"/>
    <m/>
    <x v="1"/>
    <x v="0"/>
    <x v="139"/>
    <n v="124"/>
    <s v="스테이포에버 2set"/>
    <s v="210501"/>
    <m/>
    <n v="7291200"/>
  </r>
  <r>
    <x v="341"/>
    <x v="4"/>
    <m/>
    <x v="1"/>
    <x v="0"/>
    <x v="140"/>
    <n v="15"/>
    <s v="이그나이트 + 스테이포에버"/>
    <s v="210501"/>
    <m/>
    <n v="882000"/>
  </r>
  <r>
    <x v="341"/>
    <x v="4"/>
    <m/>
    <x v="0"/>
    <x v="0"/>
    <x v="0"/>
    <n v="13"/>
    <s v="쇼핑백"/>
    <s v="210501"/>
    <m/>
    <n v="26000"/>
  </r>
  <r>
    <x v="341"/>
    <x v="4"/>
    <m/>
    <x v="1"/>
    <x v="0"/>
    <x v="141"/>
    <n v="2"/>
    <s v="이그나이트"/>
    <s v="210501"/>
    <m/>
    <n v="68000"/>
  </r>
  <r>
    <x v="341"/>
    <x v="4"/>
    <s v="네이버 배너"/>
    <x v="1"/>
    <x v="1"/>
    <x v="1"/>
    <m/>
    <m/>
    <m/>
    <n v="752869.9999999999"/>
    <m/>
  </r>
  <r>
    <x v="341"/>
    <x v="4"/>
    <s v="카카오 배너"/>
    <x v="1"/>
    <x v="1"/>
    <x v="1"/>
    <m/>
    <m/>
    <m/>
    <n v="91469.99999999999"/>
    <m/>
  </r>
  <r>
    <x v="341"/>
    <x v="4"/>
    <s v="카카오 배너"/>
    <x v="1"/>
    <x v="1"/>
    <x v="1"/>
    <m/>
    <m/>
    <m/>
    <n v="839529.9999999999"/>
    <m/>
  </r>
  <r>
    <x v="341"/>
    <x v="4"/>
    <s v="페이스북/인스타그램"/>
    <x v="1"/>
    <x v="1"/>
    <x v="1"/>
    <m/>
    <m/>
    <m/>
    <n v="2883347"/>
    <m/>
  </r>
  <r>
    <x v="341"/>
    <x v="4"/>
    <s v="네이버 배너(대행사)"/>
    <x v="1"/>
    <x v="1"/>
    <x v="1"/>
    <m/>
    <m/>
    <m/>
    <n v="337563.6363636364"/>
    <m/>
  </r>
  <r>
    <x v="341"/>
    <x v="4"/>
    <m/>
    <x v="1"/>
    <x v="5"/>
    <x v="167"/>
    <n v="1"/>
    <s v="이그나이트"/>
    <s v="210501"/>
    <m/>
    <n v="16830"/>
  </r>
  <r>
    <x v="341"/>
    <x v="4"/>
    <m/>
    <x v="1"/>
    <x v="5"/>
    <x v="168"/>
    <n v="132"/>
    <s v="스테이포에버"/>
    <s v="210501"/>
    <m/>
    <n v="2221560"/>
  </r>
  <r>
    <x v="342"/>
    <x v="1"/>
    <m/>
    <x v="2"/>
    <x v="1"/>
    <x v="1"/>
    <m/>
    <m/>
    <m/>
    <n v="31027"/>
    <m/>
  </r>
  <r>
    <x v="342"/>
    <x v="1"/>
    <s v="페이스북/인스타그램"/>
    <x v="1"/>
    <x v="1"/>
    <x v="1"/>
    <m/>
    <m/>
    <m/>
    <n v="47463"/>
    <m/>
  </r>
  <r>
    <x v="342"/>
    <x v="1"/>
    <s v="페이스북/인스타그램"/>
    <x v="1"/>
    <x v="1"/>
    <x v="1"/>
    <m/>
    <m/>
    <m/>
    <n v="95346"/>
    <m/>
  </r>
  <r>
    <x v="342"/>
    <x v="1"/>
    <s v="페이스북/인스타그램"/>
    <x v="1"/>
    <x v="1"/>
    <x v="1"/>
    <m/>
    <m/>
    <m/>
    <n v="140140"/>
    <m/>
  </r>
  <r>
    <x v="342"/>
    <x v="1"/>
    <s v="페이스북/인스타그램"/>
    <x v="1"/>
    <x v="1"/>
    <x v="1"/>
    <m/>
    <m/>
    <m/>
    <n v="65087"/>
    <m/>
  </r>
  <r>
    <x v="342"/>
    <x v="1"/>
    <s v="페이스북/인스타그램"/>
    <x v="1"/>
    <x v="1"/>
    <x v="1"/>
    <m/>
    <m/>
    <m/>
    <n v="29170"/>
    <m/>
  </r>
  <r>
    <x v="342"/>
    <x v="1"/>
    <s v="페이스북/인스타그램"/>
    <x v="1"/>
    <x v="1"/>
    <x v="1"/>
    <m/>
    <m/>
    <m/>
    <n v="56691"/>
    <m/>
  </r>
  <r>
    <x v="342"/>
    <x v="1"/>
    <s v="페이스북/인스타그램"/>
    <x v="1"/>
    <x v="1"/>
    <x v="1"/>
    <m/>
    <m/>
    <m/>
    <n v="29476"/>
    <m/>
  </r>
  <r>
    <x v="342"/>
    <x v="1"/>
    <s v="페이스북/인스타그램"/>
    <x v="1"/>
    <x v="1"/>
    <x v="1"/>
    <m/>
    <m/>
    <m/>
    <n v="106905"/>
    <m/>
  </r>
  <r>
    <x v="342"/>
    <x v="1"/>
    <s v="페이스북/인스타그램"/>
    <x v="1"/>
    <x v="1"/>
    <x v="1"/>
    <m/>
    <m/>
    <m/>
    <n v="49368"/>
    <m/>
  </r>
  <r>
    <x v="342"/>
    <x v="1"/>
    <s v="페이스북/인스타그램"/>
    <x v="1"/>
    <x v="1"/>
    <x v="1"/>
    <m/>
    <m/>
    <m/>
    <n v="28930"/>
    <m/>
  </r>
  <r>
    <x v="342"/>
    <x v="1"/>
    <s v="페이스북/인스타그램"/>
    <x v="1"/>
    <x v="1"/>
    <x v="1"/>
    <m/>
    <m/>
    <m/>
    <n v="931712"/>
    <m/>
  </r>
  <r>
    <x v="342"/>
    <x v="1"/>
    <s v="페이스북/인스타그램"/>
    <x v="1"/>
    <x v="1"/>
    <x v="1"/>
    <m/>
    <m/>
    <m/>
    <n v="192964"/>
    <m/>
  </r>
  <r>
    <x v="342"/>
    <x v="1"/>
    <s v="페이스북/인스타그램"/>
    <x v="1"/>
    <x v="1"/>
    <x v="1"/>
    <m/>
    <m/>
    <m/>
    <n v="99003"/>
    <m/>
  </r>
  <r>
    <x v="342"/>
    <x v="1"/>
    <s v="페이스북/인스타그램"/>
    <x v="1"/>
    <x v="1"/>
    <x v="1"/>
    <m/>
    <m/>
    <m/>
    <n v="50228"/>
    <m/>
  </r>
  <r>
    <x v="342"/>
    <x v="1"/>
    <s v="페이스북/인스타그램"/>
    <x v="1"/>
    <x v="1"/>
    <x v="1"/>
    <m/>
    <m/>
    <m/>
    <n v="212081"/>
    <m/>
  </r>
  <r>
    <x v="342"/>
    <x v="1"/>
    <s v="페이스북/인스타그램"/>
    <x v="1"/>
    <x v="1"/>
    <x v="1"/>
    <m/>
    <m/>
    <m/>
    <n v="48550"/>
    <m/>
  </r>
  <r>
    <x v="342"/>
    <x v="1"/>
    <s v="페이스북/인스타그램"/>
    <x v="1"/>
    <x v="1"/>
    <x v="1"/>
    <m/>
    <m/>
    <m/>
    <n v="49198"/>
    <m/>
  </r>
  <r>
    <x v="342"/>
    <x v="1"/>
    <s v="페이스북/인스타그램"/>
    <x v="1"/>
    <x v="1"/>
    <x v="1"/>
    <m/>
    <m/>
    <m/>
    <n v="203132"/>
    <m/>
  </r>
  <r>
    <x v="342"/>
    <x v="1"/>
    <s v="페이스북/인스타그램"/>
    <x v="1"/>
    <x v="1"/>
    <x v="1"/>
    <m/>
    <m/>
    <m/>
    <n v="49444"/>
    <m/>
  </r>
  <r>
    <x v="342"/>
    <x v="1"/>
    <s v="페이스북/인스타그램"/>
    <x v="1"/>
    <x v="1"/>
    <x v="1"/>
    <m/>
    <m/>
    <m/>
    <n v="98820"/>
    <m/>
  </r>
  <r>
    <x v="342"/>
    <x v="1"/>
    <s v="페이스북/인스타그램"/>
    <x v="1"/>
    <x v="1"/>
    <x v="1"/>
    <m/>
    <m/>
    <m/>
    <n v="98690"/>
    <m/>
  </r>
  <r>
    <x v="342"/>
    <x v="1"/>
    <s v="페이스북/인스타그램"/>
    <x v="1"/>
    <x v="1"/>
    <x v="1"/>
    <m/>
    <m/>
    <m/>
    <n v="4407"/>
    <m/>
  </r>
  <r>
    <x v="342"/>
    <x v="1"/>
    <s v="페이스북/인스타그램"/>
    <x v="1"/>
    <x v="1"/>
    <x v="1"/>
    <m/>
    <m/>
    <m/>
    <n v="97212"/>
    <m/>
  </r>
  <r>
    <x v="342"/>
    <x v="1"/>
    <s v="페이스북/인스타그램"/>
    <x v="1"/>
    <x v="1"/>
    <x v="1"/>
    <m/>
    <m/>
    <m/>
    <n v="99980"/>
    <m/>
  </r>
  <r>
    <x v="342"/>
    <x v="1"/>
    <s v="페이스북/인스타그램"/>
    <x v="1"/>
    <x v="1"/>
    <x v="1"/>
    <m/>
    <m/>
    <m/>
    <n v="30170"/>
    <m/>
  </r>
  <r>
    <x v="343"/>
    <x v="2"/>
    <m/>
    <x v="2"/>
    <x v="1"/>
    <x v="1"/>
    <m/>
    <m/>
    <m/>
    <n v="45642"/>
    <m/>
  </r>
  <r>
    <x v="343"/>
    <x v="2"/>
    <s v="페이스북/인스타그램"/>
    <x v="1"/>
    <x v="1"/>
    <x v="1"/>
    <m/>
    <m/>
    <m/>
    <n v="50506"/>
    <m/>
  </r>
  <r>
    <x v="343"/>
    <x v="2"/>
    <s v="페이스북/인스타그램"/>
    <x v="1"/>
    <x v="1"/>
    <x v="1"/>
    <m/>
    <m/>
    <m/>
    <n v="101064"/>
    <m/>
  </r>
  <r>
    <x v="343"/>
    <x v="2"/>
    <s v="페이스북/인스타그램"/>
    <x v="1"/>
    <x v="1"/>
    <x v="1"/>
    <m/>
    <m/>
    <m/>
    <n v="147106"/>
    <m/>
  </r>
  <r>
    <x v="343"/>
    <x v="2"/>
    <s v="페이스북/인스타그램"/>
    <x v="1"/>
    <x v="1"/>
    <x v="1"/>
    <m/>
    <m/>
    <m/>
    <n v="69441"/>
    <m/>
  </r>
  <r>
    <x v="343"/>
    <x v="2"/>
    <s v="페이스북/인스타그램"/>
    <x v="1"/>
    <x v="1"/>
    <x v="1"/>
    <m/>
    <m/>
    <m/>
    <n v="31526"/>
    <m/>
  </r>
  <r>
    <x v="343"/>
    <x v="2"/>
    <s v="페이스북/인스타그램"/>
    <x v="1"/>
    <x v="1"/>
    <x v="1"/>
    <m/>
    <m/>
    <m/>
    <n v="97159"/>
    <m/>
  </r>
  <r>
    <x v="343"/>
    <x v="2"/>
    <s v="페이스북/인스타그램"/>
    <x v="1"/>
    <x v="1"/>
    <x v="1"/>
    <m/>
    <m/>
    <m/>
    <n v="32131"/>
    <m/>
  </r>
  <r>
    <x v="343"/>
    <x v="2"/>
    <s v="페이스북/인스타그램"/>
    <x v="1"/>
    <x v="1"/>
    <x v="1"/>
    <m/>
    <m/>
    <m/>
    <n v="111116"/>
    <m/>
  </r>
  <r>
    <x v="343"/>
    <x v="2"/>
    <s v="페이스북/인스타그램"/>
    <x v="1"/>
    <x v="1"/>
    <x v="1"/>
    <m/>
    <m/>
    <m/>
    <n v="54419"/>
    <m/>
  </r>
  <r>
    <x v="343"/>
    <x v="2"/>
    <s v="페이스북/인스타그램"/>
    <x v="1"/>
    <x v="1"/>
    <x v="1"/>
    <m/>
    <m/>
    <m/>
    <n v="32516"/>
    <m/>
  </r>
  <r>
    <x v="343"/>
    <x v="2"/>
    <s v="페이스북/인스타그램"/>
    <x v="1"/>
    <x v="1"/>
    <x v="1"/>
    <m/>
    <m/>
    <m/>
    <n v="889146"/>
    <m/>
  </r>
  <r>
    <x v="343"/>
    <x v="2"/>
    <s v="페이스북/인스타그램"/>
    <x v="1"/>
    <x v="1"/>
    <x v="1"/>
    <m/>
    <m/>
    <m/>
    <n v="200394"/>
    <m/>
  </r>
  <r>
    <x v="343"/>
    <x v="2"/>
    <s v="페이스북/인스타그램"/>
    <x v="1"/>
    <x v="1"/>
    <x v="1"/>
    <m/>
    <m/>
    <m/>
    <n v="104146"/>
    <m/>
  </r>
  <r>
    <x v="343"/>
    <x v="2"/>
    <s v="페이스북/인스타그램"/>
    <x v="1"/>
    <x v="1"/>
    <x v="1"/>
    <m/>
    <m/>
    <m/>
    <n v="50697"/>
    <m/>
  </r>
  <r>
    <x v="343"/>
    <x v="2"/>
    <s v="페이스북/인스타그램"/>
    <x v="1"/>
    <x v="1"/>
    <x v="1"/>
    <m/>
    <m/>
    <m/>
    <n v="232565"/>
    <m/>
  </r>
  <r>
    <x v="343"/>
    <x v="2"/>
    <s v="페이스북/인스타그램"/>
    <x v="1"/>
    <x v="1"/>
    <x v="1"/>
    <m/>
    <m/>
    <m/>
    <n v="50567"/>
    <m/>
  </r>
  <r>
    <x v="343"/>
    <x v="2"/>
    <s v="페이스북/인스타그램"/>
    <x v="1"/>
    <x v="1"/>
    <x v="1"/>
    <m/>
    <m/>
    <m/>
    <n v="52158"/>
    <m/>
  </r>
  <r>
    <x v="343"/>
    <x v="2"/>
    <s v="페이스북/인스타그램"/>
    <x v="1"/>
    <x v="1"/>
    <x v="1"/>
    <m/>
    <m/>
    <m/>
    <n v="214533"/>
    <m/>
  </r>
  <r>
    <x v="343"/>
    <x v="2"/>
    <s v="페이스북/인스타그램"/>
    <x v="1"/>
    <x v="1"/>
    <x v="1"/>
    <m/>
    <m/>
    <m/>
    <n v="52692"/>
    <m/>
  </r>
  <r>
    <x v="343"/>
    <x v="2"/>
    <s v="페이스북/인스타그램"/>
    <x v="1"/>
    <x v="1"/>
    <x v="1"/>
    <m/>
    <m/>
    <m/>
    <n v="102512"/>
    <m/>
  </r>
  <r>
    <x v="343"/>
    <x v="2"/>
    <s v="페이스북/인스타그램"/>
    <x v="1"/>
    <x v="1"/>
    <x v="1"/>
    <m/>
    <m/>
    <m/>
    <n v="103732"/>
    <m/>
  </r>
  <r>
    <x v="343"/>
    <x v="2"/>
    <s v="페이스북/인스타그램"/>
    <x v="1"/>
    <x v="1"/>
    <x v="1"/>
    <m/>
    <m/>
    <m/>
    <n v="102644"/>
    <m/>
  </r>
  <r>
    <x v="343"/>
    <x v="2"/>
    <s v="페이스북/인스타그램"/>
    <x v="1"/>
    <x v="1"/>
    <x v="1"/>
    <m/>
    <m/>
    <m/>
    <n v="103216"/>
    <m/>
  </r>
  <r>
    <x v="343"/>
    <x v="2"/>
    <s v="페이스북/인스타그램"/>
    <x v="1"/>
    <x v="1"/>
    <x v="1"/>
    <m/>
    <m/>
    <m/>
    <n v="30586"/>
    <m/>
  </r>
  <r>
    <x v="344"/>
    <x v="5"/>
    <m/>
    <x v="2"/>
    <x v="1"/>
    <x v="1"/>
    <m/>
    <m/>
    <m/>
    <n v="50213"/>
    <m/>
  </r>
  <r>
    <x v="344"/>
    <x v="5"/>
    <s v="페이스북/인스타그램"/>
    <x v="1"/>
    <x v="1"/>
    <x v="1"/>
    <m/>
    <m/>
    <m/>
    <n v="50322"/>
    <m/>
  </r>
  <r>
    <x v="344"/>
    <x v="5"/>
    <s v="페이스북/인스타그램"/>
    <x v="1"/>
    <x v="1"/>
    <x v="1"/>
    <m/>
    <m/>
    <m/>
    <n v="100752"/>
    <m/>
  </r>
  <r>
    <x v="344"/>
    <x v="5"/>
    <s v="페이스북/인스타그램"/>
    <x v="1"/>
    <x v="1"/>
    <x v="1"/>
    <m/>
    <m/>
    <m/>
    <n v="150327"/>
    <m/>
  </r>
  <r>
    <x v="344"/>
    <x v="5"/>
    <s v="페이스북/인스타그램"/>
    <x v="1"/>
    <x v="1"/>
    <x v="1"/>
    <m/>
    <m/>
    <m/>
    <n v="71034"/>
    <m/>
  </r>
  <r>
    <x v="344"/>
    <x v="5"/>
    <s v="페이스북/인스타그램"/>
    <x v="1"/>
    <x v="1"/>
    <x v="1"/>
    <m/>
    <m/>
    <m/>
    <n v="30334"/>
    <m/>
  </r>
  <r>
    <x v="344"/>
    <x v="5"/>
    <s v="페이스북/인스타그램"/>
    <x v="1"/>
    <x v="1"/>
    <x v="1"/>
    <m/>
    <m/>
    <m/>
    <n v="100365"/>
    <m/>
  </r>
  <r>
    <x v="344"/>
    <x v="5"/>
    <s v="페이스북/인스타그램"/>
    <x v="1"/>
    <x v="1"/>
    <x v="1"/>
    <m/>
    <m/>
    <m/>
    <n v="30241"/>
    <m/>
  </r>
  <r>
    <x v="344"/>
    <x v="5"/>
    <s v="페이스북/인스타그램"/>
    <x v="1"/>
    <x v="1"/>
    <x v="1"/>
    <m/>
    <m/>
    <m/>
    <n v="110200"/>
    <m/>
  </r>
  <r>
    <x v="344"/>
    <x v="5"/>
    <s v="페이스북/인스타그램"/>
    <x v="1"/>
    <x v="1"/>
    <x v="1"/>
    <m/>
    <m/>
    <m/>
    <n v="50501"/>
    <m/>
  </r>
  <r>
    <x v="344"/>
    <x v="5"/>
    <s v="페이스북/인스타그램"/>
    <x v="1"/>
    <x v="1"/>
    <x v="1"/>
    <m/>
    <m/>
    <m/>
    <n v="30467"/>
    <m/>
  </r>
  <r>
    <x v="344"/>
    <x v="5"/>
    <s v="페이스북/인스타그램"/>
    <x v="1"/>
    <x v="1"/>
    <x v="1"/>
    <m/>
    <m/>
    <m/>
    <n v="850626"/>
    <m/>
  </r>
  <r>
    <x v="344"/>
    <x v="5"/>
    <s v="페이스북/인스타그램"/>
    <x v="1"/>
    <x v="1"/>
    <x v="1"/>
    <m/>
    <m/>
    <m/>
    <n v="200353"/>
    <m/>
  </r>
  <r>
    <x v="344"/>
    <x v="5"/>
    <s v="페이스북/인스타그램"/>
    <x v="1"/>
    <x v="1"/>
    <x v="1"/>
    <m/>
    <m/>
    <m/>
    <n v="100298"/>
    <m/>
  </r>
  <r>
    <x v="344"/>
    <x v="5"/>
    <s v="페이스북/인스타그램"/>
    <x v="1"/>
    <x v="1"/>
    <x v="1"/>
    <m/>
    <m/>
    <m/>
    <n v="50427"/>
    <m/>
  </r>
  <r>
    <x v="344"/>
    <x v="5"/>
    <s v="페이스북/인스타그램"/>
    <x v="1"/>
    <x v="1"/>
    <x v="1"/>
    <m/>
    <m/>
    <m/>
    <n v="241262"/>
    <m/>
  </r>
  <r>
    <x v="344"/>
    <x v="5"/>
    <s v="페이스북/인스타그램"/>
    <x v="1"/>
    <x v="1"/>
    <x v="1"/>
    <m/>
    <m/>
    <m/>
    <n v="50321"/>
    <m/>
  </r>
  <r>
    <x v="344"/>
    <x v="5"/>
    <s v="페이스북/인스타그램"/>
    <x v="1"/>
    <x v="1"/>
    <x v="1"/>
    <m/>
    <m/>
    <m/>
    <n v="50786"/>
    <m/>
  </r>
  <r>
    <x v="344"/>
    <x v="5"/>
    <s v="페이스북/인스타그램"/>
    <x v="1"/>
    <x v="1"/>
    <x v="1"/>
    <m/>
    <m/>
    <m/>
    <n v="202031"/>
    <m/>
  </r>
  <r>
    <x v="344"/>
    <x v="5"/>
    <s v="페이스북/인스타그램"/>
    <x v="1"/>
    <x v="1"/>
    <x v="1"/>
    <m/>
    <m/>
    <m/>
    <n v="50585"/>
    <m/>
  </r>
  <r>
    <x v="344"/>
    <x v="5"/>
    <s v="페이스북/인스타그램"/>
    <x v="1"/>
    <x v="1"/>
    <x v="1"/>
    <m/>
    <m/>
    <m/>
    <n v="100400"/>
    <m/>
  </r>
  <r>
    <x v="344"/>
    <x v="5"/>
    <s v="페이스북/인스타그램"/>
    <x v="1"/>
    <x v="1"/>
    <x v="1"/>
    <m/>
    <m/>
    <m/>
    <n v="100843"/>
    <m/>
  </r>
  <r>
    <x v="344"/>
    <x v="5"/>
    <s v="페이스북/인스타그램"/>
    <x v="1"/>
    <x v="1"/>
    <x v="1"/>
    <m/>
    <m/>
    <m/>
    <n v="100453"/>
    <m/>
  </r>
  <r>
    <x v="344"/>
    <x v="5"/>
    <s v="페이스북/인스타그램"/>
    <x v="1"/>
    <x v="1"/>
    <x v="1"/>
    <m/>
    <m/>
    <m/>
    <n v="100341"/>
    <m/>
  </r>
  <r>
    <x v="344"/>
    <x v="5"/>
    <s v="페이스북/인스타그램"/>
    <x v="1"/>
    <x v="1"/>
    <x v="1"/>
    <m/>
    <m/>
    <m/>
    <n v="30115"/>
    <m/>
  </r>
  <r>
    <x v="342"/>
    <x v="1"/>
    <s v="유튜브 광고"/>
    <x v="1"/>
    <x v="1"/>
    <x v="1"/>
    <m/>
    <m/>
    <m/>
    <n v="23492"/>
    <m/>
  </r>
  <r>
    <x v="342"/>
    <x v="1"/>
    <s v="유튜브 광고"/>
    <x v="1"/>
    <x v="1"/>
    <x v="1"/>
    <m/>
    <m/>
    <m/>
    <n v="4128"/>
    <m/>
  </r>
  <r>
    <x v="342"/>
    <x v="1"/>
    <s v="유튜브 광고"/>
    <x v="1"/>
    <x v="1"/>
    <x v="1"/>
    <m/>
    <m/>
    <m/>
    <n v="599221"/>
    <m/>
  </r>
  <r>
    <x v="342"/>
    <x v="1"/>
    <s v="유튜브 광고"/>
    <x v="1"/>
    <x v="1"/>
    <x v="1"/>
    <m/>
    <m/>
    <m/>
    <n v="54429"/>
    <m/>
  </r>
  <r>
    <x v="342"/>
    <x v="1"/>
    <s v="유튜브 광고"/>
    <x v="1"/>
    <x v="1"/>
    <x v="1"/>
    <m/>
    <m/>
    <m/>
    <n v="393160"/>
    <m/>
  </r>
  <r>
    <x v="342"/>
    <x v="1"/>
    <s v="유튜브 광고"/>
    <x v="1"/>
    <x v="1"/>
    <x v="1"/>
    <m/>
    <m/>
    <m/>
    <n v="351395"/>
    <m/>
  </r>
  <r>
    <x v="342"/>
    <x v="1"/>
    <s v="유튜브 광고"/>
    <x v="1"/>
    <x v="1"/>
    <x v="1"/>
    <m/>
    <m/>
    <m/>
    <n v="401519"/>
    <m/>
  </r>
  <r>
    <x v="342"/>
    <x v="1"/>
    <s v="유튜브 광고"/>
    <x v="1"/>
    <x v="1"/>
    <x v="1"/>
    <m/>
    <m/>
    <m/>
    <n v="401173"/>
    <m/>
  </r>
  <r>
    <x v="342"/>
    <x v="1"/>
    <s v="유튜브 광고"/>
    <x v="1"/>
    <x v="1"/>
    <x v="1"/>
    <m/>
    <m/>
    <m/>
    <n v="39152"/>
    <m/>
  </r>
  <r>
    <x v="343"/>
    <x v="2"/>
    <s v="유튜브 광고"/>
    <x v="1"/>
    <x v="1"/>
    <x v="1"/>
    <m/>
    <m/>
    <m/>
    <n v="26886"/>
    <m/>
  </r>
  <r>
    <x v="343"/>
    <x v="2"/>
    <s v="유튜브 광고"/>
    <x v="1"/>
    <x v="1"/>
    <x v="1"/>
    <m/>
    <m/>
    <m/>
    <n v="23176"/>
    <m/>
  </r>
  <r>
    <x v="343"/>
    <x v="2"/>
    <s v="유튜브 광고"/>
    <x v="1"/>
    <x v="1"/>
    <x v="1"/>
    <m/>
    <m/>
    <m/>
    <n v="595529"/>
    <m/>
  </r>
  <r>
    <x v="343"/>
    <x v="2"/>
    <s v="유튜브 광고"/>
    <x v="1"/>
    <x v="1"/>
    <x v="1"/>
    <m/>
    <m/>
    <m/>
    <n v="51528"/>
    <m/>
  </r>
  <r>
    <x v="343"/>
    <x v="2"/>
    <s v="유튜브 광고"/>
    <x v="1"/>
    <x v="1"/>
    <x v="1"/>
    <m/>
    <m/>
    <m/>
    <n v="392102"/>
    <m/>
  </r>
  <r>
    <x v="343"/>
    <x v="2"/>
    <s v="유튜브 광고"/>
    <x v="1"/>
    <x v="1"/>
    <x v="1"/>
    <m/>
    <m/>
    <m/>
    <n v="349612"/>
    <m/>
  </r>
  <r>
    <x v="343"/>
    <x v="2"/>
    <s v="유튜브 광고"/>
    <x v="1"/>
    <x v="1"/>
    <x v="1"/>
    <m/>
    <m/>
    <m/>
    <n v="399986"/>
    <m/>
  </r>
  <r>
    <x v="343"/>
    <x v="2"/>
    <s v="유튜브 광고"/>
    <x v="1"/>
    <x v="1"/>
    <x v="1"/>
    <m/>
    <m/>
    <m/>
    <n v="400591"/>
    <m/>
  </r>
  <r>
    <x v="343"/>
    <x v="2"/>
    <s v="유튜브 광고"/>
    <x v="1"/>
    <x v="1"/>
    <x v="1"/>
    <m/>
    <m/>
    <m/>
    <n v="25523"/>
    <m/>
  </r>
  <r>
    <x v="344"/>
    <x v="5"/>
    <s v="유튜브 광고"/>
    <x v="1"/>
    <x v="1"/>
    <x v="1"/>
    <m/>
    <m/>
    <m/>
    <n v="19790"/>
    <m/>
  </r>
  <r>
    <x v="344"/>
    <x v="5"/>
    <s v="유튜브 광고"/>
    <x v="1"/>
    <x v="1"/>
    <x v="1"/>
    <m/>
    <m/>
    <m/>
    <n v="51939"/>
    <m/>
  </r>
  <r>
    <x v="344"/>
    <x v="5"/>
    <s v="유튜브 광고"/>
    <x v="1"/>
    <x v="1"/>
    <x v="1"/>
    <m/>
    <m/>
    <m/>
    <n v="564909"/>
    <m/>
  </r>
  <r>
    <x v="344"/>
    <x v="5"/>
    <s v="유튜브 광고"/>
    <x v="1"/>
    <x v="1"/>
    <x v="1"/>
    <m/>
    <m/>
    <m/>
    <n v="51393"/>
    <m/>
  </r>
  <r>
    <x v="344"/>
    <x v="5"/>
    <s v="유튜브 광고"/>
    <x v="1"/>
    <x v="1"/>
    <x v="1"/>
    <m/>
    <m/>
    <m/>
    <n v="392926"/>
    <m/>
  </r>
  <r>
    <x v="344"/>
    <x v="5"/>
    <s v="유튜브 광고"/>
    <x v="1"/>
    <x v="1"/>
    <x v="1"/>
    <m/>
    <m/>
    <m/>
    <n v="350038"/>
    <m/>
  </r>
  <r>
    <x v="344"/>
    <x v="5"/>
    <s v="유튜브 광고"/>
    <x v="1"/>
    <x v="1"/>
    <x v="1"/>
    <m/>
    <m/>
    <m/>
    <n v="400698"/>
    <m/>
  </r>
  <r>
    <x v="344"/>
    <x v="5"/>
    <s v="유튜브 광고"/>
    <x v="1"/>
    <x v="1"/>
    <x v="1"/>
    <m/>
    <m/>
    <m/>
    <n v="400256"/>
    <m/>
  </r>
  <r>
    <x v="344"/>
    <x v="5"/>
    <s v="유튜브 광고"/>
    <x v="1"/>
    <x v="1"/>
    <x v="1"/>
    <m/>
    <m/>
    <m/>
    <n v="12670"/>
    <m/>
  </r>
  <r>
    <x v="344"/>
    <x v="5"/>
    <s v="네이버 쇼핑검색"/>
    <x v="1"/>
    <x v="1"/>
    <x v="1"/>
    <m/>
    <m/>
    <m/>
    <n v="20860"/>
    <m/>
  </r>
  <r>
    <x v="344"/>
    <x v="5"/>
    <s v="네이버 쇼핑검색"/>
    <x v="1"/>
    <x v="1"/>
    <x v="1"/>
    <m/>
    <m/>
    <m/>
    <n v="0"/>
    <m/>
  </r>
  <r>
    <x v="344"/>
    <x v="5"/>
    <s v="네이버 쇼핑검색"/>
    <x v="1"/>
    <x v="1"/>
    <x v="1"/>
    <m/>
    <m/>
    <m/>
    <n v="115680"/>
    <m/>
  </r>
  <r>
    <x v="344"/>
    <x v="5"/>
    <s v="네이버 브랜드검색"/>
    <x v="3"/>
    <x v="1"/>
    <x v="1"/>
    <m/>
    <m/>
    <m/>
    <n v="0"/>
    <m/>
  </r>
  <r>
    <x v="344"/>
    <x v="5"/>
    <s v="네이버 브랜드검색"/>
    <x v="3"/>
    <x v="1"/>
    <x v="1"/>
    <m/>
    <m/>
    <m/>
    <n v="0"/>
    <m/>
  </r>
  <r>
    <x v="343"/>
    <x v="2"/>
    <s v="네이버 쇼핑검색"/>
    <x v="1"/>
    <x v="1"/>
    <x v="1"/>
    <m/>
    <m/>
    <m/>
    <n v="17430"/>
    <m/>
  </r>
  <r>
    <x v="343"/>
    <x v="2"/>
    <s v="네이버 쇼핑검색"/>
    <x v="1"/>
    <x v="1"/>
    <x v="1"/>
    <m/>
    <m/>
    <m/>
    <n v="0"/>
    <m/>
  </r>
  <r>
    <x v="343"/>
    <x v="2"/>
    <s v="네이버 쇼핑검색"/>
    <x v="1"/>
    <x v="1"/>
    <x v="1"/>
    <m/>
    <m/>
    <m/>
    <n v="118440"/>
    <m/>
  </r>
  <r>
    <x v="343"/>
    <x v="2"/>
    <s v="네이버 브랜드검색"/>
    <x v="3"/>
    <x v="1"/>
    <x v="1"/>
    <m/>
    <m/>
    <m/>
    <n v="0"/>
    <m/>
  </r>
  <r>
    <x v="343"/>
    <x v="2"/>
    <s v="네이버 브랜드검색"/>
    <x v="3"/>
    <x v="1"/>
    <x v="1"/>
    <m/>
    <m/>
    <m/>
    <n v="0"/>
    <m/>
  </r>
  <r>
    <x v="342"/>
    <x v="1"/>
    <s v="네이버 쇼핑검색"/>
    <x v="1"/>
    <x v="1"/>
    <x v="1"/>
    <m/>
    <m/>
    <m/>
    <n v="19930"/>
    <m/>
  </r>
  <r>
    <x v="342"/>
    <x v="1"/>
    <s v="네이버 쇼핑검색"/>
    <x v="1"/>
    <x v="1"/>
    <x v="1"/>
    <m/>
    <m/>
    <m/>
    <n v="0"/>
    <m/>
  </r>
  <r>
    <x v="342"/>
    <x v="1"/>
    <s v="네이버 쇼핑검색"/>
    <x v="1"/>
    <x v="1"/>
    <x v="1"/>
    <m/>
    <m/>
    <m/>
    <n v="116200"/>
    <m/>
  </r>
  <r>
    <x v="342"/>
    <x v="1"/>
    <s v="네이버 브랜드검색"/>
    <x v="3"/>
    <x v="1"/>
    <x v="1"/>
    <m/>
    <m/>
    <m/>
    <n v="0"/>
    <m/>
  </r>
  <r>
    <x v="342"/>
    <x v="1"/>
    <s v="네이버 브랜드검색"/>
    <x v="3"/>
    <x v="1"/>
    <x v="1"/>
    <m/>
    <m/>
    <m/>
    <n v="0"/>
    <m/>
  </r>
  <r>
    <x v="342"/>
    <x v="1"/>
    <m/>
    <x v="1"/>
    <x v="4"/>
    <x v="155"/>
    <n v="4"/>
    <s v="스테이포에버"/>
    <s v="210501"/>
    <m/>
    <n v="136000"/>
  </r>
  <r>
    <x v="342"/>
    <x v="1"/>
    <m/>
    <x v="1"/>
    <x v="3"/>
    <x v="152"/>
    <n v="23"/>
    <s v="스테이포에버"/>
    <s v="210501"/>
    <m/>
    <n v="782000"/>
  </r>
  <r>
    <x v="342"/>
    <x v="1"/>
    <m/>
    <x v="1"/>
    <x v="0"/>
    <x v="135"/>
    <n v="3"/>
    <s v="스테이포에버"/>
    <s v="210501"/>
    <m/>
    <n v="102000"/>
  </r>
  <r>
    <x v="342"/>
    <x v="1"/>
    <m/>
    <x v="1"/>
    <x v="0"/>
    <x v="136"/>
    <n v="6"/>
    <s v="스테이포에버 2set"/>
    <s v="210501"/>
    <m/>
    <n v="352800"/>
  </r>
  <r>
    <x v="342"/>
    <x v="1"/>
    <m/>
    <x v="1"/>
    <x v="0"/>
    <x v="137"/>
    <n v="13"/>
    <s v="이그나이트 + 스테이포에버"/>
    <s v="210501"/>
    <m/>
    <n v="764400"/>
  </r>
  <r>
    <x v="342"/>
    <x v="1"/>
    <m/>
    <x v="1"/>
    <x v="0"/>
    <x v="144"/>
    <n v="1"/>
    <s v="이그나이트 + 스테이포에버"/>
    <s v="210501"/>
    <m/>
    <n v="58800"/>
  </r>
  <r>
    <x v="342"/>
    <x v="1"/>
    <m/>
    <x v="1"/>
    <x v="0"/>
    <x v="138"/>
    <n v="177"/>
    <s v="스테이포에버"/>
    <s v="210501"/>
    <m/>
    <n v="6018000"/>
  </r>
  <r>
    <x v="342"/>
    <x v="1"/>
    <m/>
    <x v="1"/>
    <x v="0"/>
    <x v="139"/>
    <n v="101"/>
    <s v="스테이포에버 2set"/>
    <s v="210501"/>
    <m/>
    <n v="5938800"/>
  </r>
  <r>
    <x v="342"/>
    <x v="1"/>
    <m/>
    <x v="1"/>
    <x v="0"/>
    <x v="140"/>
    <n v="17"/>
    <s v="이그나이트 + 스테이포에버"/>
    <s v="210501"/>
    <m/>
    <n v="999600"/>
  </r>
  <r>
    <x v="342"/>
    <x v="1"/>
    <m/>
    <x v="0"/>
    <x v="0"/>
    <x v="0"/>
    <n v="10"/>
    <s v="쇼핑백"/>
    <s v="210501"/>
    <m/>
    <n v="20000"/>
  </r>
  <r>
    <x v="342"/>
    <x v="1"/>
    <m/>
    <x v="1"/>
    <x v="0"/>
    <x v="141"/>
    <n v="2"/>
    <s v="이그나이트"/>
    <s v="210501"/>
    <m/>
    <n v="68000"/>
  </r>
  <r>
    <x v="342"/>
    <x v="1"/>
    <m/>
    <x v="1"/>
    <x v="0"/>
    <x v="142"/>
    <n v="1"/>
    <s v="이그나이트 2set"/>
    <s v="210501"/>
    <m/>
    <n v="58800"/>
  </r>
  <r>
    <x v="342"/>
    <x v="1"/>
    <m/>
    <x v="1"/>
    <x v="0"/>
    <x v="166"/>
    <n v="1"/>
    <s v="이그나이트 + 스테이포에버 2set"/>
    <s v="210501"/>
    <m/>
    <n v="94800"/>
  </r>
  <r>
    <x v="343"/>
    <x v="2"/>
    <m/>
    <x v="1"/>
    <x v="3"/>
    <x v="151"/>
    <n v="1"/>
    <s v="스테이포에버 2set"/>
    <s v="210501"/>
    <m/>
    <n v="58800"/>
  </r>
  <r>
    <x v="343"/>
    <x v="2"/>
    <m/>
    <x v="1"/>
    <x v="3"/>
    <x v="152"/>
    <n v="18"/>
    <s v="스테이포에버"/>
    <s v="210501"/>
    <m/>
    <n v="612000"/>
  </r>
  <r>
    <x v="343"/>
    <x v="2"/>
    <m/>
    <x v="1"/>
    <x v="0"/>
    <x v="145"/>
    <n v="1"/>
    <s v="이그나이트 2set"/>
    <s v="210501"/>
    <m/>
    <n v="58800"/>
  </r>
  <r>
    <x v="343"/>
    <x v="2"/>
    <m/>
    <x v="1"/>
    <x v="0"/>
    <x v="135"/>
    <n v="2"/>
    <s v="스테이포에버"/>
    <s v="210501"/>
    <m/>
    <n v="68000"/>
  </r>
  <r>
    <x v="343"/>
    <x v="2"/>
    <m/>
    <x v="1"/>
    <x v="0"/>
    <x v="136"/>
    <n v="4"/>
    <s v="스테이포에버 2set"/>
    <s v="210501"/>
    <m/>
    <n v="235200"/>
  </r>
  <r>
    <x v="343"/>
    <x v="2"/>
    <m/>
    <x v="1"/>
    <x v="0"/>
    <x v="137"/>
    <n v="20"/>
    <s v="이그나이트 + 스테이포에버"/>
    <s v="210501"/>
    <m/>
    <n v="1176000"/>
  </r>
  <r>
    <x v="343"/>
    <x v="2"/>
    <m/>
    <x v="1"/>
    <x v="0"/>
    <x v="144"/>
    <n v="3"/>
    <s v="이그나이트 + 스테이포에버"/>
    <s v="210501"/>
    <m/>
    <n v="176400"/>
  </r>
  <r>
    <x v="343"/>
    <x v="2"/>
    <m/>
    <x v="1"/>
    <x v="0"/>
    <x v="138"/>
    <n v="208"/>
    <s v="스테이포에버"/>
    <s v="210501"/>
    <m/>
    <n v="7072000"/>
  </r>
  <r>
    <x v="343"/>
    <x v="2"/>
    <m/>
    <x v="1"/>
    <x v="0"/>
    <x v="139"/>
    <n v="131"/>
    <s v="스테이포에버 2set"/>
    <s v="210501"/>
    <m/>
    <n v="7702800"/>
  </r>
  <r>
    <x v="343"/>
    <x v="2"/>
    <m/>
    <x v="1"/>
    <x v="0"/>
    <x v="140"/>
    <n v="13"/>
    <s v="이그나이트 + 스테이포에버"/>
    <s v="210501"/>
    <m/>
    <n v="764400"/>
  </r>
  <r>
    <x v="343"/>
    <x v="2"/>
    <m/>
    <x v="0"/>
    <x v="0"/>
    <x v="0"/>
    <n v="9"/>
    <s v="쇼핑백"/>
    <s v="210501"/>
    <m/>
    <n v="18000"/>
  </r>
  <r>
    <x v="343"/>
    <x v="2"/>
    <m/>
    <x v="1"/>
    <x v="0"/>
    <x v="141"/>
    <n v="2"/>
    <s v="이그나이트"/>
    <s v="210501"/>
    <m/>
    <n v="68000"/>
  </r>
  <r>
    <x v="343"/>
    <x v="2"/>
    <m/>
    <x v="1"/>
    <x v="0"/>
    <x v="142"/>
    <n v="2"/>
    <s v="이그나이트 2set"/>
    <s v="210501"/>
    <m/>
    <n v="117600"/>
  </r>
  <r>
    <x v="343"/>
    <x v="2"/>
    <m/>
    <x v="1"/>
    <x v="0"/>
    <x v="162"/>
    <n v="1"/>
    <s v="스테이포에버"/>
    <s v="210501"/>
    <m/>
    <n v="34000"/>
  </r>
  <r>
    <x v="344"/>
    <x v="5"/>
    <m/>
    <x v="1"/>
    <x v="3"/>
    <x v="150"/>
    <n v="1"/>
    <s v="이그나이트 + 스테이포에버"/>
    <s v="210501"/>
    <m/>
    <n v="58800"/>
  </r>
  <r>
    <x v="344"/>
    <x v="5"/>
    <m/>
    <x v="1"/>
    <x v="3"/>
    <x v="151"/>
    <n v="2"/>
    <s v="스테이포에버 2set"/>
    <s v="210501"/>
    <m/>
    <n v="117600"/>
  </r>
  <r>
    <x v="344"/>
    <x v="5"/>
    <m/>
    <x v="1"/>
    <x v="3"/>
    <x v="152"/>
    <n v="12"/>
    <s v="스테이포에버"/>
    <s v="210501"/>
    <m/>
    <n v="408000"/>
  </r>
  <r>
    <x v="344"/>
    <x v="5"/>
    <m/>
    <x v="1"/>
    <x v="0"/>
    <x v="134"/>
    <n v="2"/>
    <s v="이그나이트"/>
    <s v="210501"/>
    <m/>
    <n v="68000"/>
  </r>
  <r>
    <x v="344"/>
    <x v="5"/>
    <m/>
    <x v="1"/>
    <x v="0"/>
    <x v="135"/>
    <n v="3"/>
    <s v="스테이포에버"/>
    <s v="210501"/>
    <m/>
    <n v="102000"/>
  </r>
  <r>
    <x v="344"/>
    <x v="5"/>
    <m/>
    <x v="1"/>
    <x v="0"/>
    <x v="136"/>
    <n v="6"/>
    <s v="스테이포에버 2set"/>
    <s v="210501"/>
    <m/>
    <n v="352800"/>
  </r>
  <r>
    <x v="344"/>
    <x v="5"/>
    <m/>
    <x v="1"/>
    <x v="0"/>
    <x v="137"/>
    <n v="8"/>
    <s v="이그나이트 + 스테이포에버"/>
    <s v="210501"/>
    <m/>
    <n v="470400"/>
  </r>
  <r>
    <x v="344"/>
    <x v="5"/>
    <m/>
    <x v="1"/>
    <x v="0"/>
    <x v="144"/>
    <n v="2"/>
    <s v="이그나이트 + 스테이포에버"/>
    <s v="210501"/>
    <m/>
    <n v="117600"/>
  </r>
  <r>
    <x v="344"/>
    <x v="5"/>
    <m/>
    <x v="1"/>
    <x v="0"/>
    <x v="138"/>
    <n v="232"/>
    <s v="스테이포에버"/>
    <s v="210501"/>
    <m/>
    <n v="7888000"/>
  </r>
  <r>
    <x v="344"/>
    <x v="5"/>
    <m/>
    <x v="1"/>
    <x v="0"/>
    <x v="139"/>
    <n v="139"/>
    <s v="스테이포에버 2set"/>
    <s v="210501"/>
    <m/>
    <n v="8173200"/>
  </r>
  <r>
    <x v="344"/>
    <x v="5"/>
    <m/>
    <x v="1"/>
    <x v="0"/>
    <x v="140"/>
    <n v="24"/>
    <s v="이그나이트 + 스테이포에버"/>
    <s v="210501"/>
    <m/>
    <n v="1411200"/>
  </r>
  <r>
    <x v="344"/>
    <x v="5"/>
    <m/>
    <x v="0"/>
    <x v="0"/>
    <x v="0"/>
    <n v="13"/>
    <s v="쇼핑백"/>
    <s v="210501"/>
    <m/>
    <n v="26000"/>
  </r>
  <r>
    <x v="344"/>
    <x v="5"/>
    <m/>
    <x v="1"/>
    <x v="0"/>
    <x v="141"/>
    <n v="3"/>
    <s v="이그나이트"/>
    <s v="210501"/>
    <m/>
    <n v="102000"/>
  </r>
  <r>
    <x v="344"/>
    <x v="5"/>
    <m/>
    <x v="1"/>
    <x v="0"/>
    <x v="142"/>
    <n v="1"/>
    <s v="이그나이트 2set"/>
    <s v="210501"/>
    <m/>
    <n v="58800"/>
  </r>
  <r>
    <x v="342"/>
    <x v="1"/>
    <s v="네이버 배너"/>
    <x v="1"/>
    <x v="1"/>
    <x v="1"/>
    <m/>
    <m/>
    <m/>
    <n v="781200.9090909091"/>
    <m/>
  </r>
  <r>
    <x v="343"/>
    <x v="2"/>
    <s v="네이버 배너"/>
    <x v="1"/>
    <x v="1"/>
    <x v="1"/>
    <m/>
    <m/>
    <m/>
    <n v="724004.5454545454"/>
    <m/>
  </r>
  <r>
    <x v="344"/>
    <x v="5"/>
    <s v="네이버 배너"/>
    <x v="1"/>
    <x v="1"/>
    <x v="1"/>
    <m/>
    <m/>
    <m/>
    <n v="674950.9090909091"/>
    <m/>
  </r>
  <r>
    <x v="342"/>
    <x v="1"/>
    <s v="카카오 배너"/>
    <x v="1"/>
    <x v="1"/>
    <x v="1"/>
    <m/>
    <m/>
    <m/>
    <n v="91259.99999999999"/>
    <m/>
  </r>
  <r>
    <x v="342"/>
    <x v="1"/>
    <s v="카카오 배너"/>
    <x v="1"/>
    <x v="1"/>
    <x v="1"/>
    <m/>
    <m/>
    <m/>
    <n v="827889.9999999999"/>
    <m/>
  </r>
  <r>
    <x v="343"/>
    <x v="2"/>
    <s v="카카오 배너"/>
    <x v="1"/>
    <x v="1"/>
    <x v="1"/>
    <m/>
    <m/>
    <m/>
    <n v="91069.99999999999"/>
    <m/>
  </r>
  <r>
    <x v="343"/>
    <x v="2"/>
    <s v="카카오 배너"/>
    <x v="1"/>
    <x v="1"/>
    <x v="1"/>
    <m/>
    <m/>
    <m/>
    <n v="975479.9999999999"/>
    <m/>
  </r>
  <r>
    <x v="344"/>
    <x v="5"/>
    <s v="카카오 배너"/>
    <x v="1"/>
    <x v="1"/>
    <x v="1"/>
    <m/>
    <m/>
    <m/>
    <n v="91209.99999999999"/>
    <m/>
  </r>
  <r>
    <x v="344"/>
    <x v="5"/>
    <s v="카카오 배너"/>
    <x v="1"/>
    <x v="1"/>
    <x v="1"/>
    <m/>
    <m/>
    <m/>
    <n v="956659.9999999999"/>
    <m/>
  </r>
  <r>
    <x v="345"/>
    <x v="6"/>
    <m/>
    <x v="2"/>
    <x v="1"/>
    <x v="1"/>
    <m/>
    <m/>
    <m/>
    <n v="40213"/>
    <m/>
  </r>
  <r>
    <x v="345"/>
    <x v="6"/>
    <s v="페이스북/인스타그램"/>
    <x v="1"/>
    <x v="1"/>
    <x v="1"/>
    <m/>
    <m/>
    <m/>
    <n v="48306"/>
    <m/>
  </r>
  <r>
    <x v="345"/>
    <x v="6"/>
    <s v="페이스북/인스타그램"/>
    <x v="1"/>
    <x v="1"/>
    <x v="1"/>
    <m/>
    <m/>
    <m/>
    <n v="97931"/>
    <m/>
  </r>
  <r>
    <x v="345"/>
    <x v="6"/>
    <s v="페이스북/인스타그램"/>
    <x v="1"/>
    <x v="1"/>
    <x v="1"/>
    <m/>
    <m/>
    <m/>
    <n v="149335"/>
    <m/>
  </r>
  <r>
    <x v="345"/>
    <x v="6"/>
    <s v="페이스북/인스타그램"/>
    <x v="1"/>
    <x v="1"/>
    <x v="1"/>
    <m/>
    <m/>
    <m/>
    <n v="56786"/>
    <m/>
  </r>
  <r>
    <x v="345"/>
    <x v="6"/>
    <s v="페이스북/인스타그램"/>
    <x v="1"/>
    <x v="1"/>
    <x v="1"/>
    <m/>
    <m/>
    <m/>
    <n v="29042"/>
    <m/>
  </r>
  <r>
    <x v="345"/>
    <x v="6"/>
    <s v="페이스북/인스타그램"/>
    <x v="1"/>
    <x v="1"/>
    <x v="1"/>
    <m/>
    <m/>
    <m/>
    <n v="98276"/>
    <m/>
  </r>
  <r>
    <x v="345"/>
    <x v="6"/>
    <s v="페이스북/인스타그램"/>
    <x v="1"/>
    <x v="1"/>
    <x v="1"/>
    <m/>
    <m/>
    <m/>
    <n v="28760"/>
    <m/>
  </r>
  <r>
    <x v="345"/>
    <x v="6"/>
    <s v="페이스북/인스타그램"/>
    <x v="1"/>
    <x v="1"/>
    <x v="1"/>
    <m/>
    <m/>
    <m/>
    <n v="111466"/>
    <m/>
  </r>
  <r>
    <x v="345"/>
    <x v="6"/>
    <s v="페이스북/인스타그램"/>
    <x v="1"/>
    <x v="1"/>
    <x v="1"/>
    <m/>
    <m/>
    <m/>
    <n v="47354"/>
    <m/>
  </r>
  <r>
    <x v="345"/>
    <x v="6"/>
    <s v="페이스북/인스타그램"/>
    <x v="1"/>
    <x v="1"/>
    <x v="1"/>
    <m/>
    <m/>
    <m/>
    <n v="28241"/>
    <m/>
  </r>
  <r>
    <x v="345"/>
    <x v="6"/>
    <s v="페이스북/인스타그램"/>
    <x v="1"/>
    <x v="1"/>
    <x v="1"/>
    <m/>
    <m/>
    <m/>
    <n v="846523"/>
    <m/>
  </r>
  <r>
    <x v="345"/>
    <x v="6"/>
    <s v="페이스북/인스타그램"/>
    <x v="1"/>
    <x v="1"/>
    <x v="1"/>
    <m/>
    <m/>
    <m/>
    <n v="167968"/>
    <m/>
  </r>
  <r>
    <x v="345"/>
    <x v="6"/>
    <s v="페이스북/인스타그램"/>
    <x v="1"/>
    <x v="1"/>
    <x v="1"/>
    <m/>
    <m/>
    <m/>
    <n v="98269"/>
    <m/>
  </r>
  <r>
    <x v="345"/>
    <x v="6"/>
    <s v="페이스북/인스타그램"/>
    <x v="1"/>
    <x v="1"/>
    <x v="1"/>
    <m/>
    <m/>
    <m/>
    <n v="48824"/>
    <m/>
  </r>
  <r>
    <x v="345"/>
    <x v="6"/>
    <s v="페이스북/인스타그램"/>
    <x v="1"/>
    <x v="1"/>
    <x v="1"/>
    <m/>
    <m/>
    <m/>
    <n v="214840"/>
    <m/>
  </r>
  <r>
    <x v="345"/>
    <x v="6"/>
    <s v="페이스북/인스타그램"/>
    <x v="1"/>
    <x v="1"/>
    <x v="1"/>
    <m/>
    <m/>
    <m/>
    <n v="48804"/>
    <m/>
  </r>
  <r>
    <x v="345"/>
    <x v="6"/>
    <s v="페이스북/인스타그램"/>
    <x v="1"/>
    <x v="1"/>
    <x v="1"/>
    <m/>
    <m/>
    <m/>
    <n v="48919"/>
    <m/>
  </r>
  <r>
    <x v="345"/>
    <x v="6"/>
    <s v="페이스북/인스타그램"/>
    <x v="1"/>
    <x v="1"/>
    <x v="1"/>
    <m/>
    <m/>
    <m/>
    <n v="195496"/>
    <m/>
  </r>
  <r>
    <x v="345"/>
    <x v="6"/>
    <s v="페이스북/인스타그램"/>
    <x v="1"/>
    <x v="1"/>
    <x v="1"/>
    <m/>
    <m/>
    <m/>
    <n v="39232"/>
    <m/>
  </r>
  <r>
    <x v="345"/>
    <x v="6"/>
    <s v="페이스북/인스타그램"/>
    <x v="1"/>
    <x v="1"/>
    <x v="1"/>
    <m/>
    <m/>
    <m/>
    <n v="97422"/>
    <m/>
  </r>
  <r>
    <x v="345"/>
    <x v="6"/>
    <s v="페이스북/인스타그램"/>
    <x v="1"/>
    <x v="1"/>
    <x v="1"/>
    <m/>
    <m/>
    <m/>
    <n v="98457"/>
    <m/>
  </r>
  <r>
    <x v="345"/>
    <x v="6"/>
    <s v="페이스북/인스타그램"/>
    <x v="1"/>
    <x v="1"/>
    <x v="1"/>
    <m/>
    <m/>
    <m/>
    <n v="98233"/>
    <m/>
  </r>
  <r>
    <x v="345"/>
    <x v="6"/>
    <s v="페이스북/인스타그램"/>
    <x v="1"/>
    <x v="1"/>
    <x v="1"/>
    <m/>
    <m/>
    <m/>
    <n v="98503"/>
    <m/>
  </r>
  <r>
    <x v="345"/>
    <x v="6"/>
    <s v="페이스북/인스타그램"/>
    <x v="1"/>
    <x v="1"/>
    <x v="1"/>
    <m/>
    <m/>
    <m/>
    <n v="29591"/>
    <m/>
  </r>
  <r>
    <x v="345"/>
    <x v="6"/>
    <s v="유튜브 광고"/>
    <x v="1"/>
    <x v="1"/>
    <x v="1"/>
    <m/>
    <m/>
    <m/>
    <n v="24504"/>
    <m/>
  </r>
  <r>
    <x v="345"/>
    <x v="6"/>
    <s v="유튜브 광고"/>
    <x v="1"/>
    <x v="1"/>
    <x v="1"/>
    <m/>
    <m/>
    <m/>
    <n v="17723"/>
    <m/>
  </r>
  <r>
    <x v="345"/>
    <x v="6"/>
    <s v="유튜브 광고"/>
    <x v="1"/>
    <x v="1"/>
    <x v="1"/>
    <m/>
    <m/>
    <m/>
    <n v="1129967"/>
    <m/>
  </r>
  <r>
    <x v="345"/>
    <x v="6"/>
    <s v="유튜브 광고"/>
    <x v="1"/>
    <x v="1"/>
    <x v="1"/>
    <m/>
    <m/>
    <m/>
    <n v="33847"/>
    <m/>
  </r>
  <r>
    <x v="345"/>
    <x v="6"/>
    <s v="유튜브 광고"/>
    <x v="1"/>
    <x v="1"/>
    <x v="1"/>
    <m/>
    <m/>
    <m/>
    <n v="394838"/>
    <m/>
  </r>
  <r>
    <x v="345"/>
    <x v="6"/>
    <s v="유튜브 광고"/>
    <x v="1"/>
    <x v="1"/>
    <x v="1"/>
    <m/>
    <m/>
    <m/>
    <n v="299903"/>
    <m/>
  </r>
  <r>
    <x v="345"/>
    <x v="6"/>
    <s v="유튜브 광고"/>
    <x v="1"/>
    <x v="1"/>
    <x v="1"/>
    <m/>
    <m/>
    <m/>
    <n v="349537"/>
    <m/>
  </r>
  <r>
    <x v="345"/>
    <x v="6"/>
    <s v="유튜브 광고"/>
    <x v="1"/>
    <x v="1"/>
    <x v="1"/>
    <m/>
    <m/>
    <m/>
    <n v="349963"/>
    <m/>
  </r>
  <r>
    <x v="345"/>
    <x v="6"/>
    <s v="유튜브 광고"/>
    <x v="1"/>
    <x v="1"/>
    <x v="1"/>
    <m/>
    <m/>
    <m/>
    <n v="2825"/>
    <m/>
  </r>
  <r>
    <x v="345"/>
    <x v="6"/>
    <s v="네이버 쇼핑검색"/>
    <x v="1"/>
    <x v="1"/>
    <x v="1"/>
    <m/>
    <m/>
    <m/>
    <n v="28790"/>
    <m/>
  </r>
  <r>
    <x v="345"/>
    <x v="6"/>
    <s v="네이버 쇼핑검색"/>
    <x v="1"/>
    <x v="1"/>
    <x v="1"/>
    <m/>
    <m/>
    <m/>
    <n v="0"/>
    <m/>
  </r>
  <r>
    <x v="345"/>
    <x v="6"/>
    <s v="네이버 쇼핑검색"/>
    <x v="1"/>
    <x v="1"/>
    <x v="1"/>
    <m/>
    <m/>
    <m/>
    <n v="106970"/>
    <m/>
  </r>
  <r>
    <x v="345"/>
    <x v="6"/>
    <s v="네이버 브랜드검색"/>
    <x v="3"/>
    <x v="1"/>
    <x v="1"/>
    <m/>
    <m/>
    <m/>
    <n v="0"/>
    <m/>
  </r>
  <r>
    <x v="345"/>
    <x v="6"/>
    <s v="네이버 브랜드검색"/>
    <x v="3"/>
    <x v="1"/>
    <x v="1"/>
    <m/>
    <m/>
    <m/>
    <n v="0"/>
    <m/>
  </r>
  <r>
    <x v="345"/>
    <x v="6"/>
    <m/>
    <x v="1"/>
    <x v="4"/>
    <x v="155"/>
    <n v="17"/>
    <s v="스테이포에버"/>
    <s v="210501"/>
    <m/>
    <n v="578000"/>
  </r>
  <r>
    <x v="345"/>
    <x v="6"/>
    <m/>
    <x v="1"/>
    <x v="4"/>
    <x v="157"/>
    <n v="1"/>
    <s v="이그나이트 + 스테이포에버"/>
    <s v="210501"/>
    <m/>
    <n v="58800"/>
  </r>
  <r>
    <x v="345"/>
    <x v="6"/>
    <m/>
    <x v="1"/>
    <x v="3"/>
    <x v="151"/>
    <n v="1"/>
    <s v="스테이포에버 2set"/>
    <s v="210501"/>
    <m/>
    <n v="58800"/>
  </r>
  <r>
    <x v="345"/>
    <x v="6"/>
    <m/>
    <x v="1"/>
    <x v="3"/>
    <x v="152"/>
    <n v="20"/>
    <s v="스테이포에버"/>
    <s v="210501"/>
    <m/>
    <n v="680000"/>
  </r>
  <r>
    <x v="345"/>
    <x v="6"/>
    <m/>
    <x v="1"/>
    <x v="0"/>
    <x v="135"/>
    <n v="3"/>
    <s v="스테이포에버"/>
    <s v="210501"/>
    <m/>
    <n v="102000"/>
  </r>
  <r>
    <x v="345"/>
    <x v="6"/>
    <m/>
    <x v="1"/>
    <x v="0"/>
    <x v="136"/>
    <n v="11"/>
    <s v="스테이포에버 2set"/>
    <s v="210501"/>
    <m/>
    <n v="646800"/>
  </r>
  <r>
    <x v="345"/>
    <x v="6"/>
    <m/>
    <x v="1"/>
    <x v="0"/>
    <x v="137"/>
    <n v="5"/>
    <s v="이그나이트 + 스테이포에버"/>
    <s v="210501"/>
    <m/>
    <n v="294000"/>
  </r>
  <r>
    <x v="345"/>
    <x v="6"/>
    <m/>
    <x v="1"/>
    <x v="0"/>
    <x v="144"/>
    <n v="1"/>
    <s v="이그나이트 + 스테이포에버"/>
    <s v="210501"/>
    <m/>
    <n v="58800"/>
  </r>
  <r>
    <x v="345"/>
    <x v="6"/>
    <m/>
    <x v="1"/>
    <x v="0"/>
    <x v="138"/>
    <n v="202"/>
    <s v="스테이포에버"/>
    <s v="210501"/>
    <m/>
    <n v="6868000"/>
  </r>
  <r>
    <x v="345"/>
    <x v="6"/>
    <m/>
    <x v="1"/>
    <x v="0"/>
    <x v="139"/>
    <n v="126"/>
    <s v="스테이포에버 2set"/>
    <s v="210501"/>
    <m/>
    <n v="7408800"/>
  </r>
  <r>
    <x v="345"/>
    <x v="6"/>
    <m/>
    <x v="1"/>
    <x v="0"/>
    <x v="140"/>
    <n v="10"/>
    <s v="이그나이트 + 스테이포에버"/>
    <s v="210501"/>
    <m/>
    <n v="588000"/>
  </r>
  <r>
    <x v="345"/>
    <x v="6"/>
    <m/>
    <x v="0"/>
    <x v="0"/>
    <x v="0"/>
    <n v="11"/>
    <s v="쇼핑백"/>
    <s v="210501"/>
    <m/>
    <n v="22000"/>
  </r>
  <r>
    <x v="345"/>
    <x v="6"/>
    <m/>
    <x v="1"/>
    <x v="0"/>
    <x v="141"/>
    <n v="3"/>
    <s v="이그나이트"/>
    <s v="210501"/>
    <m/>
    <n v="102000"/>
  </r>
  <r>
    <x v="346"/>
    <x v="0"/>
    <m/>
    <x v="2"/>
    <x v="1"/>
    <x v="1"/>
    <m/>
    <m/>
    <m/>
    <n v="29237"/>
    <m/>
  </r>
  <r>
    <x v="346"/>
    <x v="0"/>
    <s v="페이스북/인스타그램"/>
    <x v="1"/>
    <x v="1"/>
    <x v="1"/>
    <m/>
    <m/>
    <m/>
    <n v="50167"/>
    <m/>
  </r>
  <r>
    <x v="346"/>
    <x v="0"/>
    <s v="페이스북/인스타그램"/>
    <x v="1"/>
    <x v="1"/>
    <x v="1"/>
    <m/>
    <m/>
    <m/>
    <n v="99470"/>
    <m/>
  </r>
  <r>
    <x v="346"/>
    <x v="0"/>
    <s v="페이스북/인스타그램"/>
    <x v="1"/>
    <x v="1"/>
    <x v="1"/>
    <m/>
    <m/>
    <m/>
    <n v="150760"/>
    <m/>
  </r>
  <r>
    <x v="346"/>
    <x v="0"/>
    <s v="페이스북/인스타그램"/>
    <x v="1"/>
    <x v="1"/>
    <x v="1"/>
    <m/>
    <m/>
    <m/>
    <n v="49475"/>
    <m/>
  </r>
  <r>
    <x v="346"/>
    <x v="0"/>
    <s v="페이스북/인스타그램"/>
    <x v="1"/>
    <x v="1"/>
    <x v="1"/>
    <m/>
    <m/>
    <m/>
    <n v="30233"/>
    <m/>
  </r>
  <r>
    <x v="346"/>
    <x v="0"/>
    <s v="페이스북/인스타그램"/>
    <x v="1"/>
    <x v="1"/>
    <x v="1"/>
    <m/>
    <m/>
    <m/>
    <n v="100741"/>
    <m/>
  </r>
  <r>
    <x v="346"/>
    <x v="0"/>
    <s v="페이스북/인스타그램"/>
    <x v="1"/>
    <x v="1"/>
    <x v="1"/>
    <m/>
    <m/>
    <m/>
    <n v="29640"/>
    <m/>
  </r>
  <r>
    <x v="346"/>
    <x v="0"/>
    <s v="페이스북/인스타그램"/>
    <x v="1"/>
    <x v="1"/>
    <x v="1"/>
    <m/>
    <m/>
    <m/>
    <n v="129120"/>
    <m/>
  </r>
  <r>
    <x v="346"/>
    <x v="0"/>
    <s v="페이스북/인스타그램"/>
    <x v="1"/>
    <x v="1"/>
    <x v="1"/>
    <m/>
    <m/>
    <m/>
    <n v="49855"/>
    <m/>
  </r>
  <r>
    <x v="346"/>
    <x v="0"/>
    <s v="페이스북/인스타그램"/>
    <x v="1"/>
    <x v="1"/>
    <x v="1"/>
    <m/>
    <m/>
    <m/>
    <n v="30153"/>
    <m/>
  </r>
  <r>
    <x v="346"/>
    <x v="0"/>
    <s v="페이스북/인스타그램"/>
    <x v="1"/>
    <x v="1"/>
    <x v="1"/>
    <m/>
    <m/>
    <m/>
    <n v="850833"/>
    <m/>
  </r>
  <r>
    <x v="346"/>
    <x v="0"/>
    <s v="페이스북/인스타그램"/>
    <x v="1"/>
    <x v="1"/>
    <x v="1"/>
    <m/>
    <m/>
    <m/>
    <n v="146240"/>
    <m/>
  </r>
  <r>
    <x v="346"/>
    <x v="0"/>
    <s v="페이스북/인스타그램"/>
    <x v="1"/>
    <x v="1"/>
    <x v="1"/>
    <m/>
    <m/>
    <m/>
    <n v="98811"/>
    <m/>
  </r>
  <r>
    <x v="346"/>
    <x v="0"/>
    <s v="페이스북/인스타그램"/>
    <x v="1"/>
    <x v="1"/>
    <x v="1"/>
    <m/>
    <m/>
    <m/>
    <n v="49106"/>
    <m/>
  </r>
  <r>
    <x v="346"/>
    <x v="0"/>
    <s v="페이스북/인스타그램"/>
    <x v="1"/>
    <x v="1"/>
    <x v="1"/>
    <m/>
    <m/>
    <m/>
    <n v="210115"/>
    <m/>
  </r>
  <r>
    <x v="346"/>
    <x v="0"/>
    <s v="페이스북/인스타그램"/>
    <x v="1"/>
    <x v="1"/>
    <x v="1"/>
    <m/>
    <m/>
    <m/>
    <n v="49416"/>
    <m/>
  </r>
  <r>
    <x v="346"/>
    <x v="0"/>
    <s v="페이스북/인스타그램"/>
    <x v="1"/>
    <x v="1"/>
    <x v="1"/>
    <m/>
    <m/>
    <m/>
    <n v="48982"/>
    <m/>
  </r>
  <r>
    <x v="346"/>
    <x v="0"/>
    <s v="페이스북/인스타그램"/>
    <x v="1"/>
    <x v="1"/>
    <x v="1"/>
    <m/>
    <m/>
    <m/>
    <n v="198451"/>
    <m/>
  </r>
  <r>
    <x v="346"/>
    <x v="0"/>
    <s v="페이스북/인스타그램"/>
    <x v="1"/>
    <x v="1"/>
    <x v="1"/>
    <m/>
    <m/>
    <m/>
    <n v="29445"/>
    <m/>
  </r>
  <r>
    <x v="346"/>
    <x v="0"/>
    <s v="페이스북/인스타그램"/>
    <x v="1"/>
    <x v="1"/>
    <x v="1"/>
    <m/>
    <m/>
    <m/>
    <n v="99909"/>
    <m/>
  </r>
  <r>
    <x v="346"/>
    <x v="0"/>
    <s v="페이스북/인스타그램"/>
    <x v="1"/>
    <x v="1"/>
    <x v="1"/>
    <m/>
    <m/>
    <m/>
    <n v="99495"/>
    <m/>
  </r>
  <r>
    <x v="346"/>
    <x v="0"/>
    <s v="페이스북/인스타그램"/>
    <x v="1"/>
    <x v="1"/>
    <x v="1"/>
    <m/>
    <m/>
    <m/>
    <n v="96845"/>
    <m/>
  </r>
  <r>
    <x v="346"/>
    <x v="0"/>
    <s v="페이스북/인스타그램"/>
    <x v="1"/>
    <x v="1"/>
    <x v="1"/>
    <m/>
    <m/>
    <m/>
    <n v="99488"/>
    <m/>
  </r>
  <r>
    <x v="346"/>
    <x v="0"/>
    <s v="페이스북/인스타그램"/>
    <x v="1"/>
    <x v="1"/>
    <x v="1"/>
    <m/>
    <m/>
    <m/>
    <n v="30006"/>
    <m/>
  </r>
  <r>
    <x v="346"/>
    <x v="0"/>
    <s v="유튜브 광고"/>
    <x v="1"/>
    <x v="1"/>
    <x v="1"/>
    <m/>
    <m/>
    <m/>
    <n v="48904"/>
    <m/>
  </r>
  <r>
    <x v="346"/>
    <x v="0"/>
    <s v="유튜브 광고"/>
    <x v="1"/>
    <x v="1"/>
    <x v="1"/>
    <m/>
    <m/>
    <m/>
    <n v="1118051"/>
    <m/>
  </r>
  <r>
    <x v="346"/>
    <x v="0"/>
    <s v="유튜브 광고"/>
    <x v="1"/>
    <x v="1"/>
    <x v="1"/>
    <m/>
    <m/>
    <m/>
    <n v="393025"/>
    <m/>
  </r>
  <r>
    <x v="346"/>
    <x v="0"/>
    <s v="유튜브 광고"/>
    <x v="1"/>
    <x v="1"/>
    <x v="1"/>
    <m/>
    <m/>
    <m/>
    <n v="300108"/>
    <m/>
  </r>
  <r>
    <x v="346"/>
    <x v="0"/>
    <s v="유튜브 광고"/>
    <x v="1"/>
    <x v="1"/>
    <x v="1"/>
    <m/>
    <m/>
    <m/>
    <n v="350402"/>
    <m/>
  </r>
  <r>
    <x v="346"/>
    <x v="0"/>
    <s v="유튜브 광고"/>
    <x v="1"/>
    <x v="1"/>
    <x v="1"/>
    <m/>
    <m/>
    <m/>
    <n v="246334"/>
    <m/>
  </r>
  <r>
    <x v="346"/>
    <x v="0"/>
    <s v="네이버 쇼핑검색"/>
    <x v="1"/>
    <x v="1"/>
    <x v="1"/>
    <m/>
    <m/>
    <m/>
    <n v="30960"/>
    <m/>
  </r>
  <r>
    <x v="346"/>
    <x v="0"/>
    <s v="네이버 쇼핑검색"/>
    <x v="1"/>
    <x v="1"/>
    <x v="1"/>
    <m/>
    <m/>
    <m/>
    <n v="49.99999999999999"/>
    <m/>
  </r>
  <r>
    <x v="346"/>
    <x v="0"/>
    <s v="네이버 쇼핑검색"/>
    <x v="1"/>
    <x v="1"/>
    <x v="1"/>
    <m/>
    <m/>
    <m/>
    <n v="106700"/>
    <m/>
  </r>
  <r>
    <x v="346"/>
    <x v="0"/>
    <s v="네이버 브랜드검색"/>
    <x v="3"/>
    <x v="1"/>
    <x v="1"/>
    <m/>
    <m/>
    <m/>
    <n v="0"/>
    <m/>
  </r>
  <r>
    <x v="346"/>
    <x v="0"/>
    <s v="네이버 브랜드검색"/>
    <x v="3"/>
    <x v="1"/>
    <x v="1"/>
    <m/>
    <m/>
    <m/>
    <n v="0"/>
    <m/>
  </r>
  <r>
    <x v="346"/>
    <x v="0"/>
    <m/>
    <x v="1"/>
    <x v="4"/>
    <x v="155"/>
    <n v="11"/>
    <s v="스테이포에버"/>
    <s v="210501"/>
    <m/>
    <n v="374000"/>
  </r>
  <r>
    <x v="346"/>
    <x v="0"/>
    <m/>
    <x v="1"/>
    <x v="4"/>
    <x v="157"/>
    <n v="3"/>
    <s v="이그나이트 + 스테이포에버"/>
    <s v="210501"/>
    <m/>
    <n v="176400"/>
  </r>
  <r>
    <x v="346"/>
    <x v="0"/>
    <m/>
    <x v="1"/>
    <x v="3"/>
    <x v="150"/>
    <n v="1"/>
    <s v="이그나이트 + 스테이포에버"/>
    <s v="210501"/>
    <m/>
    <n v="58800"/>
  </r>
  <r>
    <x v="346"/>
    <x v="0"/>
    <m/>
    <x v="1"/>
    <x v="3"/>
    <x v="152"/>
    <n v="27"/>
    <s v="스테이포에버"/>
    <s v="210501"/>
    <m/>
    <n v="918000"/>
  </r>
  <r>
    <x v="346"/>
    <x v="0"/>
    <m/>
    <x v="1"/>
    <x v="0"/>
    <x v="135"/>
    <n v="4"/>
    <s v="스테이포에버"/>
    <s v="210501"/>
    <m/>
    <n v="136000"/>
  </r>
  <r>
    <x v="346"/>
    <x v="0"/>
    <m/>
    <x v="1"/>
    <x v="0"/>
    <x v="136"/>
    <n v="5"/>
    <s v="스테이포에버 2set"/>
    <s v="210501"/>
    <m/>
    <n v="294000"/>
  </r>
  <r>
    <x v="346"/>
    <x v="0"/>
    <m/>
    <x v="1"/>
    <x v="0"/>
    <x v="137"/>
    <n v="13"/>
    <s v="이그나이트 + 스테이포에버"/>
    <s v="210501"/>
    <m/>
    <n v="764400"/>
  </r>
  <r>
    <x v="346"/>
    <x v="0"/>
    <m/>
    <x v="1"/>
    <x v="0"/>
    <x v="144"/>
    <n v="3"/>
    <s v="이그나이트 + 스테이포에버"/>
    <s v="210501"/>
    <m/>
    <n v="176400"/>
  </r>
  <r>
    <x v="346"/>
    <x v="0"/>
    <m/>
    <x v="1"/>
    <x v="0"/>
    <x v="137"/>
    <n v="4"/>
    <s v="이그나이트 + 스테이포에버"/>
    <s v="210501"/>
    <m/>
    <n v="235200"/>
  </r>
  <r>
    <x v="346"/>
    <x v="0"/>
    <m/>
    <x v="1"/>
    <x v="0"/>
    <x v="144"/>
    <n v="1"/>
    <s v="이그나이트 + 스테이포에버"/>
    <s v="210501"/>
    <m/>
    <n v="58800"/>
  </r>
  <r>
    <x v="346"/>
    <x v="0"/>
    <m/>
    <x v="1"/>
    <x v="0"/>
    <x v="138"/>
    <n v="194"/>
    <s v="스테이포에버"/>
    <s v="210501"/>
    <m/>
    <n v="6596000"/>
  </r>
  <r>
    <x v="346"/>
    <x v="0"/>
    <m/>
    <x v="1"/>
    <x v="0"/>
    <x v="139"/>
    <n v="139"/>
    <s v="스테이포에버 2set"/>
    <s v="210501"/>
    <m/>
    <n v="8173200"/>
  </r>
  <r>
    <x v="346"/>
    <x v="0"/>
    <m/>
    <x v="1"/>
    <x v="0"/>
    <x v="140"/>
    <n v="17"/>
    <s v="이그나이트 + 스테이포에버"/>
    <s v="210501"/>
    <m/>
    <n v="999600"/>
  </r>
  <r>
    <x v="346"/>
    <x v="0"/>
    <m/>
    <x v="0"/>
    <x v="0"/>
    <x v="0"/>
    <n v="3"/>
    <s v="쇼핑백"/>
    <s v="210501"/>
    <m/>
    <n v="6000"/>
  </r>
  <r>
    <x v="346"/>
    <x v="0"/>
    <m/>
    <x v="1"/>
    <x v="0"/>
    <x v="141"/>
    <n v="6"/>
    <s v="이그나이트"/>
    <s v="210501"/>
    <m/>
    <n v="204000"/>
  </r>
  <r>
    <x v="346"/>
    <x v="0"/>
    <s v="네이버 배너"/>
    <x v="1"/>
    <x v="1"/>
    <x v="1"/>
    <m/>
    <m/>
    <m/>
    <n v="718110.9090909091"/>
    <m/>
  </r>
  <r>
    <x v="262"/>
    <x v="7"/>
    <m/>
    <x v="2"/>
    <x v="1"/>
    <x v="1"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3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2" cacheId="17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2" fieldListSortAscending="0" mdxSubqueries="0" applyNumberFormats="0" applyBorderFormats="0" applyFontFormats="0" applyPatternFormats="0" applyAlignmentFormats="0" applyWidthHeightFormats="1" r:id="rId1">
  <location ref="B36:D38" firstHeaderRow="1" firstDataRow="2" firstDataCol="2" rowPageCount="2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640">
        <item t="data" sd="1" x="263"/>
        <item t="data" sd="1" x="264"/>
        <item t="data" sd="1" x="266"/>
        <item t="data" sd="1" x="265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m="1" x="563"/>
        <item t="data" sd="1" m="1" x="420"/>
        <item t="data" sd="1" m="1" x="569"/>
        <item t="data" sd="1" m="1" x="425"/>
        <item t="data" sd="1" m="1" x="574"/>
        <item t="data" sd="1" m="1" x="429"/>
        <item t="data" sd="1" m="1" x="579"/>
        <item t="data" sd="1" m="1" x="434"/>
        <item t="data" sd="1" m="1" x="584"/>
        <item t="data" sd="1" m="1" x="438"/>
        <item t="data" sd="1" m="1" x="589"/>
        <item t="data" sd="1" m="1" x="442"/>
        <item t="data" sd="1" m="1" x="593"/>
        <item t="data" sd="1" m="1" x="446"/>
        <item t="data" sd="1" m="1" x="597"/>
        <item t="data" sd="1" m="1" x="450"/>
        <item t="data" sd="1" m="1" x="601"/>
        <item t="data" sd="1" m="1" x="454"/>
        <item t="data" sd="1" m="1" x="606"/>
        <item t="data" sd="1" m="1" x="459"/>
        <item t="data" sd="1" m="1" x="611"/>
        <item t="data" sd="1" m="1" x="464"/>
        <item t="data" sd="1" m="1" x="616"/>
        <item t="data" sd="1" m="1" x="469"/>
        <item t="data" sd="1" m="1" x="621"/>
        <item t="data" sd="1" m="1" x="474"/>
        <item t="data" sd="1" m="1" x="626"/>
        <item t="data" sd="1" m="1" x="479"/>
        <item t="data" sd="1" m="1" x="631"/>
        <item t="data" sd="1" m="1" x="483"/>
        <item t="data" sd="1" m="1" x="635"/>
        <item t="data" sd="1" m="1" x="575"/>
        <item t="data" sd="1" m="1" x="430"/>
        <item t="data" sd="1" m="1" x="580"/>
        <item t="data" sd="1" m="1" x="435"/>
        <item t="data" sd="1" m="1" x="585"/>
        <item t="data" sd="1" m="1" x="439"/>
        <item t="data" sd="1" m="1" x="590"/>
        <item t="data" sd="1" m="1" x="443"/>
        <item t="data" sd="1" m="1" x="594"/>
        <item t="data" sd="1" m="1" x="447"/>
        <item t="data" sd="1" m="1" x="598"/>
        <item t="data" sd="1" m="1" x="451"/>
        <item t="data" sd="1" m="1" x="602"/>
        <item t="data" sd="1" m="1" x="455"/>
        <item t="data" sd="1" m="1" x="607"/>
        <item t="data" sd="1" m="1" x="460"/>
        <item t="data" sd="1" m="1" x="612"/>
        <item t="data" sd="1" m="1" x="465"/>
        <item t="data" sd="1" m="1" x="617"/>
        <item t="data" sd="1" m="1" x="470"/>
        <item t="data" sd="1" m="1" x="622"/>
        <item t="data" sd="1" m="1" x="475"/>
        <item t="data" sd="1" m="1" x="627"/>
        <item t="data" sd="1" m="1" x="484"/>
        <item t="data" sd="1" m="1" x="636"/>
        <item t="data" sd="1" m="1" x="488"/>
        <item t="data" sd="1" m="1" x="347"/>
        <item t="data" sd="1" m="1" x="492"/>
        <item t="data" sd="1" m="1" x="586"/>
        <item t="data" sd="1" m="1" x="440"/>
        <item t="data" sd="1" m="1" x="591"/>
        <item t="data" sd="1" m="1" x="444"/>
        <item t="data" sd="1" m="1" x="595"/>
        <item t="data" sd="1" m="1" x="448"/>
        <item t="data" sd="1" m="1" x="599"/>
        <item t="data" sd="1" m="1" x="452"/>
        <item t="data" sd="1" m="1" x="603"/>
        <item t="data" sd="1" m="1" x="456"/>
        <item t="data" sd="1" m="1" x="608"/>
        <item t="data" sd="1" m="1" x="461"/>
        <item t="data" sd="1" m="1" x="613"/>
        <item t="data" sd="1" m="1" x="466"/>
        <item t="data" sd="1" m="1" x="618"/>
        <item t="data" sd="1" m="1" x="471"/>
        <item t="data" sd="1" m="1" x="623"/>
        <item t="data" sd="1" m="1" x="476"/>
        <item t="data" sd="1" m="1" x="628"/>
        <item t="data" sd="1" m="1" x="480"/>
        <item t="data" sd="1" m="1" x="632"/>
        <item t="data" sd="1" m="1" x="485"/>
        <item t="data" sd="1" m="1" x="637"/>
        <item t="data" sd="1" m="1" x="489"/>
        <item t="data" sd="1" m="1" x="348"/>
        <item t="data" sd="1" m="1" x="493"/>
        <item t="data" sd="1" m="1" x="351"/>
        <item t="data" sd="1" m="1" x="496"/>
        <item t="data" sd="1" m="1" x="354"/>
        <item t="data" sd="1" m="1" x="500"/>
        <item t="data" sd="1" m="1" x="358"/>
        <item t="data" sd="1" m="1" x="596"/>
        <item t="data" sd="1" m="1" x="449"/>
        <item t="data" sd="1" m="1" x="600"/>
        <item t="data" sd="1" m="1" x="453"/>
        <item t="data" sd="1" m="1" x="604"/>
        <item t="data" sd="1" m="1" x="457"/>
        <item t="data" sd="1" m="1" x="609"/>
        <item t="data" sd="1" m="1" x="462"/>
        <item t="data" sd="1" m="1" x="614"/>
        <item t="data" sd="1" m="1" x="467"/>
        <item t="data" sd="1" m="1" x="619"/>
        <item t="data" sd="1" m="1" x="472"/>
        <item t="data" sd="1" m="1" x="624"/>
        <item t="data" sd="1" m="1" x="477"/>
        <item t="data" sd="1" m="1" x="629"/>
        <item t="data" sd="1" m="1" x="481"/>
        <item t="data" sd="1" m="1" x="633"/>
        <item t="data" sd="1" m="1" x="486"/>
        <item t="data" sd="1" m="1" x="638"/>
        <item t="data" sd="1" m="1" x="490"/>
        <item t="data" sd="1" m="1" x="349"/>
        <item t="data" sd="1" m="1" x="494"/>
        <item t="data" sd="1" m="1" x="352"/>
        <item t="data" sd="1" m="1" x="497"/>
        <item t="data" sd="1" m="1" x="355"/>
        <item t="data" sd="1" m="1" x="501"/>
        <item t="data" sd="1" m="1" x="359"/>
        <item t="data" sd="1" m="1" x="504"/>
        <item t="data" sd="1" m="1" x="362"/>
        <item t="data" sd="1" m="1" x="508"/>
        <item t="data" sd="1" m="1" x="605"/>
        <item t="data" sd="1" m="1" x="458"/>
        <item t="data" sd="1" m="1" x="610"/>
        <item t="data" sd="1" m="1" x="463"/>
        <item t="data" sd="1" m="1" x="615"/>
        <item t="data" sd="1" m="1" x="468"/>
        <item t="data" sd="1" m="1" x="620"/>
        <item t="data" sd="1" m="1" x="473"/>
        <item t="data" sd="1" m="1" x="625"/>
        <item t="data" sd="1" m="1" x="478"/>
        <item t="data" sd="1" m="1" x="630"/>
        <item t="data" sd="1" m="1" x="482"/>
        <item t="data" sd="1" m="1" x="634"/>
        <item t="data" sd="1" m="1" x="487"/>
        <item t="data" sd="1" m="1" x="639"/>
        <item t="data" sd="1" m="1" x="491"/>
        <item t="data" sd="1" m="1" x="350"/>
        <item t="data" sd="1" m="1" x="495"/>
        <item t="data" sd="1" m="1" x="353"/>
        <item t="data" sd="1" m="1" x="498"/>
        <item t="data" sd="1" m="1" x="356"/>
        <item t="data" sd="1" m="1" x="502"/>
        <item t="data" sd="1" m="1" x="360"/>
        <item t="data" sd="1" m="1" x="505"/>
        <item t="data" sd="1" m="1" x="363"/>
        <item t="data" sd="1" m="1" x="509"/>
        <item t="data" sd="1" m="1" x="366"/>
        <item t="data" sd="1" m="1" x="512"/>
        <item t="data" sd="1" m="1" x="369"/>
        <item t="data" sd="1" m="1" x="516"/>
        <item t="data" sd="1" m="1" x="373"/>
        <item t="data" sd="1" m="1" x="499"/>
        <item t="data" sd="1" m="1" x="357"/>
        <item t="data" sd="1" m="1" x="503"/>
        <item t="data" sd="1" m="1" x="361"/>
        <item t="data" sd="1" m="1" x="506"/>
        <item t="data" sd="1" m="1" x="364"/>
        <item t="data" sd="1" m="1" x="510"/>
        <item t="data" sd="1" m="1" x="367"/>
        <item t="data" sd="1" m="1" x="513"/>
        <item t="data" sd="1" m="1" x="370"/>
        <item t="data" sd="1" m="1" x="517"/>
        <item t="data" sd="1" m="1" x="374"/>
        <item t="data" sd="1" m="1" x="520"/>
        <item t="data" sd="1" m="1" x="377"/>
        <item t="data" sd="1" m="1" x="524"/>
        <item t="data" sd="1" m="1" x="381"/>
        <item t="data" sd="1" m="1" x="528"/>
        <item t="data" sd="1" m="1" x="385"/>
        <item t="data" sd="1" m="1" x="533"/>
        <item t="data" sd="1" m="1" x="390"/>
        <item t="data" sd="1" m="1" x="538"/>
        <item t="data" sd="1" m="1" x="395"/>
        <item t="data" sd="1" m="1" x="543"/>
        <item t="data" sd="1" m="1" x="400"/>
        <item t="data" sd="1" m="1" x="548"/>
        <item t="data" sd="1" m="1" x="405"/>
        <item t="data" sd="1" m="1" x="553"/>
        <item t="data" sd="1" m="1" x="410"/>
        <item t="data" sd="1" m="1" x="558"/>
        <item t="data" sd="1" m="1" x="415"/>
        <item t="data" sd="1" m="1" x="564"/>
        <item t="data" sd="1" m="1" x="507"/>
        <item t="data" sd="1" m="1" x="365"/>
        <item t="data" sd="1" m="1" x="511"/>
        <item t="data" sd="1" m="1" x="368"/>
        <item t="data" sd="1" m="1" x="514"/>
        <item t="data" sd="1" m="1" x="371"/>
        <item t="data" sd="1" m="1" x="518"/>
        <item t="data" sd="1" m="1" x="375"/>
        <item t="data" sd="1" m="1" x="521"/>
        <item t="data" sd="1" m="1" x="378"/>
        <item t="data" sd="1" m="1" x="525"/>
        <item t="data" sd="1" m="1" x="382"/>
        <item t="data" sd="1" m="1" x="529"/>
        <item t="data" sd="1" m="1" x="386"/>
        <item t="data" sd="1" m="1" x="534"/>
        <item t="data" sd="1" m="1" x="391"/>
        <item t="data" sd="1" m="1" x="539"/>
        <item t="data" sd="1" m="1" x="396"/>
        <item t="data" sd="1" m="1" x="544"/>
        <item t="data" sd="1" m="1" x="401"/>
        <item t="data" sd="1" m="1" x="549"/>
        <item t="data" sd="1" m="1" x="406"/>
        <item t="data" sd="1" m="1" x="554"/>
        <item t="data" sd="1" m="1" x="411"/>
        <item t="data" sd="1" m="1" x="559"/>
        <item t="data" sd="1" m="1" x="416"/>
        <item t="data" sd="1" m="1" x="565"/>
        <item t="data" sd="1" m="1" x="421"/>
        <item t="data" sd="1" m="1" x="570"/>
        <item t="data" sd="1" m="1" x="515"/>
        <item t="data" sd="1" m="1" x="372"/>
        <item t="data" sd="1" m="1" x="519"/>
        <item t="data" sd="1" m="1" x="376"/>
        <item t="data" sd="1" m="1" x="522"/>
        <item t="data" sd="1" m="1" x="379"/>
        <item t="data" sd="1" m="1" x="526"/>
        <item t="data" sd="1" m="1" x="383"/>
        <item t="data" sd="1" m="1" x="530"/>
        <item t="data" sd="1" m="1" x="387"/>
        <item t="data" sd="1" m="1" x="535"/>
        <item t="data" sd="1" m="1" x="392"/>
        <item t="data" sd="1" m="1" x="540"/>
        <item t="data" sd="1" m="1" x="397"/>
        <item t="data" sd="1" m="1" x="545"/>
        <item t="data" sd="1" m="1" x="402"/>
        <item t="data" sd="1" m="1" x="550"/>
        <item t="data" sd="1" m="1" x="407"/>
        <item t="data" sd="1" m="1" x="555"/>
        <item t="data" sd="1" m="1" x="412"/>
        <item t="data" sd="1" m="1" x="560"/>
        <item t="data" sd="1" m="1" x="417"/>
        <item t="data" sd="1" m="1" x="566"/>
        <item t="data" sd="1" m="1" x="422"/>
        <item t="data" sd="1" m="1" x="571"/>
        <item t="data" sd="1" m="1" x="426"/>
        <item t="data" sd="1" m="1" x="576"/>
        <item t="data" sd="1" m="1" x="431"/>
        <item t="data" sd="1" m="1" x="581"/>
        <item t="data" sd="1" m="1" x="436"/>
        <item t="data" sd="1" m="1" x="587"/>
        <item t="data" sd="1" m="1" x="523"/>
        <item t="data" sd="1" m="1" x="380"/>
        <item t="data" sd="1" m="1" x="527"/>
        <item t="data" sd="1" m="1" x="384"/>
        <item t="data" sd="1" m="1" x="531"/>
        <item t="data" sd="1" m="1" x="388"/>
        <item t="data" sd="1" m="1" x="536"/>
        <item t="data" sd="1" m="1" x="393"/>
        <item t="data" sd="1" m="1" x="541"/>
        <item t="data" sd="1" m="1" x="398"/>
        <item t="data" sd="1" m="1" x="546"/>
        <item t="data" sd="1" m="1" x="403"/>
        <item t="data" sd="1" m="1" x="551"/>
        <item t="data" sd="1" m="1" x="408"/>
        <item t="data" sd="1" m="1" x="556"/>
        <item t="data" sd="1" m="1" x="413"/>
        <item t="data" sd="1" m="1" x="561"/>
        <item t="data" sd="1" m="1" x="418"/>
        <item t="data" sd="1" m="1" x="567"/>
        <item t="data" sd="1" m="1" x="423"/>
        <item t="data" sd="1" m="1" x="572"/>
        <item t="data" sd="1" m="1" x="427"/>
        <item t="data" sd="1" m="1" x="577"/>
        <item t="data" sd="1" m="1" x="432"/>
        <item t="data" sd="1" m="1" x="582"/>
        <item t="data" sd="1" m="1" x="437"/>
        <item t="data" sd="1" m="1" x="588"/>
        <item t="data" sd="1" m="1" x="441"/>
        <item t="data" sd="1" m="1" x="592"/>
        <item t="data" sd="1" m="1" x="445"/>
        <item t="data" sd="1" m="1" x="532"/>
        <item t="data" sd="1" m="1" x="389"/>
        <item t="data" sd="1" m="1" x="537"/>
        <item t="data" sd="1" m="1" x="394"/>
        <item t="data" sd="1" m="1" x="542"/>
        <item t="data" sd="1" m="1" x="399"/>
        <item t="data" sd="1" m="1" x="547"/>
        <item t="data" sd="1" m="1" x="404"/>
        <item t="data" sd="1" m="1" x="552"/>
        <item t="data" sd="1" m="1" x="409"/>
        <item t="data" sd="1" m="1" x="557"/>
        <item t="data" sd="1" m="1" x="414"/>
        <item t="data" sd="1" m="1" x="562"/>
        <item t="data" sd="1" m="1" x="419"/>
        <item t="data" sd="1" m="1" x="568"/>
        <item t="data" sd="1" m="1" x="424"/>
        <item t="data" sd="1" m="1" x="573"/>
        <item t="data" sd="1" m="1" x="428"/>
        <item t="data" sd="1" m="1" x="578"/>
        <item t="data" sd="1" m="1" x="433"/>
        <item t="data" sd="1" m="1" x="583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0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0"/>
        <item t="data" sd="1" x="3"/>
        <item t="data" sd="1" x="4"/>
        <item t="data" sd="1" x="7"/>
        <item t="data" sd="1" x="6"/>
        <item t="data" sd="1" x="1"/>
        <item t="data" sd="1" x="2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9">
        <item t="data" sd="0" m="1" x="13"/>
        <item t="data" sd="0" m="1" x="5"/>
        <item t="data" sd="0" m="1" x="12"/>
        <item t="data" h="1" sd="1" x="2"/>
        <item t="data" sd="1" m="1" x="9"/>
        <item t="data" sd="1" m="1" x="8"/>
        <item t="data" sd="1" m="1" x="10"/>
        <item t="data" sd="1" m="1" x="15"/>
        <item t="data" sd="1" m="1" x="7"/>
        <item t="data" sd="1" m="1" x="17"/>
        <item t="data" sd="1" m="1" x="14"/>
        <item t="data" sd="1" m="1" x="6"/>
        <item t="data" h="1" sd="1" m="1" x="16"/>
        <item t="data" h="1" sd="1" x="1"/>
        <item t="data" h="1" sd="1" x="0"/>
        <item t="data" h="1" sd="1" x="3"/>
        <item t="data" h="1" sd="1" x="4"/>
        <item t="data" h="1" sd="1" m="1" x="11"/>
        <item t="default" sd="1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7">
        <item t="data" sd="1" m="1" x="6"/>
        <item t="data" sd="1" m="1" x="25"/>
        <item t="data" sd="1" m="1" x="9"/>
        <item t="data" sd="1" m="1" x="16"/>
        <item t="data" sd="1" m="1" x="23"/>
        <item t="data" sd="1" m="1" x="11"/>
        <item t="data" sd="1" m="1" x="12"/>
        <item t="data" sd="1" m="1" x="13"/>
        <item t="data" sd="1" m="1" x="10"/>
        <item t="data" sd="1" m="1" x="7"/>
        <item t="data" sd="1" m="1" x="22"/>
        <item t="data" sd="1" m="1" x="20"/>
        <item t="data" h="1" sd="1" m="1" x="21"/>
        <item t="data" sd="1" m="1" x="18"/>
        <item t="data" sd="1" m="1" x="24"/>
        <item t="data" sd="1" m="1" x="14"/>
        <item t="data" h="1" sd="1" x="1"/>
        <item t="data" sd="1" x="4"/>
        <item t="data" sd="1" x="0"/>
        <item t="data" h="1" sd="1" m="1" x="15"/>
        <item t="data" h="1" sd="1" m="1" x="19"/>
        <item t="data" h="1" sd="1" m="1" x="17"/>
        <item t="data" h="1" sd="1" m="1" x="8"/>
        <item t="data" h="1" sd="1" x="2"/>
        <item t="data" h="1" sd="1" x="3"/>
        <item t="data" h="1" sd="1" x="5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238">
        <item t="data" sd="1" m="1" x="180"/>
        <item t="data" sd="1" m="1" x="206"/>
        <item t="data" sd="1" m="1" x="212"/>
        <item t="data" sd="1" m="1" x="198"/>
        <item t="data" sd="1" m="1" x="204"/>
        <item t="data" sd="1" m="1" x="187"/>
        <item t="data" sd="1" m="1" x="232"/>
        <item t="data" sd="1" m="1" x="207"/>
        <item t="data" sd="1" m="1" x="221"/>
        <item t="data" sd="1" m="1" x="194"/>
        <item t="data" sd="1" m="1" x="174"/>
        <item t="data" sd="1" m="1" x="211"/>
        <item t="data" sd="1" m="1" x="229"/>
        <item t="data" sd="1" m="1" x="224"/>
        <item t="data" sd="1" m="1" x="181"/>
        <item t="data" sd="1" m="1" x="191"/>
        <item t="data" sd="1" m="1" x="231"/>
        <item t="data" sd="1" m="1" x="233"/>
        <item t="data" sd="1" m="1" x="235"/>
        <item t="data" sd="1" m="1" x="236"/>
        <item t="data" sd="1" m="1" x="197"/>
        <item t="data" sd="1" m="1" x="217"/>
        <item t="data" sd="1" m="1" x="218"/>
        <item t="data" sd="1" m="1" x="179"/>
        <item t="data" sd="1" m="1" x="202"/>
        <item t="data" sd="1" m="1" x="219"/>
        <item t="data" sd="1" m="1" x="182"/>
        <item t="data" sd="1" m="1" x="192"/>
        <item t="data" sd="1" m="1" x="208"/>
        <item t="data" sd="1" m="1" x="196"/>
        <item t="data" sd="1" m="1" x="186"/>
        <item t="data" sd="1" m="1" x="214"/>
        <item t="data" sd="1" m="1" x="209"/>
        <item t="data" sd="1" m="1" x="234"/>
        <item t="data" sd="1" m="1" x="188"/>
        <item t="data" sd="1" m="1" x="175"/>
        <item t="data" sd="1" m="1" x="226"/>
        <item t="data" sd="1" m="1" x="178"/>
        <item t="data" sd="1" m="1" x="189"/>
        <item t="data" sd="1" x="1"/>
        <item t="data" sd="1" m="1" x="171"/>
        <item t="data" sd="1" m="1" x="223"/>
        <item t="data" sd="1" m="1" x="199"/>
        <item t="data" sd="1" m="1" x="195"/>
        <item t="data" sd="1" m="1" x="184"/>
        <item t="data" sd="1" m="1" x="222"/>
        <item t="data" sd="1" m="1" x="227"/>
        <item t="data" sd="1" m="1" x="228"/>
        <item t="data" sd="1" m="1" x="205"/>
        <item t="data" sd="1" m="1" x="183"/>
        <item t="data" sd="1" m="1" x="177"/>
        <item t="data" sd="1" m="1" x="230"/>
        <item t="data" sd="1" m="1" x="185"/>
        <item t="data" sd="1" m="1" x="193"/>
        <item t="data" sd="1" m="1" x="190"/>
        <item t="data" sd="1" m="1" x="173"/>
        <item t="data" sd="1" m="1" x="213"/>
        <item t="data" sd="1" m="1" x="203"/>
        <item t="data" sd="1" m="1" x="172"/>
        <item t="data" sd="1" m="1" x="225"/>
        <item t="data" sd="1" m="1" x="170"/>
        <item t="data" sd="1" m="1" x="220"/>
        <item t="data" sd="1" m="1" x="216"/>
        <item t="data" sd="1" m="1" x="200"/>
        <item t="data" sd="1" m="1" x="210"/>
        <item t="data" sd="1" m="1" x="176"/>
        <item t="data" sd="1" m="1" x="215"/>
        <item t="data" sd="1" m="1" x="201"/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5"/>
  </colFields>
  <colItems count="1">
    <i t="grand" r="0" i="0">
      <x v="0"/>
    </i>
  </colItems>
  <pageFields count="2">
    <pageField fld="4" hier="-1"/>
    <pageField fld="3" hier="-1"/>
  </pageFields>
  <dataFields count="1">
    <dataField name="합계 : 판매액" fld="10" subtotal="sum" showDataAs="normal" baseField="0" baseItem="2"/>
  </dataFields>
  <chartFormats count="57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"/>
          </reference>
        </references>
      </pivotArea>
    </chartFormat>
    <chartFormat chart="1" format="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"/>
          </reference>
        </references>
      </pivotArea>
    </chartFormat>
    <chartFormat chart="1" format="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"/>
          </reference>
        </references>
      </pivotArea>
    </chartFormat>
    <chartFormat chart="1" format="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6"/>
          </reference>
        </references>
      </pivotArea>
    </chartFormat>
    <chartFormat chart="1" format="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7"/>
          </reference>
        </references>
      </pivotArea>
    </chartFormat>
    <chartFormat chart="1" format="7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8"/>
          </reference>
        </references>
      </pivotArea>
    </chartFormat>
    <chartFormat chart="1" format="8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9"/>
          </reference>
        </references>
      </pivotArea>
    </chartFormat>
    <chartFormat chart="1" format="9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0"/>
          </reference>
        </references>
      </pivotArea>
    </chartFormat>
    <chartFormat chart="1" format="10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1"/>
          </reference>
        </references>
      </pivotArea>
    </chartFormat>
    <chartFormat chart="1" format="11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2"/>
          </reference>
        </references>
      </pivotArea>
    </chartFormat>
    <chartFormat chart="1" format="12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9"/>
          </reference>
        </references>
      </pivotArea>
    </chartFormat>
    <chartFormat chart="1" format="1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7"/>
          </reference>
        </references>
      </pivotArea>
    </chartFormat>
    <chartFormat chart="1" format="1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8"/>
          </reference>
        </references>
      </pivotArea>
    </chartFormat>
    <chartFormat chart="1" format="1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4"/>
          </reference>
        </references>
      </pivotArea>
    </chartFormat>
    <chartFormat chart="1" format="1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5"/>
          </reference>
        </references>
      </pivotArea>
    </chartFormat>
    <chartFormat chart="1" format="17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6"/>
          </reference>
        </references>
      </pivotArea>
    </chartFormat>
    <chartFormat chart="1" format="18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7"/>
          </reference>
        </references>
      </pivotArea>
    </chartFormat>
    <chartFormat chart="1" format="19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8"/>
          </reference>
        </references>
      </pivotArea>
    </chartFormat>
    <chartFormat chart="1" format="20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9"/>
          </reference>
        </references>
      </pivotArea>
    </chartFormat>
    <chartFormat chart="1" format="21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0"/>
          </reference>
        </references>
      </pivotArea>
    </chartFormat>
    <chartFormat chart="1" format="22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1"/>
          </reference>
        </references>
      </pivotArea>
    </chartFormat>
    <chartFormat chart="1" format="2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2"/>
          </reference>
        </references>
      </pivotArea>
    </chartFormat>
    <chartFormat chart="1" format="2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3"/>
          </reference>
        </references>
      </pivotArea>
    </chartFormat>
    <chartFormat chart="1" format="2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4"/>
          </reference>
        </references>
      </pivotArea>
    </chartFormat>
    <chartFormat chart="1" format="2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5"/>
          </reference>
        </references>
      </pivotArea>
    </chartFormat>
    <chartFormat chart="1" format="27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6"/>
          </reference>
        </references>
      </pivotArea>
    </chartFormat>
    <chartFormat chart="1" format="28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29"/>
          </reference>
        </references>
      </pivotArea>
    </chartFormat>
    <chartFormat chart="1" format="29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1"/>
          </reference>
        </references>
      </pivotArea>
    </chartFormat>
    <chartFormat chart="1" format="30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3"/>
          </reference>
        </references>
      </pivotArea>
    </chartFormat>
    <chartFormat chart="1" format="31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4"/>
          </reference>
        </references>
      </pivotArea>
    </chartFormat>
    <chartFormat chart="1" format="32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5"/>
          </reference>
        </references>
      </pivotArea>
    </chartFormat>
    <chartFormat chart="1" format="3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6"/>
          </reference>
        </references>
      </pivotArea>
    </chartFormat>
    <chartFormat chart="1" format="3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38"/>
          </reference>
        </references>
      </pivotArea>
    </chartFormat>
    <chartFormat chart="1" format="3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0"/>
          </reference>
        </references>
      </pivotArea>
    </chartFormat>
    <chartFormat chart="1" format="3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13"/>
          </reference>
        </references>
      </pivotArea>
    </chartFormat>
    <chartFormat chart="1" format="37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0"/>
          </reference>
        </references>
      </pivotArea>
    </chartFormat>
    <chartFormat chart="1" format="3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" format="39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2"/>
          </reference>
        </references>
      </pivotArea>
    </chartFormat>
    <chartFormat chart="1" format="40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1"/>
          </reference>
        </references>
      </pivotArea>
    </chartFormat>
    <chartFormat chart="1" format="41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4"/>
          </reference>
        </references>
      </pivotArea>
    </chartFormat>
    <chartFormat chart="1" format="42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5"/>
          </reference>
        </references>
      </pivotArea>
    </chartFormat>
    <chartFormat chart="1" format="4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3"/>
          </reference>
        </references>
      </pivotArea>
    </chartFormat>
    <chartFormat chart="1" format="4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7"/>
          </reference>
        </references>
      </pivotArea>
    </chartFormat>
    <chartFormat chart="1" format="4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48"/>
          </reference>
        </references>
      </pivotArea>
    </chartFormat>
    <chartFormat chart="1" format="4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0"/>
          </reference>
        </references>
      </pivotArea>
    </chartFormat>
    <chartFormat chart="1" format="47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1"/>
          </reference>
        </references>
      </pivotArea>
    </chartFormat>
    <chartFormat chart="1" format="48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6"/>
          </reference>
          <reference field="5" selected="0">
            <x v="48"/>
          </reference>
        </references>
      </pivotArea>
    </chartFormat>
    <chartFormat chart="1" format="4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0"/>
          </reference>
          <reference field="5" selected="0">
            <x v="52"/>
          </reference>
        </references>
      </pivotArea>
    </chartFormat>
    <chartFormat chart="1" format="5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0"/>
          </reference>
          <reference field="5" selected="0">
            <x v="53"/>
          </reference>
        </references>
      </pivotArea>
    </chartFormat>
    <chartFormat chart="1" format="5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1"/>
          </reference>
          <reference field="5" selected="0">
            <x v="50"/>
          </reference>
        </references>
      </pivotArea>
    </chartFormat>
    <chartFormat chart="1" format="5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1"/>
          </reference>
          <reference field="5" selected="0">
            <x v="51"/>
          </reference>
        </references>
      </pivotArea>
    </chartFormat>
    <chartFormat chart="1" format="53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2"/>
          </reference>
        </references>
      </pivotArea>
    </chartFormat>
    <chartFormat chart="1" format="54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3"/>
          </reference>
        </references>
      </pivotArea>
    </chartFormat>
    <chartFormat chart="1" format="55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4"/>
          </reference>
        </references>
      </pivotArea>
    </chartFormat>
    <chartFormat chart="1" format="56" series="1">
      <pivotArea type="data" dataOnly="1" outline="0" fieldPosition="0">
        <references count="2">
          <reference field="4294967294" selected="0">
            <x v="0"/>
          </reference>
          <reference field="5" selected="0">
            <x v="55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피벗 테이블2" cacheId="17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2" fieldListSortAscending="0" mdxSubqueries="0" applyNumberFormats="0" applyBorderFormats="0" applyFontFormats="0" applyPatternFormats="0" applyAlignmentFormats="0" applyWidthHeightFormats="1" r:id="rId1">
  <location ref="B3:G350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640">
        <item t="data" sd="1" x="263"/>
        <item t="data" sd="1" x="264"/>
        <item t="data" sd="1" x="266"/>
        <item t="data" sd="1" x="265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m="1" x="563"/>
        <item t="data" sd="1" m="1" x="420"/>
        <item t="data" sd="1" m="1" x="569"/>
        <item t="data" sd="1" m="1" x="425"/>
        <item t="data" sd="1" m="1" x="574"/>
        <item t="data" sd="1" m="1" x="429"/>
        <item t="data" sd="1" m="1" x="579"/>
        <item t="data" sd="1" m="1" x="434"/>
        <item t="data" sd="1" m="1" x="584"/>
        <item t="data" sd="1" m="1" x="438"/>
        <item t="data" sd="1" m="1" x="589"/>
        <item t="data" sd="1" m="1" x="442"/>
        <item t="data" sd="1" m="1" x="593"/>
        <item t="data" sd="1" m="1" x="446"/>
        <item t="data" sd="1" m="1" x="597"/>
        <item t="data" sd="1" m="1" x="450"/>
        <item t="data" sd="1" m="1" x="601"/>
        <item t="data" sd="1" m="1" x="454"/>
        <item t="data" sd="1" m="1" x="606"/>
        <item t="data" sd="1" m="1" x="459"/>
        <item t="data" sd="1" m="1" x="611"/>
        <item t="data" sd="1" m="1" x="464"/>
        <item t="data" sd="1" m="1" x="616"/>
        <item t="data" sd="1" m="1" x="469"/>
        <item t="data" sd="1" m="1" x="621"/>
        <item t="data" sd="1" m="1" x="474"/>
        <item t="data" sd="1" m="1" x="626"/>
        <item t="data" sd="1" m="1" x="479"/>
        <item t="data" sd="1" m="1" x="631"/>
        <item t="data" sd="1" m="1" x="483"/>
        <item t="data" sd="1" m="1" x="635"/>
        <item t="data" sd="1" m="1" x="575"/>
        <item t="data" sd="1" m="1" x="430"/>
        <item t="data" sd="1" m="1" x="580"/>
        <item t="data" sd="1" m="1" x="435"/>
        <item t="data" sd="1" m="1" x="585"/>
        <item t="data" sd="1" m="1" x="439"/>
        <item t="data" sd="1" m="1" x="590"/>
        <item t="data" sd="1" m="1" x="443"/>
        <item t="data" sd="1" m="1" x="594"/>
        <item t="data" sd="1" m="1" x="447"/>
        <item t="data" sd="1" m="1" x="598"/>
        <item t="data" sd="1" m="1" x="451"/>
        <item t="data" sd="1" m="1" x="602"/>
        <item t="data" sd="1" m="1" x="455"/>
        <item t="data" sd="1" m="1" x="607"/>
        <item t="data" sd="1" m="1" x="460"/>
        <item t="data" sd="1" m="1" x="612"/>
        <item t="data" sd="1" m="1" x="465"/>
        <item t="data" sd="1" m="1" x="617"/>
        <item t="data" sd="1" m="1" x="470"/>
        <item t="data" sd="1" m="1" x="622"/>
        <item t="data" sd="1" m="1" x="475"/>
        <item t="data" sd="1" m="1" x="627"/>
        <item t="data" sd="1" m="1" x="484"/>
        <item t="data" sd="1" m="1" x="636"/>
        <item t="data" sd="1" m="1" x="488"/>
        <item t="data" sd="1" m="1" x="347"/>
        <item t="data" sd="1" m="1" x="492"/>
        <item t="data" sd="1" m="1" x="586"/>
        <item t="data" sd="1" m="1" x="440"/>
        <item t="data" sd="1" m="1" x="591"/>
        <item t="data" sd="1" m="1" x="444"/>
        <item t="data" sd="1" m="1" x="595"/>
        <item t="data" sd="1" m="1" x="448"/>
        <item t="data" sd="1" m="1" x="599"/>
        <item t="data" sd="1" m="1" x="452"/>
        <item t="data" sd="1" m="1" x="603"/>
        <item t="data" sd="1" m="1" x="456"/>
        <item t="data" sd="1" m="1" x="608"/>
        <item t="data" sd="1" m="1" x="461"/>
        <item t="data" sd="1" m="1" x="613"/>
        <item t="data" sd="1" m="1" x="466"/>
        <item t="data" sd="1" m="1" x="618"/>
        <item t="data" sd="1" m="1" x="471"/>
        <item t="data" sd="1" m="1" x="623"/>
        <item t="data" sd="1" m="1" x="476"/>
        <item t="data" sd="1" m="1" x="628"/>
        <item t="data" sd="1" m="1" x="480"/>
        <item t="data" sd="1" m="1" x="632"/>
        <item t="data" sd="1" m="1" x="485"/>
        <item t="data" sd="1" m="1" x="637"/>
        <item t="data" sd="1" m="1" x="489"/>
        <item t="data" sd="1" m="1" x="348"/>
        <item t="data" sd="1" m="1" x="493"/>
        <item t="data" sd="1" m="1" x="351"/>
        <item t="data" sd="1" m="1" x="496"/>
        <item t="data" sd="1" m="1" x="354"/>
        <item t="data" sd="1" m="1" x="500"/>
        <item t="data" sd="1" m="1" x="358"/>
        <item t="data" sd="1" m="1" x="596"/>
        <item t="data" sd="1" m="1" x="449"/>
        <item t="data" sd="1" m="1" x="600"/>
        <item t="data" sd="1" m="1" x="453"/>
        <item t="data" sd="1" m="1" x="604"/>
        <item t="data" sd="1" m="1" x="457"/>
        <item t="data" sd="1" m="1" x="609"/>
        <item t="data" sd="1" m="1" x="462"/>
        <item t="data" sd="1" m="1" x="614"/>
        <item t="data" sd="1" m="1" x="467"/>
        <item t="data" sd="1" m="1" x="619"/>
        <item t="data" sd="1" m="1" x="472"/>
        <item t="data" sd="1" m="1" x="624"/>
        <item t="data" sd="1" m="1" x="477"/>
        <item t="data" sd="1" m="1" x="629"/>
        <item t="data" sd="1" m="1" x="481"/>
        <item t="data" sd="1" m="1" x="633"/>
        <item t="data" sd="1" m="1" x="486"/>
        <item t="data" sd="1" m="1" x="638"/>
        <item t="data" sd="1" m="1" x="490"/>
        <item t="data" sd="1" m="1" x="349"/>
        <item t="data" sd="1" m="1" x="494"/>
        <item t="data" sd="1" m="1" x="352"/>
        <item t="data" sd="1" m="1" x="497"/>
        <item t="data" sd="1" m="1" x="355"/>
        <item t="data" sd="1" m="1" x="501"/>
        <item t="data" sd="1" m="1" x="359"/>
        <item t="data" sd="1" m="1" x="504"/>
        <item t="data" sd="1" m="1" x="362"/>
        <item t="data" sd="1" m="1" x="508"/>
        <item t="data" sd="1" m="1" x="605"/>
        <item t="data" sd="1" m="1" x="458"/>
        <item t="data" sd="1" m="1" x="610"/>
        <item t="data" sd="1" m="1" x="463"/>
        <item t="data" sd="1" m="1" x="615"/>
        <item t="data" sd="1" m="1" x="468"/>
        <item t="data" sd="1" m="1" x="620"/>
        <item t="data" sd="1" m="1" x="473"/>
        <item t="data" sd="1" m="1" x="625"/>
        <item t="data" sd="1" m="1" x="478"/>
        <item t="data" sd="1" m="1" x="630"/>
        <item t="data" sd="1" m="1" x="482"/>
        <item t="data" sd="1" m="1" x="634"/>
        <item t="data" sd="1" m="1" x="487"/>
        <item t="data" sd="1" m="1" x="639"/>
        <item t="data" sd="1" m="1" x="491"/>
        <item t="data" sd="1" m="1" x="350"/>
        <item t="data" sd="1" m="1" x="495"/>
        <item t="data" sd="1" m="1" x="353"/>
        <item t="data" sd="1" m="1" x="498"/>
        <item t="data" sd="1" m="1" x="356"/>
        <item t="data" sd="1" m="1" x="502"/>
        <item t="data" sd="1" m="1" x="360"/>
        <item t="data" sd="1" m="1" x="505"/>
        <item t="data" sd="1" m="1" x="363"/>
        <item t="data" sd="1" m="1" x="509"/>
        <item t="data" sd="1" m="1" x="366"/>
        <item t="data" sd="1" m="1" x="512"/>
        <item t="data" sd="1" m="1" x="369"/>
        <item t="data" sd="1" m="1" x="516"/>
        <item t="data" sd="1" m="1" x="373"/>
        <item t="data" sd="1" m="1" x="499"/>
        <item t="data" sd="1" m="1" x="357"/>
        <item t="data" sd="1" m="1" x="503"/>
        <item t="data" sd="1" m="1" x="361"/>
        <item t="data" sd="1" m="1" x="506"/>
        <item t="data" sd="1" m="1" x="364"/>
        <item t="data" sd="1" m="1" x="510"/>
        <item t="data" sd="1" m="1" x="367"/>
        <item t="data" sd="1" m="1" x="513"/>
        <item t="data" sd="1" m="1" x="370"/>
        <item t="data" sd="1" m="1" x="517"/>
        <item t="data" sd="1" m="1" x="374"/>
        <item t="data" sd="1" m="1" x="520"/>
        <item t="data" sd="1" m="1" x="377"/>
        <item t="data" sd="1" m="1" x="524"/>
        <item t="data" sd="1" m="1" x="381"/>
        <item t="data" sd="1" m="1" x="528"/>
        <item t="data" sd="1" m="1" x="385"/>
        <item t="data" sd="1" m="1" x="533"/>
        <item t="data" sd="1" m="1" x="390"/>
        <item t="data" sd="1" m="1" x="538"/>
        <item t="data" sd="1" m="1" x="395"/>
        <item t="data" sd="1" m="1" x="543"/>
        <item t="data" sd="1" m="1" x="400"/>
        <item t="data" sd="1" m="1" x="548"/>
        <item t="data" sd="1" m="1" x="405"/>
        <item t="data" sd="1" m="1" x="553"/>
        <item t="data" sd="1" m="1" x="410"/>
        <item t="data" sd="1" m="1" x="558"/>
        <item t="data" sd="1" m="1" x="415"/>
        <item t="data" sd="1" m="1" x="564"/>
        <item t="data" sd="1" m="1" x="507"/>
        <item t="data" sd="1" m="1" x="365"/>
        <item t="data" sd="1" m="1" x="511"/>
        <item t="data" sd="1" m="1" x="368"/>
        <item t="data" sd="1" m="1" x="514"/>
        <item t="data" sd="1" m="1" x="371"/>
        <item t="data" sd="1" m="1" x="518"/>
        <item t="data" sd="1" m="1" x="375"/>
        <item t="data" sd="1" m="1" x="521"/>
        <item t="data" sd="1" m="1" x="378"/>
        <item t="data" sd="1" m="1" x="525"/>
        <item t="data" sd="1" m="1" x="382"/>
        <item t="data" sd="1" m="1" x="529"/>
        <item t="data" sd="1" m="1" x="386"/>
        <item t="data" sd="1" m="1" x="534"/>
        <item t="data" sd="1" m="1" x="391"/>
        <item t="data" sd="1" m="1" x="539"/>
        <item t="data" sd="1" m="1" x="396"/>
        <item t="data" sd="1" m="1" x="544"/>
        <item t="data" sd="1" m="1" x="401"/>
        <item t="data" sd="1" m="1" x="549"/>
        <item t="data" sd="1" m="1" x="406"/>
        <item t="data" sd="1" m="1" x="554"/>
        <item t="data" sd="1" m="1" x="411"/>
        <item t="data" sd="1" m="1" x="559"/>
        <item t="data" sd="1" m="1" x="416"/>
        <item t="data" sd="1" m="1" x="565"/>
        <item t="data" sd="1" m="1" x="421"/>
        <item t="data" sd="1" m="1" x="570"/>
        <item t="data" sd="1" m="1" x="515"/>
        <item t="data" sd="1" m="1" x="372"/>
        <item t="data" sd="1" m="1" x="519"/>
        <item t="data" sd="1" m="1" x="376"/>
        <item t="data" sd="1" m="1" x="522"/>
        <item t="data" sd="1" m="1" x="379"/>
        <item t="data" sd="1" m="1" x="526"/>
        <item t="data" sd="1" m="1" x="383"/>
        <item t="data" sd="1" m="1" x="530"/>
        <item t="data" sd="1" m="1" x="387"/>
        <item t="data" sd="1" m="1" x="535"/>
        <item t="data" sd="1" m="1" x="392"/>
        <item t="data" sd="1" m="1" x="540"/>
        <item t="data" sd="1" m="1" x="397"/>
        <item t="data" sd="1" m="1" x="545"/>
        <item t="data" sd="1" m="1" x="402"/>
        <item t="data" sd="1" m="1" x="550"/>
        <item t="data" sd="1" m="1" x="407"/>
        <item t="data" sd="1" m="1" x="555"/>
        <item t="data" sd="1" m="1" x="412"/>
        <item t="data" sd="1" m="1" x="560"/>
        <item t="data" sd="1" m="1" x="417"/>
        <item t="data" sd="1" m="1" x="566"/>
        <item t="data" sd="1" m="1" x="422"/>
        <item t="data" sd="1" m="1" x="571"/>
        <item t="data" sd="1" m="1" x="426"/>
        <item t="data" sd="1" m="1" x="576"/>
        <item t="data" sd="1" m="1" x="431"/>
        <item t="data" sd="1" m="1" x="581"/>
        <item t="data" sd="1" m="1" x="436"/>
        <item t="data" sd="1" m="1" x="587"/>
        <item t="data" sd="1" m="1" x="523"/>
        <item t="data" sd="1" m="1" x="380"/>
        <item t="data" sd="1" m="1" x="527"/>
        <item t="data" sd="1" m="1" x="384"/>
        <item t="data" sd="1" m="1" x="531"/>
        <item t="data" sd="1" m="1" x="388"/>
        <item t="data" sd="1" m="1" x="536"/>
        <item t="data" sd="1" m="1" x="393"/>
        <item t="data" sd="1" m="1" x="541"/>
        <item t="data" sd="1" m="1" x="398"/>
        <item t="data" sd="1" m="1" x="546"/>
        <item t="data" sd="1" m="1" x="403"/>
        <item t="data" sd="1" m="1" x="551"/>
        <item t="data" sd="1" m="1" x="408"/>
        <item t="data" sd="1" m="1" x="556"/>
        <item t="data" sd="1" m="1" x="413"/>
        <item t="data" sd="1" m="1" x="561"/>
        <item t="data" sd="1" m="1" x="418"/>
        <item t="data" sd="1" m="1" x="567"/>
        <item t="data" sd="1" m="1" x="423"/>
        <item t="data" sd="1" m="1" x="572"/>
        <item t="data" sd="1" m="1" x="427"/>
        <item t="data" sd="1" m="1" x="577"/>
        <item t="data" sd="1" m="1" x="432"/>
        <item t="data" sd="1" m="1" x="582"/>
        <item t="data" sd="1" m="1" x="437"/>
        <item t="data" sd="1" m="1" x="588"/>
        <item t="data" sd="1" m="1" x="441"/>
        <item t="data" sd="1" m="1" x="592"/>
        <item t="data" sd="1" m="1" x="445"/>
        <item t="data" sd="1" m="1" x="532"/>
        <item t="data" sd="1" m="1" x="389"/>
        <item t="data" sd="1" m="1" x="537"/>
        <item t="data" sd="1" m="1" x="394"/>
        <item t="data" sd="1" m="1" x="542"/>
        <item t="data" sd="1" m="1" x="399"/>
        <item t="data" sd="1" m="1" x="547"/>
        <item t="data" sd="1" m="1" x="404"/>
        <item t="data" sd="1" m="1" x="552"/>
        <item t="data" sd="1" m="1" x="409"/>
        <item t="data" sd="1" m="1" x="557"/>
        <item t="data" sd="1" m="1" x="414"/>
        <item t="data" sd="1" m="1" x="562"/>
        <item t="data" sd="1" m="1" x="419"/>
        <item t="data" sd="1" m="1" x="568"/>
        <item t="data" sd="1" m="1" x="424"/>
        <item t="data" sd="1" m="1" x="573"/>
        <item t="data" sd="1" m="1" x="428"/>
        <item t="data" sd="1" m="1" x="578"/>
        <item t="data" sd="1" m="1" x="433"/>
        <item t="data" sd="1" m="1" x="583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0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0"/>
        <item t="data" sd="1" x="3"/>
        <item t="data" sd="1" x="4"/>
        <item t="data" sd="1" x="7"/>
        <item t="data" sd="1" x="6"/>
        <item t="data" sd="1" x="1"/>
        <item t="data" sd="1" x="2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9">
        <item t="data" sd="0" m="1" x="13"/>
        <item t="data" sd="0" m="1" x="5"/>
        <item t="data" sd="0" m="1" x="12"/>
        <item t="data" sd="1" x="2"/>
        <item t="data" sd="1" m="1" x="9"/>
        <item t="data" sd="1" m="1" x="8"/>
        <item t="data" sd="1" m="1" x="10"/>
        <item t="data" sd="1" m="1" x="15"/>
        <item t="data" sd="1" m="1" x="7"/>
        <item t="data" sd="1" m="1" x="17"/>
        <item t="data" sd="1" m="1" x="14"/>
        <item t="data" sd="1" m="1" x="6"/>
        <item t="data" sd="1" m="1" x="16"/>
        <item t="data" sd="1" x="1"/>
        <item t="data" sd="1" x="0"/>
        <item t="data" sd="1" x="3"/>
        <item t="data" sd="1" x="4"/>
        <item t="data" sd="1" m="1" x="11"/>
        <item t="default" sd="1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7">
        <item t="data" sd="1" m="1" x="6"/>
        <item t="data" sd="1" m="1" x="25"/>
        <item t="data" sd="1" m="1" x="9"/>
        <item t="data" sd="1" m="1" x="16"/>
        <item t="data" sd="1" m="1" x="23"/>
        <item t="data" sd="1" m="1" x="11"/>
        <item t="data" sd="1" m="1" x="12"/>
        <item t="data" sd="1" m="1" x="13"/>
        <item t="data" sd="1" m="1" x="10"/>
        <item t="data" sd="1" m="1" x="7"/>
        <item t="data" sd="1" m="1" x="22"/>
        <item t="data" sd="1" m="1" x="20"/>
        <item t="data" h="1" sd="1" m="1" x="21"/>
        <item t="data" sd="1" m="1" x="18"/>
        <item t="data" sd="1" m="1" x="24"/>
        <item t="data" sd="1" m="1" x="14"/>
        <item t="data" h="1" sd="1" x="1"/>
        <item t="data" sd="1" x="4"/>
        <item t="data" sd="1" x="0"/>
        <item t="data" h="1" sd="1" m="1" x="15"/>
        <item t="data" sd="1" m="1" x="19"/>
        <item t="data" h="1" sd="1" m="1" x="17"/>
        <item t="data" h="1" sd="1" m="1" x="8"/>
        <item t="data" h="1" sd="1" x="2"/>
        <item t="data" h="1" sd="1" x="3"/>
        <item t="data" h="1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346">
    <i t="data" r="0" i="0">
      <x v="0"/>
      <x v="0"/>
    </i>
    <i t="data" r="0" i="0">
      <x v="1"/>
      <x v="1"/>
    </i>
    <i t="data" r="0" i="0">
      <x v="2"/>
      <x v="7"/>
    </i>
    <i t="data" r="0" i="0">
      <x v="3"/>
      <x v="4"/>
    </i>
    <i t="data" r="0" i="0">
      <x v="4"/>
      <x v="0"/>
    </i>
    <i t="data" r="0" i="0">
      <x v="5"/>
      <x v="2"/>
    </i>
    <i t="data" r="0" i="0">
      <x v="6"/>
      <x v="5"/>
    </i>
    <i t="data" r="0" i="0">
      <x v="7"/>
      <x v="6"/>
    </i>
    <i t="data" r="0" i="0">
      <x v="8"/>
      <x v="7"/>
    </i>
    <i t="data" r="0" i="0">
      <x v="9"/>
      <x v="4"/>
    </i>
    <i t="data" r="0" i="0">
      <x v="10"/>
      <x v="0"/>
    </i>
    <i t="data" r="0" i="0">
      <x v="11"/>
      <x v="1"/>
    </i>
    <i t="data" r="0" i="0">
      <x v="12"/>
      <x v="2"/>
    </i>
    <i t="data" r="0" i="0">
      <x v="13"/>
      <x v="5"/>
    </i>
    <i t="data" r="0" i="0">
      <x v="14"/>
      <x v="6"/>
    </i>
    <i t="data" r="0" i="0">
      <x v="309"/>
      <x v="5"/>
    </i>
    <i t="data" r="0" i="0">
      <x v="310"/>
      <x v="6"/>
    </i>
    <i t="data" r="0" i="0">
      <x v="311"/>
      <x v="0"/>
    </i>
    <i t="data" r="0" i="0">
      <x v="312"/>
      <x v="1"/>
    </i>
    <i t="data" r="0" i="0">
      <x v="313"/>
      <x v="2"/>
    </i>
    <i t="data" r="0" i="0">
      <x v="314"/>
      <x v="5"/>
    </i>
    <i t="data" r="0" i="0">
      <x v="315"/>
      <x v="6"/>
    </i>
    <i t="data" r="0" i="0">
      <x v="316"/>
      <x v="7"/>
    </i>
    <i t="data" r="0" i="0">
      <x v="317"/>
      <x v="4"/>
    </i>
    <i t="data" r="0" i="0">
      <x v="318"/>
      <x v="0"/>
    </i>
    <i t="data" r="0" i="0">
      <x v="319"/>
      <x v="1"/>
    </i>
    <i t="data" r="0" i="0">
      <x v="320"/>
      <x v="2"/>
    </i>
    <i t="data" r="0" i="0">
      <x v="321"/>
      <x v="5"/>
    </i>
    <i t="data" r="0" i="0">
      <x v="322"/>
      <x v="6"/>
    </i>
    <i t="data" r="0" i="0">
      <x v="323"/>
      <x v="7"/>
    </i>
    <i t="data" r="0" i="0">
      <x v="324"/>
      <x v="4"/>
    </i>
    <i t="data" r="0" i="0">
      <x v="325"/>
      <x v="0"/>
    </i>
    <i t="data" r="0" i="0">
      <x v="326"/>
      <x v="1"/>
    </i>
    <i t="data" r="0" i="0">
      <x v="327"/>
      <x v="2"/>
    </i>
    <i t="data" r="0" i="0">
      <x v="328"/>
      <x v="5"/>
    </i>
    <i t="data" r="0" i="0">
      <x v="329"/>
      <x v="6"/>
    </i>
    <i t="data" r="0" i="0">
      <x v="330"/>
      <x v="7"/>
    </i>
    <i t="data" r="0" i="0">
      <x v="331"/>
      <x v="4"/>
    </i>
    <i t="data" r="0" i="0">
      <x v="332"/>
      <x v="0"/>
    </i>
    <i t="data" r="0" i="0">
      <x v="333"/>
      <x v="1"/>
    </i>
    <i t="data" r="0" i="0">
      <x v="334"/>
      <x v="2"/>
    </i>
    <i t="data" r="0" i="0">
      <x v="335"/>
      <x v="5"/>
    </i>
    <i t="data" r="0" i="0">
      <x v="336"/>
      <x v="6"/>
    </i>
    <i t="data" r="0" i="0">
      <x v="337"/>
      <x v="7"/>
    </i>
    <i t="data" r="0" i="0">
      <x v="338"/>
      <x v="4"/>
    </i>
    <i t="data" r="0" i="0">
      <x v="339"/>
      <x v="0"/>
    </i>
    <i t="data" r="0" i="0">
      <x v="340"/>
      <x v="1"/>
    </i>
    <i t="data" r="0" i="0">
      <x v="341"/>
      <x v="2"/>
    </i>
    <i t="data" r="0" i="0">
      <x v="342"/>
      <x v="5"/>
    </i>
    <i t="data" r="0" i="0">
      <x v="343"/>
      <x v="6"/>
    </i>
    <i t="data" r="0" i="0">
      <x v="344"/>
      <x v="7"/>
    </i>
    <i t="data" r="0" i="0">
      <x v="345"/>
      <x v="4"/>
    </i>
    <i t="data" r="0" i="0">
      <x v="346"/>
      <x v="0"/>
    </i>
    <i t="data" r="0" i="0">
      <x v="347"/>
      <x v="1"/>
    </i>
    <i t="data" r="0" i="0">
      <x v="348"/>
      <x v="2"/>
    </i>
    <i t="data" r="0" i="0">
      <x v="349"/>
      <x v="5"/>
    </i>
    <i t="data" r="0" i="0">
      <x v="350"/>
      <x v="6"/>
    </i>
    <i t="data" r="0" i="0">
      <x v="351"/>
      <x v="7"/>
    </i>
    <i t="data" r="0" i="0">
      <x v="352"/>
      <x v="4"/>
    </i>
    <i t="data" r="0" i="0">
      <x v="353"/>
      <x v="0"/>
    </i>
    <i t="data" r="0" i="0">
      <x v="354"/>
      <x v="1"/>
    </i>
    <i t="data" r="0" i="0">
      <x v="355"/>
      <x v="2"/>
    </i>
    <i t="data" r="0" i="0">
      <x v="356"/>
      <x v="5"/>
    </i>
    <i t="data" r="0" i="0">
      <x v="357"/>
      <x v="6"/>
    </i>
    <i t="data" r="0" i="0">
      <x v="358"/>
      <x v="7"/>
    </i>
    <i t="data" r="0" i="0">
      <x v="359"/>
      <x v="4"/>
    </i>
    <i t="data" r="0" i="0">
      <x v="360"/>
      <x v="0"/>
    </i>
    <i t="data" r="0" i="0">
      <x v="361"/>
      <x v="1"/>
    </i>
    <i t="data" r="0" i="0">
      <x v="362"/>
      <x v="2"/>
    </i>
    <i t="data" r="0" i="0">
      <x v="363"/>
      <x v="5"/>
    </i>
    <i t="data" r="0" i="0">
      <x v="364"/>
      <x v="6"/>
    </i>
    <i t="data" r="0" i="0">
      <x v="365"/>
      <x v="7"/>
    </i>
    <i t="data" r="0" i="0">
      <x v="366"/>
      <x v="4"/>
    </i>
    <i t="data" r="0" i="0">
      <x v="367"/>
      <x v="0"/>
    </i>
    <i t="data" r="0" i="0">
      <x v="368"/>
      <x v="1"/>
    </i>
    <i t="data" r="0" i="0">
      <x v="369"/>
      <x v="2"/>
    </i>
    <i t="data" r="0" i="0">
      <x v="370"/>
      <x v="5"/>
    </i>
    <i t="data" r="0" i="0">
      <x v="371"/>
      <x v="6"/>
    </i>
    <i t="data" r="0" i="0">
      <x v="372"/>
      <x v="7"/>
    </i>
    <i t="data" r="0" i="0">
      <x v="373"/>
      <x v="4"/>
    </i>
    <i t="data" r="0" i="0">
      <x v="374"/>
      <x v="0"/>
    </i>
    <i t="data" r="0" i="0">
      <x v="375"/>
      <x v="1"/>
    </i>
    <i t="data" r="0" i="0">
      <x v="376"/>
      <x v="2"/>
    </i>
    <i t="data" r="0" i="0">
      <x v="377"/>
      <x v="5"/>
    </i>
    <i t="data" r="0" i="0">
      <x v="378"/>
      <x v="6"/>
    </i>
    <i t="data" r="0" i="0">
      <x v="379"/>
      <x v="7"/>
    </i>
    <i t="data" r="0" i="0">
      <x v="380"/>
      <x v="4"/>
    </i>
    <i t="data" r="0" i="0">
      <x v="381"/>
      <x v="0"/>
    </i>
    <i t="data" r="0" i="0">
      <x v="382"/>
      <x v="1"/>
    </i>
    <i t="data" r="0" i="0">
      <x v="383"/>
      <x v="2"/>
    </i>
    <i t="data" r="0" i="0">
      <x v="384"/>
      <x v="5"/>
    </i>
    <i t="data" r="0" i="0">
      <x v="385"/>
      <x v="6"/>
    </i>
    <i t="data" r="0" i="0">
      <x v="386"/>
      <x v="7"/>
    </i>
    <i t="data" r="0" i="0">
      <x v="387"/>
      <x v="4"/>
    </i>
    <i t="data" r="0" i="0">
      <x v="388"/>
      <x v="0"/>
    </i>
    <i t="data" r="0" i="0">
      <x v="389"/>
      <x v="1"/>
    </i>
    <i t="data" r="0" i="0">
      <x v="390"/>
      <x v="2"/>
    </i>
    <i t="data" r="0" i="0">
      <x v="391"/>
      <x v="5"/>
    </i>
    <i t="data" r="0" i="0">
      <x v="392"/>
      <x v="6"/>
    </i>
    <i t="data" r="0" i="0">
      <x v="393"/>
      <x v="7"/>
    </i>
    <i t="data" r="0" i="0">
      <x v="394"/>
      <x v="4"/>
    </i>
    <i t="data" r="0" i="0">
      <x v="395"/>
      <x v="0"/>
    </i>
    <i t="data" r="0" i="0">
      <x v="396"/>
      <x v="1"/>
    </i>
    <i t="data" r="0" i="0">
      <x v="397"/>
      <x v="2"/>
    </i>
    <i t="data" r="0" i="0">
      <x v="398"/>
      <x v="5"/>
    </i>
    <i t="data" r="0" i="0">
      <x v="399"/>
      <x v="6"/>
    </i>
    <i t="data" r="0" i="0">
      <x v="400"/>
      <x v="7"/>
    </i>
    <i t="data" r="0" i="0">
      <x v="401"/>
      <x v="4"/>
    </i>
    <i t="data" r="0" i="0">
      <x v="402"/>
      <x v="0"/>
    </i>
    <i t="data" r="0" i="0">
      <x v="403"/>
      <x v="1"/>
    </i>
    <i t="data" r="0" i="0">
      <x v="404"/>
      <x v="2"/>
    </i>
    <i t="data" r="0" i="0">
      <x v="405"/>
      <x v="5"/>
    </i>
    <i t="data" r="0" i="0">
      <x v="406"/>
      <x v="6"/>
    </i>
    <i t="data" r="0" i="0">
      <x v="407"/>
      <x v="7"/>
    </i>
    <i t="data" r="0" i="0">
      <x v="408"/>
      <x v="4"/>
    </i>
    <i t="data" r="0" i="0">
      <x v="409"/>
      <x v="0"/>
    </i>
    <i t="data" r="0" i="0">
      <x v="410"/>
      <x v="1"/>
    </i>
    <i t="data" r="0" i="0">
      <x v="411"/>
      <x v="2"/>
    </i>
    <i t="data" r="0" i="0">
      <x v="412"/>
      <x v="5"/>
    </i>
    <i t="data" r="0" i="0">
      <x v="413"/>
      <x v="6"/>
    </i>
    <i t="data" r="0" i="0">
      <x v="414"/>
      <x v="7"/>
    </i>
    <i t="data" r="0" i="0">
      <x v="415"/>
      <x v="4"/>
    </i>
    <i t="data" r="0" i="0">
      <x v="416"/>
      <x v="0"/>
    </i>
    <i t="data" r="0" i="0">
      <x v="417"/>
      <x v="1"/>
    </i>
    <i t="data" r="0" i="0">
      <x v="418"/>
      <x v="2"/>
    </i>
    <i t="data" r="0" i="0">
      <x v="419"/>
      <x v="5"/>
    </i>
    <i t="data" r="0" i="0">
      <x v="420"/>
      <x v="6"/>
    </i>
    <i t="data" r="0" i="0">
      <x v="421"/>
      <x v="7"/>
    </i>
    <i t="data" r="0" i="0">
      <x v="422"/>
      <x v="4"/>
    </i>
    <i t="data" r="0" i="0">
      <x v="423"/>
      <x v="0"/>
    </i>
    <i t="data" r="0" i="0">
      <x v="424"/>
      <x v="1"/>
    </i>
    <i t="data" r="0" i="0">
      <x v="425"/>
      <x v="2"/>
    </i>
    <i t="data" r="0" i="0">
      <x v="426"/>
      <x v="5"/>
    </i>
    <i t="data" r="0" i="0">
      <x v="427"/>
      <x v="6"/>
    </i>
    <i t="data" r="0" i="0">
      <x v="428"/>
      <x v="7"/>
    </i>
    <i t="data" r="0" i="0">
      <x v="429"/>
      <x v="4"/>
    </i>
    <i t="data" r="0" i="0">
      <x v="430"/>
      <x v="0"/>
    </i>
    <i t="data" r="0" i="0">
      <x v="431"/>
      <x v="1"/>
    </i>
    <i t="data" r="0" i="0">
      <x v="432"/>
      <x v="2"/>
    </i>
    <i t="data" r="0" i="0">
      <x v="433"/>
      <x v="5"/>
    </i>
    <i t="data" r="0" i="0">
      <x v="434"/>
      <x v="6"/>
    </i>
    <i t="data" r="0" i="0">
      <x v="435"/>
      <x v="7"/>
    </i>
    <i t="data" r="0" i="0">
      <x v="436"/>
      <x v="4"/>
    </i>
    <i t="data" r="0" i="0">
      <x v="437"/>
      <x v="0"/>
    </i>
    <i t="data" r="0" i="0">
      <x v="438"/>
      <x v="1"/>
    </i>
    <i t="data" r="0" i="0">
      <x v="439"/>
      <x v="2"/>
    </i>
    <i t="data" r="0" i="0">
      <x v="440"/>
      <x v="5"/>
    </i>
    <i t="data" r="0" i="0">
      <x v="441"/>
      <x v="6"/>
    </i>
    <i t="data" r="0" i="0">
      <x v="442"/>
      <x v="7"/>
    </i>
    <i t="data" r="0" i="0">
      <x v="443"/>
      <x v="4"/>
    </i>
    <i t="data" r="0" i="0">
      <x v="444"/>
      <x v="0"/>
    </i>
    <i t="data" r="0" i="0">
      <x v="445"/>
      <x v="1"/>
    </i>
    <i t="data" r="0" i="0">
      <x v="446"/>
      <x v="2"/>
    </i>
    <i t="data" r="0" i="0">
      <x v="447"/>
      <x v="5"/>
    </i>
    <i t="data" r="0" i="0">
      <x v="448"/>
      <x v="6"/>
    </i>
    <i t="data" r="0" i="0">
      <x v="449"/>
      <x v="7"/>
    </i>
    <i t="data" r="0" i="0">
      <x v="450"/>
      <x v="4"/>
    </i>
    <i t="data" r="0" i="0">
      <x v="451"/>
      <x v="0"/>
    </i>
    <i t="data" r="0" i="0">
      <x v="452"/>
      <x v="1"/>
    </i>
    <i t="data" r="0" i="0">
      <x v="453"/>
      <x v="2"/>
    </i>
    <i t="data" r="0" i="0">
      <x v="454"/>
      <x v="5"/>
    </i>
    <i t="data" r="0" i="0">
      <x v="455"/>
      <x v="6"/>
    </i>
    <i t="data" r="0" i="0">
      <x v="456"/>
      <x v="7"/>
    </i>
    <i t="data" r="0" i="0">
      <x v="457"/>
      <x v="4"/>
    </i>
    <i t="data" r="0" i="0">
      <x v="458"/>
      <x v="0"/>
    </i>
    <i t="data" r="0" i="0">
      <x v="459"/>
      <x v="1"/>
    </i>
    <i t="data" r="0" i="0">
      <x v="460"/>
      <x v="2"/>
    </i>
    <i t="data" r="0" i="0">
      <x v="461"/>
      <x v="5"/>
    </i>
    <i t="data" r="0" i="0">
      <x v="462"/>
      <x v="6"/>
    </i>
    <i t="data" r="0" i="0">
      <x v="463"/>
      <x v="7"/>
    </i>
    <i t="data" r="0" i="0">
      <x v="464"/>
      <x v="4"/>
    </i>
    <i t="data" r="0" i="0">
      <x v="465"/>
      <x v="0"/>
    </i>
    <i t="data" r="0" i="0">
      <x v="466"/>
      <x v="1"/>
    </i>
    <i t="data" r="0" i="0">
      <x v="467"/>
      <x v="2"/>
    </i>
    <i t="data" r="0" i="0">
      <x v="468"/>
      <x v="5"/>
    </i>
    <i t="data" r="0" i="0">
      <x v="469"/>
      <x v="6"/>
    </i>
    <i t="data" r="0" i="0">
      <x v="470"/>
      <x v="7"/>
    </i>
    <i t="data" r="0" i="0">
      <x v="471"/>
      <x v="4"/>
    </i>
    <i t="data" r="0" i="0">
      <x v="472"/>
      <x v="0"/>
    </i>
    <i t="data" r="0" i="0">
      <x v="473"/>
      <x v="1"/>
    </i>
    <i t="data" r="0" i="0">
      <x v="474"/>
      <x v="2"/>
    </i>
    <i t="data" r="0" i="0">
      <x v="475"/>
      <x v="5"/>
    </i>
    <i t="data" r="0" i="0">
      <x v="476"/>
      <x v="6"/>
    </i>
    <i t="data" r="0" i="0">
      <x v="477"/>
      <x v="7"/>
    </i>
    <i t="data" r="0" i="0">
      <x v="478"/>
      <x v="4"/>
    </i>
    <i t="data" r="0" i="0">
      <x v="479"/>
      <x v="0"/>
    </i>
    <i t="data" r="0" i="0">
      <x v="480"/>
      <x v="1"/>
    </i>
    <i t="data" r="0" i="0">
      <x v="481"/>
      <x v="2"/>
    </i>
    <i t="data" r="0" i="0">
      <x v="482"/>
      <x v="5"/>
    </i>
    <i t="data" r="0" i="0">
      <x v="483"/>
      <x v="6"/>
    </i>
    <i t="data" r="0" i="0">
      <x v="484"/>
      <x v="7"/>
    </i>
    <i t="data" r="0" i="0">
      <x v="485"/>
      <x v="4"/>
    </i>
    <i t="data" r="0" i="0">
      <x v="486"/>
      <x v="0"/>
    </i>
    <i t="data" r="0" i="0">
      <x v="487"/>
      <x v="1"/>
    </i>
    <i t="data" r="0" i="0">
      <x v="488"/>
      <x v="2"/>
    </i>
    <i t="data" r="0" i="0">
      <x v="489"/>
      <x v="5"/>
    </i>
    <i t="data" r="0" i="0">
      <x v="490"/>
      <x v="6"/>
    </i>
    <i t="data" r="0" i="0">
      <x v="491"/>
      <x v="7"/>
    </i>
    <i t="data" r="0" i="0">
      <x v="492"/>
      <x v="4"/>
    </i>
    <i t="data" r="0" i="0">
      <x v="493"/>
      <x v="0"/>
    </i>
    <i t="data" r="0" i="0">
      <x v="494"/>
      <x v="1"/>
    </i>
    <i t="data" r="0" i="0">
      <x v="495"/>
      <x v="2"/>
    </i>
    <i t="data" r="0" i="0">
      <x v="496"/>
      <x v="5"/>
    </i>
    <i t="data" r="0" i="0">
      <x v="497"/>
      <x v="6"/>
    </i>
    <i t="data" r="0" i="0">
      <x v="498"/>
      <x v="7"/>
    </i>
    <i t="data" r="0" i="0">
      <x v="499"/>
      <x v="4"/>
    </i>
    <i t="data" r="0" i="0">
      <x v="500"/>
      <x v="0"/>
    </i>
    <i t="data" r="0" i="0">
      <x v="501"/>
      <x v="1"/>
    </i>
    <i t="data" r="0" i="0">
      <x v="502"/>
      <x v="2"/>
    </i>
    <i t="data" r="0" i="0">
      <x v="503"/>
      <x v="5"/>
    </i>
    <i t="data" r="0" i="0">
      <x v="504"/>
      <x v="6"/>
    </i>
    <i t="data" r="0" i="0">
      <x v="505"/>
      <x v="7"/>
    </i>
    <i t="data" r="0" i="0">
      <x v="506"/>
      <x v="4"/>
    </i>
    <i t="data" r="0" i="0">
      <x v="507"/>
      <x v="0"/>
    </i>
    <i t="data" r="0" i="0">
      <x v="508"/>
      <x v="1"/>
    </i>
    <i t="data" r="0" i="0">
      <x v="509"/>
      <x v="2"/>
    </i>
    <i t="data" r="0" i="0">
      <x v="510"/>
      <x v="5"/>
    </i>
    <i t="data" r="0" i="0">
      <x v="511"/>
      <x v="6"/>
    </i>
    <i t="data" r="0" i="0">
      <x v="512"/>
      <x v="7"/>
    </i>
    <i t="data" r="0" i="0">
      <x v="513"/>
      <x v="4"/>
    </i>
    <i t="data" r="0" i="0">
      <x v="514"/>
      <x v="0"/>
    </i>
    <i t="data" r="0" i="0">
      <x v="515"/>
      <x v="1"/>
    </i>
    <i t="data" r="0" i="0">
      <x v="516"/>
      <x v="2"/>
    </i>
    <i t="data" r="0" i="0">
      <x v="517"/>
      <x v="5"/>
    </i>
    <i t="data" r="0" i="0">
      <x v="518"/>
      <x v="6"/>
    </i>
    <i t="data" r="0" i="0">
      <x v="519"/>
      <x v="7"/>
    </i>
    <i t="data" r="0" i="0">
      <x v="520"/>
      <x v="4"/>
    </i>
    <i t="data" r="0" i="0">
      <x v="521"/>
      <x v="0"/>
    </i>
    <i t="data" r="0" i="0">
      <x v="522"/>
      <x v="1"/>
    </i>
    <i t="data" r="0" i="0">
      <x v="523"/>
      <x v="2"/>
    </i>
    <i t="data" r="0" i="0">
      <x v="524"/>
      <x v="5"/>
    </i>
    <i t="data" r="0" i="0">
      <x v="525"/>
      <x v="6"/>
    </i>
    <i t="data" r="0" i="0">
      <x v="526"/>
      <x v="7"/>
    </i>
    <i t="data" r="0" i="0">
      <x v="527"/>
      <x v="4"/>
    </i>
    <i t="data" r="0" i="0">
      <x v="528"/>
      <x v="0"/>
    </i>
    <i t="data" r="0" i="0">
      <x v="529"/>
      <x v="1"/>
    </i>
    <i t="data" r="0" i="0">
      <x v="530"/>
      <x v="2"/>
    </i>
    <i t="data" r="0" i="0">
      <x v="531"/>
      <x v="5"/>
    </i>
    <i t="data" r="0" i="0">
      <x v="532"/>
      <x v="6"/>
    </i>
    <i t="data" r="0" i="0">
      <x v="533"/>
      <x v="7"/>
    </i>
    <i t="data" r="0" i="0">
      <x v="534"/>
      <x v="4"/>
    </i>
    <i t="data" r="0" i="0">
      <x v="535"/>
      <x v="0"/>
    </i>
    <i t="data" r="0" i="0">
      <x v="536"/>
      <x v="1"/>
    </i>
    <i t="data" r="0" i="0">
      <x v="537"/>
      <x v="2"/>
    </i>
    <i t="data" r="0" i="0">
      <x v="538"/>
      <x v="5"/>
    </i>
    <i t="data" r="0" i="0">
      <x v="539"/>
      <x v="6"/>
    </i>
    <i t="data" r="0" i="0">
      <x v="540"/>
      <x v="7"/>
    </i>
    <i t="data" r="0" i="0">
      <x v="541"/>
      <x v="4"/>
    </i>
    <i t="data" r="0" i="0">
      <x v="542"/>
      <x v="0"/>
    </i>
    <i t="data" r="0" i="0">
      <x v="543"/>
      <x v="1"/>
    </i>
    <i t="data" r="0" i="0">
      <x v="544"/>
      <x v="2"/>
    </i>
    <i t="data" r="0" i="0">
      <x v="545"/>
      <x v="5"/>
    </i>
    <i t="data" r="0" i="0">
      <x v="546"/>
      <x v="6"/>
    </i>
    <i t="data" r="0" i="0">
      <x v="547"/>
      <x v="7"/>
    </i>
    <i t="data" r="0" i="0">
      <x v="548"/>
      <x v="4"/>
    </i>
    <i t="data" r="0" i="0">
      <x v="549"/>
      <x v="0"/>
    </i>
    <i t="data" r="0" i="0">
      <x v="550"/>
      <x v="1"/>
    </i>
    <i t="data" r="0" i="0">
      <x v="551"/>
      <x v="2"/>
    </i>
    <i t="data" r="0" i="0">
      <x v="552"/>
      <x v="5"/>
    </i>
    <i t="data" r="0" i="0">
      <x v="553"/>
      <x v="6"/>
    </i>
    <i t="data" r="0" i="0">
      <x v="554"/>
      <x v="7"/>
    </i>
    <i t="data" r="0" i="0">
      <x v="555"/>
      <x v="4"/>
    </i>
    <i t="data" r="0" i="0">
      <x v="556"/>
      <x v="0"/>
    </i>
    <i t="data" r="0" i="0">
      <x v="557"/>
      <x v="1"/>
    </i>
    <i t="data" r="0" i="0">
      <x v="558"/>
      <x v="2"/>
    </i>
    <i t="data" r="0" i="0">
      <x v="559"/>
      <x v="5"/>
    </i>
    <i t="data" r="0" i="0">
      <x v="560"/>
      <x v="6"/>
    </i>
    <i t="data" r="0" i="0">
      <x v="561"/>
      <x v="7"/>
    </i>
    <i t="data" r="0" i="0">
      <x v="562"/>
      <x v="4"/>
    </i>
    <i t="data" r="0" i="0">
      <x v="563"/>
      <x v="0"/>
    </i>
    <i t="data" r="0" i="0">
      <x v="564"/>
      <x v="1"/>
    </i>
    <i t="data" r="0" i="0">
      <x v="565"/>
      <x v="2"/>
    </i>
    <i t="data" r="0" i="0">
      <x v="566"/>
      <x v="5"/>
    </i>
    <i t="data" r="0" i="0">
      <x v="567"/>
      <x v="6"/>
    </i>
    <i t="data" r="0" i="0">
      <x v="568"/>
      <x v="7"/>
    </i>
    <i t="data" r="0" i="0">
      <x v="569"/>
      <x v="4"/>
    </i>
    <i t="data" r="0" i="0">
      <x v="570"/>
      <x v="0"/>
    </i>
    <i t="data" r="0" i="0">
      <x v="571"/>
      <x v="0"/>
    </i>
    <i t="data" r="0" i="0">
      <x v="572"/>
      <x v="1"/>
    </i>
    <i t="data" r="0" i="0">
      <x v="573"/>
      <x v="2"/>
    </i>
    <i t="data" r="0" i="0">
      <x v="574"/>
      <x v="5"/>
    </i>
    <i t="data" r="0" i="0">
      <x v="575"/>
      <x v="6"/>
    </i>
    <i t="data" r="0" i="0">
      <x v="576"/>
      <x v="7"/>
    </i>
    <i t="data" r="0" i="0">
      <x v="577"/>
      <x v="4"/>
    </i>
    <i t="data" r="0" i="0">
      <x v="578"/>
      <x v="0"/>
    </i>
    <i t="data" r="0" i="0">
      <x v="579"/>
      <x v="1"/>
    </i>
    <i t="data" r="0" i="0">
      <x v="580"/>
      <x v="2"/>
    </i>
    <i t="data" r="0" i="0">
      <x v="581"/>
      <x v="4"/>
    </i>
    <i t="data" r="0" i="0">
      <x v="582"/>
      <x v="0"/>
    </i>
    <i t="data" r="0" i="0">
      <x v="583"/>
      <x v="1"/>
    </i>
    <i t="data" r="0" i="0">
      <x v="584"/>
      <x v="2"/>
    </i>
    <i t="data" r="0" i="0">
      <x v="585"/>
      <x v="5"/>
    </i>
    <i t="data" r="0" i="0">
      <x v="586"/>
      <x v="6"/>
    </i>
    <i t="data" r="0" i="0">
      <x v="587"/>
      <x v="7"/>
    </i>
    <i t="data" r="0" i="0">
      <x v="588"/>
      <x v="4"/>
    </i>
    <i t="data" r="0" i="0">
      <x v="589"/>
      <x v="0"/>
    </i>
    <i t="data" r="0" i="0">
      <x v="590"/>
      <x v="1"/>
    </i>
    <i t="data" r="0" i="0">
      <x v="591"/>
      <x v="2"/>
    </i>
    <i t="data" r="0" i="0">
      <x v="592"/>
      <x v="5"/>
    </i>
    <i t="data" r="0" i="0">
      <x v="593"/>
      <x v="6"/>
    </i>
    <i t="data" r="0" i="0">
      <x v="594"/>
      <x v="7"/>
    </i>
    <i t="data" r="0" i="0">
      <x v="595"/>
      <x v="4"/>
    </i>
    <i t="data" r="0" i="0">
      <x v="596"/>
      <x v="0"/>
    </i>
    <i t="data" r="0" i="0">
      <x v="597"/>
      <x v="1"/>
    </i>
    <i t="data" r="0" i="0">
      <x v="598"/>
      <x v="2"/>
    </i>
    <i t="data" r="0" i="0">
      <x v="599"/>
      <x v="5"/>
    </i>
    <i t="data" r="0" i="0">
      <x v="600"/>
      <x v="6"/>
    </i>
    <i t="data" r="0" i="0">
      <x v="601"/>
      <x v="7"/>
    </i>
    <i t="data" r="0" i="0">
      <x v="602"/>
      <x v="4"/>
    </i>
    <i t="data" r="0" i="0">
      <x v="603"/>
      <x v="0"/>
    </i>
    <i t="data" r="0" i="0">
      <x v="604"/>
      <x v="1"/>
    </i>
    <i t="data" r="0" i="0">
      <x v="605"/>
      <x v="2"/>
    </i>
    <i t="data" r="0" i="0">
      <x v="606"/>
      <x v="5"/>
    </i>
    <i t="data" r="0" i="0">
      <x v="607"/>
      <x v="6"/>
    </i>
    <i t="data" r="0" i="0">
      <x v="608"/>
      <x v="7"/>
    </i>
    <i t="data" r="0" i="0">
      <x v="609"/>
      <x v="4"/>
    </i>
    <i t="data" r="0" i="0">
      <x v="610"/>
      <x v="0"/>
    </i>
    <i t="data" r="0" i="0">
      <x v="611"/>
      <x v="1"/>
    </i>
    <i t="data" r="0" i="0">
      <x v="612"/>
      <x v="2"/>
    </i>
    <i t="data" r="0" i="0">
      <x v="613"/>
      <x v="5"/>
    </i>
    <i t="data" r="0" i="0">
      <x v="614"/>
      <x v="6"/>
    </i>
    <i t="data" r="0" i="0">
      <x v="615"/>
      <x v="7"/>
    </i>
    <i t="data" r="0" i="0">
      <x v="616"/>
      <x v="4"/>
    </i>
    <i t="data" r="0" i="0">
      <x v="617"/>
      <x v="0"/>
    </i>
    <i t="data" r="0" i="0">
      <x v="618"/>
      <x v="1"/>
    </i>
    <i t="data" r="0" i="0">
      <x v="619"/>
      <x v="2"/>
    </i>
    <i t="data" r="0" i="0">
      <x v="620"/>
      <x v="5"/>
    </i>
    <i t="data" r="0" i="0">
      <x v="621"/>
      <x v="6"/>
    </i>
    <i t="data" r="0" i="0">
      <x v="622"/>
      <x v="7"/>
    </i>
    <i t="data" r="0" i="0">
      <x v="623"/>
      <x v="4"/>
    </i>
    <i t="data" r="0" i="0">
      <x v="624"/>
      <x v="0"/>
    </i>
    <i t="data" r="0" i="0">
      <x v="625"/>
      <x v="1"/>
    </i>
    <i t="data" r="0" i="0">
      <x v="626"/>
      <x v="2"/>
    </i>
    <i t="data" r="0" i="0">
      <x v="627"/>
      <x v="5"/>
    </i>
    <i t="data" r="0" i="0">
      <x v="628"/>
      <x v="6"/>
    </i>
    <i t="data" r="0" i="0">
      <x v="629"/>
      <x v="7"/>
    </i>
    <i t="data" r="0" i="0">
      <x v="630"/>
      <x v="4"/>
    </i>
    <i t="data" r="0" i="0">
      <x v="631"/>
      <x v="0"/>
    </i>
    <i t="data" r="0" i="0">
      <x v="632"/>
      <x v="1"/>
    </i>
    <i t="data" r="0" i="0">
      <x v="633"/>
      <x v="2"/>
    </i>
    <i t="data" r="0" i="0">
      <x v="634"/>
      <x v="5"/>
    </i>
    <i t="data" r="0" i="0">
      <x v="635"/>
      <x v="6"/>
    </i>
    <i t="data" r="0" i="0">
      <x v="636"/>
      <x v="7"/>
    </i>
    <i t="data" r="0" i="0">
      <x v="637"/>
      <x v="4"/>
    </i>
    <i t="data" r="0" i="0">
      <x v="638"/>
      <x v="0"/>
    </i>
    <i t="grand" r="0" i="0">
      <x v="0"/>
    </i>
  </rowItems>
  <colFields count="1">
    <field x="3"/>
  </colFields>
  <colItems count="4">
    <i t="data" r="0" i="0">
      <x v="13"/>
    </i>
    <i t="data" r="0" i="0">
      <x v="14"/>
    </i>
    <i t="data" r="0" i="0">
      <x v="16"/>
    </i>
    <i t="grand" r="0" i="0">
      <x v="0"/>
    </i>
  </colItems>
  <pageFields count="1">
    <pageField fld="4" hier="-1"/>
  </pageFields>
  <dataFields count="1">
    <dataField name="합계 : 판매수량" fld="6" subtotal="sum" showDataAs="normal" baseField="1" baseItem="4"/>
  </dataFields>
  <chartFormats count="13">
    <chartFormat chart="3" format="44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0"/>
          </reference>
        </references>
      </pivotArea>
    </chartFormat>
    <chartFormat chart="3" format="4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3" format="4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3" format="50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3" format="5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" format="53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5"/>
          </reference>
        </references>
      </pivotArea>
    </chartFormat>
    <chartFormat chart="3" format="54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6"/>
          </reference>
        </references>
      </pivotArea>
    </chartFormat>
    <chartFormat chart="3" format="55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0"/>
          </reference>
        </references>
      </pivotArea>
    </chartFormat>
    <chartFormat chart="3" format="5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1"/>
          </reference>
        </references>
      </pivotArea>
    </chartFormat>
    <chartFormat chart="3" format="5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2"/>
          </reference>
        </references>
      </pivotArea>
    </chartFormat>
    <chartFormat chart="3" format="5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3"/>
          </reference>
        </references>
      </pivotArea>
    </chartFormat>
    <chartFormat chart="3" format="59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4"/>
          </reference>
        </references>
      </pivotArea>
    </chartFormat>
    <chartFormat chart="3" format="60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6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J3:O350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640">
        <item t="data" sd="1" x="263"/>
        <item t="data" sd="1" x="264"/>
        <item t="data" sd="1" x="266"/>
        <item t="data" sd="1" x="265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m="1" x="563"/>
        <item t="data" sd="1" m="1" x="420"/>
        <item t="data" sd="1" m="1" x="569"/>
        <item t="data" sd="1" m="1" x="425"/>
        <item t="data" sd="1" m="1" x="574"/>
        <item t="data" sd="1" m="1" x="429"/>
        <item t="data" sd="1" m="1" x="579"/>
        <item t="data" sd="1" m="1" x="434"/>
        <item t="data" sd="1" m="1" x="584"/>
        <item t="data" sd="1" m="1" x="438"/>
        <item t="data" sd="1" m="1" x="589"/>
        <item t="data" sd="1" m="1" x="442"/>
        <item t="data" sd="1" m="1" x="593"/>
        <item t="data" sd="1" m="1" x="446"/>
        <item t="data" sd="1" m="1" x="597"/>
        <item t="data" sd="1" m="1" x="450"/>
        <item t="data" sd="1" m="1" x="601"/>
        <item t="data" sd="1" m="1" x="454"/>
        <item t="data" sd="1" m="1" x="606"/>
        <item t="data" sd="1" m="1" x="459"/>
        <item t="data" sd="1" m="1" x="611"/>
        <item t="data" sd="1" m="1" x="464"/>
        <item t="data" sd="1" m="1" x="616"/>
        <item t="data" sd="1" m="1" x="469"/>
        <item t="data" sd="1" m="1" x="621"/>
        <item t="data" sd="1" m="1" x="474"/>
        <item t="data" sd="1" m="1" x="626"/>
        <item t="data" sd="1" m="1" x="479"/>
        <item t="data" sd="1" m="1" x="631"/>
        <item t="data" sd="1" m="1" x="483"/>
        <item t="data" sd="1" m="1" x="635"/>
        <item t="data" sd="1" m="1" x="575"/>
        <item t="data" sd="1" m="1" x="430"/>
        <item t="data" sd="1" m="1" x="580"/>
        <item t="data" sd="1" m="1" x="435"/>
        <item t="data" sd="1" m="1" x="585"/>
        <item t="data" sd="1" m="1" x="439"/>
        <item t="data" sd="1" m="1" x="590"/>
        <item t="data" sd="1" m="1" x="443"/>
        <item t="data" sd="1" m="1" x="594"/>
        <item t="data" sd="1" m="1" x="447"/>
        <item t="data" sd="1" m="1" x="598"/>
        <item t="data" sd="1" m="1" x="451"/>
        <item t="data" sd="1" m="1" x="602"/>
        <item t="data" sd="1" m="1" x="455"/>
        <item t="data" sd="1" m="1" x="607"/>
        <item t="data" sd="1" m="1" x="460"/>
        <item t="data" sd="1" m="1" x="612"/>
        <item t="data" sd="1" m="1" x="465"/>
        <item t="data" sd="1" m="1" x="617"/>
        <item t="data" sd="1" m="1" x="470"/>
        <item t="data" sd="1" m="1" x="622"/>
        <item t="data" sd="1" m="1" x="475"/>
        <item t="data" sd="1" m="1" x="627"/>
        <item t="data" sd="1" m="1" x="484"/>
        <item t="data" sd="1" m="1" x="636"/>
        <item t="data" sd="1" m="1" x="488"/>
        <item t="data" sd="1" m="1" x="347"/>
        <item t="data" sd="1" m="1" x="492"/>
        <item t="data" sd="1" m="1" x="586"/>
        <item t="data" sd="1" m="1" x="440"/>
        <item t="data" sd="1" m="1" x="591"/>
        <item t="data" sd="1" m="1" x="444"/>
        <item t="data" sd="1" m="1" x="595"/>
        <item t="data" sd="1" m="1" x="448"/>
        <item t="data" sd="1" m="1" x="599"/>
        <item t="data" sd="1" m="1" x="452"/>
        <item t="data" sd="1" m="1" x="603"/>
        <item t="data" sd="1" m="1" x="456"/>
        <item t="data" sd="1" m="1" x="608"/>
        <item t="data" sd="1" m="1" x="461"/>
        <item t="data" sd="1" m="1" x="613"/>
        <item t="data" sd="1" m="1" x="466"/>
        <item t="data" sd="1" m="1" x="618"/>
        <item t="data" sd="1" m="1" x="471"/>
        <item t="data" sd="1" m="1" x="623"/>
        <item t="data" sd="1" m="1" x="476"/>
        <item t="data" sd="1" m="1" x="628"/>
        <item t="data" sd="1" m="1" x="480"/>
        <item t="data" sd="1" m="1" x="632"/>
        <item t="data" sd="1" m="1" x="485"/>
        <item t="data" sd="1" m="1" x="637"/>
        <item t="data" sd="1" m="1" x="489"/>
        <item t="data" sd="1" m="1" x="348"/>
        <item t="data" sd="1" m="1" x="493"/>
        <item t="data" sd="1" m="1" x="351"/>
        <item t="data" sd="1" m="1" x="496"/>
        <item t="data" sd="1" m="1" x="354"/>
        <item t="data" sd="1" m="1" x="500"/>
        <item t="data" sd="1" m="1" x="358"/>
        <item t="data" sd="1" m="1" x="596"/>
        <item t="data" sd="1" m="1" x="449"/>
        <item t="data" sd="1" m="1" x="600"/>
        <item t="data" sd="1" m="1" x="453"/>
        <item t="data" sd="1" m="1" x="604"/>
        <item t="data" sd="1" m="1" x="457"/>
        <item t="data" sd="1" m="1" x="609"/>
        <item t="data" sd="1" m="1" x="462"/>
        <item t="data" sd="1" m="1" x="614"/>
        <item t="data" sd="1" m="1" x="467"/>
        <item t="data" sd="1" m="1" x="619"/>
        <item t="data" sd="1" m="1" x="472"/>
        <item t="data" sd="1" m="1" x="624"/>
        <item t="data" sd="1" m="1" x="477"/>
        <item t="data" sd="1" m="1" x="629"/>
        <item t="data" sd="1" m="1" x="481"/>
        <item t="data" sd="1" m="1" x="633"/>
        <item t="data" sd="1" m="1" x="486"/>
        <item t="data" sd="1" m="1" x="638"/>
        <item t="data" sd="1" m="1" x="490"/>
        <item t="data" sd="1" m="1" x="349"/>
        <item t="data" sd="1" m="1" x="494"/>
        <item t="data" sd="1" m="1" x="352"/>
        <item t="data" sd="1" m="1" x="497"/>
        <item t="data" sd="1" m="1" x="355"/>
        <item t="data" sd="1" m="1" x="501"/>
        <item t="data" sd="1" m="1" x="359"/>
        <item t="data" sd="1" m="1" x="504"/>
        <item t="data" sd="1" m="1" x="362"/>
        <item t="data" sd="1" m="1" x="508"/>
        <item t="data" sd="1" m="1" x="605"/>
        <item t="data" sd="1" m="1" x="458"/>
        <item t="data" sd="1" m="1" x="610"/>
        <item t="data" sd="1" m="1" x="463"/>
        <item t="data" sd="1" m="1" x="615"/>
        <item t="data" sd="1" m="1" x="468"/>
        <item t="data" sd="1" m="1" x="620"/>
        <item t="data" sd="1" m="1" x="473"/>
        <item t="data" sd="1" m="1" x="625"/>
        <item t="data" sd="1" m="1" x="478"/>
        <item t="data" sd="1" m="1" x="630"/>
        <item t="data" sd="1" m="1" x="482"/>
        <item t="data" sd="1" m="1" x="634"/>
        <item t="data" sd="1" m="1" x="487"/>
        <item t="data" sd="1" m="1" x="639"/>
        <item t="data" sd="1" m="1" x="491"/>
        <item t="data" sd="1" m="1" x="350"/>
        <item t="data" sd="1" m="1" x="495"/>
        <item t="data" sd="1" m="1" x="353"/>
        <item t="data" sd="1" m="1" x="498"/>
        <item t="data" sd="1" m="1" x="356"/>
        <item t="data" sd="1" m="1" x="502"/>
        <item t="data" sd="1" m="1" x="360"/>
        <item t="data" sd="1" m="1" x="505"/>
        <item t="data" sd="1" m="1" x="363"/>
        <item t="data" sd="1" m="1" x="509"/>
        <item t="data" sd="1" m="1" x="366"/>
        <item t="data" sd="1" m="1" x="512"/>
        <item t="data" sd="1" m="1" x="369"/>
        <item t="data" sd="1" m="1" x="516"/>
        <item t="data" sd="1" m="1" x="373"/>
        <item t="data" sd="1" m="1" x="499"/>
        <item t="data" sd="1" m="1" x="357"/>
        <item t="data" sd="1" m="1" x="503"/>
        <item t="data" sd="1" m="1" x="361"/>
        <item t="data" sd="1" m="1" x="506"/>
        <item t="data" sd="1" m="1" x="364"/>
        <item t="data" sd="1" m="1" x="510"/>
        <item t="data" sd="1" m="1" x="367"/>
        <item t="data" sd="1" m="1" x="513"/>
        <item t="data" sd="1" m="1" x="370"/>
        <item t="data" sd="1" m="1" x="517"/>
        <item t="data" sd="1" m="1" x="374"/>
        <item t="data" sd="1" m="1" x="520"/>
        <item t="data" sd="1" m="1" x="377"/>
        <item t="data" sd="1" m="1" x="524"/>
        <item t="data" sd="1" m="1" x="381"/>
        <item t="data" sd="1" m="1" x="528"/>
        <item t="data" sd="1" m="1" x="385"/>
        <item t="data" sd="1" m="1" x="533"/>
        <item t="data" sd="1" m="1" x="390"/>
        <item t="data" sd="1" m="1" x="538"/>
        <item t="data" sd="1" m="1" x="395"/>
        <item t="data" sd="1" m="1" x="543"/>
        <item t="data" sd="1" m="1" x="400"/>
        <item t="data" sd="1" m="1" x="548"/>
        <item t="data" sd="1" m="1" x="405"/>
        <item t="data" sd="1" m="1" x="553"/>
        <item t="data" sd="1" m="1" x="410"/>
        <item t="data" sd="1" m="1" x="558"/>
        <item t="data" sd="1" m="1" x="415"/>
        <item t="data" sd="1" m="1" x="564"/>
        <item t="data" sd="1" m="1" x="507"/>
        <item t="data" sd="1" m="1" x="365"/>
        <item t="data" sd="1" m="1" x="511"/>
        <item t="data" sd="1" m="1" x="368"/>
        <item t="data" sd="1" m="1" x="514"/>
        <item t="data" sd="1" m="1" x="371"/>
        <item t="data" sd="1" m="1" x="518"/>
        <item t="data" sd="1" m="1" x="375"/>
        <item t="data" sd="1" m="1" x="521"/>
        <item t="data" sd="1" m="1" x="378"/>
        <item t="data" sd="1" m="1" x="525"/>
        <item t="data" sd="1" m="1" x="382"/>
        <item t="data" sd="1" m="1" x="529"/>
        <item t="data" sd="1" m="1" x="386"/>
        <item t="data" sd="1" m="1" x="534"/>
        <item t="data" sd="1" m="1" x="391"/>
        <item t="data" sd="1" m="1" x="539"/>
        <item t="data" sd="1" m="1" x="396"/>
        <item t="data" sd="1" m="1" x="544"/>
        <item t="data" sd="1" m="1" x="401"/>
        <item t="data" sd="1" m="1" x="549"/>
        <item t="data" sd="1" m="1" x="406"/>
        <item t="data" sd="1" m="1" x="554"/>
        <item t="data" sd="1" m="1" x="411"/>
        <item t="data" sd="1" m="1" x="559"/>
        <item t="data" sd="1" m="1" x="416"/>
        <item t="data" sd="1" m="1" x="565"/>
        <item t="data" sd="1" m="1" x="421"/>
        <item t="data" sd="1" m="1" x="570"/>
        <item t="data" sd="1" m="1" x="515"/>
        <item t="data" sd="1" m="1" x="372"/>
        <item t="data" sd="1" m="1" x="519"/>
        <item t="data" sd="1" m="1" x="376"/>
        <item t="data" sd="1" m="1" x="522"/>
        <item t="data" sd="1" m="1" x="379"/>
        <item t="data" sd="1" m="1" x="526"/>
        <item t="data" sd="1" m="1" x="383"/>
        <item t="data" sd="1" m="1" x="530"/>
        <item t="data" sd="1" m="1" x="387"/>
        <item t="data" sd="1" m="1" x="535"/>
        <item t="data" sd="1" m="1" x="392"/>
        <item t="data" sd="1" m="1" x="540"/>
        <item t="data" sd="1" m="1" x="397"/>
        <item t="data" sd="1" m="1" x="545"/>
        <item t="data" sd="1" m="1" x="402"/>
        <item t="data" sd="1" m="1" x="550"/>
        <item t="data" sd="1" m="1" x="407"/>
        <item t="data" sd="1" m="1" x="555"/>
        <item t="data" sd="1" m="1" x="412"/>
        <item t="data" sd="1" m="1" x="560"/>
        <item t="data" sd="1" m="1" x="417"/>
        <item t="data" sd="1" m="1" x="566"/>
        <item t="data" sd="1" m="1" x="422"/>
        <item t="data" sd="1" m="1" x="571"/>
        <item t="data" sd="1" m="1" x="426"/>
        <item t="data" sd="1" m="1" x="576"/>
        <item t="data" sd="1" m="1" x="431"/>
        <item t="data" sd="1" m="1" x="581"/>
        <item t="data" sd="1" m="1" x="436"/>
        <item t="data" sd="1" m="1" x="587"/>
        <item t="data" sd="1" m="1" x="523"/>
        <item t="data" sd="1" m="1" x="380"/>
        <item t="data" sd="1" m="1" x="527"/>
        <item t="data" sd="1" m="1" x="384"/>
        <item t="data" sd="1" m="1" x="531"/>
        <item t="data" sd="1" m="1" x="388"/>
        <item t="data" sd="1" m="1" x="536"/>
        <item t="data" sd="1" m="1" x="393"/>
        <item t="data" sd="1" m="1" x="541"/>
        <item t="data" sd="1" m="1" x="398"/>
        <item t="data" sd="1" m="1" x="546"/>
        <item t="data" sd="1" m="1" x="403"/>
        <item t="data" sd="1" m="1" x="551"/>
        <item t="data" sd="1" m="1" x="408"/>
        <item t="data" sd="1" m="1" x="556"/>
        <item t="data" sd="1" m="1" x="413"/>
        <item t="data" sd="1" m="1" x="561"/>
        <item t="data" sd="1" m="1" x="418"/>
        <item t="data" sd="1" m="1" x="567"/>
        <item t="data" sd="1" m="1" x="423"/>
        <item t="data" sd="1" m="1" x="572"/>
        <item t="data" sd="1" m="1" x="427"/>
        <item t="data" sd="1" m="1" x="577"/>
        <item t="data" sd="1" m="1" x="432"/>
        <item t="data" sd="1" m="1" x="582"/>
        <item t="data" sd="1" m="1" x="437"/>
        <item t="data" sd="1" m="1" x="588"/>
        <item t="data" sd="1" m="1" x="441"/>
        <item t="data" sd="1" m="1" x="592"/>
        <item t="data" sd="1" m="1" x="445"/>
        <item t="data" sd="1" m="1" x="532"/>
        <item t="data" sd="1" m="1" x="389"/>
        <item t="data" sd="1" m="1" x="537"/>
        <item t="data" sd="1" m="1" x="394"/>
        <item t="data" sd="1" m="1" x="542"/>
        <item t="data" sd="1" m="1" x="399"/>
        <item t="data" sd="1" m="1" x="547"/>
        <item t="data" sd="1" m="1" x="404"/>
        <item t="data" sd="1" m="1" x="552"/>
        <item t="data" sd="1" m="1" x="409"/>
        <item t="data" sd="1" m="1" x="557"/>
        <item t="data" sd="1" m="1" x="414"/>
        <item t="data" sd="1" m="1" x="562"/>
        <item t="data" sd="1" m="1" x="419"/>
        <item t="data" sd="1" m="1" x="568"/>
        <item t="data" sd="1" m="1" x="424"/>
        <item t="data" sd="1" m="1" x="573"/>
        <item t="data" sd="1" m="1" x="428"/>
        <item t="data" sd="1" m="1" x="578"/>
        <item t="data" sd="1" m="1" x="433"/>
        <item t="data" sd="1" m="1" x="583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0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0"/>
        <item t="data" sd="1" x="3"/>
        <item t="data" sd="1" x="4"/>
        <item t="data" sd="1" x="7"/>
        <item t="data" sd="1" x="6"/>
        <item t="data" sd="1" x="1"/>
        <item t="data" sd="1" x="2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9">
        <item t="data" sd="0" m="1" x="13"/>
        <item t="data" sd="0" m="1" x="5"/>
        <item t="data" sd="0" m="1" x="12"/>
        <item t="data" sd="1" x="2"/>
        <item t="data" sd="1" m="1" x="9"/>
        <item t="data" sd="1" m="1" x="8"/>
        <item t="data" sd="1" m="1" x="10"/>
        <item t="data" sd="1" m="1" x="15"/>
        <item t="data" sd="1" m="1" x="7"/>
        <item t="data" sd="1" m="1" x="17"/>
        <item t="data" sd="1" m="1" x="14"/>
        <item t="data" sd="1" m="1" x="6"/>
        <item t="data" sd="1" m="1" x="16"/>
        <item t="data" sd="1" x="1"/>
        <item t="data" sd="1" x="0"/>
        <item t="data" sd="1" x="3"/>
        <item t="data" sd="1" x="4"/>
        <item t="data" sd="1" m="1" x="11"/>
        <item t="default" sd="1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7">
        <item t="data" sd="1" m="1" x="6"/>
        <item t="data" sd="1" m="1" x="25"/>
        <item t="data" sd="1" m="1" x="9"/>
        <item t="data" sd="1" m="1" x="16"/>
        <item t="data" sd="1" m="1" x="23"/>
        <item t="data" sd="1" m="1" x="11"/>
        <item t="data" sd="1" m="1" x="12"/>
        <item t="data" sd="1" m="1" x="13"/>
        <item t="data" sd="1" m="1" x="10"/>
        <item t="data" sd="1" m="1" x="7"/>
        <item t="data" sd="1" m="1" x="22"/>
        <item t="data" sd="1" m="1" x="20"/>
        <item t="data" h="1" sd="1" m="1" x="21"/>
        <item t="data" sd="1" m="1" x="18"/>
        <item t="data" sd="1" m="1" x="24"/>
        <item t="data" sd="1" m="1" x="14"/>
        <item t="data" h="1" sd="1" x="1"/>
        <item t="data" sd="1" x="4"/>
        <item t="data" sd="1" x="0"/>
        <item t="data" h="1" sd="1" m="1" x="15"/>
        <item t="data" sd="1" m="1" x="19"/>
        <item t="data" h="1" sd="1" m="1" x="17"/>
        <item t="data" sd="1" m="1" x="8"/>
        <item t="data" h="1" sd="1" x="2"/>
        <item t="data" h="1" sd="1" x="3"/>
        <item t="data" h="1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346">
    <i t="data" r="0" i="0">
      <x v="0"/>
      <x v="0"/>
    </i>
    <i t="data" r="0" i="0">
      <x v="1"/>
      <x v="1"/>
    </i>
    <i t="data" r="0" i="0">
      <x v="2"/>
      <x v="7"/>
    </i>
    <i t="data" r="0" i="0">
      <x v="3"/>
      <x v="4"/>
    </i>
    <i t="data" r="0" i="0">
      <x v="4"/>
      <x v="0"/>
    </i>
    <i t="data" r="0" i="0">
      <x v="5"/>
      <x v="2"/>
    </i>
    <i t="data" r="0" i="0">
      <x v="6"/>
      <x v="5"/>
    </i>
    <i t="data" r="0" i="0">
      <x v="7"/>
      <x v="6"/>
    </i>
    <i t="data" r="0" i="0">
      <x v="8"/>
      <x v="7"/>
    </i>
    <i t="data" r="0" i="0">
      <x v="9"/>
      <x v="4"/>
    </i>
    <i t="data" r="0" i="0">
      <x v="10"/>
      <x v="0"/>
    </i>
    <i t="data" r="0" i="0">
      <x v="11"/>
      <x v="1"/>
    </i>
    <i t="data" r="0" i="0">
      <x v="12"/>
      <x v="2"/>
    </i>
    <i t="data" r="0" i="0">
      <x v="13"/>
      <x v="5"/>
    </i>
    <i t="data" r="0" i="0">
      <x v="14"/>
      <x v="6"/>
    </i>
    <i t="data" r="0" i="0">
      <x v="309"/>
      <x v="5"/>
    </i>
    <i t="data" r="0" i="0">
      <x v="310"/>
      <x v="6"/>
    </i>
    <i t="data" r="0" i="0">
      <x v="311"/>
      <x v="0"/>
    </i>
    <i t="data" r="0" i="0">
      <x v="312"/>
      <x v="1"/>
    </i>
    <i t="data" r="0" i="0">
      <x v="313"/>
      <x v="2"/>
    </i>
    <i t="data" r="0" i="0">
      <x v="314"/>
      <x v="5"/>
    </i>
    <i t="data" r="0" i="0">
      <x v="315"/>
      <x v="6"/>
    </i>
    <i t="data" r="0" i="0">
      <x v="316"/>
      <x v="7"/>
    </i>
    <i t="data" r="0" i="0">
      <x v="317"/>
      <x v="4"/>
    </i>
    <i t="data" r="0" i="0">
      <x v="318"/>
      <x v="0"/>
    </i>
    <i t="data" r="0" i="0">
      <x v="319"/>
      <x v="1"/>
    </i>
    <i t="data" r="0" i="0">
      <x v="320"/>
      <x v="2"/>
    </i>
    <i t="data" r="0" i="0">
      <x v="321"/>
      <x v="5"/>
    </i>
    <i t="data" r="0" i="0">
      <x v="322"/>
      <x v="6"/>
    </i>
    <i t="data" r="0" i="0">
      <x v="323"/>
      <x v="7"/>
    </i>
    <i t="data" r="0" i="0">
      <x v="324"/>
      <x v="4"/>
    </i>
    <i t="data" r="0" i="0">
      <x v="325"/>
      <x v="0"/>
    </i>
    <i t="data" r="0" i="0">
      <x v="326"/>
      <x v="1"/>
    </i>
    <i t="data" r="0" i="0">
      <x v="327"/>
      <x v="2"/>
    </i>
    <i t="data" r="0" i="0">
      <x v="328"/>
      <x v="5"/>
    </i>
    <i t="data" r="0" i="0">
      <x v="329"/>
      <x v="6"/>
    </i>
    <i t="data" r="0" i="0">
      <x v="330"/>
      <x v="7"/>
    </i>
    <i t="data" r="0" i="0">
      <x v="331"/>
      <x v="4"/>
    </i>
    <i t="data" r="0" i="0">
      <x v="332"/>
      <x v="0"/>
    </i>
    <i t="data" r="0" i="0">
      <x v="333"/>
      <x v="1"/>
    </i>
    <i t="data" r="0" i="0">
      <x v="334"/>
      <x v="2"/>
    </i>
    <i t="data" r="0" i="0">
      <x v="335"/>
      <x v="5"/>
    </i>
    <i t="data" r="0" i="0">
      <x v="336"/>
      <x v="6"/>
    </i>
    <i t="data" r="0" i="0">
      <x v="337"/>
      <x v="7"/>
    </i>
    <i t="data" r="0" i="0">
      <x v="338"/>
      <x v="4"/>
    </i>
    <i t="data" r="0" i="0">
      <x v="339"/>
      <x v="0"/>
    </i>
    <i t="data" r="0" i="0">
      <x v="340"/>
      <x v="1"/>
    </i>
    <i t="data" r="0" i="0">
      <x v="341"/>
      <x v="2"/>
    </i>
    <i t="data" r="0" i="0">
      <x v="342"/>
      <x v="5"/>
    </i>
    <i t="data" r="0" i="0">
      <x v="343"/>
      <x v="6"/>
    </i>
    <i t="data" r="0" i="0">
      <x v="344"/>
      <x v="7"/>
    </i>
    <i t="data" r="0" i="0">
      <x v="345"/>
      <x v="4"/>
    </i>
    <i t="data" r="0" i="0">
      <x v="346"/>
      <x v="0"/>
    </i>
    <i t="data" r="0" i="0">
      <x v="347"/>
      <x v="1"/>
    </i>
    <i t="data" r="0" i="0">
      <x v="348"/>
      <x v="2"/>
    </i>
    <i t="data" r="0" i="0">
      <x v="349"/>
      <x v="5"/>
    </i>
    <i t="data" r="0" i="0">
      <x v="350"/>
      <x v="6"/>
    </i>
    <i t="data" r="0" i="0">
      <x v="351"/>
      <x v="7"/>
    </i>
    <i t="data" r="0" i="0">
      <x v="352"/>
      <x v="4"/>
    </i>
    <i t="data" r="0" i="0">
      <x v="353"/>
      <x v="0"/>
    </i>
    <i t="data" r="0" i="0">
      <x v="354"/>
      <x v="1"/>
    </i>
    <i t="data" r="0" i="0">
      <x v="355"/>
      <x v="2"/>
    </i>
    <i t="data" r="0" i="0">
      <x v="356"/>
      <x v="5"/>
    </i>
    <i t="data" r="0" i="0">
      <x v="357"/>
      <x v="6"/>
    </i>
    <i t="data" r="0" i="0">
      <x v="358"/>
      <x v="7"/>
    </i>
    <i t="data" r="0" i="0">
      <x v="359"/>
      <x v="4"/>
    </i>
    <i t="data" r="0" i="0">
      <x v="360"/>
      <x v="0"/>
    </i>
    <i t="data" r="0" i="0">
      <x v="361"/>
      <x v="1"/>
    </i>
    <i t="data" r="0" i="0">
      <x v="362"/>
      <x v="2"/>
    </i>
    <i t="data" r="0" i="0">
      <x v="363"/>
      <x v="5"/>
    </i>
    <i t="data" r="0" i="0">
      <x v="364"/>
      <x v="6"/>
    </i>
    <i t="data" r="0" i="0">
      <x v="365"/>
      <x v="7"/>
    </i>
    <i t="data" r="0" i="0">
      <x v="366"/>
      <x v="4"/>
    </i>
    <i t="data" r="0" i="0">
      <x v="367"/>
      <x v="0"/>
    </i>
    <i t="data" r="0" i="0">
      <x v="368"/>
      <x v="1"/>
    </i>
    <i t="data" r="0" i="0">
      <x v="369"/>
      <x v="2"/>
    </i>
    <i t="data" r="0" i="0">
      <x v="370"/>
      <x v="5"/>
    </i>
    <i t="data" r="0" i="0">
      <x v="371"/>
      <x v="6"/>
    </i>
    <i t="data" r="0" i="0">
      <x v="372"/>
      <x v="7"/>
    </i>
    <i t="data" r="0" i="0">
      <x v="373"/>
      <x v="4"/>
    </i>
    <i t="data" r="0" i="0">
      <x v="374"/>
      <x v="0"/>
    </i>
    <i t="data" r="0" i="0">
      <x v="375"/>
      <x v="1"/>
    </i>
    <i t="data" r="0" i="0">
      <x v="376"/>
      <x v="2"/>
    </i>
    <i t="data" r="0" i="0">
      <x v="377"/>
      <x v="5"/>
    </i>
    <i t="data" r="0" i="0">
      <x v="378"/>
      <x v="6"/>
    </i>
    <i t="data" r="0" i="0">
      <x v="379"/>
      <x v="7"/>
    </i>
    <i t="data" r="0" i="0">
      <x v="380"/>
      <x v="4"/>
    </i>
    <i t="data" r="0" i="0">
      <x v="381"/>
      <x v="0"/>
    </i>
    <i t="data" r="0" i="0">
      <x v="382"/>
      <x v="1"/>
    </i>
    <i t="data" r="0" i="0">
      <x v="383"/>
      <x v="2"/>
    </i>
    <i t="data" r="0" i="0">
      <x v="384"/>
      <x v="5"/>
    </i>
    <i t="data" r="0" i="0">
      <x v="385"/>
      <x v="6"/>
    </i>
    <i t="data" r="0" i="0">
      <x v="386"/>
      <x v="7"/>
    </i>
    <i t="data" r="0" i="0">
      <x v="387"/>
      <x v="4"/>
    </i>
    <i t="data" r="0" i="0">
      <x v="388"/>
      <x v="0"/>
    </i>
    <i t="data" r="0" i="0">
      <x v="389"/>
      <x v="1"/>
    </i>
    <i t="data" r="0" i="0">
      <x v="390"/>
      <x v="2"/>
    </i>
    <i t="data" r="0" i="0">
      <x v="391"/>
      <x v="5"/>
    </i>
    <i t="data" r="0" i="0">
      <x v="392"/>
      <x v="6"/>
    </i>
    <i t="data" r="0" i="0">
      <x v="393"/>
      <x v="7"/>
    </i>
    <i t="data" r="0" i="0">
      <x v="394"/>
      <x v="4"/>
    </i>
    <i t="data" r="0" i="0">
      <x v="395"/>
      <x v="0"/>
    </i>
    <i t="data" r="0" i="0">
      <x v="396"/>
      <x v="1"/>
    </i>
    <i t="data" r="0" i="0">
      <x v="397"/>
      <x v="2"/>
    </i>
    <i t="data" r="0" i="0">
      <x v="398"/>
      <x v="5"/>
    </i>
    <i t="data" r="0" i="0">
      <x v="399"/>
      <x v="6"/>
    </i>
    <i t="data" r="0" i="0">
      <x v="400"/>
      <x v="7"/>
    </i>
    <i t="data" r="0" i="0">
      <x v="401"/>
      <x v="4"/>
    </i>
    <i t="data" r="0" i="0">
      <x v="402"/>
      <x v="0"/>
    </i>
    <i t="data" r="0" i="0">
      <x v="403"/>
      <x v="1"/>
    </i>
    <i t="data" r="0" i="0">
      <x v="404"/>
      <x v="2"/>
    </i>
    <i t="data" r="0" i="0">
      <x v="405"/>
      <x v="5"/>
    </i>
    <i t="data" r="0" i="0">
      <x v="406"/>
      <x v="6"/>
    </i>
    <i t="data" r="0" i="0">
      <x v="407"/>
      <x v="7"/>
    </i>
    <i t="data" r="0" i="0">
      <x v="408"/>
      <x v="4"/>
    </i>
    <i t="data" r="0" i="0">
      <x v="409"/>
      <x v="0"/>
    </i>
    <i t="data" r="0" i="0">
      <x v="410"/>
      <x v="1"/>
    </i>
    <i t="data" r="0" i="0">
      <x v="411"/>
      <x v="2"/>
    </i>
    <i t="data" r="0" i="0">
      <x v="412"/>
      <x v="5"/>
    </i>
    <i t="data" r="0" i="0">
      <x v="413"/>
      <x v="6"/>
    </i>
    <i t="data" r="0" i="0">
      <x v="414"/>
      <x v="7"/>
    </i>
    <i t="data" r="0" i="0">
      <x v="415"/>
      <x v="4"/>
    </i>
    <i t="data" r="0" i="0">
      <x v="416"/>
      <x v="0"/>
    </i>
    <i t="data" r="0" i="0">
      <x v="417"/>
      <x v="1"/>
    </i>
    <i t="data" r="0" i="0">
      <x v="418"/>
      <x v="2"/>
    </i>
    <i t="data" r="0" i="0">
      <x v="419"/>
      <x v="5"/>
    </i>
    <i t="data" r="0" i="0">
      <x v="420"/>
      <x v="6"/>
    </i>
    <i t="data" r="0" i="0">
      <x v="421"/>
      <x v="7"/>
    </i>
    <i t="data" r="0" i="0">
      <x v="422"/>
      <x v="4"/>
    </i>
    <i t="data" r="0" i="0">
      <x v="423"/>
      <x v="0"/>
    </i>
    <i t="data" r="0" i="0">
      <x v="424"/>
      <x v="1"/>
    </i>
    <i t="data" r="0" i="0">
      <x v="425"/>
      <x v="2"/>
    </i>
    <i t="data" r="0" i="0">
      <x v="426"/>
      <x v="5"/>
    </i>
    <i t="data" r="0" i="0">
      <x v="427"/>
      <x v="6"/>
    </i>
    <i t="data" r="0" i="0">
      <x v="428"/>
      <x v="7"/>
    </i>
    <i t="data" r="0" i="0">
      <x v="429"/>
      <x v="4"/>
    </i>
    <i t="data" r="0" i="0">
      <x v="430"/>
      <x v="0"/>
    </i>
    <i t="data" r="0" i="0">
      <x v="431"/>
      <x v="1"/>
    </i>
    <i t="data" r="0" i="0">
      <x v="432"/>
      <x v="2"/>
    </i>
    <i t="data" r="0" i="0">
      <x v="433"/>
      <x v="5"/>
    </i>
    <i t="data" r="0" i="0">
      <x v="434"/>
      <x v="6"/>
    </i>
    <i t="data" r="0" i="0">
      <x v="435"/>
      <x v="7"/>
    </i>
    <i t="data" r="0" i="0">
      <x v="436"/>
      <x v="4"/>
    </i>
    <i t="data" r="0" i="0">
      <x v="437"/>
      <x v="0"/>
    </i>
    <i t="data" r="0" i="0">
      <x v="438"/>
      <x v="1"/>
    </i>
    <i t="data" r="0" i="0">
      <x v="439"/>
      <x v="2"/>
    </i>
    <i t="data" r="0" i="0">
      <x v="440"/>
      <x v="5"/>
    </i>
    <i t="data" r="0" i="0">
      <x v="441"/>
      <x v="6"/>
    </i>
    <i t="data" r="0" i="0">
      <x v="442"/>
      <x v="7"/>
    </i>
    <i t="data" r="0" i="0">
      <x v="443"/>
      <x v="4"/>
    </i>
    <i t="data" r="0" i="0">
      <x v="444"/>
      <x v="0"/>
    </i>
    <i t="data" r="0" i="0">
      <x v="445"/>
      <x v="1"/>
    </i>
    <i t="data" r="0" i="0">
      <x v="446"/>
      <x v="2"/>
    </i>
    <i t="data" r="0" i="0">
      <x v="447"/>
      <x v="5"/>
    </i>
    <i t="data" r="0" i="0">
      <x v="448"/>
      <x v="6"/>
    </i>
    <i t="data" r="0" i="0">
      <x v="449"/>
      <x v="7"/>
    </i>
    <i t="data" r="0" i="0">
      <x v="450"/>
      <x v="4"/>
    </i>
    <i t="data" r="0" i="0">
      <x v="451"/>
      <x v="0"/>
    </i>
    <i t="data" r="0" i="0">
      <x v="452"/>
      <x v="1"/>
    </i>
    <i t="data" r="0" i="0">
      <x v="453"/>
      <x v="2"/>
    </i>
    <i t="data" r="0" i="0">
      <x v="454"/>
      <x v="5"/>
    </i>
    <i t="data" r="0" i="0">
      <x v="455"/>
      <x v="6"/>
    </i>
    <i t="data" r="0" i="0">
      <x v="456"/>
      <x v="7"/>
    </i>
    <i t="data" r="0" i="0">
      <x v="457"/>
      <x v="4"/>
    </i>
    <i t="data" r="0" i="0">
      <x v="458"/>
      <x v="0"/>
    </i>
    <i t="data" r="0" i="0">
      <x v="459"/>
      <x v="1"/>
    </i>
    <i t="data" r="0" i="0">
      <x v="460"/>
      <x v="2"/>
    </i>
    <i t="data" r="0" i="0">
      <x v="461"/>
      <x v="5"/>
    </i>
    <i t="data" r="0" i="0">
      <x v="462"/>
      <x v="6"/>
    </i>
    <i t="data" r="0" i="0">
      <x v="463"/>
      <x v="7"/>
    </i>
    <i t="data" r="0" i="0">
      <x v="464"/>
      <x v="4"/>
    </i>
    <i t="data" r="0" i="0">
      <x v="465"/>
      <x v="0"/>
    </i>
    <i t="data" r="0" i="0">
      <x v="466"/>
      <x v="1"/>
    </i>
    <i t="data" r="0" i="0">
      <x v="467"/>
      <x v="2"/>
    </i>
    <i t="data" r="0" i="0">
      <x v="468"/>
      <x v="5"/>
    </i>
    <i t="data" r="0" i="0">
      <x v="469"/>
      <x v="6"/>
    </i>
    <i t="data" r="0" i="0">
      <x v="470"/>
      <x v="7"/>
    </i>
    <i t="data" r="0" i="0">
      <x v="471"/>
      <x v="4"/>
    </i>
    <i t="data" r="0" i="0">
      <x v="472"/>
      <x v="0"/>
    </i>
    <i t="data" r="0" i="0">
      <x v="473"/>
      <x v="1"/>
    </i>
    <i t="data" r="0" i="0">
      <x v="474"/>
      <x v="2"/>
    </i>
    <i t="data" r="0" i="0">
      <x v="475"/>
      <x v="5"/>
    </i>
    <i t="data" r="0" i="0">
      <x v="476"/>
      <x v="6"/>
    </i>
    <i t="data" r="0" i="0">
      <x v="477"/>
      <x v="7"/>
    </i>
    <i t="data" r="0" i="0">
      <x v="478"/>
      <x v="4"/>
    </i>
    <i t="data" r="0" i="0">
      <x v="479"/>
      <x v="0"/>
    </i>
    <i t="data" r="0" i="0">
      <x v="480"/>
      <x v="1"/>
    </i>
    <i t="data" r="0" i="0">
      <x v="481"/>
      <x v="2"/>
    </i>
    <i t="data" r="0" i="0">
      <x v="482"/>
      <x v="5"/>
    </i>
    <i t="data" r="0" i="0">
      <x v="483"/>
      <x v="6"/>
    </i>
    <i t="data" r="0" i="0">
      <x v="484"/>
      <x v="7"/>
    </i>
    <i t="data" r="0" i="0">
      <x v="485"/>
      <x v="4"/>
    </i>
    <i t="data" r="0" i="0">
      <x v="486"/>
      <x v="0"/>
    </i>
    <i t="data" r="0" i="0">
      <x v="487"/>
      <x v="1"/>
    </i>
    <i t="data" r="0" i="0">
      <x v="488"/>
      <x v="2"/>
    </i>
    <i t="data" r="0" i="0">
      <x v="489"/>
      <x v="5"/>
    </i>
    <i t="data" r="0" i="0">
      <x v="490"/>
      <x v="6"/>
    </i>
    <i t="data" r="0" i="0">
      <x v="491"/>
      <x v="7"/>
    </i>
    <i t="data" r="0" i="0">
      <x v="492"/>
      <x v="4"/>
    </i>
    <i t="data" r="0" i="0">
      <x v="493"/>
      <x v="0"/>
    </i>
    <i t="data" r="0" i="0">
      <x v="494"/>
      <x v="1"/>
    </i>
    <i t="data" r="0" i="0">
      <x v="495"/>
      <x v="2"/>
    </i>
    <i t="data" r="0" i="0">
      <x v="496"/>
      <x v="5"/>
    </i>
    <i t="data" r="0" i="0">
      <x v="497"/>
      <x v="6"/>
    </i>
    <i t="data" r="0" i="0">
      <x v="498"/>
      <x v="7"/>
    </i>
    <i t="data" r="0" i="0">
      <x v="499"/>
      <x v="4"/>
    </i>
    <i t="data" r="0" i="0">
      <x v="500"/>
      <x v="0"/>
    </i>
    <i t="data" r="0" i="0">
      <x v="501"/>
      <x v="1"/>
    </i>
    <i t="data" r="0" i="0">
      <x v="502"/>
      <x v="2"/>
    </i>
    <i t="data" r="0" i="0">
      <x v="503"/>
      <x v="5"/>
    </i>
    <i t="data" r="0" i="0">
      <x v="504"/>
      <x v="6"/>
    </i>
    <i t="data" r="0" i="0">
      <x v="505"/>
      <x v="7"/>
    </i>
    <i t="data" r="0" i="0">
      <x v="506"/>
      <x v="4"/>
    </i>
    <i t="data" r="0" i="0">
      <x v="507"/>
      <x v="0"/>
    </i>
    <i t="data" r="0" i="0">
      <x v="508"/>
      <x v="1"/>
    </i>
    <i t="data" r="0" i="0">
      <x v="509"/>
      <x v="2"/>
    </i>
    <i t="data" r="0" i="0">
      <x v="510"/>
      <x v="5"/>
    </i>
    <i t="data" r="0" i="0">
      <x v="511"/>
      <x v="6"/>
    </i>
    <i t="data" r="0" i="0">
      <x v="512"/>
      <x v="7"/>
    </i>
    <i t="data" r="0" i="0">
      <x v="513"/>
      <x v="4"/>
    </i>
    <i t="data" r="0" i="0">
      <x v="514"/>
      <x v="0"/>
    </i>
    <i t="data" r="0" i="0">
      <x v="515"/>
      <x v="1"/>
    </i>
    <i t="data" r="0" i="0">
      <x v="516"/>
      <x v="2"/>
    </i>
    <i t="data" r="0" i="0">
      <x v="517"/>
      <x v="5"/>
    </i>
    <i t="data" r="0" i="0">
      <x v="518"/>
      <x v="6"/>
    </i>
    <i t="data" r="0" i="0">
      <x v="519"/>
      <x v="7"/>
    </i>
    <i t="data" r="0" i="0">
      <x v="520"/>
      <x v="4"/>
    </i>
    <i t="data" r="0" i="0">
      <x v="521"/>
      <x v="0"/>
    </i>
    <i t="data" r="0" i="0">
      <x v="522"/>
      <x v="1"/>
    </i>
    <i t="data" r="0" i="0">
      <x v="523"/>
      <x v="2"/>
    </i>
    <i t="data" r="0" i="0">
      <x v="524"/>
      <x v="5"/>
    </i>
    <i t="data" r="0" i="0">
      <x v="525"/>
      <x v="6"/>
    </i>
    <i t="data" r="0" i="0">
      <x v="526"/>
      <x v="7"/>
    </i>
    <i t="data" r="0" i="0">
      <x v="527"/>
      <x v="4"/>
    </i>
    <i t="data" r="0" i="0">
      <x v="528"/>
      <x v="0"/>
    </i>
    <i t="data" r="0" i="0">
      <x v="529"/>
      <x v="1"/>
    </i>
    <i t="data" r="0" i="0">
      <x v="530"/>
      <x v="2"/>
    </i>
    <i t="data" r="0" i="0">
      <x v="531"/>
      <x v="5"/>
    </i>
    <i t="data" r="0" i="0">
      <x v="532"/>
      <x v="6"/>
    </i>
    <i t="data" r="0" i="0">
      <x v="533"/>
      <x v="7"/>
    </i>
    <i t="data" r="0" i="0">
      <x v="534"/>
      <x v="4"/>
    </i>
    <i t="data" r="0" i="0">
      <x v="535"/>
      <x v="0"/>
    </i>
    <i t="data" r="0" i="0">
      <x v="536"/>
      <x v="1"/>
    </i>
    <i t="data" r="0" i="0">
      <x v="537"/>
      <x v="2"/>
    </i>
    <i t="data" r="0" i="0">
      <x v="538"/>
      <x v="5"/>
    </i>
    <i t="data" r="0" i="0">
      <x v="539"/>
      <x v="6"/>
    </i>
    <i t="data" r="0" i="0">
      <x v="540"/>
      <x v="7"/>
    </i>
    <i t="data" r="0" i="0">
      <x v="541"/>
      <x v="4"/>
    </i>
    <i t="data" r="0" i="0">
      <x v="542"/>
      <x v="0"/>
    </i>
    <i t="data" r="0" i="0">
      <x v="543"/>
      <x v="1"/>
    </i>
    <i t="data" r="0" i="0">
      <x v="544"/>
      <x v="2"/>
    </i>
    <i t="data" r="0" i="0">
      <x v="545"/>
      <x v="5"/>
    </i>
    <i t="data" r="0" i="0">
      <x v="546"/>
      <x v="6"/>
    </i>
    <i t="data" r="0" i="0">
      <x v="547"/>
      <x v="7"/>
    </i>
    <i t="data" r="0" i="0">
      <x v="548"/>
      <x v="4"/>
    </i>
    <i t="data" r="0" i="0">
      <x v="549"/>
      <x v="0"/>
    </i>
    <i t="data" r="0" i="0">
      <x v="550"/>
      <x v="1"/>
    </i>
    <i t="data" r="0" i="0">
      <x v="551"/>
      <x v="2"/>
    </i>
    <i t="data" r="0" i="0">
      <x v="552"/>
      <x v="5"/>
    </i>
    <i t="data" r="0" i="0">
      <x v="553"/>
      <x v="6"/>
    </i>
    <i t="data" r="0" i="0">
      <x v="554"/>
      <x v="7"/>
    </i>
    <i t="data" r="0" i="0">
      <x v="555"/>
      <x v="4"/>
    </i>
    <i t="data" r="0" i="0">
      <x v="556"/>
      <x v="0"/>
    </i>
    <i t="data" r="0" i="0">
      <x v="557"/>
      <x v="1"/>
    </i>
    <i t="data" r="0" i="0">
      <x v="558"/>
      <x v="2"/>
    </i>
    <i t="data" r="0" i="0">
      <x v="559"/>
      <x v="5"/>
    </i>
    <i t="data" r="0" i="0">
      <x v="560"/>
      <x v="6"/>
    </i>
    <i t="data" r="0" i="0">
      <x v="561"/>
      <x v="7"/>
    </i>
    <i t="data" r="0" i="0">
      <x v="562"/>
      <x v="4"/>
    </i>
    <i t="data" r="0" i="0">
      <x v="563"/>
      <x v="0"/>
    </i>
    <i t="data" r="0" i="0">
      <x v="564"/>
      <x v="1"/>
    </i>
    <i t="data" r="0" i="0">
      <x v="565"/>
      <x v="2"/>
    </i>
    <i t="data" r="0" i="0">
      <x v="566"/>
      <x v="5"/>
    </i>
    <i t="data" r="0" i="0">
      <x v="567"/>
      <x v="6"/>
    </i>
    <i t="data" r="0" i="0">
      <x v="568"/>
      <x v="7"/>
    </i>
    <i t="data" r="0" i="0">
      <x v="569"/>
      <x v="4"/>
    </i>
    <i t="data" r="0" i="0">
      <x v="570"/>
      <x v="0"/>
    </i>
    <i t="data" r="0" i="0">
      <x v="571"/>
      <x v="0"/>
    </i>
    <i t="data" r="0" i="0">
      <x v="572"/>
      <x v="1"/>
    </i>
    <i t="data" r="0" i="0">
      <x v="573"/>
      <x v="2"/>
    </i>
    <i t="data" r="0" i="0">
      <x v="574"/>
      <x v="5"/>
    </i>
    <i t="data" r="0" i="0">
      <x v="575"/>
      <x v="6"/>
    </i>
    <i t="data" r="0" i="0">
      <x v="576"/>
      <x v="7"/>
    </i>
    <i t="data" r="0" i="0">
      <x v="577"/>
      <x v="4"/>
    </i>
    <i t="data" r="0" i="0">
      <x v="578"/>
      <x v="0"/>
    </i>
    <i t="data" r="0" i="0">
      <x v="579"/>
      <x v="1"/>
    </i>
    <i t="data" r="0" i="0">
      <x v="580"/>
      <x v="2"/>
    </i>
    <i t="data" r="0" i="0">
      <x v="581"/>
      <x v="4"/>
    </i>
    <i t="data" r="0" i="0">
      <x v="582"/>
      <x v="0"/>
    </i>
    <i t="data" r="0" i="0">
      <x v="583"/>
      <x v="1"/>
    </i>
    <i t="data" r="0" i="0">
      <x v="584"/>
      <x v="2"/>
    </i>
    <i t="data" r="0" i="0">
      <x v="585"/>
      <x v="5"/>
    </i>
    <i t="data" r="0" i="0">
      <x v="586"/>
      <x v="6"/>
    </i>
    <i t="data" r="0" i="0">
      <x v="587"/>
      <x v="7"/>
    </i>
    <i t="data" r="0" i="0">
      <x v="588"/>
      <x v="4"/>
    </i>
    <i t="data" r="0" i="0">
      <x v="589"/>
      <x v="0"/>
    </i>
    <i t="data" r="0" i="0">
      <x v="590"/>
      <x v="1"/>
    </i>
    <i t="data" r="0" i="0">
      <x v="591"/>
      <x v="2"/>
    </i>
    <i t="data" r="0" i="0">
      <x v="592"/>
      <x v="5"/>
    </i>
    <i t="data" r="0" i="0">
      <x v="593"/>
      <x v="6"/>
    </i>
    <i t="data" r="0" i="0">
      <x v="594"/>
      <x v="7"/>
    </i>
    <i t="data" r="0" i="0">
      <x v="595"/>
      <x v="4"/>
    </i>
    <i t="data" r="0" i="0">
      <x v="596"/>
      <x v="0"/>
    </i>
    <i t="data" r="0" i="0">
      <x v="597"/>
      <x v="1"/>
    </i>
    <i t="data" r="0" i="0">
      <x v="598"/>
      <x v="2"/>
    </i>
    <i t="data" r="0" i="0">
      <x v="599"/>
      <x v="5"/>
    </i>
    <i t="data" r="0" i="0">
      <x v="600"/>
      <x v="6"/>
    </i>
    <i t="data" r="0" i="0">
      <x v="601"/>
      <x v="7"/>
    </i>
    <i t="data" r="0" i="0">
      <x v="602"/>
      <x v="4"/>
    </i>
    <i t="data" r="0" i="0">
      <x v="603"/>
      <x v="0"/>
    </i>
    <i t="data" r="0" i="0">
      <x v="604"/>
      <x v="1"/>
    </i>
    <i t="data" r="0" i="0">
      <x v="605"/>
      <x v="2"/>
    </i>
    <i t="data" r="0" i="0">
      <x v="606"/>
      <x v="5"/>
    </i>
    <i t="data" r="0" i="0">
      <x v="607"/>
      <x v="6"/>
    </i>
    <i t="data" r="0" i="0">
      <x v="608"/>
      <x v="7"/>
    </i>
    <i t="data" r="0" i="0">
      <x v="609"/>
      <x v="4"/>
    </i>
    <i t="data" r="0" i="0">
      <x v="610"/>
      <x v="0"/>
    </i>
    <i t="data" r="0" i="0">
      <x v="611"/>
      <x v="1"/>
    </i>
    <i t="data" r="0" i="0">
      <x v="612"/>
      <x v="2"/>
    </i>
    <i t="data" r="0" i="0">
      <x v="613"/>
      <x v="5"/>
    </i>
    <i t="data" r="0" i="0">
      <x v="614"/>
      <x v="6"/>
    </i>
    <i t="data" r="0" i="0">
      <x v="615"/>
      <x v="7"/>
    </i>
    <i t="data" r="0" i="0">
      <x v="616"/>
      <x v="4"/>
    </i>
    <i t="data" r="0" i="0">
      <x v="617"/>
      <x v="0"/>
    </i>
    <i t="data" r="0" i="0">
      <x v="618"/>
      <x v="1"/>
    </i>
    <i t="data" r="0" i="0">
      <x v="619"/>
      <x v="2"/>
    </i>
    <i t="data" r="0" i="0">
      <x v="620"/>
      <x v="5"/>
    </i>
    <i t="data" r="0" i="0">
      <x v="621"/>
      <x v="6"/>
    </i>
    <i t="data" r="0" i="0">
      <x v="622"/>
      <x v="7"/>
    </i>
    <i t="data" r="0" i="0">
      <x v="623"/>
      <x v="4"/>
    </i>
    <i t="data" r="0" i="0">
      <x v="624"/>
      <x v="0"/>
    </i>
    <i t="data" r="0" i="0">
      <x v="625"/>
      <x v="1"/>
    </i>
    <i t="data" r="0" i="0">
      <x v="626"/>
      <x v="2"/>
    </i>
    <i t="data" r="0" i="0">
      <x v="627"/>
      <x v="5"/>
    </i>
    <i t="data" r="0" i="0">
      <x v="628"/>
      <x v="6"/>
    </i>
    <i t="data" r="0" i="0">
      <x v="629"/>
      <x v="7"/>
    </i>
    <i t="data" r="0" i="0">
      <x v="630"/>
      <x v="4"/>
    </i>
    <i t="data" r="0" i="0">
      <x v="631"/>
      <x v="0"/>
    </i>
    <i t="data" r="0" i="0">
      <x v="632"/>
      <x v="1"/>
    </i>
    <i t="data" r="0" i="0">
      <x v="633"/>
      <x v="2"/>
    </i>
    <i t="data" r="0" i="0">
      <x v="634"/>
      <x v="5"/>
    </i>
    <i t="data" r="0" i="0">
      <x v="635"/>
      <x v="6"/>
    </i>
    <i t="data" r="0" i="0">
      <x v="636"/>
      <x v="7"/>
    </i>
    <i t="data" r="0" i="0">
      <x v="637"/>
      <x v="4"/>
    </i>
    <i t="data" r="0" i="0">
      <x v="638"/>
      <x v="0"/>
    </i>
    <i t="grand" r="0" i="0">
      <x v="0"/>
    </i>
  </rowItems>
  <colFields count="1">
    <field x="3"/>
  </colFields>
  <colItems count="4">
    <i t="data" r="0" i="0">
      <x v="13"/>
    </i>
    <i t="data" r="0" i="0">
      <x v="14"/>
    </i>
    <i t="data" r="0" i="0">
      <x v="16"/>
    </i>
    <i t="grand" r="0" i="0">
      <x v="0"/>
    </i>
  </colItems>
  <pageFields count="1">
    <pageField fld="4" hier="-1"/>
  </pageFields>
  <dataFields count="1">
    <dataField name="합계 : 판매액" fld="10" subtotal="sum" showDataAs="normal" baseField="1" baseItem="6"/>
  </dataFields>
  <chartFormats count="16">
    <chartFormat chart="12" format="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0"/>
          </reference>
        </references>
      </pivotArea>
    </chartFormat>
    <chartFormat chart="12" format="9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0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1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2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3"/>
          </reference>
        </references>
      </pivotArea>
    </chartFormat>
    <chartFormat chart="12" format="13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2" format="14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5"/>
          </reference>
        </references>
      </pivotArea>
    </chartFormat>
    <chartFormat chart="12" format="15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6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8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9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0"/>
          </reference>
        </references>
      </pivotArea>
    </chartFormat>
    <chartFormat chart="12" format="19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1"/>
          </reference>
        </references>
      </pivotArea>
    </chartFormat>
    <chartFormat chart="12" format="20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2"/>
          </reference>
        </references>
      </pivotArea>
    </chartFormat>
    <chartFormat chart="12" format="21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3"/>
          </reference>
        </references>
      </pivotArea>
    </chartFormat>
    <chartFormat chart="12" format="22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4"/>
          </reference>
        </references>
      </pivotArea>
    </chartFormat>
    <chartFormat chart="12" format="23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6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피벗 테이블2" cacheId="17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9" fieldListSortAscending="0" mdxSubqueries="0" applyNumberFormats="0" applyBorderFormats="0" applyFontFormats="0" applyPatternFormats="0" applyAlignmentFormats="0" applyWidthHeightFormats="1" r:id="rId1">
  <location ref="B3:D5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640">
        <item t="data" sd="1" x="263"/>
        <item t="data" sd="1" x="264"/>
        <item t="data" sd="1" x="266"/>
        <item t="data" sd="1" x="265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m="1" x="563"/>
        <item t="data" sd="1" m="1" x="420"/>
        <item t="data" sd="1" m="1" x="569"/>
        <item t="data" sd="1" m="1" x="425"/>
        <item t="data" sd="1" m="1" x="574"/>
        <item t="data" sd="1" m="1" x="429"/>
        <item t="data" sd="1" m="1" x="579"/>
        <item t="data" sd="1" m="1" x="434"/>
        <item t="data" sd="1" m="1" x="584"/>
        <item t="data" sd="1" m="1" x="438"/>
        <item t="data" sd="1" m="1" x="589"/>
        <item t="data" sd="1" m="1" x="442"/>
        <item t="data" sd="1" m="1" x="593"/>
        <item t="data" sd="1" m="1" x="446"/>
        <item t="data" sd="1" m="1" x="597"/>
        <item t="data" sd="1" m="1" x="450"/>
        <item t="data" sd="1" m="1" x="601"/>
        <item t="data" sd="1" m="1" x="454"/>
        <item t="data" sd="1" m="1" x="606"/>
        <item t="data" sd="1" m="1" x="459"/>
        <item t="data" sd="1" m="1" x="611"/>
        <item t="data" sd="1" m="1" x="464"/>
        <item t="data" sd="1" m="1" x="616"/>
        <item t="data" sd="1" m="1" x="469"/>
        <item t="data" sd="1" m="1" x="621"/>
        <item t="data" sd="1" m="1" x="474"/>
        <item t="data" sd="1" m="1" x="626"/>
        <item t="data" sd="1" m="1" x="479"/>
        <item t="data" sd="1" m="1" x="631"/>
        <item t="data" sd="1" m="1" x="483"/>
        <item t="data" sd="1" m="1" x="635"/>
        <item t="data" sd="1" m="1" x="575"/>
        <item t="data" sd="1" m="1" x="430"/>
        <item t="data" sd="1" m="1" x="580"/>
        <item t="data" sd="1" m="1" x="435"/>
        <item t="data" sd="1" m="1" x="585"/>
        <item t="data" sd="1" m="1" x="439"/>
        <item t="data" sd="1" m="1" x="590"/>
        <item t="data" sd="1" m="1" x="443"/>
        <item t="data" sd="1" m="1" x="594"/>
        <item t="data" sd="1" m="1" x="447"/>
        <item t="data" sd="1" m="1" x="598"/>
        <item t="data" sd="1" m="1" x="451"/>
        <item t="data" sd="1" m="1" x="602"/>
        <item t="data" sd="1" m="1" x="455"/>
        <item t="data" sd="1" m="1" x="607"/>
        <item t="data" sd="1" m="1" x="460"/>
        <item t="data" sd="1" m="1" x="612"/>
        <item t="data" sd="1" m="1" x="465"/>
        <item t="data" sd="1" m="1" x="617"/>
        <item t="data" sd="1" m="1" x="470"/>
        <item t="data" sd="1" m="1" x="622"/>
        <item t="data" sd="1" m="1" x="475"/>
        <item t="data" sd="1" m="1" x="627"/>
        <item t="data" sd="1" m="1" x="484"/>
        <item t="data" sd="1" m="1" x="636"/>
        <item t="data" sd="1" m="1" x="488"/>
        <item t="data" sd="1" m="1" x="347"/>
        <item t="data" sd="1" m="1" x="492"/>
        <item t="data" sd="1" m="1" x="586"/>
        <item t="data" sd="1" m="1" x="440"/>
        <item t="data" sd="1" m="1" x="591"/>
        <item t="data" sd="1" m="1" x="444"/>
        <item t="data" sd="1" m="1" x="595"/>
        <item t="data" sd="1" m="1" x="448"/>
        <item t="data" sd="1" m="1" x="599"/>
        <item t="data" sd="1" m="1" x="452"/>
        <item t="data" sd="1" m="1" x="603"/>
        <item t="data" sd="1" m="1" x="456"/>
        <item t="data" sd="1" m="1" x="608"/>
        <item t="data" sd="1" m="1" x="461"/>
        <item t="data" sd="1" m="1" x="613"/>
        <item t="data" sd="1" m="1" x="466"/>
        <item t="data" sd="1" m="1" x="618"/>
        <item t="data" sd="1" m="1" x="471"/>
        <item t="data" sd="1" m="1" x="623"/>
        <item t="data" sd="1" m="1" x="476"/>
        <item t="data" sd="1" m="1" x="628"/>
        <item t="data" sd="1" m="1" x="480"/>
        <item t="data" sd="1" m="1" x="632"/>
        <item t="data" sd="1" m="1" x="485"/>
        <item t="data" sd="1" m="1" x="637"/>
        <item t="data" sd="1" m="1" x="489"/>
        <item t="data" sd="1" m="1" x="348"/>
        <item t="data" sd="1" m="1" x="493"/>
        <item t="data" sd="1" m="1" x="351"/>
        <item t="data" sd="1" m="1" x="496"/>
        <item t="data" sd="1" m="1" x="354"/>
        <item t="data" sd="1" m="1" x="500"/>
        <item t="data" sd="1" m="1" x="358"/>
        <item t="data" sd="1" m="1" x="596"/>
        <item t="data" sd="1" m="1" x="449"/>
        <item t="data" sd="1" m="1" x="600"/>
        <item t="data" sd="1" m="1" x="453"/>
        <item t="data" sd="1" m="1" x="604"/>
        <item t="data" sd="1" m="1" x="457"/>
        <item t="data" sd="1" m="1" x="609"/>
        <item t="data" sd="1" m="1" x="462"/>
        <item t="data" sd="1" m="1" x="614"/>
        <item t="data" sd="1" m="1" x="467"/>
        <item t="data" sd="1" m="1" x="619"/>
        <item t="data" sd="1" m="1" x="472"/>
        <item t="data" sd="1" m="1" x="624"/>
        <item t="data" sd="1" m="1" x="477"/>
        <item t="data" sd="1" m="1" x="629"/>
        <item t="data" sd="1" m="1" x="481"/>
        <item t="data" sd="1" m="1" x="633"/>
        <item t="data" sd="1" m="1" x="486"/>
        <item t="data" sd="1" m="1" x="638"/>
        <item t="data" sd="1" m="1" x="490"/>
        <item t="data" sd="1" m="1" x="349"/>
        <item t="data" sd="1" m="1" x="494"/>
        <item t="data" sd="1" m="1" x="352"/>
        <item t="data" sd="1" m="1" x="497"/>
        <item t="data" sd="1" m="1" x="355"/>
        <item t="data" sd="1" m="1" x="501"/>
        <item t="data" sd="1" m="1" x="359"/>
        <item t="data" sd="1" m="1" x="504"/>
        <item t="data" sd="1" m="1" x="362"/>
        <item t="data" sd="1" m="1" x="508"/>
        <item t="data" sd="1" m="1" x="605"/>
        <item t="data" sd="1" m="1" x="458"/>
        <item t="data" sd="1" m="1" x="610"/>
        <item t="data" sd="1" m="1" x="463"/>
        <item t="data" sd="1" m="1" x="615"/>
        <item t="data" sd="1" m="1" x="468"/>
        <item t="data" sd="1" m="1" x="620"/>
        <item t="data" sd="1" m="1" x="473"/>
        <item t="data" sd="1" m="1" x="625"/>
        <item t="data" sd="1" m="1" x="478"/>
        <item t="data" sd="1" m="1" x="630"/>
        <item t="data" sd="1" m="1" x="482"/>
        <item t="data" sd="1" m="1" x="634"/>
        <item t="data" sd="1" m="1" x="487"/>
        <item t="data" sd="1" m="1" x="639"/>
        <item t="data" sd="1" m="1" x="491"/>
        <item t="data" sd="1" m="1" x="350"/>
        <item t="data" sd="1" m="1" x="495"/>
        <item t="data" sd="1" m="1" x="353"/>
        <item t="data" sd="1" m="1" x="498"/>
        <item t="data" sd="1" m="1" x="356"/>
        <item t="data" sd="1" m="1" x="502"/>
        <item t="data" sd="1" m="1" x="360"/>
        <item t="data" sd="1" m="1" x="505"/>
        <item t="data" sd="1" m="1" x="363"/>
        <item t="data" sd="1" m="1" x="509"/>
        <item t="data" sd="1" m="1" x="366"/>
        <item t="data" sd="1" m="1" x="512"/>
        <item t="data" sd="1" m="1" x="369"/>
        <item t="data" sd="1" m="1" x="516"/>
        <item t="data" sd="1" m="1" x="373"/>
        <item t="data" sd="1" m="1" x="499"/>
        <item t="data" sd="1" m="1" x="357"/>
        <item t="data" sd="1" m="1" x="503"/>
        <item t="data" sd="1" m="1" x="361"/>
        <item t="data" sd="1" m="1" x="506"/>
        <item t="data" sd="1" m="1" x="364"/>
        <item t="data" sd="1" m="1" x="510"/>
        <item t="data" sd="1" m="1" x="367"/>
        <item t="data" sd="1" m="1" x="513"/>
        <item t="data" sd="1" m="1" x="370"/>
        <item t="data" sd="1" m="1" x="517"/>
        <item t="data" sd="1" m="1" x="374"/>
        <item t="data" sd="1" m="1" x="520"/>
        <item t="data" sd="1" m="1" x="377"/>
        <item t="data" sd="1" m="1" x="524"/>
        <item t="data" sd="1" m="1" x="381"/>
        <item t="data" sd="1" m="1" x="528"/>
        <item t="data" sd="1" m="1" x="385"/>
        <item t="data" sd="1" m="1" x="533"/>
        <item t="data" sd="1" m="1" x="390"/>
        <item t="data" sd="1" m="1" x="538"/>
        <item t="data" sd="1" m="1" x="395"/>
        <item t="data" sd="1" m="1" x="543"/>
        <item t="data" sd="1" m="1" x="400"/>
        <item t="data" sd="1" m="1" x="548"/>
        <item t="data" sd="1" m="1" x="405"/>
        <item t="data" sd="1" m="1" x="553"/>
        <item t="data" sd="1" m="1" x="410"/>
        <item t="data" sd="1" m="1" x="558"/>
        <item t="data" sd="1" m="1" x="415"/>
        <item t="data" sd="1" m="1" x="564"/>
        <item t="data" sd="1" m="1" x="507"/>
        <item t="data" sd="1" m="1" x="365"/>
        <item t="data" sd="1" m="1" x="511"/>
        <item t="data" sd="1" m="1" x="368"/>
        <item t="data" sd="1" m="1" x="514"/>
        <item t="data" sd="1" m="1" x="371"/>
        <item t="data" sd="1" m="1" x="518"/>
        <item t="data" sd="1" m="1" x="375"/>
        <item t="data" sd="1" m="1" x="521"/>
        <item t="data" sd="1" m="1" x="378"/>
        <item t="data" sd="1" m="1" x="525"/>
        <item t="data" sd="1" m="1" x="382"/>
        <item t="data" sd="1" m="1" x="529"/>
        <item t="data" sd="1" m="1" x="386"/>
        <item t="data" sd="1" m="1" x="534"/>
        <item t="data" sd="1" m="1" x="391"/>
        <item t="data" sd="1" m="1" x="539"/>
        <item t="data" sd="1" m="1" x="396"/>
        <item t="data" sd="1" m="1" x="544"/>
        <item t="data" sd="1" m="1" x="401"/>
        <item t="data" sd="1" m="1" x="549"/>
        <item t="data" sd="1" m="1" x="406"/>
        <item t="data" sd="1" m="1" x="554"/>
        <item t="data" sd="1" m="1" x="411"/>
        <item t="data" sd="1" m="1" x="559"/>
        <item t="data" sd="1" m="1" x="416"/>
        <item t="data" sd="1" m="1" x="565"/>
        <item t="data" sd="1" m="1" x="421"/>
        <item t="data" sd="1" m="1" x="570"/>
        <item t="data" sd="1" m="1" x="515"/>
        <item t="data" sd="1" m="1" x="372"/>
        <item t="data" sd="1" m="1" x="519"/>
        <item t="data" sd="1" m="1" x="376"/>
        <item t="data" sd="1" m="1" x="522"/>
        <item t="data" sd="1" m="1" x="379"/>
        <item t="data" sd="1" m="1" x="526"/>
        <item t="data" sd="1" m="1" x="383"/>
        <item t="data" sd="1" m="1" x="530"/>
        <item t="data" sd="1" m="1" x="387"/>
        <item t="data" sd="1" m="1" x="535"/>
        <item t="data" sd="1" m="1" x="392"/>
        <item t="data" sd="1" m="1" x="540"/>
        <item t="data" sd="1" m="1" x="397"/>
        <item t="data" sd="1" m="1" x="545"/>
        <item t="data" sd="1" m="1" x="402"/>
        <item t="data" sd="1" m="1" x="550"/>
        <item t="data" sd="1" m="1" x="407"/>
        <item t="data" sd="1" m="1" x="555"/>
        <item t="data" sd="1" m="1" x="412"/>
        <item t="data" sd="1" m="1" x="560"/>
        <item t="data" sd="1" m="1" x="417"/>
        <item t="data" sd="1" m="1" x="566"/>
        <item t="data" sd="1" m="1" x="422"/>
        <item t="data" sd="1" m="1" x="571"/>
        <item t="data" sd="1" m="1" x="426"/>
        <item t="data" sd="1" m="1" x="576"/>
        <item t="data" sd="1" m="1" x="431"/>
        <item t="data" sd="1" m="1" x="581"/>
        <item t="data" sd="1" m="1" x="436"/>
        <item t="data" sd="1" m="1" x="587"/>
        <item t="data" sd="1" m="1" x="523"/>
        <item t="data" sd="1" m="1" x="380"/>
        <item t="data" sd="1" m="1" x="527"/>
        <item t="data" sd="1" m="1" x="384"/>
        <item t="data" sd="1" m="1" x="531"/>
        <item t="data" sd="1" m="1" x="388"/>
        <item t="data" sd="1" m="1" x="536"/>
        <item t="data" sd="1" m="1" x="393"/>
        <item t="data" sd="1" m="1" x="541"/>
        <item t="data" sd="1" m="1" x="398"/>
        <item t="data" sd="1" m="1" x="546"/>
        <item t="data" sd="1" m="1" x="403"/>
        <item t="data" sd="1" m="1" x="551"/>
        <item t="data" sd="1" m="1" x="408"/>
        <item t="data" sd="1" m="1" x="556"/>
        <item t="data" sd="1" m="1" x="413"/>
        <item t="data" sd="1" m="1" x="561"/>
        <item t="data" sd="1" m="1" x="418"/>
        <item t="data" sd="1" m="1" x="567"/>
        <item t="data" sd="1" m="1" x="423"/>
        <item t="data" sd="1" m="1" x="572"/>
        <item t="data" sd="1" m="1" x="427"/>
        <item t="data" sd="1" m="1" x="577"/>
        <item t="data" sd="1" m="1" x="432"/>
        <item t="data" sd="1" m="1" x="582"/>
        <item t="data" sd="1" m="1" x="437"/>
        <item t="data" sd="1" m="1" x="588"/>
        <item t="data" sd="1" m="1" x="441"/>
        <item t="data" sd="1" m="1" x="592"/>
        <item t="data" sd="1" m="1" x="445"/>
        <item t="data" sd="1" m="1" x="532"/>
        <item t="data" sd="1" m="1" x="389"/>
        <item t="data" sd="1" m="1" x="537"/>
        <item t="data" sd="1" m="1" x="394"/>
        <item t="data" sd="1" m="1" x="542"/>
        <item t="data" sd="1" m="1" x="399"/>
        <item t="data" sd="1" m="1" x="547"/>
        <item t="data" sd="1" m="1" x="404"/>
        <item t="data" sd="1" m="1" x="552"/>
        <item t="data" sd="1" m="1" x="409"/>
        <item t="data" sd="1" m="1" x="557"/>
        <item t="data" sd="1" m="1" x="414"/>
        <item t="data" sd="1" m="1" x="562"/>
        <item t="data" sd="1" m="1" x="419"/>
        <item t="data" sd="1" m="1" x="568"/>
        <item t="data" sd="1" m="1" x="424"/>
        <item t="data" sd="1" m="1" x="573"/>
        <item t="data" sd="1" m="1" x="428"/>
        <item t="data" sd="1" m="1" x="578"/>
        <item t="data" sd="1" m="1" x="433"/>
        <item t="data" sd="1" m="1" x="583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0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0"/>
        <item t="data" sd="1" x="3"/>
        <item t="data" sd="1" x="4"/>
        <item t="data" sd="1" x="7"/>
        <item t="data" sd="1" x="6"/>
        <item t="data" sd="1" x="1"/>
        <item t="data" sd="1" x="2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9">
        <item t="data" h="1" sd="1" m="1" x="13"/>
        <item t="data" sd="1" m="1" x="5"/>
        <item t="data" h="1" sd="1" m="1" x="12"/>
        <item t="data" h="1" sd="1" m="1" x="9"/>
        <item t="data" h="1" sd="1" x="2"/>
        <item t="data" sd="1" m="1" x="8"/>
        <item t="data" sd="1" m="1" x="10"/>
        <item t="data" h="1" sd="1" m="1" x="15"/>
        <item t="data" h="1" sd="1" m="1" x="7"/>
        <item t="data" h="1" sd="1" m="1" x="17"/>
        <item t="data" sd="1" m="1" x="14"/>
        <item t="data" sd="1" m="1" x="6"/>
        <item t="data" h="1" sd="1" m="1" x="16"/>
        <item t="data" h="1" sd="1" x="1"/>
        <item t="data" h="1" sd="1" x="0"/>
        <item t="data" h="1" sd="1" x="3"/>
        <item t="data" h="1" sd="1" x="4"/>
        <item t="data" h="1" sd="1" m="1" x="11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descending" defaultSubtotal="1">
      <items count="27">
        <item t="data" sd="1" m="1" x="6"/>
        <item t="data" sd="1" m="1" x="25"/>
        <item t="data" sd="1" m="1" x="9"/>
        <item t="data" sd="1" m="1" x="16"/>
        <item t="data" sd="1" m="1" x="23"/>
        <item t="data" sd="1" m="1" x="11"/>
        <item t="data" sd="1" m="1" x="12"/>
        <item t="data" sd="1" m="1" x="13"/>
        <item t="data" sd="1" m="1" x="10"/>
        <item t="data" sd="1" m="1" x="7"/>
        <item t="data" sd="1" m="1" x="22"/>
        <item t="data" sd="1" m="1" x="20"/>
        <item t="data" h="1" sd="1" m="1" x="21"/>
        <item t="data" sd="1" m="1" x="18"/>
        <item t="data" sd="1" m="1" x="24"/>
        <item t="data" sd="1" m="1" x="14"/>
        <item t="data" sd="1" x="1"/>
        <item t="data" sd="1" x="4"/>
        <item t="data" sd="1" x="0"/>
        <item t="data" h="1" sd="1" m="1" x="15"/>
        <item t="data" sd="1" m="1" x="19"/>
        <item t="data" h="1" sd="1" m="1" x="17"/>
        <item t="data" h="1" sd="1" m="1" x="8"/>
        <item t="data" h="1" sd="1" x="2"/>
        <item t="data" h="1" sd="1" x="3"/>
        <item t="data" h="1" sd="1" x="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4"/>
  </colFields>
  <colItems count="1">
    <i t="grand" r="0" i="0">
      <x v="0"/>
    </i>
  </colItems>
  <pageFields count="1">
    <pageField fld="3" hier="-1"/>
  </pageFields>
  <dataFields count="1">
    <dataField name="합계 : 판매수량" fld="6" subtotal="sum" showDataAs="normal" baseField="1" baseItem="4"/>
  </dataFields>
  <pivotTableStyleInfo name="PivotStyleLight8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22" fieldListSortAscending="0" mdxSubqueries="0" applyNumberFormats="0" applyBorderFormats="0" applyFontFormats="0" applyPatternFormats="0" applyAlignmentFormats="0" applyWidthHeightFormats="1" r:id="rId1">
  <location ref="P3:R5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640">
        <item t="data" sd="1" x="263"/>
        <item t="data" sd="1" x="264"/>
        <item t="data" sd="1" x="266"/>
        <item t="data" sd="1" x="265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m="1" x="563"/>
        <item t="data" sd="1" m="1" x="420"/>
        <item t="data" sd="1" m="1" x="569"/>
        <item t="data" sd="1" m="1" x="425"/>
        <item t="data" sd="1" m="1" x="574"/>
        <item t="data" sd="1" m="1" x="429"/>
        <item t="data" sd="1" m="1" x="579"/>
        <item t="data" sd="1" m="1" x="434"/>
        <item t="data" sd="1" m="1" x="584"/>
        <item t="data" sd="1" m="1" x="438"/>
        <item t="data" sd="1" m="1" x="589"/>
        <item t="data" sd="1" m="1" x="442"/>
        <item t="data" sd="1" m="1" x="593"/>
        <item t="data" sd="1" m="1" x="446"/>
        <item t="data" sd="1" m="1" x="597"/>
        <item t="data" sd="1" m="1" x="450"/>
        <item t="data" sd="1" m="1" x="601"/>
        <item t="data" sd="1" m="1" x="454"/>
        <item t="data" sd="1" m="1" x="606"/>
        <item t="data" sd="1" m="1" x="459"/>
        <item t="data" sd="1" m="1" x="611"/>
        <item t="data" sd="1" m="1" x="464"/>
        <item t="data" sd="1" m="1" x="616"/>
        <item t="data" sd="1" m="1" x="469"/>
        <item t="data" sd="1" m="1" x="621"/>
        <item t="data" sd="1" m="1" x="474"/>
        <item t="data" sd="1" m="1" x="626"/>
        <item t="data" sd="1" m="1" x="479"/>
        <item t="data" sd="1" m="1" x="631"/>
        <item t="data" sd="1" m="1" x="483"/>
        <item t="data" sd="1" m="1" x="635"/>
        <item t="data" sd="1" m="1" x="575"/>
        <item t="data" sd="1" m="1" x="430"/>
        <item t="data" sd="1" m="1" x="580"/>
        <item t="data" sd="1" m="1" x="435"/>
        <item t="data" sd="1" m="1" x="585"/>
        <item t="data" sd="1" m="1" x="439"/>
        <item t="data" sd="1" m="1" x="590"/>
        <item t="data" sd="1" m="1" x="443"/>
        <item t="data" sd="1" m="1" x="594"/>
        <item t="data" sd="1" m="1" x="447"/>
        <item t="data" sd="1" m="1" x="598"/>
        <item t="data" sd="1" m="1" x="451"/>
        <item t="data" sd="1" m="1" x="602"/>
        <item t="data" sd="1" m="1" x="455"/>
        <item t="data" sd="1" m="1" x="607"/>
        <item t="data" sd="1" m="1" x="460"/>
        <item t="data" sd="1" m="1" x="612"/>
        <item t="data" sd="1" m="1" x="465"/>
        <item t="data" sd="1" m="1" x="617"/>
        <item t="data" sd="1" m="1" x="470"/>
        <item t="data" sd="1" m="1" x="622"/>
        <item t="data" sd="1" m="1" x="475"/>
        <item t="data" sd="1" m="1" x="627"/>
        <item t="data" sd="1" m="1" x="484"/>
        <item t="data" sd="1" m="1" x="636"/>
        <item t="data" sd="1" m="1" x="488"/>
        <item t="data" sd="1" m="1" x="347"/>
        <item t="data" sd="1" m="1" x="492"/>
        <item t="data" sd="1" m="1" x="586"/>
        <item t="data" sd="1" m="1" x="440"/>
        <item t="data" sd="1" m="1" x="591"/>
        <item t="data" sd="1" m="1" x="444"/>
        <item t="data" sd="1" m="1" x="595"/>
        <item t="data" sd="1" m="1" x="448"/>
        <item t="data" sd="1" m="1" x="599"/>
        <item t="data" sd="1" m="1" x="452"/>
        <item t="data" sd="1" m="1" x="603"/>
        <item t="data" sd="1" m="1" x="456"/>
        <item t="data" sd="1" m="1" x="608"/>
        <item t="data" sd="1" m="1" x="461"/>
        <item t="data" sd="1" m="1" x="613"/>
        <item t="data" sd="1" m="1" x="466"/>
        <item t="data" sd="1" m="1" x="618"/>
        <item t="data" sd="1" m="1" x="471"/>
        <item t="data" sd="1" m="1" x="623"/>
        <item t="data" sd="1" m="1" x="476"/>
        <item t="data" sd="1" m="1" x="628"/>
        <item t="data" sd="1" m="1" x="480"/>
        <item t="data" sd="1" m="1" x="632"/>
        <item t="data" sd="1" m="1" x="485"/>
        <item t="data" sd="1" m="1" x="637"/>
        <item t="data" sd="1" m="1" x="489"/>
        <item t="data" sd="1" m="1" x="348"/>
        <item t="data" sd="1" m="1" x="493"/>
        <item t="data" sd="1" m="1" x="351"/>
        <item t="data" sd="1" m="1" x="496"/>
        <item t="data" sd="1" m="1" x="354"/>
        <item t="data" sd="1" m="1" x="500"/>
        <item t="data" sd="1" m="1" x="358"/>
        <item t="data" sd="1" m="1" x="596"/>
        <item t="data" sd="1" m="1" x="449"/>
        <item t="data" sd="1" m="1" x="600"/>
        <item t="data" sd="1" m="1" x="453"/>
        <item t="data" sd="1" m="1" x="604"/>
        <item t="data" sd="1" m="1" x="457"/>
        <item t="data" sd="1" m="1" x="609"/>
        <item t="data" sd="1" m="1" x="462"/>
        <item t="data" sd="1" m="1" x="614"/>
        <item t="data" sd="1" m="1" x="467"/>
        <item t="data" sd="1" m="1" x="619"/>
        <item t="data" sd="1" m="1" x="472"/>
        <item t="data" sd="1" m="1" x="624"/>
        <item t="data" sd="1" m="1" x="477"/>
        <item t="data" sd="1" m="1" x="629"/>
        <item t="data" sd="1" m="1" x="481"/>
        <item t="data" sd="1" m="1" x="633"/>
        <item t="data" sd="1" m="1" x="486"/>
        <item t="data" sd="1" m="1" x="638"/>
        <item t="data" sd="1" m="1" x="490"/>
        <item t="data" sd="1" m="1" x="349"/>
        <item t="data" sd="1" m="1" x="494"/>
        <item t="data" sd="1" m="1" x="352"/>
        <item t="data" sd="1" m="1" x="497"/>
        <item t="data" sd="1" m="1" x="355"/>
        <item t="data" sd="1" m="1" x="501"/>
        <item t="data" sd="1" m="1" x="359"/>
        <item t="data" sd="1" m="1" x="504"/>
        <item t="data" sd="1" m="1" x="362"/>
        <item t="data" sd="1" m="1" x="508"/>
        <item t="data" sd="1" m="1" x="605"/>
        <item t="data" sd="1" m="1" x="458"/>
        <item t="data" sd="1" m="1" x="610"/>
        <item t="data" sd="1" m="1" x="463"/>
        <item t="data" sd="1" m="1" x="615"/>
        <item t="data" sd="1" m="1" x="468"/>
        <item t="data" sd="1" m="1" x="620"/>
        <item t="data" sd="1" m="1" x="473"/>
        <item t="data" sd="1" m="1" x="625"/>
        <item t="data" sd="1" m="1" x="478"/>
        <item t="data" sd="1" m="1" x="630"/>
        <item t="data" sd="1" m="1" x="482"/>
        <item t="data" sd="1" m="1" x="634"/>
        <item t="data" sd="1" m="1" x="487"/>
        <item t="data" sd="1" m="1" x="639"/>
        <item t="data" sd="1" m="1" x="491"/>
        <item t="data" sd="1" m="1" x="350"/>
        <item t="data" sd="1" m="1" x="495"/>
        <item t="data" sd="1" m="1" x="353"/>
        <item t="data" sd="1" m="1" x="498"/>
        <item t="data" sd="1" m="1" x="356"/>
        <item t="data" sd="1" m="1" x="502"/>
        <item t="data" sd="1" m="1" x="360"/>
        <item t="data" sd="1" m="1" x="505"/>
        <item t="data" sd="1" m="1" x="363"/>
        <item t="data" sd="1" m="1" x="509"/>
        <item t="data" sd="1" m="1" x="366"/>
        <item t="data" sd="1" m="1" x="512"/>
        <item t="data" sd="1" m="1" x="369"/>
        <item t="data" sd="1" m="1" x="516"/>
        <item t="data" sd="1" m="1" x="373"/>
        <item t="data" sd="1" m="1" x="499"/>
        <item t="data" sd="1" m="1" x="357"/>
        <item t="data" sd="1" m="1" x="503"/>
        <item t="data" sd="1" m="1" x="361"/>
        <item t="data" sd="1" m="1" x="506"/>
        <item t="data" sd="1" m="1" x="364"/>
        <item t="data" sd="1" m="1" x="510"/>
        <item t="data" sd="1" m="1" x="367"/>
        <item t="data" sd="1" m="1" x="513"/>
        <item t="data" sd="1" m="1" x="370"/>
        <item t="data" sd="1" m="1" x="517"/>
        <item t="data" sd="1" m="1" x="374"/>
        <item t="data" sd="1" m="1" x="520"/>
        <item t="data" sd="1" m="1" x="377"/>
        <item t="data" sd="1" m="1" x="524"/>
        <item t="data" sd="1" m="1" x="381"/>
        <item t="data" sd="1" m="1" x="528"/>
        <item t="data" sd="1" m="1" x="385"/>
        <item t="data" sd="1" m="1" x="533"/>
        <item t="data" sd="1" m="1" x="390"/>
        <item t="data" sd="1" m="1" x="538"/>
        <item t="data" sd="1" m="1" x="395"/>
        <item t="data" sd="1" m="1" x="543"/>
        <item t="data" sd="1" m="1" x="400"/>
        <item t="data" sd="1" m="1" x="548"/>
        <item t="data" sd="1" m="1" x="405"/>
        <item t="data" sd="1" m="1" x="553"/>
        <item t="data" sd="1" m="1" x="410"/>
        <item t="data" sd="1" m="1" x="558"/>
        <item t="data" sd="1" m="1" x="415"/>
        <item t="data" sd="1" m="1" x="564"/>
        <item t="data" sd="1" m="1" x="507"/>
        <item t="data" sd="1" m="1" x="365"/>
        <item t="data" sd="1" m="1" x="511"/>
        <item t="data" sd="1" m="1" x="368"/>
        <item t="data" sd="1" m="1" x="514"/>
        <item t="data" sd="1" m="1" x="371"/>
        <item t="data" sd="1" m="1" x="518"/>
        <item t="data" sd="1" m="1" x="375"/>
        <item t="data" sd="1" m="1" x="521"/>
        <item t="data" sd="1" m="1" x="378"/>
        <item t="data" sd="1" m="1" x="525"/>
        <item t="data" sd="1" m="1" x="382"/>
        <item t="data" sd="1" m="1" x="529"/>
        <item t="data" sd="1" m="1" x="386"/>
        <item t="data" sd="1" m="1" x="534"/>
        <item t="data" sd="1" m="1" x="391"/>
        <item t="data" sd="1" m="1" x="539"/>
        <item t="data" sd="1" m="1" x="396"/>
        <item t="data" sd="1" m="1" x="544"/>
        <item t="data" sd="1" m="1" x="401"/>
        <item t="data" sd="1" m="1" x="549"/>
        <item t="data" sd="1" m="1" x="406"/>
        <item t="data" sd="1" m="1" x="554"/>
        <item t="data" sd="1" m="1" x="411"/>
        <item t="data" sd="1" m="1" x="559"/>
        <item t="data" sd="1" m="1" x="416"/>
        <item t="data" sd="1" m="1" x="565"/>
        <item t="data" sd="1" m="1" x="421"/>
        <item t="data" sd="1" m="1" x="570"/>
        <item t="data" sd="1" m="1" x="515"/>
        <item t="data" sd="1" m="1" x="372"/>
        <item t="data" sd="1" m="1" x="519"/>
        <item t="data" sd="1" m="1" x="376"/>
        <item t="data" sd="1" m="1" x="522"/>
        <item t="data" sd="1" m="1" x="379"/>
        <item t="data" sd="1" m="1" x="526"/>
        <item t="data" sd="1" m="1" x="383"/>
        <item t="data" sd="1" m="1" x="530"/>
        <item t="data" sd="1" m="1" x="387"/>
        <item t="data" sd="1" m="1" x="535"/>
        <item t="data" sd="1" m="1" x="392"/>
        <item t="data" sd="1" m="1" x="540"/>
        <item t="data" sd="1" m="1" x="397"/>
        <item t="data" sd="1" m="1" x="545"/>
        <item t="data" sd="1" m="1" x="402"/>
        <item t="data" sd="1" m="1" x="550"/>
        <item t="data" sd="1" m="1" x="407"/>
        <item t="data" sd="1" m="1" x="555"/>
        <item t="data" sd="1" m="1" x="412"/>
        <item t="data" sd="1" m="1" x="560"/>
        <item t="data" sd="1" m="1" x="417"/>
        <item t="data" sd="1" m="1" x="566"/>
        <item t="data" sd="1" m="1" x="422"/>
        <item t="data" sd="1" m="1" x="571"/>
        <item t="data" sd="1" m="1" x="426"/>
        <item t="data" sd="1" m="1" x="576"/>
        <item t="data" sd="1" m="1" x="431"/>
        <item t="data" sd="1" m="1" x="581"/>
        <item t="data" sd="1" m="1" x="436"/>
        <item t="data" sd="1" m="1" x="587"/>
        <item t="data" sd="1" m="1" x="523"/>
        <item t="data" sd="1" m="1" x="380"/>
        <item t="data" sd="1" m="1" x="527"/>
        <item t="data" sd="1" m="1" x="384"/>
        <item t="data" sd="1" m="1" x="531"/>
        <item t="data" sd="1" m="1" x="388"/>
        <item t="data" sd="1" m="1" x="536"/>
        <item t="data" sd="1" m="1" x="393"/>
        <item t="data" sd="1" m="1" x="541"/>
        <item t="data" sd="1" m="1" x="398"/>
        <item t="data" sd="1" m="1" x="546"/>
        <item t="data" sd="1" m="1" x="403"/>
        <item t="data" sd="1" m="1" x="551"/>
        <item t="data" sd="1" m="1" x="408"/>
        <item t="data" sd="1" m="1" x="556"/>
        <item t="data" sd="1" m="1" x="413"/>
        <item t="data" sd="1" m="1" x="561"/>
        <item t="data" sd="1" m="1" x="418"/>
        <item t="data" sd="1" m="1" x="567"/>
        <item t="data" sd="1" m="1" x="423"/>
        <item t="data" sd="1" m="1" x="572"/>
        <item t="data" sd="1" m="1" x="427"/>
        <item t="data" sd="1" m="1" x="577"/>
        <item t="data" sd="1" m="1" x="432"/>
        <item t="data" sd="1" m="1" x="582"/>
        <item t="data" sd="1" m="1" x="437"/>
        <item t="data" sd="1" m="1" x="588"/>
        <item t="data" sd="1" m="1" x="441"/>
        <item t="data" sd="1" m="1" x="592"/>
        <item t="data" sd="1" m="1" x="445"/>
        <item t="data" sd="1" m="1" x="532"/>
        <item t="data" sd="1" m="1" x="389"/>
        <item t="data" sd="1" m="1" x="537"/>
        <item t="data" sd="1" m="1" x="394"/>
        <item t="data" sd="1" m="1" x="542"/>
        <item t="data" sd="1" m="1" x="399"/>
        <item t="data" sd="1" m="1" x="547"/>
        <item t="data" sd="1" m="1" x="404"/>
        <item t="data" sd="1" m="1" x="552"/>
        <item t="data" sd="1" m="1" x="409"/>
        <item t="data" sd="1" m="1" x="557"/>
        <item t="data" sd="1" m="1" x="414"/>
        <item t="data" sd="1" m="1" x="562"/>
        <item t="data" sd="1" m="1" x="419"/>
        <item t="data" sd="1" m="1" x="568"/>
        <item t="data" sd="1" m="1" x="424"/>
        <item t="data" sd="1" m="1" x="573"/>
        <item t="data" sd="1" m="1" x="428"/>
        <item t="data" sd="1" m="1" x="578"/>
        <item t="data" sd="1" m="1" x="433"/>
        <item t="data" sd="1" m="1" x="583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0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0"/>
        <item t="data" sd="1" x="3"/>
        <item t="data" sd="1" x="4"/>
        <item t="data" sd="1" x="7"/>
        <item t="data" sd="1" x="6"/>
        <item t="data" sd="1" x="1"/>
        <item t="data" sd="1" x="2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9">
        <item t="data" sd="1" m="1" x="13"/>
        <item t="data" sd="1" m="1" x="5"/>
        <item t="data" sd="1" m="1" x="12"/>
        <item t="data" sd="1" m="1" x="9"/>
        <item t="data" h="1" sd="1" x="2"/>
        <item t="data" sd="1" m="1" x="8"/>
        <item t="data" sd="1" m="1" x="10"/>
        <item t="data" h="1" sd="1" m="1" x="15"/>
        <item t="data" sd="1" m="1" x="7"/>
        <item t="data" sd="1" m="1" x="17"/>
        <item t="data" sd="1" m="1" x="14"/>
        <item t="data" sd="1" m="1" x="6"/>
        <item t="data" h="1" sd="1" m="1" x="16"/>
        <item t="data" h="1" sd="1" x="1"/>
        <item t="data" h="1" sd="1" x="0"/>
        <item t="data" h="1" sd="1" x="3"/>
        <item t="data" h="1" sd="1" x="4"/>
        <item t="data" h="1" sd="1" m="1" x="11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descending" defaultSubtotal="1">
      <items count="27">
        <item t="data" sd="1" m="1" x="6"/>
        <item t="data" sd="1" m="1" x="25"/>
        <item t="data" sd="1" m="1" x="9"/>
        <item t="data" sd="1" m="1" x="16"/>
        <item t="data" sd="1" m="1" x="23"/>
        <item t="data" sd="1" m="1" x="11"/>
        <item t="data" sd="1" m="1" x="12"/>
        <item t="data" sd="1" m="1" x="13"/>
        <item t="data" sd="1" m="1" x="10"/>
        <item t="data" sd="1" m="1" x="7"/>
        <item t="data" sd="1" m="1" x="22"/>
        <item t="data" sd="1" m="1" x="20"/>
        <item t="data" h="1" sd="1" m="1" x="21"/>
        <item t="data" sd="1" m="1" x="18"/>
        <item t="data" sd="1" m="1" x="24"/>
        <item t="data" sd="1" m="1" x="14"/>
        <item t="data" sd="1" x="1"/>
        <item t="data" sd="1" x="4"/>
        <item t="data" sd="1" x="0"/>
        <item t="data" h="1" sd="1" m="1" x="15"/>
        <item t="data" sd="1" m="1" x="19"/>
        <item t="data" h="1" sd="1" m="1" x="17"/>
        <item t="data" h="1" sd="1" m="1" x="8"/>
        <item t="data" h="1" sd="1" x="2"/>
        <item t="data" h="1" sd="1" x="3"/>
        <item t="data" h="1" sd="1" x="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4"/>
  </colFields>
  <colItems count="1">
    <i t="grand" r="0" i="0">
      <x v="0"/>
    </i>
  </colItems>
  <pageFields count="1">
    <pageField fld="3" hier="-1"/>
  </pageFields>
  <dataFields count="1">
    <dataField name="합계 : 판매액" fld="10" subtotal="sum" showDataAs="normal" baseField="1" baseItem="6"/>
  </dataFields>
  <pivotTableStyleInfo name="PivotStyleLight8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피벗 테이블2" cacheId="18" dataOnRows="1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A4" firstHeaderRow="1" firstDataRow="1" firstDataCol="0"/>
  <pivotFields count="14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Items count="1">
    <i t="data" r="0" i="0"/>
  </rowItems>
  <colItems count="1">
    <i t="data" r="0" i="0"/>
  </colItems>
  <dataFields count="1">
    <dataField name="합계 : 판매액" fld="10" subtotal="sum" showDataAs="normal" baseField="0" baseItem="0"/>
  </dataFields>
  <formats count="2">
    <format action="formatting" dxfId="6">
      <pivotArea type="normal" dataOnly="1" grandRow="1" outline="0" collapsedLevelsAreSubtotals="1" fieldPosition="0"/>
    </format>
    <format action="formatting" dxfId="5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피벗 테이블1" cacheId="19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4:H8" firstHeaderRow="1" firstDataRow="2" firstDataCol="1"/>
  <pivotFields count="14">
    <pivotField axis="axisRow" showDropDowns="1" compact="1" outline="1" subtotalTop="1" dragToRow="1" dragToCol="1" dragToPage="1" dragToData="1" dragOff="1" showAll="0" topAutoShow="1" itemPageCount="10" sortType="ascending" defaultSubtotal="1">
      <items count="370">
        <item t="data" h="1" sd="1" x="263"/>
        <item t="data" h="1" sd="1" x="264"/>
        <item t="data" h="1" sd="1" x="266"/>
        <item t="data" h="1" sd="1" x="265"/>
        <item t="data" h="1" sd="1" x="267"/>
        <item t="data" h="1" sd="1" x="268"/>
        <item t="data" h="1" sd="1" x="269"/>
        <item t="data" h="1" sd="1" x="270"/>
        <item t="data" h="1" sd="1" x="271"/>
        <item t="data" h="1" sd="1" x="272"/>
        <item t="data" h="1" sd="1" x="273"/>
        <item t="data" h="1" sd="1" x="274"/>
        <item t="data" h="1" sd="1" x="275"/>
        <item t="data" h="1" sd="1" x="276"/>
        <item t="data" h="1" sd="1" x="277"/>
        <item t="data" h="1" sd="1" x="278"/>
        <item t="data" h="1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ata" h="1" sd="1" x="20"/>
        <item t="data" h="1" sd="1" x="21"/>
        <item t="data" h="1" sd="1" x="22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5"/>
        <item t="data" h="1" sd="1" x="46"/>
        <item t="data" h="1" sd="1" x="47"/>
        <item t="data" h="1" sd="1" x="48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70"/>
        <item t="data" h="1" sd="1" x="71"/>
        <item t="data" h="1" sd="1" x="72"/>
        <item t="data" h="1" sd="1" x="73"/>
        <item t="data" h="1" sd="1" x="74"/>
        <item t="data" h="1" sd="1" x="75"/>
        <item t="data" h="1" sd="1" x="76"/>
        <item t="data" h="1" sd="1" x="77"/>
        <item t="data" h="1" sd="1" x="78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86"/>
        <item t="data" h="1" sd="1" x="87"/>
        <item t="data" h="1" sd="1" x="88"/>
        <item t="data" h="1" sd="1" x="89"/>
        <item t="data" h="1" sd="1" x="90"/>
        <item t="data" h="1" sd="1" x="91"/>
        <item t="data" h="1" sd="1" x="92"/>
        <item t="data" h="1" sd="1" x="93"/>
        <item t="data" h="1" sd="1" x="94"/>
        <item t="data" h="1" sd="1" x="95"/>
        <item t="data" h="1" sd="1" x="96"/>
        <item t="data" h="1" sd="1" x="97"/>
        <item t="data" h="1" sd="1" x="98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108"/>
        <item t="data" h="1" sd="1" x="109"/>
        <item t="data" h="1" sd="1" x="110"/>
        <item t="data" h="1" sd="1" x="111"/>
        <item t="data" h="1" sd="1" x="112"/>
        <item t="data" h="1" sd="1" x="113"/>
        <item t="data" h="1" sd="1" x="114"/>
        <item t="data" h="1" sd="1" x="115"/>
        <item t="data" h="1" sd="1" x="116"/>
        <item t="data" h="1" sd="1" x="117"/>
        <item t="data" h="1" sd="1" x="118"/>
        <item t="data" h="1" sd="1" x="119"/>
        <item t="data" h="1" sd="1" x="120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0"/>
        <item t="data" h="1" sd="1" x="131"/>
        <item t="data" h="1" sd="1" x="132"/>
        <item t="data" h="1" sd="1" x="133"/>
        <item t="data" h="1" sd="1" x="134"/>
        <item t="data" h="1" sd="1" x="135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5"/>
        <item t="data" h="1" sd="1" x="156"/>
        <item t="data" h="1" sd="1" x="157"/>
        <item t="data" h="1" sd="1" x="158"/>
        <item t="data" h="1" sd="1" x="159"/>
        <item t="data" h="1" sd="1" x="160"/>
        <item t="data" h="1" sd="1" x="161"/>
        <item t="data" h="1" sd="1" x="162"/>
        <item t="data" h="1" sd="1" x="163"/>
        <item t="data" h="1" sd="1" x="164"/>
        <item t="data" h="1" sd="1" x="165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3"/>
        <item t="data" h="1" sd="1" x="174"/>
        <item t="data" h="1" sd="1" x="175"/>
        <item t="data" h="1" sd="1" x="176"/>
        <item t="data" h="1" sd="1" x="177"/>
        <item t="data" h="1" sd="1" x="178"/>
        <item t="data" h="1" sd="1" x="179"/>
        <item t="data" h="1" sd="1" x="180"/>
        <item t="data" h="1" sd="1" x="181"/>
        <item t="data" h="1" sd="1" x="182"/>
        <item t="data" h="1" sd="1" x="183"/>
        <item t="data" h="1" sd="1" x="184"/>
        <item t="data" h="1" sd="1" x="185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1"/>
        <item t="data" h="1" sd="1" x="202"/>
        <item t="data" h="1" sd="1" x="203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12"/>
        <item t="data" h="1" sd="1" x="213"/>
        <item t="data" h="1" sd="1" x="214"/>
        <item t="data" h="1" sd="1" x="215"/>
        <item t="data" h="1" sd="1" x="216"/>
        <item t="data" h="1" sd="1" x="217"/>
        <item t="data" h="1" sd="1" x="218"/>
        <item t="data" h="1" sd="1" x="219"/>
        <item t="data" h="1" sd="1" x="220"/>
        <item t="data" h="1" sd="1" x="221"/>
        <item t="data" h="1" sd="1" x="222"/>
        <item t="data" h="1" sd="1" x="223"/>
        <item t="data" h="1" sd="1" x="224"/>
        <item t="data" h="1" sd="1" x="225"/>
        <item t="data" h="1" sd="1" x="226"/>
        <item t="data" h="1" sd="1" x="227"/>
        <item t="data" h="1" sd="1" x="228"/>
        <item t="data" h="1" sd="1" x="229"/>
        <item t="data" h="1" sd="1" x="230"/>
        <item t="data" h="1" sd="1" x="231"/>
        <item t="data" h="1" sd="1" x="232"/>
        <item t="data" h="1" sd="1" x="233"/>
        <item t="data" h="1" sd="1" x="234"/>
        <item t="data" h="1" sd="1" x="235"/>
        <item t="data" h="1" sd="1" x="236"/>
        <item t="data" h="1" sd="1" x="237"/>
        <item t="data" h="1" sd="1" x="238"/>
        <item t="data" h="1" sd="1" x="239"/>
        <item t="data" h="1" sd="1" x="240"/>
        <item t="data" h="1" sd="1" x="241"/>
        <item t="data" h="1" sd="1" x="242"/>
        <item t="data" h="1" sd="1" x="243"/>
        <item t="data" h="1" sd="1" x="244"/>
        <item t="data" h="1" sd="1" x="245"/>
        <item t="data" h="1" sd="1" x="246"/>
        <item t="data" h="1" sd="1" x="247"/>
        <item t="data" h="1" sd="1" x="248"/>
        <item t="data" h="1" sd="1" x="249"/>
        <item t="data" h="1" sd="1" x="250"/>
        <item t="data" h="1" sd="1" x="251"/>
        <item t="data" h="1" sd="1" x="252"/>
        <item t="data" h="1" sd="1" x="253"/>
        <item t="data" h="1" sd="1" x="254"/>
        <item t="data" h="1" sd="1" x="255"/>
        <item t="data" h="1" sd="1" x="256"/>
        <item t="data" h="1" sd="1" x="257"/>
        <item t="data" h="1" sd="1" x="258"/>
        <item t="data" h="1" sd="1" x="259"/>
        <item t="data" h="1" sd="1" x="260"/>
        <item t="data" h="1" sd="1" x="261"/>
        <item t="data" h="1" sd="1" x="0"/>
        <item t="data" h="1" sd="1" x="279"/>
        <item t="data" h="1" sd="1" x="280"/>
        <item t="data" h="1" sd="1" x="281"/>
        <item t="data" h="1" sd="1" x="282"/>
        <item t="data" h="1" sd="1" x="283"/>
        <item t="data" h="1" sd="1" x="284"/>
        <item t="data" h="1" sd="1" x="285"/>
        <item t="data" h="1" sd="1" x="286"/>
        <item t="data" h="1" sd="1" x="287"/>
        <item t="data" h="1" sd="1" x="288"/>
        <item t="data" h="1" sd="1" x="289"/>
        <item t="data" h="1" sd="1" x="290"/>
        <item t="data" h="1" sd="1" x="291"/>
        <item t="data" h="1" sd="1" x="292"/>
        <item t="data" h="1" sd="1" x="293"/>
        <item t="data" h="1" sd="1" x="294"/>
        <item t="data" h="1" sd="1" x="295"/>
        <item t="data" h="1" sd="1" x="296"/>
        <item t="data" h="1" sd="1" x="297"/>
        <item t="data" h="1" sd="1" x="298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4"/>
        <item t="data" h="1" sd="1" x="325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6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sd="1" x="367"/>
        <item t="data" sd="1" x="368"/>
        <item t="data" h="1" sd="1" x="26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3"/>
        <item t="data" sd="1" x="4"/>
        <item t="data" sd="1" x="5"/>
        <item t="data" sd="1" x="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3">
    <i t="data" r="0" i="0">
      <x v="366"/>
    </i>
    <i t="data" r="0" i="0">
      <x v="367"/>
    </i>
    <i t="grand" r="0" i="0">
      <x v="0"/>
    </i>
  </rowItems>
  <colFields count="1">
    <field x="4"/>
  </colFields>
  <colItems count="6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grand" r="0" i="0">
      <x v="0"/>
    </i>
  </colItems>
  <dataFields count="1">
    <dataField name="합계 : 판매액" fld="10" subtotal="sum" showDataAs="normal" baseField="0" baseItem="268" numFmtId="41"/>
  </dataFields>
  <formats count="1">
    <format action="formatting" dxfId="4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피벗 테이블2" cacheId="19" dataOnRows="0" dataCaption="값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5:K9" firstHeaderRow="1" firstDataRow="2" firstDataCol="1"/>
  <pivotFields count="14">
    <pivotField axis="axisRow" showDropDowns="1" compact="1" outline="1" subtotalTop="1" dragToRow="1" dragToCol="1" dragToPage="1" dragToData="1" dragOff="1" showAll="0" topAutoShow="1" itemPageCount="10" sortType="manual" defaultSubtotal="1">
      <items count="370">
        <item t="data" h="1" sd="1" x="0"/>
        <item t="data" h="1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ata" h="1" sd="1" x="20"/>
        <item t="data" h="1" sd="1" x="21"/>
        <item t="data" h="1" sd="1" x="22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5"/>
        <item t="data" h="1" sd="1" x="46"/>
        <item t="data" h="1" sd="1" x="47"/>
        <item t="data" h="1" sd="1" x="48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70"/>
        <item t="data" h="1" sd="1" x="71"/>
        <item t="data" h="1" sd="1" x="72"/>
        <item t="data" h="1" sd="1" x="73"/>
        <item t="data" h="1" sd="1" x="74"/>
        <item t="data" h="1" sd="1" x="75"/>
        <item t="data" h="1" sd="1" x="76"/>
        <item t="data" h="1" sd="1" x="77"/>
        <item t="data" h="1" sd="1" x="78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86"/>
        <item t="data" h="1" sd="1" x="87"/>
        <item t="data" h="1" sd="1" x="88"/>
        <item t="data" h="1" sd="1" x="89"/>
        <item t="data" h="1" sd="1" x="90"/>
        <item t="data" h="1" sd="1" x="91"/>
        <item t="data" h="1" sd="1" x="92"/>
        <item t="data" h="1" sd="1" x="93"/>
        <item t="data" h="1" sd="1" x="94"/>
        <item t="data" h="1" sd="1" x="95"/>
        <item t="data" h="1" sd="1" x="96"/>
        <item t="data" h="1" sd="1" x="97"/>
        <item t="data" h="1" sd="1" x="98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108"/>
        <item t="data" h="1" sd="1" x="109"/>
        <item t="data" h="1" sd="1" x="110"/>
        <item t="data" h="1" sd="1" x="111"/>
        <item t="data" h="1" sd="1" x="112"/>
        <item t="data" h="1" sd="1" x="113"/>
        <item t="data" h="1" sd="1" x="114"/>
        <item t="data" h="1" sd="1" x="115"/>
        <item t="data" h="1" sd="1" x="116"/>
        <item t="data" h="1" sd="1" x="117"/>
        <item t="data" h="1" sd="1" x="118"/>
        <item t="data" h="1" sd="1" x="119"/>
        <item t="data" h="1" sd="1" x="120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0"/>
        <item t="data" h="1" sd="1" x="131"/>
        <item t="data" h="1" sd="1" x="132"/>
        <item t="data" h="1" sd="1" x="133"/>
        <item t="data" h="1" sd="1" x="134"/>
        <item t="data" h="1" sd="1" x="135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5"/>
        <item t="data" h="1" sd="1" x="156"/>
        <item t="data" h="1" sd="1" x="157"/>
        <item t="data" h="1" sd="1" x="158"/>
        <item t="data" h="1" sd="1" x="159"/>
        <item t="data" h="1" sd="1" x="160"/>
        <item t="data" h="1" sd="1" x="161"/>
        <item t="data" h="1" sd="1" x="162"/>
        <item t="data" h="1" sd="1" x="163"/>
        <item t="data" h="1" sd="1" x="164"/>
        <item t="data" h="1" sd="1" x="165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3"/>
        <item t="data" h="1" sd="1" x="174"/>
        <item t="data" h="1" sd="1" x="175"/>
        <item t="data" h="1" sd="1" x="176"/>
        <item t="data" h="1" sd="1" x="177"/>
        <item t="data" h="1" sd="1" x="178"/>
        <item t="data" h="1" sd="1" x="179"/>
        <item t="data" h="1" sd="1" x="180"/>
        <item t="data" h="1" sd="1" x="181"/>
        <item t="data" h="1" sd="1" x="182"/>
        <item t="data" h="1" sd="1" x="183"/>
        <item t="data" h="1" sd="1" x="184"/>
        <item t="data" h="1" sd="1" x="185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1"/>
        <item t="data" h="1" sd="1" x="202"/>
        <item t="data" h="1" sd="1" x="203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12"/>
        <item t="data" h="1" sd="1" x="213"/>
        <item t="data" h="1" sd="1" x="214"/>
        <item t="data" h="1" sd="1" x="215"/>
        <item t="data" h="1" sd="1" x="216"/>
        <item t="data" h="1" sd="1" x="217"/>
        <item t="data" h="1" sd="1" x="218"/>
        <item t="data" h="1" sd="1" x="219"/>
        <item t="data" h="1" sd="1" x="220"/>
        <item t="data" h="1" sd="1" x="221"/>
        <item t="data" h="1" sd="1" x="222"/>
        <item t="data" h="1" sd="1" x="223"/>
        <item t="data" h="1" sd="1" x="224"/>
        <item t="data" h="1" sd="1" x="225"/>
        <item t="data" h="1" sd="1" x="226"/>
        <item t="data" h="1" sd="1" x="227"/>
        <item t="data" h="1" sd="1" x="228"/>
        <item t="data" h="1" sd="1" x="229"/>
        <item t="data" h="1" sd="1" x="230"/>
        <item t="data" h="1" sd="1" x="231"/>
        <item t="data" h="1" sd="1" x="232"/>
        <item t="data" h="1" sd="1" x="233"/>
        <item t="data" h="1" sd="1" x="234"/>
        <item t="data" h="1" sd="1" x="235"/>
        <item t="data" h="1" sd="1" x="236"/>
        <item t="data" h="1" sd="1" x="237"/>
        <item t="data" h="1" sd="1" x="238"/>
        <item t="data" h="1" sd="1" x="239"/>
        <item t="data" h="1" sd="1" x="240"/>
        <item t="data" h="1" sd="1" x="241"/>
        <item t="data" h="1" sd="1" x="242"/>
        <item t="data" h="1" sd="1" x="243"/>
        <item t="data" h="1" sd="1" x="244"/>
        <item t="data" h="1" sd="1" x="245"/>
        <item t="data" h="1" sd="1" x="246"/>
        <item t="data" h="1" sd="1" x="247"/>
        <item t="data" h="1" sd="1" x="248"/>
        <item t="data" h="1" sd="1" x="249"/>
        <item t="data" h="1" sd="1" x="250"/>
        <item t="data" h="1" sd="1" x="251"/>
        <item t="data" h="1" sd="1" x="252"/>
        <item t="data" h="1" sd="1" x="253"/>
        <item t="data" h="1" sd="1" x="254"/>
        <item t="data" h="1" sd="1" x="255"/>
        <item t="data" h="1" sd="1" x="256"/>
        <item t="data" h="1" sd="1" x="257"/>
        <item t="data" h="1" sd="1" x="258"/>
        <item t="data" h="1" sd="1" x="259"/>
        <item t="data" h="1" sd="1" x="260"/>
        <item t="data" h="1" sd="1" x="261"/>
        <item t="data" h="1" sd="1" x="262"/>
        <item t="data" h="1" sd="1" x="263"/>
        <item t="data" h="1" sd="1" x="264"/>
        <item t="data" h="1" sd="1" x="265"/>
        <item t="data" h="1" sd="1" x="266"/>
        <item t="data" h="1" sd="1" x="267"/>
        <item t="data" h="1" sd="1" x="268"/>
        <item t="data" h="1" sd="1" x="269"/>
        <item t="data" h="1" sd="1" x="270"/>
        <item t="data" h="1" sd="1" x="271"/>
        <item t="data" h="1" sd="1" x="272"/>
        <item t="data" h="1" sd="1" x="273"/>
        <item t="data" h="1" sd="1" x="274"/>
        <item t="data" h="1" sd="1" x="275"/>
        <item t="data" h="1" sd="1" x="276"/>
        <item t="data" h="1" sd="1" x="277"/>
        <item t="data" h="1" sd="1" x="278"/>
        <item t="data" h="1" sd="1" x="279"/>
        <item t="data" h="1" sd="1" x="280"/>
        <item t="data" h="1" sd="1" x="281"/>
        <item t="data" h="1" sd="1" x="282"/>
        <item t="data" h="1" sd="1" x="283"/>
        <item t="data" h="1" sd="1" x="284"/>
        <item t="data" h="1" sd="1" x="285"/>
        <item t="data" h="1" sd="1" x="286"/>
        <item t="data" h="1" sd="1" x="287"/>
        <item t="data" h="1" sd="1" x="288"/>
        <item t="data" h="1" sd="1" x="289"/>
        <item t="data" h="1" sd="1" x="290"/>
        <item t="data" h="1" sd="1" x="291"/>
        <item t="data" h="1" sd="1" x="292"/>
        <item t="data" h="1" sd="1" x="293"/>
        <item t="data" h="1" sd="1" x="294"/>
        <item t="data" h="1" sd="1" x="295"/>
        <item t="data" h="1" sd="1" x="296"/>
        <item t="data" h="1" sd="1" x="297"/>
        <item t="data" h="1" sd="1" x="298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4"/>
        <item t="data" h="1" sd="1" x="325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6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sd="1" x="367"/>
        <item t="data" sd="1" x="36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7">
        <item t="data" sd="1" x="7"/>
        <item t="data" sd="1" x="1"/>
        <item t="data" sd="1" x="9"/>
        <item t="data" sd="1" x="8"/>
        <item t="data" sd="1" x="2"/>
        <item t="data" sd="1" x="4"/>
        <item t="data" sd="1" x="5"/>
        <item t="data" sd="1" x="3"/>
        <item t="data" sd="1" x="6"/>
        <item t="data" sd="1" x="11"/>
        <item t="data" sd="1" x="0"/>
        <item t="data" sd="1" x="13"/>
        <item t="data" sd="1" x="14"/>
        <item t="data" sd="1" x="10"/>
        <item t="data" sd="1" x="12"/>
        <item t="data" sd="1" m="1" x="1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3">
    <i t="data" r="0" i="0">
      <x v="367"/>
    </i>
    <i t="data" r="0" i="0">
      <x v="368"/>
    </i>
    <i t="grand" r="0" i="0">
      <x v="0"/>
    </i>
  </rowItems>
  <colFields count="1">
    <field x="2"/>
  </colFields>
  <colItems count="9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9"/>
    </i>
    <i t="data" r="0" i="0">
      <x v="11"/>
    </i>
    <i t="data" r="0" i="0">
      <x v="14"/>
    </i>
    <i t="grand" r="0" i="0">
      <x v="0"/>
    </i>
  </colItems>
  <dataFields count="1">
    <dataField name="합계 : 광고비(VAT미포함)" fld="9" subtotal="sum" showDataAs="normal" baseField="0" baseItem="336" numFmtId="41"/>
  </dataFields>
  <formats count="1">
    <format action="formatting" dxfId="3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1.xml" Id="rId2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2.xml" Id="rId1"/><Relationship Type="http://schemas.openxmlformats.org/officeDocument/2006/relationships/pivotTable" Target="/xl/pivotTables/pivotTable3.xml" Id="rId2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4.xml" Id="rId1"/><Relationship Type="http://schemas.openxmlformats.org/officeDocument/2006/relationships/pivotTable" Target="/xl/pivotTables/pivotTable5.xml" Id="rId2"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6.xml" Id="rId1"/></Relationships>
</file>

<file path=xl/worksheets/_rels/sheet8.xml.rels><Relationships xmlns="http://schemas.openxmlformats.org/package/2006/relationships"><Relationship Type="http://schemas.openxmlformats.org/officeDocument/2006/relationships/pivotTable" Target="/xl/pivotTables/pivotTable7.xml" Id="rId1"/></Relationships>
</file>

<file path=xl/worksheets/_rels/sheet9.xml.rels><Relationships xmlns="http://schemas.openxmlformats.org/package/2006/relationships"><Relationship Type="http://schemas.openxmlformats.org/officeDocument/2006/relationships/pivotTable" Target="/xl/pivotTables/pivotTable8.xml" Id="rId1"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showGridLines="0" zoomScale="70" zoomScaleNormal="70" workbookViewId="0">
      <selection activeCell="A1" sqref="A1"/>
    </sheetView>
  </sheetViews>
  <sheetFormatPr baseColWidth="8" defaultRowHeight="17.4"/>
  <cols>
    <col width="1.59765625" customWidth="1" style="17" min="1" max="1"/>
    <col width="9" customWidth="1" style="17" min="3" max="3"/>
  </cols>
  <sheetData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0" tint="-0.499984740745262"/>
    <outlinePr summaryBelow="1" summaryRight="1"/>
    <pageSetUpPr/>
  </sheetPr>
  <dimension ref="A1:P9666"/>
  <sheetViews>
    <sheetView tabSelected="1" zoomScale="70" zoomScaleNormal="70" workbookViewId="0">
      <pane ySplit="2" topLeftCell="A9613" activePane="bottomLeft" state="frozen"/>
      <selection pane="bottomLeft" activeCell="D9625" sqref="D9625"/>
    </sheetView>
  </sheetViews>
  <sheetFormatPr baseColWidth="8" defaultRowHeight="17.4"/>
  <cols>
    <col width="20.5" customWidth="1" style="17" min="1" max="1"/>
    <col width="11.09765625" customWidth="1" style="16" min="2" max="2"/>
    <col width="9.59765625" customWidth="1" style="17" min="3" max="3"/>
    <col width="26" customWidth="1" style="17" min="4" max="4"/>
    <col width="9.59765625" customWidth="1" style="17" min="5" max="5"/>
    <col width="10.59765625" customWidth="1" style="17" min="6" max="6"/>
    <col width="87.09765625" customWidth="1" style="17" min="7" max="7"/>
    <col width="16.59765625" customWidth="1" style="17" min="8" max="8"/>
    <col width="23.59765625" customWidth="1" style="17" min="9" max="9"/>
    <col width="9.59765625" customWidth="1" style="17" min="10" max="10"/>
    <col width="15.5" customWidth="1" style="17" min="11" max="11"/>
    <col width="18" customWidth="1" style="17" min="12" max="12"/>
    <col width="18.09765625" customWidth="1" style="17" min="13" max="13"/>
    <col width="9.59765625" customWidth="1" style="17" min="14" max="14"/>
  </cols>
  <sheetData>
    <row r="1" ht="16.5" customHeight="1" s="17">
      <c r="B1" s="16" t="inlineStr">
        <is>
          <t>일자</t>
        </is>
      </c>
      <c r="C1" s="20" t="inlineStr">
        <is>
          <t>요일</t>
        </is>
      </c>
      <c r="D1" s="20" t="inlineStr">
        <is>
          <t>미디어</t>
        </is>
      </c>
      <c r="E1" s="20" t="inlineStr">
        <is>
          <t>상품1</t>
        </is>
      </c>
      <c r="F1" s="20" t="inlineStr">
        <is>
          <t>채널</t>
        </is>
      </c>
      <c r="G1" s="20" t="inlineStr">
        <is>
          <t>상품2</t>
        </is>
      </c>
      <c r="H1" s="20" t="inlineStr">
        <is>
          <t>판매수량</t>
        </is>
      </c>
      <c r="I1" s="20" t="inlineStr">
        <is>
          <t>상품 상세</t>
        </is>
      </c>
      <c r="J1" s="20" t="inlineStr">
        <is>
          <t>구분</t>
        </is>
      </c>
      <c r="K1" s="20" t="inlineStr">
        <is>
          <t>광고비(VAT미포함)</t>
        </is>
      </c>
      <c r="L1" s="20" t="inlineStr">
        <is>
          <t>판매액</t>
        </is>
      </c>
      <c r="M1" s="20" t="inlineStr">
        <is>
          <t>판매액(수수료제외)</t>
        </is>
      </c>
      <c r="N1" s="20" t="inlineStr">
        <is>
          <t>원가</t>
        </is>
      </c>
      <c r="O1" s="20" t="inlineStr">
        <is>
          <t>구분값</t>
        </is>
      </c>
    </row>
    <row r="2" ht="16.5" customHeight="1" s="17">
      <c r="A2" s="20" t="inlineStr">
        <is>
          <t>수식 샘플</t>
        </is>
      </c>
      <c r="B2" s="16" t="n">
        <v>44236</v>
      </c>
      <c r="C2" s="20">
        <f>TEXT(B2,"aaa")</f>
        <v/>
      </c>
      <c r="D2" s="19">
        <f>VLOOKUP($A2,매칭테이블!$B$548:$D$1048576,2,0)</f>
        <v/>
      </c>
      <c r="E2" s="19">
        <f>INDEX(매칭테이블!C:C,MATCH(RD!G2,매칭테이블!D:D,0))</f>
        <v/>
      </c>
      <c r="F2" s="20" t="inlineStr">
        <is>
          <t>카페24</t>
        </is>
      </c>
      <c r="G2" s="20" t="inlineStr">
        <is>
          <t>솔리드퍼퓸 스테이포에버 002쇼핑백=선물용 쇼핑백</t>
        </is>
      </c>
      <c r="H2" s="20" t="n">
        <v>0</v>
      </c>
      <c r="I2" s="19">
        <f>VLOOKUP(G2,매칭테이블!D:E,2,0)</f>
        <v/>
      </c>
      <c r="J2" s="20" t="n">
        <v>210101</v>
      </c>
      <c r="L2" s="19">
        <f>VLOOKUP($O2,매칭테이블!$G:$J,2,0)*H2</f>
        <v/>
      </c>
      <c r="M2" s="19">
        <f>L2-L2*VLOOKUP($O2,매칭테이블!$G:$J,3,0)</f>
        <v/>
      </c>
      <c r="N2" s="19">
        <f>VLOOKUP($O2,매칭테이블!$G:$J,4,0)*H2</f>
        <v/>
      </c>
      <c r="O2" s="19">
        <f>F2&amp;E2&amp;G2&amp;J2</f>
        <v/>
      </c>
    </row>
    <row r="3" ht="16.5" customHeight="1" s="17">
      <c r="B3" s="16" t="n">
        <v>43973</v>
      </c>
      <c r="C3" s="20">
        <f>TEXT(B3,"aaa")</f>
        <v/>
      </c>
      <c r="D3" s="20" t="inlineStr">
        <is>
          <t>페이스북/인스타그램</t>
        </is>
      </c>
      <c r="E3" s="20" t="inlineStr">
        <is>
          <t>고체향수</t>
        </is>
      </c>
      <c r="F3" s="4" t="n"/>
      <c r="K3" s="26" t="n">
        <v>134178</v>
      </c>
    </row>
    <row r="4" ht="16.5" customHeight="1" s="17">
      <c r="B4" s="16" t="n">
        <v>43974</v>
      </c>
      <c r="C4" s="20">
        <f>TEXT(B4,"aaa")</f>
        <v/>
      </c>
      <c r="D4" s="20" t="inlineStr">
        <is>
          <t>페이스북/인스타그램</t>
        </is>
      </c>
      <c r="E4" s="20" t="inlineStr">
        <is>
          <t>고체향수</t>
        </is>
      </c>
      <c r="F4" s="4" t="n"/>
      <c r="K4" s="26" t="n">
        <v>118671</v>
      </c>
    </row>
    <row r="5" ht="16.5" customHeight="1" s="17">
      <c r="B5" s="16" t="n">
        <v>43977</v>
      </c>
      <c r="C5" s="20">
        <f>TEXT(B5,"aaa")</f>
        <v/>
      </c>
      <c r="D5" s="20" t="inlineStr">
        <is>
          <t>페이스북/인스타그램</t>
        </is>
      </c>
      <c r="E5" s="20" t="inlineStr">
        <is>
          <t>고체향수</t>
        </is>
      </c>
      <c r="F5" s="4" t="n"/>
      <c r="K5" s="26" t="n">
        <v>230036</v>
      </c>
    </row>
    <row r="6" ht="16.5" customHeight="1" s="17">
      <c r="B6" s="16">
        <f>B5+1</f>
        <v/>
      </c>
      <c r="C6" s="20">
        <f>TEXT(B6,"aaa")</f>
        <v/>
      </c>
      <c r="D6" s="20" t="inlineStr">
        <is>
          <t>페이스북/인스타그램</t>
        </is>
      </c>
      <c r="E6" s="20" t="inlineStr">
        <is>
          <t>고체향수</t>
        </is>
      </c>
      <c r="F6" s="4" t="n"/>
      <c r="K6" s="26" t="n">
        <v>647321</v>
      </c>
    </row>
    <row r="7" ht="16.5" customHeight="1" s="17">
      <c r="B7" s="16">
        <f>B6+1</f>
        <v/>
      </c>
      <c r="C7" s="20">
        <f>TEXT(B7,"aaa")</f>
        <v/>
      </c>
      <c r="D7" s="20" t="inlineStr">
        <is>
          <t>페이스북/인스타그램</t>
        </is>
      </c>
      <c r="E7" s="20" t="inlineStr">
        <is>
          <t>고체향수</t>
        </is>
      </c>
      <c r="F7" s="4" t="n"/>
      <c r="K7" s="26" t="n">
        <v>501095</v>
      </c>
    </row>
    <row r="8" ht="16.5" customHeight="1" s="17">
      <c r="B8" s="16">
        <f>B7+1</f>
        <v/>
      </c>
      <c r="C8" s="20">
        <f>TEXT(B8,"aaa")</f>
        <v/>
      </c>
      <c r="D8" s="20" t="inlineStr">
        <is>
          <t>페이스북/인스타그램</t>
        </is>
      </c>
      <c r="E8" s="20" t="inlineStr">
        <is>
          <t>고체향수</t>
        </is>
      </c>
      <c r="F8" s="4" t="n"/>
      <c r="K8" s="26" t="n">
        <v>69797</v>
      </c>
    </row>
    <row r="9" ht="16.5" customHeight="1" s="17">
      <c r="B9" s="16">
        <f>B8+1</f>
        <v/>
      </c>
      <c r="C9" s="20">
        <f>TEXT(B9,"aaa")</f>
        <v/>
      </c>
      <c r="D9" s="20" t="inlineStr">
        <is>
          <t>페이스북/인스타그램</t>
        </is>
      </c>
      <c r="E9" s="20" t="inlineStr">
        <is>
          <t>고체향수</t>
        </is>
      </c>
      <c r="F9" s="4" t="n"/>
      <c r="K9" s="26" t="n">
        <v>128834</v>
      </c>
    </row>
    <row r="10" ht="16.5" customHeight="1" s="17">
      <c r="B10" s="16">
        <f>B9+1</f>
        <v/>
      </c>
      <c r="C10" s="20">
        <f>TEXT(B10,"aaa")</f>
        <v/>
      </c>
      <c r="D10" s="20" t="inlineStr">
        <is>
          <t>페이스북/인스타그램</t>
        </is>
      </c>
      <c r="E10" s="20" t="inlineStr">
        <is>
          <t>고체향수</t>
        </is>
      </c>
      <c r="F10" s="4" t="n"/>
      <c r="K10" s="26" t="n">
        <v>200529</v>
      </c>
    </row>
    <row r="11" ht="16.5" customHeight="1" s="17">
      <c r="B11" s="16" t="n">
        <v>43978</v>
      </c>
      <c r="C11" s="20">
        <f>TEXT(B11,"aaa")</f>
        <v/>
      </c>
      <c r="D11" s="20" t="inlineStr">
        <is>
          <t>네이버 브랜드검색</t>
        </is>
      </c>
      <c r="E11" s="20" t="inlineStr">
        <is>
          <t>고체향수</t>
        </is>
      </c>
      <c r="K11" s="26">
        <f>600000/30</f>
        <v/>
      </c>
    </row>
    <row r="12" ht="16.5" customHeight="1" s="17">
      <c r="B12" s="16">
        <f>B11+1</f>
        <v/>
      </c>
      <c r="C12" s="20">
        <f>TEXT(B12,"aaa")</f>
        <v/>
      </c>
      <c r="D12" s="20" t="inlineStr">
        <is>
          <t>네이버 브랜드검색</t>
        </is>
      </c>
      <c r="E12" s="20" t="inlineStr">
        <is>
          <t>고체향수</t>
        </is>
      </c>
      <c r="K12" s="26">
        <f>600000/30</f>
        <v/>
      </c>
    </row>
    <row r="13" ht="16.5" customHeight="1" s="17">
      <c r="B13" s="16">
        <f>B12+1</f>
        <v/>
      </c>
      <c r="C13" s="20">
        <f>TEXT(B13,"aaa")</f>
        <v/>
      </c>
      <c r="D13" s="20" t="inlineStr">
        <is>
          <t>네이버 브랜드검색</t>
        </is>
      </c>
      <c r="E13" s="20" t="inlineStr">
        <is>
          <t>고체향수</t>
        </is>
      </c>
      <c r="K13" s="26">
        <f>600000/30</f>
        <v/>
      </c>
    </row>
    <row r="14" ht="16.5" customHeight="1" s="17">
      <c r="B14" s="16">
        <f>B13+1</f>
        <v/>
      </c>
      <c r="C14" s="20">
        <f>TEXT(B14,"aaa")</f>
        <v/>
      </c>
      <c r="D14" s="20" t="inlineStr">
        <is>
          <t>네이버 브랜드검색</t>
        </is>
      </c>
      <c r="E14" s="20" t="inlineStr">
        <is>
          <t>고체향수</t>
        </is>
      </c>
      <c r="K14" s="26">
        <f>600000/30</f>
        <v/>
      </c>
    </row>
    <row r="15" ht="16.5" customHeight="1" s="17">
      <c r="B15" s="16">
        <f>B14+1</f>
        <v/>
      </c>
      <c r="C15" s="20">
        <f>TEXT(B15,"aaa")</f>
        <v/>
      </c>
      <c r="D15" s="20" t="inlineStr">
        <is>
          <t>네이버 브랜드검색</t>
        </is>
      </c>
      <c r="E15" s="20" t="inlineStr">
        <is>
          <t>고체향수</t>
        </is>
      </c>
      <c r="K15" s="26">
        <f>600000/30</f>
        <v/>
      </c>
    </row>
    <row r="16" ht="16.5" customHeight="1" s="17">
      <c r="B16" s="16" t="n">
        <v>43977</v>
      </c>
      <c r="C16" s="20">
        <f>TEXT(B16,"aaa")</f>
        <v/>
      </c>
      <c r="D16" s="20" t="inlineStr">
        <is>
          <t>뷰스컴퍼니 리뷰</t>
        </is>
      </c>
      <c r="E16" s="20" t="inlineStr">
        <is>
          <t>고체향수</t>
        </is>
      </c>
      <c r="K16" s="26" t="n">
        <v>200000</v>
      </c>
    </row>
    <row r="17" ht="16.5" customHeight="1" s="17">
      <c r="B17" s="16" t="n">
        <v>43983</v>
      </c>
      <c r="C17" s="20">
        <f>TEXT(B17,"aaa")</f>
        <v/>
      </c>
      <c r="D17" s="20" t="inlineStr">
        <is>
          <t>페이스북/인스타그램</t>
        </is>
      </c>
      <c r="E17" s="20" t="inlineStr">
        <is>
          <t>고체향수</t>
        </is>
      </c>
      <c r="K17" s="26" t="n">
        <v>192706</v>
      </c>
    </row>
    <row r="18" ht="16.5" customHeight="1" s="17">
      <c r="B18" s="16">
        <f>B17+1</f>
        <v/>
      </c>
      <c r="C18" s="20">
        <f>TEXT(B18,"aaa")</f>
        <v/>
      </c>
      <c r="D18" s="20" t="inlineStr">
        <is>
          <t>페이스북/인스타그램</t>
        </is>
      </c>
      <c r="E18" s="20" t="inlineStr">
        <is>
          <t>고체향수</t>
        </is>
      </c>
      <c r="K18" s="26" t="n">
        <v>113677</v>
      </c>
    </row>
    <row r="19" ht="16.5" customHeight="1" s="17">
      <c r="B19" s="16">
        <f>B18+1</f>
        <v/>
      </c>
      <c r="C19" s="20">
        <f>TEXT(B19,"aaa")</f>
        <v/>
      </c>
      <c r="D19" s="20" t="inlineStr">
        <is>
          <t>페이스북/인스타그램</t>
        </is>
      </c>
      <c r="E19" s="20" t="inlineStr">
        <is>
          <t>고체향수</t>
        </is>
      </c>
      <c r="K19" s="26" t="n">
        <v>377714</v>
      </c>
    </row>
    <row r="20" ht="16.5" customHeight="1" s="17">
      <c r="B20" s="16">
        <f>B19+1</f>
        <v/>
      </c>
      <c r="C20" s="20">
        <f>TEXT(B20,"aaa")</f>
        <v/>
      </c>
      <c r="D20" s="20" t="inlineStr">
        <is>
          <t>페이스북/인스타그램</t>
        </is>
      </c>
      <c r="E20" s="20" t="inlineStr">
        <is>
          <t>고체향수</t>
        </is>
      </c>
      <c r="K20" s="26" t="n">
        <v>580159</v>
      </c>
    </row>
    <row r="21" ht="16.5" customHeight="1" s="17">
      <c r="B21" s="16">
        <f>B20+1</f>
        <v/>
      </c>
      <c r="C21" s="20">
        <f>TEXT(B21,"aaa")</f>
        <v/>
      </c>
      <c r="D21" s="20" t="inlineStr">
        <is>
          <t>페이스북/인스타그램</t>
        </is>
      </c>
      <c r="E21" s="20" t="inlineStr">
        <is>
          <t>고체향수</t>
        </is>
      </c>
      <c r="K21" s="26" t="n">
        <v>269053</v>
      </c>
    </row>
    <row r="22" ht="16.5" customHeight="1" s="17">
      <c r="B22" s="16">
        <f>B21+1</f>
        <v/>
      </c>
      <c r="C22" s="20">
        <f>TEXT(B22,"aaa")</f>
        <v/>
      </c>
      <c r="D22" s="20" t="inlineStr">
        <is>
          <t>페이스북/인스타그램</t>
        </is>
      </c>
      <c r="E22" s="20" t="inlineStr">
        <is>
          <t>고체향수</t>
        </is>
      </c>
      <c r="K22" s="26" t="n">
        <v>237187</v>
      </c>
    </row>
    <row r="23" ht="16.5" customHeight="1" s="17">
      <c r="B23" s="16">
        <f>B22+1</f>
        <v/>
      </c>
      <c r="C23" s="20">
        <f>TEXT(B23,"aaa")</f>
        <v/>
      </c>
      <c r="D23" s="20" t="inlineStr">
        <is>
          <t>페이스북/인스타그램</t>
        </is>
      </c>
      <c r="E23" s="20" t="inlineStr">
        <is>
          <t>고체향수</t>
        </is>
      </c>
      <c r="K23" s="26" t="n">
        <v>193524</v>
      </c>
    </row>
    <row r="24" ht="16.5" customHeight="1" s="17">
      <c r="B24" s="16">
        <f>B23+1</f>
        <v/>
      </c>
      <c r="C24" s="20">
        <f>TEXT(B24,"aaa")</f>
        <v/>
      </c>
      <c r="D24" s="20" t="inlineStr">
        <is>
          <t>페이스북/인스타그램</t>
        </is>
      </c>
      <c r="E24" s="20" t="inlineStr">
        <is>
          <t>고체향수</t>
        </is>
      </c>
      <c r="K24" s="26" t="n">
        <v>161106</v>
      </c>
    </row>
    <row r="25" ht="16.5" customHeight="1" s="17">
      <c r="B25" s="16">
        <f>B24+1</f>
        <v/>
      </c>
      <c r="C25" s="20">
        <f>TEXT(B25,"aaa")</f>
        <v/>
      </c>
      <c r="D25" s="20" t="inlineStr">
        <is>
          <t>페이스북/인스타그램</t>
        </is>
      </c>
      <c r="E25" s="20" t="inlineStr">
        <is>
          <t>고체향수</t>
        </is>
      </c>
      <c r="K25" s="26" t="n">
        <v>282434</v>
      </c>
    </row>
    <row r="26" ht="16.5" customHeight="1" s="17">
      <c r="B26" s="16">
        <f>B25+1</f>
        <v/>
      </c>
      <c r="C26" s="20">
        <f>TEXT(B26,"aaa")</f>
        <v/>
      </c>
      <c r="D26" s="20" t="inlineStr">
        <is>
          <t>페이스북/인스타그램</t>
        </is>
      </c>
      <c r="E26" s="20" t="inlineStr">
        <is>
          <t>고체향수</t>
        </is>
      </c>
      <c r="K26" s="26" t="n">
        <v>396809</v>
      </c>
    </row>
    <row r="27" ht="16.5" customHeight="1" s="17">
      <c r="B27" s="16">
        <f>B26+1</f>
        <v/>
      </c>
      <c r="C27" s="20">
        <f>TEXT(B27,"aaa")</f>
        <v/>
      </c>
      <c r="D27" s="20" t="inlineStr">
        <is>
          <t>페이스북/인스타그램</t>
        </is>
      </c>
      <c r="E27" s="20" t="inlineStr">
        <is>
          <t>고체향수</t>
        </is>
      </c>
      <c r="K27" s="26" t="n">
        <v>390556</v>
      </c>
    </row>
    <row r="28" ht="16.5" customHeight="1" s="17">
      <c r="B28" s="16">
        <f>B27+1</f>
        <v/>
      </c>
      <c r="C28" s="20">
        <f>TEXT(B28,"aaa")</f>
        <v/>
      </c>
      <c r="D28" s="20" t="inlineStr">
        <is>
          <t>페이스북/인스타그램</t>
        </is>
      </c>
      <c r="E28" s="20" t="inlineStr">
        <is>
          <t>고체향수</t>
        </is>
      </c>
      <c r="K28" s="26" t="n">
        <v>328542</v>
      </c>
    </row>
    <row r="29" ht="16.5" customHeight="1" s="17">
      <c r="B29" s="16">
        <f>B28+1</f>
        <v/>
      </c>
      <c r="C29" s="20">
        <f>TEXT(B29,"aaa")</f>
        <v/>
      </c>
      <c r="D29" s="20" t="inlineStr">
        <is>
          <t>페이스북/인스타그램</t>
        </is>
      </c>
      <c r="E29" s="20" t="inlineStr">
        <is>
          <t>고체향수</t>
        </is>
      </c>
      <c r="K29" s="26" t="n">
        <v>350961</v>
      </c>
    </row>
    <row r="30" ht="16.5" customHeight="1" s="17">
      <c r="B30" s="16">
        <f>B29+1</f>
        <v/>
      </c>
      <c r="C30" s="20">
        <f>TEXT(B30,"aaa")</f>
        <v/>
      </c>
      <c r="D30" s="20" t="inlineStr">
        <is>
          <t>페이스북/인스타그램</t>
        </is>
      </c>
      <c r="E30" s="20" t="inlineStr">
        <is>
          <t>고체향수</t>
        </is>
      </c>
      <c r="K30" s="26" t="n">
        <v>353357</v>
      </c>
    </row>
    <row r="31" ht="16.5" customHeight="1" s="17">
      <c r="B31" s="16">
        <f>B30+1</f>
        <v/>
      </c>
      <c r="C31" s="20">
        <f>TEXT(B31,"aaa")</f>
        <v/>
      </c>
      <c r="D31" s="20" t="inlineStr">
        <is>
          <t>페이스북/인스타그램</t>
        </is>
      </c>
      <c r="E31" s="20" t="inlineStr">
        <is>
          <t>고체향수</t>
        </is>
      </c>
      <c r="K31" s="26" t="n">
        <v>338206</v>
      </c>
    </row>
    <row r="32" ht="16.5" customHeight="1" s="17">
      <c r="B32" s="16">
        <f>B31+1</f>
        <v/>
      </c>
      <c r="C32" s="20">
        <f>TEXT(B32,"aaa")</f>
        <v/>
      </c>
      <c r="D32" s="20" t="inlineStr">
        <is>
          <t>페이스북/인스타그램</t>
        </is>
      </c>
      <c r="E32" s="20" t="inlineStr">
        <is>
          <t>고체향수</t>
        </is>
      </c>
      <c r="K32" s="26" t="n">
        <v>355041</v>
      </c>
    </row>
    <row r="33" ht="16.5" customHeight="1" s="17">
      <c r="B33" s="16">
        <f>B32+1</f>
        <v/>
      </c>
      <c r="C33" s="20">
        <f>TEXT(B33,"aaa")</f>
        <v/>
      </c>
      <c r="D33" s="20" t="inlineStr">
        <is>
          <t>페이스북/인스타그램</t>
        </is>
      </c>
      <c r="E33" s="20" t="inlineStr">
        <is>
          <t>고체향수</t>
        </is>
      </c>
      <c r="K33" s="26" t="n">
        <v>468860</v>
      </c>
    </row>
    <row r="34" ht="16.5" customHeight="1" s="17">
      <c r="B34" s="16">
        <f>B33+1</f>
        <v/>
      </c>
      <c r="C34" s="20">
        <f>TEXT(B34,"aaa")</f>
        <v/>
      </c>
      <c r="D34" s="20" t="inlineStr">
        <is>
          <t>페이스북/인스타그램</t>
        </is>
      </c>
      <c r="E34" s="20" t="inlineStr">
        <is>
          <t>고체향수</t>
        </is>
      </c>
      <c r="K34" s="26" t="n">
        <v>961927</v>
      </c>
    </row>
    <row r="35" ht="16.5" customHeight="1" s="17">
      <c r="B35" s="16">
        <f>B34+1</f>
        <v/>
      </c>
      <c r="C35" s="20">
        <f>TEXT(B35,"aaa")</f>
        <v/>
      </c>
      <c r="D35" s="20" t="inlineStr">
        <is>
          <t>페이스북/인스타그램</t>
        </is>
      </c>
      <c r="E35" s="20" t="inlineStr">
        <is>
          <t>고체향수</t>
        </is>
      </c>
      <c r="K35" s="26" t="n">
        <v>878473</v>
      </c>
    </row>
    <row r="36" ht="16.5" customHeight="1" s="17">
      <c r="B36" s="16">
        <f>B35+1</f>
        <v/>
      </c>
      <c r="C36" s="20">
        <f>TEXT(B36,"aaa")</f>
        <v/>
      </c>
      <c r="D36" s="20" t="inlineStr">
        <is>
          <t>페이스북/인스타그램</t>
        </is>
      </c>
      <c r="E36" s="20" t="inlineStr">
        <is>
          <t>고체향수</t>
        </is>
      </c>
      <c r="K36" s="26" t="n">
        <v>1087409</v>
      </c>
    </row>
    <row r="37" ht="16.5" customHeight="1" s="17">
      <c r="B37" s="16">
        <f>B36+1</f>
        <v/>
      </c>
      <c r="C37" s="20">
        <f>TEXT(B37,"aaa")</f>
        <v/>
      </c>
      <c r="D37" s="20" t="inlineStr">
        <is>
          <t>페이스북/인스타그램</t>
        </is>
      </c>
      <c r="E37" s="20" t="inlineStr">
        <is>
          <t>고체향수</t>
        </is>
      </c>
      <c r="K37" s="26" t="n">
        <v>1248838</v>
      </c>
    </row>
    <row r="38" ht="16.5" customHeight="1" s="17">
      <c r="B38" s="16">
        <f>B37+1</f>
        <v/>
      </c>
      <c r="C38" s="20">
        <f>TEXT(B38,"aaa")</f>
        <v/>
      </c>
      <c r="D38" s="20" t="inlineStr">
        <is>
          <t>페이스북/인스타그램</t>
        </is>
      </c>
      <c r="E38" s="20" t="inlineStr">
        <is>
          <t>고체향수</t>
        </is>
      </c>
      <c r="K38" s="26" t="n">
        <v>1602474</v>
      </c>
    </row>
    <row r="39" ht="16.5" customHeight="1" s="17">
      <c r="B39" s="16">
        <f>B38+1</f>
        <v/>
      </c>
      <c r="C39" s="20">
        <f>TEXT(B39,"aaa")</f>
        <v/>
      </c>
      <c r="D39" s="20" t="inlineStr">
        <is>
          <t>페이스북/인스타그램</t>
        </is>
      </c>
      <c r="E39" s="20" t="inlineStr">
        <is>
          <t>고체향수</t>
        </is>
      </c>
      <c r="K39" s="26" t="n">
        <v>1567376</v>
      </c>
    </row>
    <row r="40" ht="16.5" customHeight="1" s="17">
      <c r="B40" s="16">
        <f>B39+1</f>
        <v/>
      </c>
      <c r="C40" s="20">
        <f>TEXT(B40,"aaa")</f>
        <v/>
      </c>
      <c r="D40" s="20" t="inlineStr">
        <is>
          <t>페이스북/인스타그램</t>
        </is>
      </c>
      <c r="E40" s="20" t="inlineStr">
        <is>
          <t>고체향수</t>
        </is>
      </c>
      <c r="K40" s="26" t="n">
        <v>1607092</v>
      </c>
    </row>
    <row r="41" ht="16.5" customHeight="1" s="17">
      <c r="B41" s="16">
        <f>B40+1</f>
        <v/>
      </c>
      <c r="C41" s="20">
        <f>TEXT(B41,"aaa")</f>
        <v/>
      </c>
      <c r="D41" s="20" t="inlineStr">
        <is>
          <t>페이스북/인스타그램</t>
        </is>
      </c>
      <c r="E41" s="20" t="inlineStr">
        <is>
          <t>고체향수</t>
        </is>
      </c>
      <c r="K41" s="26" t="n">
        <v>1780764</v>
      </c>
    </row>
    <row r="42" ht="16.5" customHeight="1" s="17">
      <c r="B42" s="16">
        <f>B41+1</f>
        <v/>
      </c>
      <c r="C42" s="20">
        <f>TEXT(B42,"aaa")</f>
        <v/>
      </c>
      <c r="D42" s="20" t="inlineStr">
        <is>
          <t>페이스북/인스타그램</t>
        </is>
      </c>
      <c r="E42" s="20" t="inlineStr">
        <is>
          <t>고체향수</t>
        </is>
      </c>
      <c r="K42" s="26" t="n">
        <v>1809511</v>
      </c>
    </row>
    <row r="43" ht="16.5" customHeight="1" s="17">
      <c r="B43" s="16">
        <f>B42+1</f>
        <v/>
      </c>
      <c r="C43" s="20">
        <f>TEXT(B43,"aaa")</f>
        <v/>
      </c>
      <c r="D43" s="20" t="inlineStr">
        <is>
          <t>페이스북/인스타그램</t>
        </is>
      </c>
      <c r="E43" s="20" t="inlineStr">
        <is>
          <t>고체향수</t>
        </is>
      </c>
      <c r="K43" s="26" t="n">
        <v>1920335</v>
      </c>
    </row>
    <row r="44" ht="16.5" customHeight="1" s="17">
      <c r="B44" s="16">
        <f>B43+1</f>
        <v/>
      </c>
      <c r="C44" s="20">
        <f>TEXT(B44,"aaa")</f>
        <v/>
      </c>
      <c r="D44" s="20" t="inlineStr">
        <is>
          <t>페이스북/인스타그램</t>
        </is>
      </c>
      <c r="E44" s="20" t="inlineStr">
        <is>
          <t>고체향수</t>
        </is>
      </c>
      <c r="K44" s="26" t="n">
        <v>1598927</v>
      </c>
    </row>
    <row r="45" ht="16.5" customHeight="1" s="17">
      <c r="B45" s="16">
        <f>B44+1</f>
        <v/>
      </c>
      <c r="C45" s="20">
        <f>TEXT(B45,"aaa")</f>
        <v/>
      </c>
      <c r="D45" s="20" t="inlineStr">
        <is>
          <t>페이스북/인스타그램</t>
        </is>
      </c>
      <c r="E45" s="20" t="inlineStr">
        <is>
          <t>고체향수</t>
        </is>
      </c>
      <c r="K45" s="26" t="n">
        <v>1355641</v>
      </c>
    </row>
    <row r="46" ht="16.5" customHeight="1" s="17">
      <c r="B46" s="16">
        <f>B45+1</f>
        <v/>
      </c>
      <c r="C46" s="20">
        <f>TEXT(B46,"aaa")</f>
        <v/>
      </c>
      <c r="D46" s="20" t="inlineStr">
        <is>
          <t>페이스북/인스타그램</t>
        </is>
      </c>
      <c r="E46" s="20" t="inlineStr">
        <is>
          <t>고체향수</t>
        </is>
      </c>
      <c r="K46" s="26" t="n">
        <v>1301523</v>
      </c>
    </row>
    <row r="47" ht="16.5" customHeight="1" s="17">
      <c r="B47" s="16">
        <f>B46+1</f>
        <v/>
      </c>
      <c r="C47" s="20">
        <f>TEXT(B47,"aaa")</f>
        <v/>
      </c>
      <c r="D47" s="20" t="inlineStr">
        <is>
          <t>페이스북/인스타그램</t>
        </is>
      </c>
      <c r="E47" s="20" t="inlineStr">
        <is>
          <t>고체향수</t>
        </is>
      </c>
      <c r="K47" s="26" t="n">
        <v>866004</v>
      </c>
    </row>
    <row r="48" ht="16.5" customHeight="1" s="17">
      <c r="B48" s="16">
        <f>B47+1</f>
        <v/>
      </c>
      <c r="C48" s="20">
        <f>TEXT(B48,"aaa")</f>
        <v/>
      </c>
      <c r="D48" s="20" t="inlineStr">
        <is>
          <t>페이스북/인스타그램</t>
        </is>
      </c>
      <c r="E48" s="20" t="inlineStr">
        <is>
          <t>고체향수</t>
        </is>
      </c>
      <c r="K48" s="26" t="n">
        <v>988933</v>
      </c>
    </row>
    <row r="49" ht="16.5" customHeight="1" s="17">
      <c r="B49" s="16">
        <f>B48+1</f>
        <v/>
      </c>
      <c r="C49" s="20">
        <f>TEXT(B49,"aaa")</f>
        <v/>
      </c>
      <c r="D49" s="20" t="inlineStr">
        <is>
          <t>페이스북/인스타그램</t>
        </is>
      </c>
      <c r="E49" s="20" t="inlineStr">
        <is>
          <t>고체향수</t>
        </is>
      </c>
      <c r="K49" s="26" t="n">
        <v>532347</v>
      </c>
    </row>
    <row r="50" ht="16.5" customHeight="1" s="17">
      <c r="B50" s="16">
        <f>B49+1</f>
        <v/>
      </c>
      <c r="C50" s="20">
        <f>TEXT(B50,"aaa")</f>
        <v/>
      </c>
      <c r="D50" s="20" t="inlineStr">
        <is>
          <t>페이스북/인스타그램</t>
        </is>
      </c>
      <c r="E50" s="20" t="inlineStr">
        <is>
          <t>고체향수</t>
        </is>
      </c>
      <c r="K50" s="26" t="n">
        <v>126894</v>
      </c>
    </row>
    <row r="51" ht="16.5" customHeight="1" s="17">
      <c r="B51" s="16">
        <f>B50+1</f>
        <v/>
      </c>
      <c r="C51" s="20">
        <f>TEXT(B51,"aaa")</f>
        <v/>
      </c>
      <c r="D51" s="20" t="inlineStr">
        <is>
          <t>페이스북/인스타그램</t>
        </is>
      </c>
      <c r="E51" s="20" t="inlineStr">
        <is>
          <t>고체향수</t>
        </is>
      </c>
      <c r="K51" s="26" t="n">
        <v>261799</v>
      </c>
    </row>
    <row r="52" ht="16.5" customHeight="1" s="17">
      <c r="B52" s="16">
        <f>B51+1</f>
        <v/>
      </c>
      <c r="C52" s="20">
        <f>TEXT(B52,"aaa")</f>
        <v/>
      </c>
      <c r="D52" s="20" t="inlineStr">
        <is>
          <t>페이스북/인스타그램</t>
        </is>
      </c>
      <c r="E52" s="20" t="inlineStr">
        <is>
          <t>고체향수</t>
        </is>
      </c>
      <c r="K52" s="26" t="n">
        <v>447045</v>
      </c>
    </row>
    <row r="53" ht="16.5" customHeight="1" s="17">
      <c r="B53" s="16">
        <f>B52+1</f>
        <v/>
      </c>
      <c r="C53" s="20">
        <f>TEXT(B53,"aaa")</f>
        <v/>
      </c>
      <c r="D53" s="20" t="inlineStr">
        <is>
          <t>페이스북/인스타그램</t>
        </is>
      </c>
      <c r="E53" s="20" t="inlineStr">
        <is>
          <t>고체향수</t>
        </is>
      </c>
      <c r="K53" s="26" t="n">
        <v>621711</v>
      </c>
    </row>
    <row r="54" ht="16.5" customHeight="1" s="17">
      <c r="B54" s="16">
        <f>B53+1</f>
        <v/>
      </c>
      <c r="C54" s="20">
        <f>TEXT(B54,"aaa")</f>
        <v/>
      </c>
      <c r="D54" s="20" t="inlineStr">
        <is>
          <t>페이스북/인스타그램</t>
        </is>
      </c>
      <c r="E54" s="20" t="inlineStr">
        <is>
          <t>고체향수</t>
        </is>
      </c>
      <c r="K54" s="26" t="n">
        <v>617293</v>
      </c>
    </row>
    <row r="55" ht="16.5" customHeight="1" s="17">
      <c r="B55" s="16">
        <f>B54+1</f>
        <v/>
      </c>
      <c r="C55" s="20">
        <f>TEXT(B55,"aaa")</f>
        <v/>
      </c>
      <c r="D55" s="20" t="inlineStr">
        <is>
          <t>페이스북/인스타그램</t>
        </is>
      </c>
      <c r="E55" s="20" t="inlineStr">
        <is>
          <t>고체향수</t>
        </is>
      </c>
      <c r="K55" s="26" t="n">
        <v>721867</v>
      </c>
    </row>
    <row r="56" ht="16.5" customHeight="1" s="17">
      <c r="B56" s="16">
        <f>B55+1</f>
        <v/>
      </c>
      <c r="C56" s="20">
        <f>TEXT(B56,"aaa")</f>
        <v/>
      </c>
      <c r="D56" s="20" t="inlineStr">
        <is>
          <t>페이스북/인스타그램</t>
        </is>
      </c>
      <c r="E56" s="20" t="inlineStr">
        <is>
          <t>고체향수</t>
        </is>
      </c>
      <c r="K56" s="26" t="n">
        <v>450794</v>
      </c>
    </row>
    <row r="57" ht="16.5" customHeight="1" s="17">
      <c r="B57" s="16">
        <f>B56+1</f>
        <v/>
      </c>
      <c r="C57" s="20">
        <f>TEXT(B57,"aaa")</f>
        <v/>
      </c>
      <c r="D57" s="20" t="inlineStr">
        <is>
          <t>페이스북/인스타그램</t>
        </is>
      </c>
      <c r="E57" s="20" t="inlineStr">
        <is>
          <t>고체향수</t>
        </is>
      </c>
      <c r="K57" s="26" t="n">
        <v>726705</v>
      </c>
    </row>
    <row r="58" ht="16.5" customHeight="1" s="17">
      <c r="B58" s="16">
        <f>B57+1</f>
        <v/>
      </c>
      <c r="C58" s="20">
        <f>TEXT(B58,"aaa")</f>
        <v/>
      </c>
      <c r="D58" s="20" t="inlineStr">
        <is>
          <t>페이스북/인스타그램</t>
        </is>
      </c>
      <c r="E58" s="20" t="inlineStr">
        <is>
          <t>고체향수</t>
        </is>
      </c>
      <c r="K58" s="26" t="n">
        <v>1105544</v>
      </c>
    </row>
    <row r="59" ht="16.5" customHeight="1" s="17">
      <c r="B59" s="16">
        <f>B58+1</f>
        <v/>
      </c>
      <c r="C59" s="20">
        <f>TEXT(B59,"aaa")</f>
        <v/>
      </c>
      <c r="D59" s="20" t="inlineStr">
        <is>
          <t>페이스북/인스타그램</t>
        </is>
      </c>
      <c r="E59" s="20" t="inlineStr">
        <is>
          <t>고체향수</t>
        </is>
      </c>
      <c r="K59" s="26" t="n">
        <v>729014</v>
      </c>
    </row>
    <row r="60" ht="16.5" customHeight="1" s="17">
      <c r="B60" s="16">
        <f>B59+1</f>
        <v/>
      </c>
      <c r="C60" s="20">
        <f>TEXT(B60,"aaa")</f>
        <v/>
      </c>
      <c r="D60" s="20" t="inlineStr">
        <is>
          <t>페이스북/인스타그램</t>
        </is>
      </c>
      <c r="E60" s="20" t="inlineStr">
        <is>
          <t>고체향수</t>
        </is>
      </c>
      <c r="K60" s="26" t="n">
        <v>1494667</v>
      </c>
    </row>
    <row r="61" ht="16.5" customHeight="1" s="17">
      <c r="B61" s="16">
        <f>B60+1</f>
        <v/>
      </c>
      <c r="C61" s="20">
        <f>TEXT(B61,"aaa")</f>
        <v/>
      </c>
      <c r="D61" s="20" t="inlineStr">
        <is>
          <t>페이스북/인스타그램</t>
        </is>
      </c>
      <c r="E61" s="20" t="inlineStr">
        <is>
          <t>고체향수</t>
        </is>
      </c>
      <c r="K61" s="26" t="n">
        <v>1996151</v>
      </c>
    </row>
    <row r="62" ht="16.5" customHeight="1" s="17">
      <c r="B62" s="16">
        <f>B61+1</f>
        <v/>
      </c>
      <c r="C62" s="20">
        <f>TEXT(B62,"aaa")</f>
        <v/>
      </c>
      <c r="D62" s="20" t="inlineStr">
        <is>
          <t>페이스북/인스타그램</t>
        </is>
      </c>
      <c r="E62" s="20" t="inlineStr">
        <is>
          <t>고체향수</t>
        </is>
      </c>
      <c r="K62" s="26" t="n">
        <v>1297037</v>
      </c>
    </row>
    <row r="63" ht="16.5" customHeight="1" s="17">
      <c r="B63" s="16">
        <f>B62+1</f>
        <v/>
      </c>
      <c r="C63" s="20">
        <f>TEXT(B63,"aaa")</f>
        <v/>
      </c>
      <c r="D63" s="20" t="inlineStr">
        <is>
          <t>페이스북/인스타그램</t>
        </is>
      </c>
      <c r="E63" s="20" t="inlineStr">
        <is>
          <t>고체향수</t>
        </is>
      </c>
      <c r="K63" s="26" t="n">
        <v>2002362</v>
      </c>
    </row>
    <row r="64" ht="16.5" customHeight="1" s="17">
      <c r="B64" s="16">
        <f>B63+1</f>
        <v/>
      </c>
      <c r="C64" s="20">
        <f>TEXT(B64,"aaa")</f>
        <v/>
      </c>
      <c r="D64" s="20" t="inlineStr">
        <is>
          <t>페이스북/인스타그램</t>
        </is>
      </c>
      <c r="E64" s="20" t="inlineStr">
        <is>
          <t>고체향수</t>
        </is>
      </c>
      <c r="K64" s="26" t="n">
        <v>867269</v>
      </c>
    </row>
    <row r="65" ht="16.5" customHeight="1" s="17">
      <c r="B65" s="16">
        <f>B64+1</f>
        <v/>
      </c>
      <c r="C65" s="20">
        <f>TEXT(B65,"aaa")</f>
        <v/>
      </c>
      <c r="D65" s="20" t="inlineStr">
        <is>
          <t>페이스북/인스타그램</t>
        </is>
      </c>
      <c r="E65" s="20" t="inlineStr">
        <is>
          <t>고체향수</t>
        </is>
      </c>
      <c r="K65" s="26" t="n">
        <v>1072667</v>
      </c>
    </row>
    <row r="66" ht="16.5" customHeight="1" s="17">
      <c r="B66" s="16">
        <f>B65+1</f>
        <v/>
      </c>
      <c r="C66" s="20">
        <f>TEXT(B66,"aaa")</f>
        <v/>
      </c>
      <c r="D66" s="20" t="inlineStr">
        <is>
          <t>페이스북/인스타그램</t>
        </is>
      </c>
      <c r="E66" s="20" t="inlineStr">
        <is>
          <t>고체향수</t>
        </is>
      </c>
      <c r="K66" s="26" t="n">
        <v>1269040</v>
      </c>
    </row>
    <row r="67" ht="16.5" customHeight="1" s="17">
      <c r="B67" s="16" t="n">
        <v>44023</v>
      </c>
      <c r="C67" s="20">
        <f>TEXT(B67,"aaa")</f>
        <v/>
      </c>
      <c r="D67" s="20" t="inlineStr">
        <is>
          <t>네이버 쇼핑검색</t>
        </is>
      </c>
      <c r="E67" s="20" t="inlineStr">
        <is>
          <t>고체향수</t>
        </is>
      </c>
      <c r="F67" s="3" t="n"/>
      <c r="K67" s="20" t="n">
        <v>499.9999999999999</v>
      </c>
    </row>
    <row r="68" ht="16.5" customHeight="1" s="17">
      <c r="B68" s="16" t="n">
        <v>44024</v>
      </c>
      <c r="C68" s="20">
        <f>TEXT(B68,"aaa")</f>
        <v/>
      </c>
      <c r="D68" s="20" t="inlineStr">
        <is>
          <t>네이버 쇼핑검색</t>
        </is>
      </c>
      <c r="E68" s="20" t="inlineStr">
        <is>
          <t>고체향수</t>
        </is>
      </c>
      <c r="F68" s="3" t="n"/>
      <c r="K68" s="20" t="n">
        <v>1120</v>
      </c>
    </row>
    <row r="69" ht="16.5" customHeight="1" s="17">
      <c r="B69" s="16" t="n">
        <v>44025</v>
      </c>
      <c r="C69" s="20">
        <f>TEXT(B69,"aaa")</f>
        <v/>
      </c>
      <c r="D69" s="20" t="inlineStr">
        <is>
          <t>네이버 쇼핑검색</t>
        </is>
      </c>
      <c r="E69" s="20" t="inlineStr">
        <is>
          <t>고체향수</t>
        </is>
      </c>
      <c r="F69" s="3" t="n"/>
      <c r="K69" s="20" t="n">
        <v>3070</v>
      </c>
    </row>
    <row r="70" ht="16.5" customHeight="1" s="17">
      <c r="B70" s="16" t="n">
        <v>44026</v>
      </c>
      <c r="C70" s="20">
        <f>TEXT(B70,"aaa")</f>
        <v/>
      </c>
      <c r="D70" s="20" t="inlineStr">
        <is>
          <t>네이버 쇼핑검색</t>
        </is>
      </c>
      <c r="E70" s="20" t="inlineStr">
        <is>
          <t>고체향수</t>
        </is>
      </c>
      <c r="F70" s="3" t="n"/>
      <c r="K70" s="20" t="n">
        <v>1540</v>
      </c>
    </row>
    <row r="71" ht="16.5" customHeight="1" s="17">
      <c r="B71" s="16" t="n">
        <v>44027</v>
      </c>
      <c r="C71" s="20">
        <f>TEXT(B71,"aaa")</f>
        <v/>
      </c>
      <c r="D71" s="20" t="inlineStr">
        <is>
          <t>네이버 쇼핑검색</t>
        </is>
      </c>
      <c r="E71" s="20" t="inlineStr">
        <is>
          <t>고체향수</t>
        </is>
      </c>
      <c r="F71" s="3" t="n"/>
      <c r="K71" s="20" t="n">
        <v>2380</v>
      </c>
    </row>
    <row r="72" ht="16.5" customHeight="1" s="17">
      <c r="B72" s="16" t="n">
        <v>44028</v>
      </c>
      <c r="C72" s="20">
        <f>TEXT(B72,"aaa")</f>
        <v/>
      </c>
      <c r="D72" s="20" t="inlineStr">
        <is>
          <t>네이버 쇼핑검색</t>
        </is>
      </c>
      <c r="E72" s="20" t="inlineStr">
        <is>
          <t>고체향수</t>
        </is>
      </c>
      <c r="F72" s="3" t="n"/>
      <c r="K72" s="20" t="n">
        <v>2080</v>
      </c>
    </row>
    <row r="73" ht="16.5" customHeight="1" s="17">
      <c r="B73" s="16" t="n">
        <v>44029</v>
      </c>
      <c r="C73" s="20">
        <f>TEXT(B73,"aaa")</f>
        <v/>
      </c>
      <c r="D73" s="20" t="inlineStr">
        <is>
          <t>네이버 쇼핑검색</t>
        </is>
      </c>
      <c r="E73" s="20" t="inlineStr">
        <is>
          <t>고체향수</t>
        </is>
      </c>
      <c r="F73" s="3" t="n"/>
      <c r="K73" s="20" t="n">
        <v>3170</v>
      </c>
    </row>
    <row r="74" ht="16.5" customHeight="1" s="17">
      <c r="B74" s="16" t="n">
        <v>44030</v>
      </c>
      <c r="C74" s="20">
        <f>TEXT(B74,"aaa")</f>
        <v/>
      </c>
      <c r="D74" s="20" t="inlineStr">
        <is>
          <t>네이버 쇼핑검색</t>
        </is>
      </c>
      <c r="E74" s="20" t="inlineStr">
        <is>
          <t>고체향수</t>
        </is>
      </c>
      <c r="F74" s="3" t="n"/>
      <c r="K74" s="20" t="n">
        <v>4110</v>
      </c>
    </row>
    <row r="75" ht="16.5" customHeight="1" s="17">
      <c r="B75" s="16" t="n">
        <v>44031</v>
      </c>
      <c r="C75" s="20">
        <f>TEXT(B75,"aaa")</f>
        <v/>
      </c>
      <c r="D75" s="20" t="inlineStr">
        <is>
          <t>네이버 쇼핑검색</t>
        </is>
      </c>
      <c r="E75" s="20" t="inlineStr">
        <is>
          <t>고체향수</t>
        </is>
      </c>
      <c r="F75" s="3" t="n"/>
      <c r="K75" s="20" t="n">
        <v>799.9999999999999</v>
      </c>
    </row>
    <row r="76" ht="16.5" customHeight="1" s="17">
      <c r="B76" s="16" t="n">
        <v>44032</v>
      </c>
      <c r="C76" s="20">
        <f>TEXT(B76,"aaa")</f>
        <v/>
      </c>
      <c r="D76" s="20" t="inlineStr">
        <is>
          <t>네이버 쇼핑검색</t>
        </is>
      </c>
      <c r="E76" s="20" t="inlineStr">
        <is>
          <t>고체향수</t>
        </is>
      </c>
      <c r="F76" s="3" t="n"/>
      <c r="K76" s="20" t="n">
        <v>4130</v>
      </c>
    </row>
    <row r="77" ht="16.5" customHeight="1" s="17">
      <c r="B77" s="16" t="n">
        <v>44015</v>
      </c>
      <c r="C77" s="20">
        <f>TEXT(B77,"aaa")</f>
        <v/>
      </c>
      <c r="D77" s="20" t="inlineStr">
        <is>
          <t>네이버 파워링크</t>
        </is>
      </c>
      <c r="E77" s="20" t="inlineStr">
        <is>
          <t>고체향수</t>
        </is>
      </c>
      <c r="F77" s="3" t="n"/>
      <c r="K77" s="20" t="n">
        <v>70</v>
      </c>
    </row>
    <row r="78" ht="16.5" customHeight="1" s="17">
      <c r="B78" s="16" t="n">
        <v>44017</v>
      </c>
      <c r="C78" s="20">
        <f>TEXT(B78,"aaa")</f>
        <v/>
      </c>
      <c r="D78" s="20" t="inlineStr">
        <is>
          <t>네이버 파워링크</t>
        </is>
      </c>
      <c r="E78" s="20" t="inlineStr">
        <is>
          <t>고체향수</t>
        </is>
      </c>
      <c r="F78" s="3" t="n"/>
      <c r="K78" s="20" t="n">
        <v>70</v>
      </c>
    </row>
    <row r="79" ht="16.5" customHeight="1" s="17">
      <c r="B79" s="16" t="n">
        <v>44020</v>
      </c>
      <c r="C79" s="20">
        <f>TEXT(B79,"aaa")</f>
        <v/>
      </c>
      <c r="D79" s="20" t="inlineStr">
        <is>
          <t>네이버 파워링크</t>
        </is>
      </c>
      <c r="E79" s="20" t="inlineStr">
        <is>
          <t>고체향수</t>
        </is>
      </c>
      <c r="F79" s="3" t="n"/>
      <c r="K79" s="20" t="n">
        <v>70</v>
      </c>
    </row>
    <row r="80" ht="16.5" customHeight="1" s="17">
      <c r="B80" s="16" t="n">
        <v>44022</v>
      </c>
      <c r="C80" s="20">
        <f>TEXT(B80,"aaa")</f>
        <v/>
      </c>
      <c r="D80" s="20" t="inlineStr">
        <is>
          <t>네이버 파워링크</t>
        </is>
      </c>
      <c r="E80" s="20" t="inlineStr">
        <is>
          <t>고체향수</t>
        </is>
      </c>
      <c r="F80" s="3" t="n"/>
      <c r="K80" s="20" t="n">
        <v>140</v>
      </c>
    </row>
    <row r="81" ht="16.5" customHeight="1" s="17">
      <c r="B81" s="16" t="n">
        <v>44032</v>
      </c>
      <c r="C81" s="20">
        <f>TEXT(B81,"aaa")</f>
        <v/>
      </c>
      <c r="D81" s="20" t="inlineStr">
        <is>
          <t>네이버 파워링크</t>
        </is>
      </c>
      <c r="E81" s="20" t="inlineStr">
        <is>
          <t>고체향수</t>
        </is>
      </c>
      <c r="F81" s="3" t="n"/>
      <c r="K81" s="20" t="n">
        <v>70</v>
      </c>
    </row>
    <row r="82" ht="16.5" customHeight="1" s="17">
      <c r="B82" s="16" t="n">
        <v>43983</v>
      </c>
      <c r="C82" s="20">
        <f>TEXT(B82,"aaa")</f>
        <v/>
      </c>
      <c r="D82" s="20" t="inlineStr">
        <is>
          <t>네이버 브랜드검색</t>
        </is>
      </c>
      <c r="E82" s="20" t="inlineStr">
        <is>
          <t>고체향수</t>
        </is>
      </c>
      <c r="K82" s="26">
        <f>600000/30</f>
        <v/>
      </c>
    </row>
    <row r="83" ht="16.5" customHeight="1" s="17">
      <c r="B83" s="16">
        <f>B82+1</f>
        <v/>
      </c>
      <c r="C83" s="20">
        <f>TEXT(B83,"aaa")</f>
        <v/>
      </c>
      <c r="D83" s="20" t="inlineStr">
        <is>
          <t>네이버 브랜드검색</t>
        </is>
      </c>
      <c r="E83" s="20" t="inlineStr">
        <is>
          <t>고체향수</t>
        </is>
      </c>
      <c r="K83" s="26">
        <f>600000/30</f>
        <v/>
      </c>
    </row>
    <row r="84" ht="16.5" customHeight="1" s="17">
      <c r="B84" s="16">
        <f>B83+1</f>
        <v/>
      </c>
      <c r="C84" s="20">
        <f>TEXT(B84,"aaa")</f>
        <v/>
      </c>
      <c r="D84" s="20" t="inlineStr">
        <is>
          <t>네이버 브랜드검색</t>
        </is>
      </c>
      <c r="E84" s="20" t="inlineStr">
        <is>
          <t>고체향수</t>
        </is>
      </c>
      <c r="K84" s="26">
        <f>600000/30</f>
        <v/>
      </c>
    </row>
    <row r="85" ht="16.5" customHeight="1" s="17">
      <c r="B85" s="16">
        <f>B84+1</f>
        <v/>
      </c>
      <c r="C85" s="20">
        <f>TEXT(B85,"aaa")</f>
        <v/>
      </c>
      <c r="D85" s="20" t="inlineStr">
        <is>
          <t>네이버 브랜드검색</t>
        </is>
      </c>
      <c r="E85" s="20" t="inlineStr">
        <is>
          <t>고체향수</t>
        </is>
      </c>
      <c r="K85" s="26">
        <f>600000/30</f>
        <v/>
      </c>
    </row>
    <row r="86" ht="16.5" customHeight="1" s="17">
      <c r="B86" s="16">
        <f>B85+1</f>
        <v/>
      </c>
      <c r="C86" s="20">
        <f>TEXT(B86,"aaa")</f>
        <v/>
      </c>
      <c r="D86" s="20" t="inlineStr">
        <is>
          <t>네이버 브랜드검색</t>
        </is>
      </c>
      <c r="E86" s="20" t="inlineStr">
        <is>
          <t>고체향수</t>
        </is>
      </c>
      <c r="K86" s="26">
        <f>600000/30</f>
        <v/>
      </c>
    </row>
    <row r="87" ht="16.5" customHeight="1" s="17">
      <c r="B87" s="16">
        <f>B86+1</f>
        <v/>
      </c>
      <c r="C87" s="20">
        <f>TEXT(B87,"aaa")</f>
        <v/>
      </c>
      <c r="D87" s="20" t="inlineStr">
        <is>
          <t>네이버 브랜드검색</t>
        </is>
      </c>
      <c r="E87" s="20" t="inlineStr">
        <is>
          <t>고체향수</t>
        </is>
      </c>
      <c r="K87" s="26">
        <f>600000/30</f>
        <v/>
      </c>
    </row>
    <row r="88" ht="16.5" customHeight="1" s="17">
      <c r="B88" s="16">
        <f>B87+1</f>
        <v/>
      </c>
      <c r="C88" s="20">
        <f>TEXT(B88,"aaa")</f>
        <v/>
      </c>
      <c r="D88" s="20" t="inlineStr">
        <is>
          <t>네이버 브랜드검색</t>
        </is>
      </c>
      <c r="E88" s="20" t="inlineStr">
        <is>
          <t>고체향수</t>
        </is>
      </c>
      <c r="K88" s="26">
        <f>600000/30</f>
        <v/>
      </c>
    </row>
    <row r="89" ht="16.5" customHeight="1" s="17">
      <c r="B89" s="16">
        <f>B88+1</f>
        <v/>
      </c>
      <c r="C89" s="20">
        <f>TEXT(B89,"aaa")</f>
        <v/>
      </c>
      <c r="D89" s="20" t="inlineStr">
        <is>
          <t>네이버 브랜드검색</t>
        </is>
      </c>
      <c r="E89" s="20" t="inlineStr">
        <is>
          <t>고체향수</t>
        </is>
      </c>
      <c r="K89" s="26">
        <f>600000/30</f>
        <v/>
      </c>
    </row>
    <row r="90" ht="16.5" customHeight="1" s="17">
      <c r="B90" s="16">
        <f>B89+1</f>
        <v/>
      </c>
      <c r="C90" s="20">
        <f>TEXT(B90,"aaa")</f>
        <v/>
      </c>
      <c r="D90" s="20" t="inlineStr">
        <is>
          <t>네이버 브랜드검색</t>
        </is>
      </c>
      <c r="E90" s="20" t="inlineStr">
        <is>
          <t>고체향수</t>
        </is>
      </c>
      <c r="K90" s="26">
        <f>600000/30</f>
        <v/>
      </c>
    </row>
    <row r="91" ht="16.5" customHeight="1" s="17">
      <c r="B91" s="16">
        <f>B90+1</f>
        <v/>
      </c>
      <c r="C91" s="20">
        <f>TEXT(B91,"aaa")</f>
        <v/>
      </c>
      <c r="D91" s="20" t="inlineStr">
        <is>
          <t>네이버 브랜드검색</t>
        </is>
      </c>
      <c r="E91" s="20" t="inlineStr">
        <is>
          <t>고체향수</t>
        </is>
      </c>
      <c r="K91" s="26">
        <f>600000/30</f>
        <v/>
      </c>
    </row>
    <row r="92" ht="16.5" customHeight="1" s="17">
      <c r="B92" s="16">
        <f>B91+1</f>
        <v/>
      </c>
      <c r="C92" s="20">
        <f>TEXT(B92,"aaa")</f>
        <v/>
      </c>
      <c r="D92" s="20" t="inlineStr">
        <is>
          <t>네이버 브랜드검색</t>
        </is>
      </c>
      <c r="E92" s="20" t="inlineStr">
        <is>
          <t>고체향수</t>
        </is>
      </c>
      <c r="K92" s="26">
        <f>600000/30</f>
        <v/>
      </c>
    </row>
    <row r="93" ht="16.5" customHeight="1" s="17">
      <c r="B93" s="16">
        <f>B92+1</f>
        <v/>
      </c>
      <c r="C93" s="20">
        <f>TEXT(B93,"aaa")</f>
        <v/>
      </c>
      <c r="D93" s="20" t="inlineStr">
        <is>
          <t>네이버 브랜드검색</t>
        </is>
      </c>
      <c r="E93" s="20" t="inlineStr">
        <is>
          <t>고체향수</t>
        </is>
      </c>
      <c r="K93" s="26">
        <f>600000/30</f>
        <v/>
      </c>
    </row>
    <row r="94" ht="16.5" customHeight="1" s="17">
      <c r="B94" s="16">
        <f>B93+1</f>
        <v/>
      </c>
      <c r="C94" s="20">
        <f>TEXT(B94,"aaa")</f>
        <v/>
      </c>
      <c r="D94" s="20" t="inlineStr">
        <is>
          <t>네이버 브랜드검색</t>
        </is>
      </c>
      <c r="E94" s="20" t="inlineStr">
        <is>
          <t>고체향수</t>
        </is>
      </c>
      <c r="K94" s="26">
        <f>600000/30</f>
        <v/>
      </c>
    </row>
    <row r="95" ht="16.5" customHeight="1" s="17">
      <c r="B95" s="16">
        <f>B94+1</f>
        <v/>
      </c>
      <c r="C95" s="20">
        <f>TEXT(B95,"aaa")</f>
        <v/>
      </c>
      <c r="D95" s="20" t="inlineStr">
        <is>
          <t>네이버 브랜드검색</t>
        </is>
      </c>
      <c r="E95" s="20" t="inlineStr">
        <is>
          <t>고체향수</t>
        </is>
      </c>
      <c r="K95" s="26">
        <f>600000/30</f>
        <v/>
      </c>
    </row>
    <row r="96" ht="16.5" customHeight="1" s="17">
      <c r="B96" s="16">
        <f>B95+1</f>
        <v/>
      </c>
      <c r="C96" s="20">
        <f>TEXT(B96,"aaa")</f>
        <v/>
      </c>
      <c r="D96" s="20" t="inlineStr">
        <is>
          <t>네이버 브랜드검색</t>
        </is>
      </c>
      <c r="E96" s="20" t="inlineStr">
        <is>
          <t>고체향수</t>
        </is>
      </c>
      <c r="K96" s="26">
        <f>600000/30</f>
        <v/>
      </c>
    </row>
    <row r="97" ht="16.5" customHeight="1" s="17">
      <c r="B97" s="16">
        <f>B96+1</f>
        <v/>
      </c>
      <c r="C97" s="20">
        <f>TEXT(B97,"aaa")</f>
        <v/>
      </c>
      <c r="D97" s="20" t="inlineStr">
        <is>
          <t>네이버 브랜드검색</t>
        </is>
      </c>
      <c r="E97" s="20" t="inlineStr">
        <is>
          <t>고체향수</t>
        </is>
      </c>
      <c r="K97" s="26">
        <f>600000/30</f>
        <v/>
      </c>
    </row>
    <row r="98" ht="16.5" customHeight="1" s="17">
      <c r="B98" s="16">
        <f>B97+1</f>
        <v/>
      </c>
      <c r="C98" s="20">
        <f>TEXT(B98,"aaa")</f>
        <v/>
      </c>
      <c r="D98" s="20" t="inlineStr">
        <is>
          <t>네이버 브랜드검색</t>
        </is>
      </c>
      <c r="E98" s="20" t="inlineStr">
        <is>
          <t>고체향수</t>
        </is>
      </c>
      <c r="K98" s="26">
        <f>600000/30</f>
        <v/>
      </c>
    </row>
    <row r="99" ht="16.5" customHeight="1" s="17">
      <c r="B99" s="16">
        <f>B98+1</f>
        <v/>
      </c>
      <c r="C99" s="20">
        <f>TEXT(B99,"aaa")</f>
        <v/>
      </c>
      <c r="D99" s="20" t="inlineStr">
        <is>
          <t>네이버 브랜드검색</t>
        </is>
      </c>
      <c r="E99" s="20" t="inlineStr">
        <is>
          <t>고체향수</t>
        </is>
      </c>
      <c r="K99" s="26">
        <f>600000/30</f>
        <v/>
      </c>
    </row>
    <row r="100" ht="16.5" customHeight="1" s="17">
      <c r="B100" s="16">
        <f>B99+1</f>
        <v/>
      </c>
      <c r="C100" s="20">
        <f>TEXT(B100,"aaa")</f>
        <v/>
      </c>
      <c r="D100" s="20" t="inlineStr">
        <is>
          <t>네이버 브랜드검색</t>
        </is>
      </c>
      <c r="E100" s="20" t="inlineStr">
        <is>
          <t>고체향수</t>
        </is>
      </c>
      <c r="K100" s="26">
        <f>600000/30</f>
        <v/>
      </c>
    </row>
    <row r="101" ht="16.5" customHeight="1" s="17">
      <c r="B101" s="16">
        <f>B100+1</f>
        <v/>
      </c>
      <c r="C101" s="20">
        <f>TEXT(B101,"aaa")</f>
        <v/>
      </c>
      <c r="D101" s="20" t="inlineStr">
        <is>
          <t>네이버 브랜드검색</t>
        </is>
      </c>
      <c r="E101" s="20" t="inlineStr">
        <is>
          <t>고체향수</t>
        </is>
      </c>
      <c r="K101" s="26">
        <f>600000/30</f>
        <v/>
      </c>
    </row>
    <row r="102" ht="16.5" customHeight="1" s="17">
      <c r="B102" s="16">
        <f>B101+1</f>
        <v/>
      </c>
      <c r="C102" s="20">
        <f>TEXT(B102,"aaa")</f>
        <v/>
      </c>
      <c r="D102" s="20" t="inlineStr">
        <is>
          <t>네이버 브랜드검색</t>
        </is>
      </c>
      <c r="E102" s="20" t="inlineStr">
        <is>
          <t>고체향수</t>
        </is>
      </c>
      <c r="K102" s="26">
        <f>600000/30</f>
        <v/>
      </c>
    </row>
    <row r="103" ht="16.5" customHeight="1" s="17">
      <c r="B103" s="16">
        <f>B102+1</f>
        <v/>
      </c>
      <c r="C103" s="20">
        <f>TEXT(B103,"aaa")</f>
        <v/>
      </c>
      <c r="D103" s="20" t="inlineStr">
        <is>
          <t>네이버 브랜드검색</t>
        </is>
      </c>
      <c r="E103" s="20" t="inlineStr">
        <is>
          <t>고체향수</t>
        </is>
      </c>
      <c r="K103" s="26">
        <f>600000/30</f>
        <v/>
      </c>
    </row>
    <row r="104" ht="16.5" customHeight="1" s="17">
      <c r="B104" s="16">
        <f>B103+1</f>
        <v/>
      </c>
      <c r="C104" s="20">
        <f>TEXT(B104,"aaa")</f>
        <v/>
      </c>
      <c r="D104" s="20" t="inlineStr">
        <is>
          <t>네이버 브랜드검색</t>
        </is>
      </c>
      <c r="E104" s="20" t="inlineStr">
        <is>
          <t>고체향수</t>
        </is>
      </c>
      <c r="K104" s="26">
        <f>600000/30</f>
        <v/>
      </c>
    </row>
    <row r="105" ht="16.5" customHeight="1" s="17">
      <c r="B105" s="16">
        <f>B104+1</f>
        <v/>
      </c>
      <c r="C105" s="20">
        <f>TEXT(B105,"aaa")</f>
        <v/>
      </c>
      <c r="D105" s="20" t="inlineStr">
        <is>
          <t>네이버 브랜드검색</t>
        </is>
      </c>
      <c r="E105" s="20" t="inlineStr">
        <is>
          <t>고체향수</t>
        </is>
      </c>
      <c r="K105" s="26">
        <f>600000/30</f>
        <v/>
      </c>
    </row>
    <row r="106" ht="16.5" customHeight="1" s="17">
      <c r="B106" s="16">
        <f>B105+1</f>
        <v/>
      </c>
      <c r="C106" s="20">
        <f>TEXT(B106,"aaa")</f>
        <v/>
      </c>
      <c r="D106" s="20" t="inlineStr">
        <is>
          <t>네이버 브랜드검색</t>
        </is>
      </c>
      <c r="E106" s="20" t="inlineStr">
        <is>
          <t>고체향수</t>
        </is>
      </c>
      <c r="K106" s="26">
        <f>600000/30</f>
        <v/>
      </c>
    </row>
    <row r="107" ht="16.5" customHeight="1" s="17">
      <c r="B107" s="16">
        <f>B106+1</f>
        <v/>
      </c>
      <c r="C107" s="20">
        <f>TEXT(B107,"aaa")</f>
        <v/>
      </c>
      <c r="D107" s="20" t="inlineStr">
        <is>
          <t>네이버 브랜드검색</t>
        </is>
      </c>
      <c r="E107" s="20" t="inlineStr">
        <is>
          <t>고체향수</t>
        </is>
      </c>
      <c r="K107" s="26">
        <f>600000/30</f>
        <v/>
      </c>
    </row>
    <row r="108" ht="16.5" customHeight="1" s="17">
      <c r="B108" s="16">
        <f>B107+1</f>
        <v/>
      </c>
      <c r="C108" s="20">
        <f>TEXT(B108,"aaa")</f>
        <v/>
      </c>
      <c r="D108" s="20" t="inlineStr">
        <is>
          <t>네이버 브랜드검색</t>
        </is>
      </c>
      <c r="E108" s="20" t="inlineStr">
        <is>
          <t>고체향수</t>
        </is>
      </c>
      <c r="K108" s="26">
        <f>600000/30</f>
        <v/>
      </c>
    </row>
    <row r="109" ht="16.5" customHeight="1" s="17">
      <c r="B109" s="16">
        <f>B108+1</f>
        <v/>
      </c>
      <c r="C109" s="20">
        <f>TEXT(B109,"aaa")</f>
        <v/>
      </c>
      <c r="D109" s="20" t="inlineStr">
        <is>
          <t>네이버 브랜드검색</t>
        </is>
      </c>
      <c r="E109" s="20" t="inlineStr">
        <is>
          <t>고체향수</t>
        </is>
      </c>
      <c r="K109" s="26">
        <f>600000/30</f>
        <v/>
      </c>
    </row>
    <row r="110" ht="16.5" customHeight="1" s="17">
      <c r="B110" s="16">
        <f>B109+1</f>
        <v/>
      </c>
      <c r="C110" s="20">
        <f>TEXT(B110,"aaa")</f>
        <v/>
      </c>
      <c r="D110" s="20" t="inlineStr">
        <is>
          <t>네이버 브랜드검색</t>
        </is>
      </c>
      <c r="E110" s="20" t="inlineStr">
        <is>
          <t>고체향수</t>
        </is>
      </c>
      <c r="K110" s="26">
        <f>600000/30</f>
        <v/>
      </c>
    </row>
    <row r="111" ht="16.5" customHeight="1" s="17">
      <c r="B111" s="16">
        <f>B110+1</f>
        <v/>
      </c>
      <c r="C111" s="20">
        <f>TEXT(B111,"aaa")</f>
        <v/>
      </c>
      <c r="D111" s="20" t="inlineStr">
        <is>
          <t>네이버 브랜드검색</t>
        </is>
      </c>
      <c r="E111" s="20" t="inlineStr">
        <is>
          <t>고체향수</t>
        </is>
      </c>
      <c r="K111" s="26">
        <f>600000/30</f>
        <v/>
      </c>
    </row>
    <row r="112" ht="16.5" customHeight="1" s="17">
      <c r="B112" s="16">
        <f>B111+1</f>
        <v/>
      </c>
      <c r="C112" s="20">
        <f>TEXT(B112,"aaa")</f>
        <v/>
      </c>
      <c r="D112" s="20" t="inlineStr">
        <is>
          <t>네이버 브랜드검색</t>
        </is>
      </c>
      <c r="E112" s="20" t="inlineStr">
        <is>
          <t>고체향수</t>
        </is>
      </c>
      <c r="K112" s="26">
        <f>600000/30</f>
        <v/>
      </c>
    </row>
    <row r="113" ht="16.5" customHeight="1" s="17">
      <c r="B113" s="16">
        <f>B112+1</f>
        <v/>
      </c>
      <c r="C113" s="20">
        <f>TEXT(B113,"aaa")</f>
        <v/>
      </c>
      <c r="D113" s="20" t="inlineStr">
        <is>
          <t>네이버 브랜드검색</t>
        </is>
      </c>
      <c r="E113" s="20" t="inlineStr">
        <is>
          <t>고체향수</t>
        </is>
      </c>
      <c r="K113" s="26">
        <f>600000/30</f>
        <v/>
      </c>
    </row>
    <row r="114" ht="16.5" customHeight="1" s="17">
      <c r="B114" s="16">
        <f>B113+1</f>
        <v/>
      </c>
      <c r="C114" s="20">
        <f>TEXT(B114,"aaa")</f>
        <v/>
      </c>
      <c r="D114" s="20" t="inlineStr">
        <is>
          <t>네이버 브랜드검색</t>
        </is>
      </c>
      <c r="E114" s="20" t="inlineStr">
        <is>
          <t>고체향수</t>
        </is>
      </c>
      <c r="K114" s="26">
        <f>600000/30</f>
        <v/>
      </c>
    </row>
    <row r="115" ht="16.5" customHeight="1" s="17">
      <c r="B115" s="16">
        <f>B114+1</f>
        <v/>
      </c>
      <c r="C115" s="20">
        <f>TEXT(B115,"aaa")</f>
        <v/>
      </c>
      <c r="D115" s="20" t="inlineStr">
        <is>
          <t>네이버 브랜드검색</t>
        </is>
      </c>
      <c r="E115" s="20" t="inlineStr">
        <is>
          <t>고체향수</t>
        </is>
      </c>
      <c r="K115" s="26">
        <f>600000/30</f>
        <v/>
      </c>
    </row>
    <row r="116" ht="16.5" customHeight="1" s="17">
      <c r="B116" s="16">
        <f>B115+1</f>
        <v/>
      </c>
      <c r="C116" s="20">
        <f>TEXT(B116,"aaa")</f>
        <v/>
      </c>
      <c r="D116" s="20" t="inlineStr">
        <is>
          <t>네이버 브랜드검색</t>
        </is>
      </c>
      <c r="E116" s="20" t="inlineStr">
        <is>
          <t>고체향수</t>
        </is>
      </c>
      <c r="K116" s="26">
        <f>600000/30</f>
        <v/>
      </c>
    </row>
    <row r="117" ht="16.5" customHeight="1" s="17">
      <c r="B117" s="16">
        <f>B116+1</f>
        <v/>
      </c>
      <c r="C117" s="20">
        <f>TEXT(B117,"aaa")</f>
        <v/>
      </c>
      <c r="D117" s="20" t="inlineStr">
        <is>
          <t>네이버 브랜드검색</t>
        </is>
      </c>
      <c r="E117" s="20" t="inlineStr">
        <is>
          <t>고체향수</t>
        </is>
      </c>
      <c r="K117" s="26">
        <f>600000/30</f>
        <v/>
      </c>
    </row>
    <row r="118" ht="16.5" customHeight="1" s="17">
      <c r="B118" s="16">
        <f>B117+1</f>
        <v/>
      </c>
      <c r="C118" s="20">
        <f>TEXT(B118,"aaa")</f>
        <v/>
      </c>
      <c r="D118" s="20" t="inlineStr">
        <is>
          <t>네이버 브랜드검색</t>
        </is>
      </c>
      <c r="E118" s="20" t="inlineStr">
        <is>
          <t>고체향수</t>
        </is>
      </c>
      <c r="K118" s="26">
        <f>600000/30</f>
        <v/>
      </c>
    </row>
    <row r="119" ht="16.5" customHeight="1" s="17">
      <c r="B119" s="16">
        <f>B118+1</f>
        <v/>
      </c>
      <c r="C119" s="20">
        <f>TEXT(B119,"aaa")</f>
        <v/>
      </c>
      <c r="D119" s="20" t="inlineStr">
        <is>
          <t>네이버 브랜드검색</t>
        </is>
      </c>
      <c r="E119" s="20" t="inlineStr">
        <is>
          <t>고체향수</t>
        </is>
      </c>
      <c r="K119" s="26">
        <f>600000/30</f>
        <v/>
      </c>
    </row>
    <row r="120" ht="16.5" customHeight="1" s="17">
      <c r="B120" s="16">
        <f>B119+1</f>
        <v/>
      </c>
      <c r="C120" s="20">
        <f>TEXT(B120,"aaa")</f>
        <v/>
      </c>
      <c r="D120" s="20" t="inlineStr">
        <is>
          <t>네이버 브랜드검색</t>
        </is>
      </c>
      <c r="E120" s="20" t="inlineStr">
        <is>
          <t>고체향수</t>
        </is>
      </c>
      <c r="K120" s="26">
        <f>600000/30</f>
        <v/>
      </c>
    </row>
    <row r="121" ht="16.5" customHeight="1" s="17">
      <c r="B121" s="16">
        <f>B120+1</f>
        <v/>
      </c>
      <c r="C121" s="20">
        <f>TEXT(B121,"aaa")</f>
        <v/>
      </c>
      <c r="D121" s="20" t="inlineStr">
        <is>
          <t>네이버 브랜드검색</t>
        </is>
      </c>
      <c r="E121" s="20" t="inlineStr">
        <is>
          <t>고체향수</t>
        </is>
      </c>
      <c r="K121" s="26">
        <f>600000/30</f>
        <v/>
      </c>
    </row>
    <row r="122" ht="16.5" customHeight="1" s="17">
      <c r="B122" s="16">
        <f>B121+1</f>
        <v/>
      </c>
      <c r="C122" s="20">
        <f>TEXT(B122,"aaa")</f>
        <v/>
      </c>
      <c r="D122" s="20" t="inlineStr">
        <is>
          <t>네이버 브랜드검색</t>
        </is>
      </c>
      <c r="E122" s="20" t="inlineStr">
        <is>
          <t>고체향수</t>
        </is>
      </c>
      <c r="K122" s="26">
        <f>600000/30</f>
        <v/>
      </c>
    </row>
    <row r="123" ht="16.5" customHeight="1" s="17">
      <c r="B123" s="16">
        <f>B122+1</f>
        <v/>
      </c>
      <c r="C123" s="20">
        <f>TEXT(B123,"aaa")</f>
        <v/>
      </c>
      <c r="D123" s="20" t="inlineStr">
        <is>
          <t>네이버 브랜드검색</t>
        </is>
      </c>
      <c r="E123" s="20" t="inlineStr">
        <is>
          <t>고체향수</t>
        </is>
      </c>
      <c r="K123" s="26">
        <f>600000/30</f>
        <v/>
      </c>
    </row>
    <row r="124" ht="16.5" customHeight="1" s="17">
      <c r="B124" s="16">
        <f>B123+1</f>
        <v/>
      </c>
      <c r="C124" s="20">
        <f>TEXT(B124,"aaa")</f>
        <v/>
      </c>
      <c r="D124" s="20" t="inlineStr">
        <is>
          <t>네이버 브랜드검색</t>
        </is>
      </c>
      <c r="E124" s="20" t="inlineStr">
        <is>
          <t>고체향수</t>
        </is>
      </c>
      <c r="K124" s="26">
        <f>600000/30</f>
        <v/>
      </c>
    </row>
    <row r="125" ht="16.5" customHeight="1" s="17">
      <c r="B125" s="16">
        <f>B124+1</f>
        <v/>
      </c>
      <c r="C125" s="20">
        <f>TEXT(B125,"aaa")</f>
        <v/>
      </c>
      <c r="D125" s="20" t="inlineStr">
        <is>
          <t>네이버 브랜드검색</t>
        </is>
      </c>
      <c r="E125" s="20" t="inlineStr">
        <is>
          <t>고체향수</t>
        </is>
      </c>
      <c r="K125" s="26">
        <f>600000/30</f>
        <v/>
      </c>
    </row>
    <row r="126" ht="16.5" customHeight="1" s="17">
      <c r="B126" s="16">
        <f>B125+1</f>
        <v/>
      </c>
      <c r="C126" s="20">
        <f>TEXT(B126,"aaa")</f>
        <v/>
      </c>
      <c r="D126" s="20" t="inlineStr">
        <is>
          <t>네이버 브랜드검색</t>
        </is>
      </c>
      <c r="E126" s="20" t="inlineStr">
        <is>
          <t>고체향수</t>
        </is>
      </c>
      <c r="K126" s="26">
        <f>600000/30</f>
        <v/>
      </c>
    </row>
    <row r="127" ht="16.5" customHeight="1" s="17">
      <c r="B127" s="16">
        <f>B126+1</f>
        <v/>
      </c>
      <c r="C127" s="20">
        <f>TEXT(B127,"aaa")</f>
        <v/>
      </c>
      <c r="D127" s="20" t="inlineStr">
        <is>
          <t>네이버 브랜드검색</t>
        </is>
      </c>
      <c r="E127" s="20" t="inlineStr">
        <is>
          <t>고체향수</t>
        </is>
      </c>
      <c r="K127" s="26">
        <f>600000/30</f>
        <v/>
      </c>
    </row>
    <row r="128" ht="16.5" customHeight="1" s="17">
      <c r="B128" s="16">
        <f>B127+1</f>
        <v/>
      </c>
      <c r="C128" s="20">
        <f>TEXT(B128,"aaa")</f>
        <v/>
      </c>
      <c r="D128" s="20" t="inlineStr">
        <is>
          <t>네이버 브랜드검색</t>
        </is>
      </c>
      <c r="E128" s="20" t="inlineStr">
        <is>
          <t>고체향수</t>
        </is>
      </c>
      <c r="K128" s="26">
        <f>600000/30</f>
        <v/>
      </c>
    </row>
    <row r="129" ht="16.5" customHeight="1" s="17">
      <c r="B129" s="16">
        <f>B128+1</f>
        <v/>
      </c>
      <c r="C129" s="20">
        <f>TEXT(B129,"aaa")</f>
        <v/>
      </c>
      <c r="D129" s="20" t="inlineStr">
        <is>
          <t>네이버 브랜드검색</t>
        </is>
      </c>
      <c r="E129" s="20" t="inlineStr">
        <is>
          <t>고체향수</t>
        </is>
      </c>
      <c r="K129" s="26">
        <f>600000/30</f>
        <v/>
      </c>
    </row>
    <row r="130" ht="16.5" customHeight="1" s="17">
      <c r="B130" s="16">
        <f>B129+1</f>
        <v/>
      </c>
      <c r="C130" s="20">
        <f>TEXT(B130,"aaa")</f>
        <v/>
      </c>
      <c r="D130" s="20" t="inlineStr">
        <is>
          <t>네이버 브랜드검색</t>
        </is>
      </c>
      <c r="E130" s="20" t="inlineStr">
        <is>
          <t>고체향수</t>
        </is>
      </c>
      <c r="K130" s="26">
        <f>600000/30</f>
        <v/>
      </c>
    </row>
    <row r="131" ht="16.5" customHeight="1" s="17">
      <c r="B131" s="16">
        <f>B130+1</f>
        <v/>
      </c>
      <c r="C131" s="20">
        <f>TEXT(B131,"aaa")</f>
        <v/>
      </c>
      <c r="D131" s="20" t="inlineStr">
        <is>
          <t>네이버 브랜드검색</t>
        </is>
      </c>
      <c r="E131" s="20" t="inlineStr">
        <is>
          <t>고체향수</t>
        </is>
      </c>
      <c r="K131" s="26">
        <f>600000/30</f>
        <v/>
      </c>
    </row>
    <row r="132" ht="16.5" customHeight="1" s="17">
      <c r="B132" s="16" t="n">
        <v>43990</v>
      </c>
      <c r="C132" s="20">
        <f>TEXT(B132,"aaa")</f>
        <v/>
      </c>
      <c r="D132" s="20" t="inlineStr">
        <is>
          <t>유튜브</t>
        </is>
      </c>
      <c r="E132" s="20" t="inlineStr">
        <is>
          <t>고체향수</t>
        </is>
      </c>
      <c r="F132" s="4" t="n"/>
      <c r="K132" s="20" t="n">
        <v>138745</v>
      </c>
    </row>
    <row r="133" ht="16.5" customHeight="1" s="17">
      <c r="B133" s="16" t="n">
        <v>43991</v>
      </c>
      <c r="C133" s="20">
        <f>TEXT(B133,"aaa")</f>
        <v/>
      </c>
      <c r="D133" s="20" t="inlineStr">
        <is>
          <t>유튜브</t>
        </is>
      </c>
      <c r="E133" s="20" t="inlineStr">
        <is>
          <t>고체향수</t>
        </is>
      </c>
      <c r="F133" s="4" t="n"/>
      <c r="K133" s="20" t="n">
        <v>91291</v>
      </c>
    </row>
    <row r="134" ht="16.5" customHeight="1" s="17">
      <c r="B134" s="16" t="n">
        <v>43992</v>
      </c>
      <c r="C134" s="20">
        <f>TEXT(B134,"aaa")</f>
        <v/>
      </c>
      <c r="D134" s="20" t="inlineStr">
        <is>
          <t>유튜브</t>
        </is>
      </c>
      <c r="E134" s="20" t="inlineStr">
        <is>
          <t>고체향수</t>
        </is>
      </c>
      <c r="F134" s="4" t="n"/>
      <c r="K134" s="20" t="n">
        <v>47913</v>
      </c>
    </row>
    <row r="135" ht="16.5" customHeight="1" s="17">
      <c r="B135" s="16" t="n">
        <v>43983</v>
      </c>
      <c r="C135" s="20">
        <f>TEXT(B135,"aaa")</f>
        <v/>
      </c>
      <c r="D135" s="20" t="inlineStr">
        <is>
          <t>기획사이다</t>
        </is>
      </c>
      <c r="E135" s="20" t="inlineStr">
        <is>
          <t>고체향수</t>
        </is>
      </c>
      <c r="K135" s="26">
        <f>5170000/1.1</f>
        <v/>
      </c>
    </row>
    <row r="136" ht="16.5" customHeight="1" s="17">
      <c r="B136" s="16" t="n">
        <v>44033</v>
      </c>
      <c r="C136" s="20">
        <f>TEXT(B136,"aaa")</f>
        <v/>
      </c>
      <c r="D136" s="20" t="inlineStr">
        <is>
          <t>페이스북/인스타그램</t>
        </is>
      </c>
      <c r="K136" s="20" t="n">
        <v>1763178</v>
      </c>
    </row>
    <row r="137" ht="16.5" customHeight="1" s="17">
      <c r="B137" s="16">
        <f>B136+1</f>
        <v/>
      </c>
      <c r="C137" s="20">
        <f>TEXT(B137,"aaa")</f>
        <v/>
      </c>
      <c r="D137" s="20" t="inlineStr">
        <is>
          <t>페이스북/인스타그램</t>
        </is>
      </c>
      <c r="K137" s="20" t="n">
        <v>2026645</v>
      </c>
    </row>
    <row r="138" ht="16.5" customHeight="1" s="17">
      <c r="B138" s="16">
        <f>B137+1</f>
        <v/>
      </c>
      <c r="C138" s="20">
        <f>TEXT(B138,"aaa")</f>
        <v/>
      </c>
      <c r="D138" s="20" t="inlineStr">
        <is>
          <t>페이스북/인스타그램</t>
        </is>
      </c>
      <c r="K138" s="20" t="n">
        <v>2601081</v>
      </c>
    </row>
    <row r="139" ht="16.5" customHeight="1" s="17">
      <c r="B139" s="16">
        <f>B138+1</f>
        <v/>
      </c>
      <c r="C139" s="20">
        <f>TEXT(B139,"aaa")</f>
        <v/>
      </c>
      <c r="D139" s="20" t="inlineStr">
        <is>
          <t>페이스북/인스타그램</t>
        </is>
      </c>
      <c r="K139" s="20" t="n">
        <v>2917007</v>
      </c>
    </row>
    <row r="140" ht="16.5" customHeight="1" s="17">
      <c r="B140" s="16">
        <f>B139+1</f>
        <v/>
      </c>
      <c r="C140" s="20">
        <f>TEXT(B140,"aaa")</f>
        <v/>
      </c>
      <c r="D140" s="20" t="inlineStr">
        <is>
          <t>페이스북/인스타그램</t>
        </is>
      </c>
      <c r="K140" s="20" t="n">
        <v>2381826</v>
      </c>
    </row>
    <row r="141" ht="16.5" customHeight="1" s="17">
      <c r="B141" s="16">
        <f>B140+1</f>
        <v/>
      </c>
      <c r="C141" s="20">
        <f>TEXT(B141,"aaa")</f>
        <v/>
      </c>
      <c r="D141" s="20" t="inlineStr">
        <is>
          <t>페이스북/인스타그램</t>
        </is>
      </c>
      <c r="K141" s="20" t="n">
        <v>3509277</v>
      </c>
    </row>
    <row r="142" ht="16.5" customHeight="1" s="17">
      <c r="B142" s="16">
        <f>B141+1</f>
        <v/>
      </c>
      <c r="C142" s="20">
        <f>TEXT(B142,"aaa")</f>
        <v/>
      </c>
      <c r="D142" s="20" t="inlineStr">
        <is>
          <t>페이스북/인스타그램</t>
        </is>
      </c>
      <c r="K142" s="20" t="n">
        <v>2544193</v>
      </c>
    </row>
    <row r="143" ht="16.5" customHeight="1" s="17">
      <c r="B143" s="16">
        <f>B142+1</f>
        <v/>
      </c>
      <c r="C143" s="20">
        <f>TEXT(B143,"aaa")</f>
        <v/>
      </c>
      <c r="D143" s="20" t="inlineStr">
        <is>
          <t>페이스북/인스타그램</t>
        </is>
      </c>
      <c r="K143" s="20" t="n">
        <v>2684927</v>
      </c>
    </row>
    <row r="144" ht="16.5" customHeight="1" s="17">
      <c r="B144" s="16">
        <f>B143+1</f>
        <v/>
      </c>
      <c r="C144" s="20">
        <f>TEXT(B144,"aaa")</f>
        <v/>
      </c>
      <c r="D144" s="20" t="inlineStr">
        <is>
          <t>페이스북/인스타그램</t>
        </is>
      </c>
      <c r="K144" s="20" t="n">
        <v>1888783</v>
      </c>
    </row>
    <row r="145" ht="16.5" customHeight="1" s="17">
      <c r="B145" s="16">
        <f>B144+1</f>
        <v/>
      </c>
      <c r="C145" s="20">
        <f>TEXT(B145,"aaa")</f>
        <v/>
      </c>
      <c r="D145" s="20" t="inlineStr">
        <is>
          <t>페이스북/인스타그램</t>
        </is>
      </c>
      <c r="K145" s="20" t="n">
        <v>1325534</v>
      </c>
    </row>
    <row r="146" ht="16.5" customHeight="1" s="17">
      <c r="B146" s="16">
        <f>B145+1</f>
        <v/>
      </c>
      <c r="C146" s="20">
        <f>TEXT(B146,"aaa")</f>
        <v/>
      </c>
      <c r="D146" s="20" t="inlineStr">
        <is>
          <t>페이스북/인스타그램</t>
        </is>
      </c>
      <c r="K146" s="20" t="n">
        <v>1635202</v>
      </c>
    </row>
    <row r="147" ht="16.5" customHeight="1" s="17">
      <c r="B147" s="16">
        <f>B146+1</f>
        <v/>
      </c>
      <c r="C147" s="20">
        <f>TEXT(B147,"aaa")</f>
        <v/>
      </c>
      <c r="D147" s="20" t="inlineStr">
        <is>
          <t>페이스북/인스타그램</t>
        </is>
      </c>
      <c r="K147" s="20" t="n">
        <v>1353293</v>
      </c>
    </row>
    <row r="148" ht="16.5" customHeight="1" s="17">
      <c r="B148" s="16">
        <f>B147+1</f>
        <v/>
      </c>
      <c r="C148" s="20">
        <f>TEXT(B148,"aaa")</f>
        <v/>
      </c>
      <c r="D148" s="20" t="inlineStr">
        <is>
          <t>페이스북/인스타그램</t>
        </is>
      </c>
      <c r="K148" s="20" t="n">
        <v>1321069</v>
      </c>
    </row>
    <row r="149" ht="16.5" customHeight="1" s="17">
      <c r="B149" s="16">
        <f>B148+1</f>
        <v/>
      </c>
      <c r="C149" s="20">
        <f>TEXT(B149,"aaa")</f>
        <v/>
      </c>
      <c r="D149" s="20" t="inlineStr">
        <is>
          <t>페이스북/인스타그램</t>
        </is>
      </c>
      <c r="K149" s="20" t="n">
        <v>2196005</v>
      </c>
    </row>
    <row r="150" ht="16.5" customHeight="1" s="17">
      <c r="B150" s="16">
        <f>B149+1</f>
        <v/>
      </c>
      <c r="C150" s="20">
        <f>TEXT(B150,"aaa")</f>
        <v/>
      </c>
      <c r="D150" s="20" t="inlineStr">
        <is>
          <t>페이스북/인스타그램</t>
        </is>
      </c>
      <c r="K150" s="20" t="n">
        <v>1870810</v>
      </c>
    </row>
    <row r="151" ht="16.5" customHeight="1" s="17">
      <c r="B151" s="16">
        <f>B150+1</f>
        <v/>
      </c>
      <c r="C151" s="20">
        <f>TEXT(B151,"aaa")</f>
        <v/>
      </c>
      <c r="D151" s="20" t="inlineStr">
        <is>
          <t>페이스북/인스타그램</t>
        </is>
      </c>
      <c r="K151" s="20" t="n">
        <v>1585158</v>
      </c>
    </row>
    <row r="152" ht="16.5" customHeight="1" s="17">
      <c r="B152" s="16">
        <f>B151+1</f>
        <v/>
      </c>
      <c r="C152" s="20">
        <f>TEXT(B152,"aaa")</f>
        <v/>
      </c>
      <c r="D152" s="20" t="inlineStr">
        <is>
          <t>페이스북/인스타그램</t>
        </is>
      </c>
      <c r="K152" s="20" t="n">
        <v>1290778</v>
      </c>
    </row>
    <row r="153" ht="16.5" customHeight="1" s="17">
      <c r="B153" s="16">
        <f>B152+1</f>
        <v/>
      </c>
      <c r="C153" s="20">
        <f>TEXT(B153,"aaa")</f>
        <v/>
      </c>
      <c r="D153" s="20" t="inlineStr">
        <is>
          <t>페이스북/인스타그램</t>
        </is>
      </c>
      <c r="K153" s="20" t="n">
        <v>1460230</v>
      </c>
    </row>
    <row r="154" ht="16.5" customHeight="1" s="17">
      <c r="B154" s="16">
        <f>B153+1</f>
        <v/>
      </c>
      <c r="C154" s="20">
        <f>TEXT(B154,"aaa")</f>
        <v/>
      </c>
      <c r="D154" s="20" t="inlineStr">
        <is>
          <t>페이스북/인스타그램</t>
        </is>
      </c>
      <c r="K154" s="20" t="n">
        <v>1507885</v>
      </c>
    </row>
    <row r="155" ht="16.5" customHeight="1" s="17">
      <c r="B155" s="16">
        <f>B154+1</f>
        <v/>
      </c>
      <c r="C155" s="20">
        <f>TEXT(B155,"aaa")</f>
        <v/>
      </c>
      <c r="D155" s="20" t="inlineStr">
        <is>
          <t>페이스북/인스타그램</t>
        </is>
      </c>
      <c r="K155" s="20" t="n">
        <v>1617573</v>
      </c>
    </row>
    <row r="156" ht="16.5" customHeight="1" s="17">
      <c r="B156" s="16">
        <f>B155+1</f>
        <v/>
      </c>
      <c r="C156" s="20">
        <f>TEXT(B156,"aaa")</f>
        <v/>
      </c>
      <c r="D156" s="20" t="inlineStr">
        <is>
          <t>페이스북/인스타그램</t>
        </is>
      </c>
      <c r="K156" s="20" t="n">
        <v>1741039</v>
      </c>
    </row>
    <row r="157" ht="16.5" customHeight="1" s="17">
      <c r="B157" s="16">
        <f>B156+1</f>
        <v/>
      </c>
      <c r="C157" s="20">
        <f>TEXT(B157,"aaa")</f>
        <v/>
      </c>
      <c r="D157" s="20" t="inlineStr">
        <is>
          <t>페이스북/인스타그램</t>
        </is>
      </c>
      <c r="K157" s="20" t="n">
        <v>1747479</v>
      </c>
    </row>
    <row r="158" ht="16.5" customHeight="1" s="17">
      <c r="B158" s="16">
        <f>B157+1</f>
        <v/>
      </c>
      <c r="C158" s="20">
        <f>TEXT(B158,"aaa")</f>
        <v/>
      </c>
      <c r="D158" s="20" t="inlineStr">
        <is>
          <t>페이스북/인스타그램</t>
        </is>
      </c>
      <c r="K158" s="20" t="n">
        <v>1951239</v>
      </c>
    </row>
    <row r="159" ht="16.5" customHeight="1" s="17">
      <c r="B159" s="16">
        <f>B158+1</f>
        <v/>
      </c>
      <c r="C159" s="20">
        <f>TEXT(B159,"aaa")</f>
        <v/>
      </c>
      <c r="D159" s="20" t="inlineStr">
        <is>
          <t>페이스북/인스타그램</t>
        </is>
      </c>
      <c r="K159" s="20" t="n">
        <v>1634493</v>
      </c>
    </row>
    <row r="160" ht="16.5" customHeight="1" s="17">
      <c r="B160" s="16">
        <f>B159+1</f>
        <v/>
      </c>
      <c r="C160" s="20">
        <f>TEXT(B160,"aaa")</f>
        <v/>
      </c>
      <c r="D160" s="20" t="inlineStr">
        <is>
          <t>페이스북/인스타그램</t>
        </is>
      </c>
      <c r="K160" s="5" t="n">
        <v>1323227</v>
      </c>
    </row>
    <row r="161" ht="16.5" customHeight="1" s="17">
      <c r="B161" s="16">
        <f>B160+1</f>
        <v/>
      </c>
      <c r="C161" s="20">
        <f>TEXT(B161,"aaa")</f>
        <v/>
      </c>
      <c r="D161" s="20" t="inlineStr">
        <is>
          <t>페이스북/인스타그램</t>
        </is>
      </c>
      <c r="K161" s="20" t="n">
        <v>995395</v>
      </c>
    </row>
    <row r="162" ht="16.5" customHeight="1" s="17">
      <c r="B162" s="16">
        <f>B161+1</f>
        <v/>
      </c>
      <c r="C162" s="20">
        <f>TEXT(B162,"aaa")</f>
        <v/>
      </c>
      <c r="D162" s="20" t="inlineStr">
        <is>
          <t>페이스북/인스타그램</t>
        </is>
      </c>
      <c r="K162" s="20" t="n">
        <v>1013688</v>
      </c>
    </row>
    <row r="163" ht="16.5" customHeight="1" s="17">
      <c r="B163" s="16">
        <f>B162+1</f>
        <v/>
      </c>
      <c r="C163" s="20">
        <f>TEXT(B163,"aaa")</f>
        <v/>
      </c>
      <c r="D163" s="20" t="inlineStr">
        <is>
          <t>페이스북/인스타그램</t>
        </is>
      </c>
      <c r="K163" s="20" t="n">
        <v>1369854</v>
      </c>
    </row>
    <row r="164" ht="16.5" customHeight="1" s="17">
      <c r="B164" s="16">
        <f>B163+1</f>
        <v/>
      </c>
      <c r="C164" s="20">
        <f>TEXT(B164,"aaa")</f>
        <v/>
      </c>
      <c r="D164" s="20" t="inlineStr">
        <is>
          <t>페이스북/인스타그램</t>
        </is>
      </c>
      <c r="K164" s="20" t="n">
        <v>1442119</v>
      </c>
    </row>
    <row r="165" ht="16.5" customHeight="1" s="17">
      <c r="B165" s="16">
        <f>B164+1</f>
        <v/>
      </c>
      <c r="C165" s="20">
        <f>TEXT(B165,"aaa")</f>
        <v/>
      </c>
      <c r="D165" s="20" t="inlineStr">
        <is>
          <t>페이스북/인스타그램</t>
        </is>
      </c>
      <c r="K165" s="6" t="n">
        <v>1786142</v>
      </c>
    </row>
    <row r="166" ht="16.5" customHeight="1" s="17">
      <c r="B166" s="16">
        <f>B165+1</f>
        <v/>
      </c>
      <c r="C166" s="20">
        <f>TEXT(B166,"aaa")</f>
        <v/>
      </c>
      <c r="D166" s="20" t="inlineStr">
        <is>
          <t>페이스북/인스타그램</t>
        </is>
      </c>
      <c r="K166" s="6" t="n">
        <v>1889671</v>
      </c>
    </row>
    <row r="167" ht="16.5" customHeight="1" s="17">
      <c r="B167" s="16">
        <f>B166+1</f>
        <v/>
      </c>
      <c r="C167" s="20">
        <f>TEXT(B167,"aaa")</f>
        <v/>
      </c>
      <c r="D167" s="20" t="inlineStr">
        <is>
          <t>페이스북/인스타그램</t>
        </is>
      </c>
      <c r="K167" s="6" t="n">
        <v>1793441</v>
      </c>
    </row>
    <row r="168" ht="16.5" customHeight="1" s="17">
      <c r="B168" s="16">
        <f>B167+1</f>
        <v/>
      </c>
      <c r="C168" s="20">
        <f>TEXT(B168,"aaa")</f>
        <v/>
      </c>
      <c r="D168" s="20" t="inlineStr">
        <is>
          <t>페이스북/인스타그램</t>
        </is>
      </c>
      <c r="K168" s="6" t="n">
        <v>1439223</v>
      </c>
    </row>
    <row r="169" ht="16.5" customHeight="1" s="17">
      <c r="B169" s="16">
        <f>B168+1</f>
        <v/>
      </c>
      <c r="C169" s="20">
        <f>TEXT(B169,"aaa")</f>
        <v/>
      </c>
      <c r="D169" s="20" t="inlineStr">
        <is>
          <t>페이스북/인스타그램</t>
        </is>
      </c>
      <c r="K169" s="6" t="n">
        <v>1858292</v>
      </c>
    </row>
    <row r="170" ht="16.5" customHeight="1" s="17">
      <c r="B170" s="16">
        <f>B169+1</f>
        <v/>
      </c>
      <c r="C170" s="20">
        <f>TEXT(B170,"aaa")</f>
        <v/>
      </c>
      <c r="D170" s="20" t="inlineStr">
        <is>
          <t>페이스북/인스타그램</t>
        </is>
      </c>
      <c r="K170" s="6" t="n">
        <v>1904380</v>
      </c>
    </row>
    <row r="171" ht="16.5" customHeight="1" s="17">
      <c r="B171" s="16">
        <f>B170+1</f>
        <v/>
      </c>
      <c r="C171" s="20">
        <f>TEXT(B171,"aaa")</f>
        <v/>
      </c>
      <c r="D171" s="20" t="inlineStr">
        <is>
          <t>페이스북/인스타그램</t>
        </is>
      </c>
      <c r="K171" s="6" t="n">
        <v>1900368</v>
      </c>
    </row>
    <row r="172" ht="16.5" customHeight="1" s="17">
      <c r="B172" s="16">
        <f>B171+1</f>
        <v/>
      </c>
      <c r="C172" s="20">
        <f>TEXT(B172,"aaa")</f>
        <v/>
      </c>
      <c r="D172" s="20" t="inlineStr">
        <is>
          <t>페이스북/인스타그램</t>
        </is>
      </c>
      <c r="K172" s="6" t="n">
        <v>2016760</v>
      </c>
    </row>
    <row r="173" ht="16.5" customHeight="1" s="17">
      <c r="B173" s="16">
        <f>B172+1</f>
        <v/>
      </c>
      <c r="C173" s="20">
        <f>TEXT(B173,"aaa")</f>
        <v/>
      </c>
      <c r="D173" s="20" t="inlineStr">
        <is>
          <t>페이스북/인스타그램</t>
        </is>
      </c>
      <c r="K173" s="6" t="n">
        <v>1760782</v>
      </c>
    </row>
    <row r="174" ht="16.5" customHeight="1" s="17">
      <c r="B174" s="16">
        <f>B173+1</f>
        <v/>
      </c>
      <c r="C174" s="20">
        <f>TEXT(B174,"aaa")</f>
        <v/>
      </c>
      <c r="D174" s="20" t="inlineStr">
        <is>
          <t>페이스북/인스타그램</t>
        </is>
      </c>
      <c r="K174" s="6" t="n">
        <v>1694277</v>
      </c>
    </row>
    <row r="175" ht="16.5" customHeight="1" s="17">
      <c r="B175" s="16">
        <f>B174+1</f>
        <v/>
      </c>
      <c r="C175" s="20">
        <f>TEXT(B175,"aaa")</f>
        <v/>
      </c>
      <c r="D175" s="20" t="inlineStr">
        <is>
          <t>페이스북/인스타그램</t>
        </is>
      </c>
      <c r="K175" s="6" t="n">
        <v>1589744</v>
      </c>
    </row>
    <row r="176" ht="16.5" customHeight="1" s="17">
      <c r="B176" s="16">
        <f>B175+1</f>
        <v/>
      </c>
      <c r="C176" s="20">
        <f>TEXT(B176,"aaa")</f>
        <v/>
      </c>
      <c r="D176" s="20" t="inlineStr">
        <is>
          <t>페이스북/인스타그램</t>
        </is>
      </c>
      <c r="K176" s="6" t="n">
        <v>1804164</v>
      </c>
    </row>
    <row r="177" ht="16.5" customHeight="1" s="17">
      <c r="B177" s="16">
        <f>B176+1</f>
        <v/>
      </c>
      <c r="C177" s="20">
        <f>TEXT(B177,"aaa")</f>
        <v/>
      </c>
      <c r="D177" s="20" t="inlineStr">
        <is>
          <t>페이스북/인스타그램</t>
        </is>
      </c>
      <c r="K177" s="6" t="n">
        <v>2220566</v>
      </c>
    </row>
    <row r="178" ht="16.5" customHeight="1" s="17">
      <c r="B178" s="16">
        <f>B177+1</f>
        <v/>
      </c>
      <c r="C178" s="20">
        <f>TEXT(B178,"aaa")</f>
        <v/>
      </c>
      <c r="D178" s="20" t="inlineStr">
        <is>
          <t>페이스북/인스타그램</t>
        </is>
      </c>
      <c r="K178" s="6" t="n">
        <v>2172200</v>
      </c>
    </row>
    <row r="179" ht="16.5" customHeight="1" s="17">
      <c r="B179" s="16">
        <f>B178+1</f>
        <v/>
      </c>
      <c r="C179" s="20">
        <f>TEXT(B179,"aaa")</f>
        <v/>
      </c>
      <c r="D179" s="20" t="inlineStr">
        <is>
          <t>페이스북/인스타그램</t>
        </is>
      </c>
      <c r="K179" s="6" t="n">
        <v>2027733</v>
      </c>
    </row>
    <row r="180" ht="16.5" customHeight="1" s="17">
      <c r="B180" s="16">
        <f>B179+1</f>
        <v/>
      </c>
      <c r="C180" s="20">
        <f>TEXT(B180,"aaa")</f>
        <v/>
      </c>
      <c r="D180" s="20" t="inlineStr">
        <is>
          <t>페이스북/인스타그램</t>
        </is>
      </c>
      <c r="K180" s="6" t="n">
        <v>1887474</v>
      </c>
    </row>
    <row r="181" ht="16.5" customHeight="1" s="17">
      <c r="B181" s="16">
        <f>B180+1</f>
        <v/>
      </c>
      <c r="C181" s="20">
        <f>TEXT(B181,"aaa")</f>
        <v/>
      </c>
      <c r="D181" s="20" t="inlineStr">
        <is>
          <t>페이스북/인스타그램</t>
        </is>
      </c>
      <c r="K181" s="6" t="n">
        <v>1935877</v>
      </c>
    </row>
    <row r="182" ht="16.5" customHeight="1" s="17">
      <c r="B182" s="16">
        <f>B181+1</f>
        <v/>
      </c>
      <c r="C182" s="20">
        <f>TEXT(B182,"aaa")</f>
        <v/>
      </c>
      <c r="D182" s="20" t="inlineStr">
        <is>
          <t>페이스북/인스타그램</t>
        </is>
      </c>
      <c r="K182" s="6" t="n">
        <v>1762702</v>
      </c>
    </row>
    <row r="183" ht="16.5" customHeight="1" s="17">
      <c r="B183" s="16">
        <f>B182+1</f>
        <v/>
      </c>
      <c r="C183" s="20">
        <f>TEXT(B183,"aaa")</f>
        <v/>
      </c>
      <c r="D183" s="20" t="inlineStr">
        <is>
          <t>페이스북/인스타그램</t>
        </is>
      </c>
      <c r="K183" s="6" t="n">
        <v>1790570</v>
      </c>
    </row>
    <row r="184" ht="16.5" customHeight="1" s="17">
      <c r="B184" s="16">
        <f>B183+1</f>
        <v/>
      </c>
      <c r="C184" s="20">
        <f>TEXT(B184,"aaa")</f>
        <v/>
      </c>
      <c r="D184" s="20" t="inlineStr">
        <is>
          <t>페이스북/인스타그램</t>
        </is>
      </c>
      <c r="K184" s="6" t="n">
        <v>1783661</v>
      </c>
    </row>
    <row r="185" ht="16.5" customHeight="1" s="17">
      <c r="B185" s="16">
        <f>B184+1</f>
        <v/>
      </c>
      <c r="C185" s="20">
        <f>TEXT(B185,"aaa")</f>
        <v/>
      </c>
      <c r="D185" s="20" t="inlineStr">
        <is>
          <t>페이스북/인스타그램</t>
        </is>
      </c>
      <c r="K185" s="6" t="n">
        <v>1665216</v>
      </c>
    </row>
    <row r="186" ht="16.5" customHeight="1" s="17">
      <c r="B186" s="16">
        <f>B185+1</f>
        <v/>
      </c>
      <c r="C186" s="20">
        <f>TEXT(B186,"aaa")</f>
        <v/>
      </c>
      <c r="D186" s="20" t="inlineStr">
        <is>
          <t>페이스북/인스타그램</t>
        </is>
      </c>
      <c r="K186" s="6" t="n">
        <v>1702811</v>
      </c>
    </row>
    <row r="187" ht="16.5" customHeight="1" s="17">
      <c r="B187" s="16">
        <f>B186+1</f>
        <v/>
      </c>
      <c r="C187" s="20">
        <f>TEXT(B187,"aaa")</f>
        <v/>
      </c>
      <c r="D187" s="20" t="inlineStr">
        <is>
          <t>페이스북/인스타그램</t>
        </is>
      </c>
      <c r="K187" s="6" t="n">
        <v>1922127</v>
      </c>
    </row>
    <row r="188" ht="16.5" customHeight="1" s="17">
      <c r="B188" s="16">
        <f>B187+1</f>
        <v/>
      </c>
      <c r="C188" s="20">
        <f>TEXT(B188,"aaa")</f>
        <v/>
      </c>
      <c r="D188" s="20" t="inlineStr">
        <is>
          <t>페이스북/인스타그램</t>
        </is>
      </c>
      <c r="K188" s="20" t="n">
        <v>1798895</v>
      </c>
    </row>
    <row r="189" ht="16.5" customHeight="1" s="17">
      <c r="B189" s="16">
        <f>B188+1</f>
        <v/>
      </c>
      <c r="C189" s="20">
        <f>TEXT(B189,"aaa")</f>
        <v/>
      </c>
      <c r="D189" s="20" t="inlineStr">
        <is>
          <t>페이스북/인스타그램</t>
        </is>
      </c>
      <c r="K189" s="20" t="n">
        <v>1643292</v>
      </c>
    </row>
    <row r="190" ht="16.5" customHeight="1" s="17">
      <c r="B190" s="16">
        <f>B189+1</f>
        <v/>
      </c>
      <c r="C190" s="20">
        <f>TEXT(B190,"aaa")</f>
        <v/>
      </c>
      <c r="D190" s="20" t="inlineStr">
        <is>
          <t>페이스북/인스타그램</t>
        </is>
      </c>
      <c r="K190" s="20" t="n">
        <v>1703664</v>
      </c>
    </row>
    <row r="191" ht="16.5" customHeight="1" s="17">
      <c r="B191" s="16">
        <f>B190+1</f>
        <v/>
      </c>
      <c r="C191" s="20">
        <f>TEXT(B191,"aaa")</f>
        <v/>
      </c>
      <c r="D191" s="20" t="inlineStr">
        <is>
          <t>페이스북/인스타그램</t>
        </is>
      </c>
      <c r="K191" s="20" t="n">
        <v>1950145</v>
      </c>
    </row>
    <row r="192" ht="16.5" customHeight="1" s="17">
      <c r="B192" s="16">
        <f>B191+1</f>
        <v/>
      </c>
      <c r="C192" s="20">
        <f>TEXT(B192,"aaa")</f>
        <v/>
      </c>
      <c r="D192" s="20" t="inlineStr">
        <is>
          <t>페이스북/인스타그램</t>
        </is>
      </c>
      <c r="K192" s="20" t="n">
        <v>1865959</v>
      </c>
    </row>
    <row r="193" ht="16.5" customHeight="1" s="17">
      <c r="B193" s="16">
        <f>B192+1</f>
        <v/>
      </c>
      <c r="C193" s="20">
        <f>TEXT(B193,"aaa")</f>
        <v/>
      </c>
      <c r="D193" s="20" t="inlineStr">
        <is>
          <t>페이스북/인스타그램</t>
        </is>
      </c>
      <c r="K193" s="20" t="n">
        <v>1845485</v>
      </c>
    </row>
    <row r="194" ht="16.5" customHeight="1" s="17">
      <c r="B194" s="16">
        <f>B193+1</f>
        <v/>
      </c>
      <c r="C194" s="20">
        <f>TEXT(B194,"aaa")</f>
        <v/>
      </c>
      <c r="D194" s="20" t="inlineStr">
        <is>
          <t>페이스북/인스타그램</t>
        </is>
      </c>
      <c r="K194" s="20" t="n">
        <v>1785124</v>
      </c>
    </row>
    <row r="195" ht="16.5" customHeight="1" s="17">
      <c r="B195" s="16">
        <f>B194+1</f>
        <v/>
      </c>
      <c r="C195" s="20">
        <f>TEXT(B195,"aaa")</f>
        <v/>
      </c>
      <c r="D195" s="20" t="inlineStr">
        <is>
          <t>페이스북/인스타그램</t>
        </is>
      </c>
      <c r="K195" s="20" t="n">
        <v>2054944</v>
      </c>
    </row>
    <row r="196" ht="16.5" customHeight="1" s="17">
      <c r="B196" s="16">
        <f>B195+1</f>
        <v/>
      </c>
      <c r="C196" s="20">
        <f>TEXT(B196,"aaa")</f>
        <v/>
      </c>
      <c r="D196" s="20" t="inlineStr">
        <is>
          <t>페이스북/인스타그램</t>
        </is>
      </c>
      <c r="K196" s="20" t="n">
        <v>1848540</v>
      </c>
    </row>
    <row r="197" ht="16.5" customHeight="1" s="17">
      <c r="B197" s="16">
        <f>B196+1</f>
        <v/>
      </c>
      <c r="C197" s="20">
        <f>TEXT(B197,"aaa")</f>
        <v/>
      </c>
      <c r="D197" s="20" t="inlineStr">
        <is>
          <t>페이스북/인스타그램</t>
        </is>
      </c>
      <c r="K197" s="6" t="n">
        <v>2092786</v>
      </c>
    </row>
    <row r="198" ht="16.5" customHeight="1" s="17">
      <c r="B198" s="16">
        <f>B197+1</f>
        <v/>
      </c>
      <c r="C198" s="20">
        <f>TEXT(B198,"aaa")</f>
        <v/>
      </c>
      <c r="D198" s="20" t="inlineStr">
        <is>
          <t>페이스북/인스타그램</t>
        </is>
      </c>
      <c r="K198" s="20" t="n">
        <v>2428882</v>
      </c>
    </row>
    <row r="199" ht="16.5" customHeight="1" s="17">
      <c r="B199" s="16">
        <f>B198+1</f>
        <v/>
      </c>
      <c r="C199" s="20">
        <f>TEXT(B199,"aaa")</f>
        <v/>
      </c>
      <c r="D199" s="20" t="inlineStr">
        <is>
          <t>페이스북/인스타그램</t>
        </is>
      </c>
      <c r="K199" s="20" t="n">
        <v>2347547</v>
      </c>
    </row>
    <row r="200" ht="16.5" customHeight="1" s="17">
      <c r="B200" s="16">
        <f>B199+1</f>
        <v/>
      </c>
      <c r="C200" s="20">
        <f>TEXT(B200,"aaa")</f>
        <v/>
      </c>
      <c r="D200" s="20" t="inlineStr">
        <is>
          <t>페이스북/인스타그램</t>
        </is>
      </c>
      <c r="K200" s="20" t="n">
        <v>2632496</v>
      </c>
    </row>
    <row r="201" ht="16.5" customHeight="1" s="17">
      <c r="B201" s="16">
        <f>B200+1</f>
        <v/>
      </c>
      <c r="C201" s="20">
        <f>TEXT(B201,"aaa")</f>
        <v/>
      </c>
      <c r="D201" s="20" t="inlineStr">
        <is>
          <t>페이스북/인스타그램</t>
        </is>
      </c>
      <c r="K201" s="20" t="n">
        <v>2558867</v>
      </c>
    </row>
    <row r="202" ht="16.5" customHeight="1" s="17">
      <c r="B202" s="16">
        <f>B201+1</f>
        <v/>
      </c>
      <c r="C202" s="20">
        <f>TEXT(B202,"aaa")</f>
        <v/>
      </c>
      <c r="D202" s="20" t="inlineStr">
        <is>
          <t>페이스북/인스타그램</t>
        </is>
      </c>
      <c r="K202" s="7" t="n">
        <v>2592883</v>
      </c>
    </row>
    <row r="203" ht="16.5" customHeight="1" s="17">
      <c r="B203" s="16">
        <f>B202+1</f>
        <v/>
      </c>
      <c r="C203" s="20">
        <f>TEXT(B203,"aaa")</f>
        <v/>
      </c>
      <c r="D203" s="20" t="inlineStr">
        <is>
          <t>페이스북/인스타그램</t>
        </is>
      </c>
      <c r="K203" s="7" t="n">
        <v>2876765</v>
      </c>
    </row>
    <row r="204" ht="16.5" customHeight="1" s="17">
      <c r="B204" s="16">
        <f>B203+1</f>
        <v/>
      </c>
      <c r="C204" s="20">
        <f>TEXT(B204,"aaa")</f>
        <v/>
      </c>
      <c r="D204" s="20" t="inlineStr">
        <is>
          <t>페이스북/인스타그램</t>
        </is>
      </c>
      <c r="K204" s="7" t="n">
        <v>3087637</v>
      </c>
    </row>
    <row r="205" ht="16.5" customHeight="1" s="17">
      <c r="B205" s="16">
        <f>B204+1</f>
        <v/>
      </c>
      <c r="C205" s="20">
        <f>TEXT(B205,"aaa")</f>
        <v/>
      </c>
      <c r="D205" s="20" t="inlineStr">
        <is>
          <t>페이스북/인스타그램</t>
        </is>
      </c>
      <c r="K205" s="7" t="n">
        <v>3068541</v>
      </c>
    </row>
    <row r="206" ht="16.5" customHeight="1" s="17">
      <c r="B206" s="16">
        <f>B205+1</f>
        <v/>
      </c>
      <c r="C206" s="20">
        <f>TEXT(B206,"aaa")</f>
        <v/>
      </c>
      <c r="D206" s="20" t="inlineStr">
        <is>
          <t>페이스북/인스타그램</t>
        </is>
      </c>
      <c r="K206" s="7" t="n">
        <v>3570232</v>
      </c>
    </row>
    <row r="207" ht="16.5" customHeight="1" s="17">
      <c r="B207" s="16">
        <f>B206+1</f>
        <v/>
      </c>
      <c r="C207" s="20">
        <f>TEXT(B207,"aaa")</f>
        <v/>
      </c>
      <c r="D207" s="20" t="inlineStr">
        <is>
          <t>페이스북/인스타그램</t>
        </is>
      </c>
      <c r="K207" s="7" t="n">
        <v>3935350</v>
      </c>
    </row>
    <row r="208" ht="16.5" customHeight="1" s="17">
      <c r="B208" s="16">
        <f>B207+1</f>
        <v/>
      </c>
      <c r="C208" s="20">
        <f>TEXT(B208,"aaa")</f>
        <v/>
      </c>
      <c r="D208" s="20" t="inlineStr">
        <is>
          <t>페이스북/인스타그램</t>
        </is>
      </c>
      <c r="K208" s="7" t="n">
        <v>4194609</v>
      </c>
    </row>
    <row r="209" ht="16.5" customHeight="1" s="17">
      <c r="B209" s="16">
        <f>B208+1</f>
        <v/>
      </c>
      <c r="C209" s="20">
        <f>TEXT(B209,"aaa")</f>
        <v/>
      </c>
      <c r="D209" s="20" t="inlineStr">
        <is>
          <t>페이스북/인스타그램</t>
        </is>
      </c>
      <c r="K209" s="7" t="n">
        <v>4042480</v>
      </c>
    </row>
    <row r="210" ht="16.5" customHeight="1" s="17">
      <c r="B210" s="16">
        <f>B209+1</f>
        <v/>
      </c>
      <c r="C210" s="20">
        <f>TEXT(B210,"aaa")</f>
        <v/>
      </c>
      <c r="D210" s="20" t="inlineStr">
        <is>
          <t>페이스북/인스타그램</t>
        </is>
      </c>
      <c r="K210" s="7" t="n">
        <v>4286573</v>
      </c>
    </row>
    <row r="211" ht="16.5" customHeight="1" s="17">
      <c r="B211" s="16">
        <f>B210+1</f>
        <v/>
      </c>
      <c r="C211" s="20">
        <f>TEXT(B211,"aaa")</f>
        <v/>
      </c>
      <c r="D211" s="20" t="inlineStr">
        <is>
          <t>페이스북/인스타그램</t>
        </is>
      </c>
      <c r="K211" s="7" t="n">
        <v>4321892</v>
      </c>
    </row>
    <row r="212" ht="16.5" customHeight="1" s="17">
      <c r="B212" s="16">
        <f>B211+1</f>
        <v/>
      </c>
      <c r="C212" s="20">
        <f>TEXT(B212,"aaa")</f>
        <v/>
      </c>
      <c r="D212" s="20" t="inlineStr">
        <is>
          <t>페이스북/인스타그램</t>
        </is>
      </c>
      <c r="K212" s="8" t="n">
        <v>3497320</v>
      </c>
    </row>
    <row r="213" ht="16.5" customHeight="1" s="17">
      <c r="B213" s="16">
        <f>B212+1</f>
        <v/>
      </c>
      <c r="C213" s="20">
        <f>TEXT(B213,"aaa")</f>
        <v/>
      </c>
      <c r="D213" s="20" t="inlineStr">
        <is>
          <t>페이스북/인스타그램</t>
        </is>
      </c>
      <c r="K213" s="8" t="n">
        <v>3952055</v>
      </c>
    </row>
    <row r="214" ht="16.5" customHeight="1" s="17">
      <c r="B214" s="16">
        <f>B213+1</f>
        <v/>
      </c>
      <c r="C214" s="20">
        <f>TEXT(B214,"aaa")</f>
        <v/>
      </c>
      <c r="D214" s="20" t="inlineStr">
        <is>
          <t>페이스북/인스타그램</t>
        </is>
      </c>
      <c r="K214" s="7" t="n">
        <v>4178698</v>
      </c>
    </row>
    <row r="215" ht="16.5" customHeight="1" s="17">
      <c r="B215" s="16">
        <f>B214+1</f>
        <v/>
      </c>
      <c r="C215" s="20">
        <f>TEXT(B215,"aaa")</f>
        <v/>
      </c>
      <c r="D215" s="20" t="inlineStr">
        <is>
          <t>페이스북/인스타그램</t>
        </is>
      </c>
      <c r="K215" s="7" t="n">
        <v>3909871</v>
      </c>
    </row>
    <row r="216" ht="16.5" customHeight="1" s="17">
      <c r="B216" s="16">
        <f>B215+1</f>
        <v/>
      </c>
      <c r="C216" s="20">
        <f>TEXT(B216,"aaa")</f>
        <v/>
      </c>
      <c r="D216" s="20" t="inlineStr">
        <is>
          <t>페이스북/인스타그램</t>
        </is>
      </c>
      <c r="K216" s="7" t="n">
        <v>4965656</v>
      </c>
    </row>
    <row r="217" ht="16.5" customHeight="1" s="17">
      <c r="B217" s="16">
        <f>B216+1</f>
        <v/>
      </c>
      <c r="C217" s="20">
        <f>TEXT(B217,"aaa")</f>
        <v/>
      </c>
      <c r="D217" s="20" t="inlineStr">
        <is>
          <t>페이스북/인스타그램</t>
        </is>
      </c>
      <c r="K217" s="7" t="n">
        <v>5104416</v>
      </c>
    </row>
    <row r="218" ht="16.5" customHeight="1" s="17">
      <c r="B218" s="16">
        <f>B217+1</f>
        <v/>
      </c>
      <c r="C218" s="20">
        <f>TEXT(B218,"aaa")</f>
        <v/>
      </c>
      <c r="D218" s="20" t="inlineStr">
        <is>
          <t>페이스북/인스타그램</t>
        </is>
      </c>
      <c r="K218" s="7" t="n">
        <v>5124673</v>
      </c>
    </row>
    <row r="219" ht="16.5" customHeight="1" s="17">
      <c r="B219" s="16">
        <f>B218+1</f>
        <v/>
      </c>
      <c r="C219" s="20">
        <f>TEXT(B219,"aaa")</f>
        <v/>
      </c>
      <c r="D219" s="20" t="inlineStr">
        <is>
          <t>페이스북/인스타그램</t>
        </is>
      </c>
      <c r="K219" s="7" t="n">
        <v>5429661</v>
      </c>
    </row>
    <row r="220" ht="16.5" customHeight="1" s="17">
      <c r="B220" s="16">
        <f>B219+1</f>
        <v/>
      </c>
      <c r="C220" s="20">
        <f>TEXT(B220,"aaa")</f>
        <v/>
      </c>
      <c r="D220" s="20" t="inlineStr">
        <is>
          <t>페이스북/인스타그램</t>
        </is>
      </c>
      <c r="K220" s="7" t="n">
        <v>5749470</v>
      </c>
    </row>
    <row r="221" ht="16.5" customHeight="1" s="17">
      <c r="B221" s="16">
        <f>B220+1</f>
        <v/>
      </c>
      <c r="C221" s="20">
        <f>TEXT(B221,"aaa")</f>
        <v/>
      </c>
      <c r="D221" s="20" t="inlineStr">
        <is>
          <t>페이스북/인스타그램</t>
        </is>
      </c>
      <c r="K221" s="7" t="n">
        <v>5918409</v>
      </c>
    </row>
    <row r="222" ht="17.1" customHeight="1" s="17" thickBot="1">
      <c r="B222" s="16">
        <f>B221+1</f>
        <v/>
      </c>
      <c r="C222" s="20">
        <f>TEXT(B222,"aaa")</f>
        <v/>
      </c>
      <c r="D222" s="20" t="inlineStr">
        <is>
          <t>페이스북/인스타그램</t>
        </is>
      </c>
      <c r="K222" s="7" t="n">
        <v>5660700</v>
      </c>
    </row>
    <row r="223" ht="17.1" customHeight="1" s="17" thickBot="1">
      <c r="B223" s="16">
        <f>B222+1</f>
        <v/>
      </c>
      <c r="C223" s="20">
        <f>TEXT(B223,"aaa")</f>
        <v/>
      </c>
      <c r="D223" s="20" t="inlineStr">
        <is>
          <t>페이스북/인스타그램</t>
        </is>
      </c>
      <c r="K223" s="7" t="n">
        <v>5423171</v>
      </c>
    </row>
    <row r="224" ht="17.1" customHeight="1" s="17" thickBot="1">
      <c r="B224" s="16">
        <f>B223+1</f>
        <v/>
      </c>
      <c r="C224" s="20">
        <f>TEXT(B224,"aaa")</f>
        <v/>
      </c>
      <c r="D224" s="20" t="inlineStr">
        <is>
          <t>페이스북/인스타그램</t>
        </is>
      </c>
      <c r="K224" s="7" t="n">
        <v>5538240</v>
      </c>
    </row>
    <row r="225" ht="17.1" customHeight="1" s="17" thickBot="1">
      <c r="B225" s="16">
        <f>B224+1</f>
        <v/>
      </c>
      <c r="C225" s="20">
        <f>TEXT(B225,"aaa")</f>
        <v/>
      </c>
      <c r="D225" s="20" t="inlineStr">
        <is>
          <t>페이스북/인스타그램</t>
        </is>
      </c>
      <c r="K225" s="7" t="n">
        <v>5823280</v>
      </c>
    </row>
    <row r="226" ht="17.1" customHeight="1" s="17" thickBot="1">
      <c r="B226" s="16">
        <f>B225+1</f>
        <v/>
      </c>
      <c r="C226" s="20">
        <f>TEXT(B226,"aaa")</f>
        <v/>
      </c>
      <c r="D226" s="20" t="inlineStr">
        <is>
          <t>페이스북/인스타그램</t>
        </is>
      </c>
      <c r="K226" s="7" t="n">
        <v>5956853</v>
      </c>
    </row>
    <row r="227" ht="17.1" customHeight="1" s="17" thickBot="1">
      <c r="B227" s="16">
        <f>B226+1</f>
        <v/>
      </c>
      <c r="C227" s="20">
        <f>TEXT(B227,"aaa")</f>
        <v/>
      </c>
      <c r="D227" s="20" t="inlineStr">
        <is>
          <t>페이스북/인스타그램</t>
        </is>
      </c>
      <c r="K227" s="7" t="n">
        <v>6301841</v>
      </c>
    </row>
    <row r="228" ht="16.5" customHeight="1" s="17">
      <c r="B228" s="16">
        <f>B227+1</f>
        <v/>
      </c>
      <c r="C228" s="20">
        <f>TEXT(B228,"aaa")</f>
        <v/>
      </c>
      <c r="D228" s="20" t="inlineStr">
        <is>
          <t>페이스북/인스타그램</t>
        </is>
      </c>
      <c r="K228" s="7" t="n">
        <v>6577186</v>
      </c>
    </row>
    <row r="229" ht="16.5" customHeight="1" s="17">
      <c r="B229" s="16">
        <f>B228+1</f>
        <v/>
      </c>
      <c r="C229" s="20">
        <f>TEXT(B229,"aaa")</f>
        <v/>
      </c>
      <c r="D229" s="20" t="inlineStr">
        <is>
          <t>페이스북/인스타그램</t>
        </is>
      </c>
      <c r="K229" s="7" t="n">
        <v>6318505</v>
      </c>
    </row>
    <row r="230" ht="16.5" customHeight="1" s="17">
      <c r="B230" s="16">
        <f>B229+1</f>
        <v/>
      </c>
      <c r="C230" s="20">
        <f>TEXT(B230,"aaa")</f>
        <v/>
      </c>
      <c r="D230" s="20" t="inlineStr">
        <is>
          <t>페이스북/인스타그램</t>
        </is>
      </c>
      <c r="K230" s="20" t="n">
        <v>5901422</v>
      </c>
    </row>
    <row r="231" ht="16.5" customHeight="1" s="17">
      <c r="B231" s="16">
        <f>B230+1</f>
        <v/>
      </c>
      <c r="C231" s="20">
        <f>TEXT(B231,"aaa")</f>
        <v/>
      </c>
      <c r="D231" s="20" t="inlineStr">
        <is>
          <t>페이스북/인스타그램</t>
        </is>
      </c>
      <c r="K231" s="20" t="n">
        <v>5827226</v>
      </c>
    </row>
    <row r="232" ht="16.5" customHeight="1" s="17">
      <c r="B232" s="16">
        <f>B231+1</f>
        <v/>
      </c>
      <c r="C232" s="20">
        <f>TEXT(B232,"aaa")</f>
        <v/>
      </c>
      <c r="D232" s="20" t="inlineStr">
        <is>
          <t>페이스북/인스타그램</t>
        </is>
      </c>
      <c r="K232" s="20" t="n">
        <v>5722965</v>
      </c>
    </row>
    <row r="233" ht="16.5" customHeight="1" s="17">
      <c r="B233" s="16">
        <f>B232+1</f>
        <v/>
      </c>
      <c r="C233" s="20">
        <f>TEXT(B233,"aaa")</f>
        <v/>
      </c>
      <c r="D233" s="20" t="inlineStr">
        <is>
          <t>페이스북/인스타그램</t>
        </is>
      </c>
      <c r="K233" s="20" t="n">
        <v>5965586</v>
      </c>
    </row>
    <row r="234" ht="16.5" customHeight="1" s="17">
      <c r="B234" s="16">
        <f>B233+1</f>
        <v/>
      </c>
      <c r="C234" s="20">
        <f>TEXT(B234,"aaa")</f>
        <v/>
      </c>
      <c r="D234" s="20" t="inlineStr">
        <is>
          <t>페이스북/인스타그램</t>
        </is>
      </c>
      <c r="K234" s="20" t="n">
        <v>6733643</v>
      </c>
    </row>
    <row r="235" ht="16.5" customHeight="1" s="17">
      <c r="B235" s="16">
        <f>B234+1</f>
        <v/>
      </c>
      <c r="C235" s="20">
        <f>TEXT(B235,"aaa")</f>
        <v/>
      </c>
      <c r="D235" s="20" t="inlineStr">
        <is>
          <t>페이스북/인스타그램</t>
        </is>
      </c>
      <c r="K235" s="20" t="n">
        <v>6362911</v>
      </c>
    </row>
    <row r="236" ht="16.5" customHeight="1" s="17">
      <c r="B236" s="16">
        <f>B235+1</f>
        <v/>
      </c>
      <c r="C236" s="20">
        <f>TEXT(B236,"aaa")</f>
        <v/>
      </c>
      <c r="D236" s="20" t="inlineStr">
        <is>
          <t>페이스북/인스타그램</t>
        </is>
      </c>
      <c r="K236" s="20" t="n">
        <v>5411754</v>
      </c>
    </row>
    <row r="237" ht="16.5" customHeight="1" s="17">
      <c r="B237" s="16">
        <f>B236+1</f>
        <v/>
      </c>
      <c r="C237" s="20">
        <f>TEXT(B237,"aaa")</f>
        <v/>
      </c>
      <c r="D237" s="20" t="inlineStr">
        <is>
          <t>페이스북/인스타그램</t>
        </is>
      </c>
      <c r="K237" s="20" t="n">
        <v>5158645</v>
      </c>
    </row>
    <row r="238" ht="16.5" customHeight="1" s="17">
      <c r="B238" s="16">
        <f>B237+1</f>
        <v/>
      </c>
      <c r="C238" s="20">
        <f>TEXT(B238,"aaa")</f>
        <v/>
      </c>
      <c r="D238" s="20" t="inlineStr">
        <is>
          <t>페이스북/인스타그램</t>
        </is>
      </c>
      <c r="K238" s="20" t="n">
        <v>5393829</v>
      </c>
    </row>
    <row r="239" ht="16.5" customHeight="1" s="17">
      <c r="B239" s="16">
        <f>B238+1</f>
        <v/>
      </c>
      <c r="C239" s="20">
        <f>TEXT(B239,"aaa")</f>
        <v/>
      </c>
      <c r="D239" s="20" t="inlineStr">
        <is>
          <t>페이스북/인스타그램</t>
        </is>
      </c>
      <c r="K239" s="20" t="n">
        <v>5259332</v>
      </c>
    </row>
    <row r="240" ht="16.5" customHeight="1" s="17">
      <c r="B240" s="16">
        <f>B239+1</f>
        <v/>
      </c>
      <c r="C240" s="20">
        <f>TEXT(B240,"aaa")</f>
        <v/>
      </c>
      <c r="D240" s="20" t="inlineStr">
        <is>
          <t>페이스북/인스타그램</t>
        </is>
      </c>
      <c r="K240" s="20" t="n">
        <v>5061677</v>
      </c>
    </row>
    <row r="241" ht="16.5" customHeight="1" s="17">
      <c r="B241" s="16">
        <f>B240+1</f>
        <v/>
      </c>
      <c r="C241" s="20">
        <f>TEXT(B241,"aaa")</f>
        <v/>
      </c>
      <c r="D241" s="20" t="inlineStr">
        <is>
          <t>페이스북/인스타그램</t>
        </is>
      </c>
      <c r="K241" s="20" t="n">
        <v>5418913</v>
      </c>
    </row>
    <row r="242" ht="16.5" customHeight="1" s="17">
      <c r="B242" s="16">
        <f>B241+1</f>
        <v/>
      </c>
      <c r="C242" s="20">
        <f>TEXT(B242,"aaa")</f>
        <v/>
      </c>
      <c r="D242" s="20" t="inlineStr">
        <is>
          <t>페이스북/인스타그램</t>
        </is>
      </c>
      <c r="K242" s="20" t="n">
        <v>5769473</v>
      </c>
    </row>
    <row r="243" ht="16.5" customHeight="1" s="17">
      <c r="B243" s="16">
        <f>B242+1</f>
        <v/>
      </c>
      <c r="C243" s="20">
        <f>TEXT(B243,"aaa")</f>
        <v/>
      </c>
      <c r="D243" s="20" t="inlineStr">
        <is>
          <t>페이스북/인스타그램</t>
        </is>
      </c>
      <c r="K243" s="20" t="n">
        <v>5089776</v>
      </c>
    </row>
    <row r="244" ht="16.5" customHeight="1" s="17">
      <c r="B244" s="16">
        <f>B243+1</f>
        <v/>
      </c>
      <c r="C244" s="20">
        <f>TEXT(B244,"aaa")</f>
        <v/>
      </c>
      <c r="D244" s="20" t="inlineStr">
        <is>
          <t>페이스북/인스타그램</t>
        </is>
      </c>
      <c r="K244" s="20" t="n">
        <v>4755724</v>
      </c>
    </row>
    <row r="245" ht="16.5" customHeight="1" s="17">
      <c r="B245" s="16">
        <f>B244+1</f>
        <v/>
      </c>
      <c r="C245" s="20">
        <f>TEXT(B245,"aaa")</f>
        <v/>
      </c>
      <c r="D245" s="20" t="inlineStr">
        <is>
          <t>페이스북/인스타그램</t>
        </is>
      </c>
      <c r="K245" s="20" t="n">
        <v>5029674</v>
      </c>
    </row>
    <row r="246" ht="16.5" customHeight="1" s="17">
      <c r="B246" s="16">
        <f>B245+1</f>
        <v/>
      </c>
      <c r="C246" s="20">
        <f>TEXT(B246,"aaa")</f>
        <v/>
      </c>
      <c r="D246" s="20" t="inlineStr">
        <is>
          <t>페이스북/인스타그램</t>
        </is>
      </c>
      <c r="K246" s="20" t="n">
        <v>5026491</v>
      </c>
    </row>
    <row r="247" ht="16.5" customHeight="1" s="17">
      <c r="B247" s="16">
        <f>B246+1</f>
        <v/>
      </c>
      <c r="C247" s="20">
        <f>TEXT(B247,"aaa")</f>
        <v/>
      </c>
      <c r="D247" s="20" t="inlineStr">
        <is>
          <t>페이스북/인스타그램</t>
        </is>
      </c>
      <c r="K247" s="20" t="n">
        <v>4981840</v>
      </c>
    </row>
    <row r="248" ht="16.5" customHeight="1" s="17">
      <c r="B248" s="16">
        <f>B247+1</f>
        <v/>
      </c>
      <c r="C248" s="20">
        <f>TEXT(B248,"aaa")</f>
        <v/>
      </c>
      <c r="D248" s="20" t="inlineStr">
        <is>
          <t>페이스북/인스타그램</t>
        </is>
      </c>
      <c r="K248" s="20" t="n">
        <v>5098311</v>
      </c>
    </row>
    <row r="249" ht="16.5" customHeight="1" s="17">
      <c r="B249" s="16">
        <f>B248+1</f>
        <v/>
      </c>
      <c r="C249" s="20">
        <f>TEXT(B249,"aaa")</f>
        <v/>
      </c>
      <c r="D249" s="20" t="inlineStr">
        <is>
          <t>페이스북/인스타그램</t>
        </is>
      </c>
      <c r="K249" s="20" t="n">
        <v>5288679</v>
      </c>
    </row>
    <row r="250" ht="16.5" customHeight="1" s="17">
      <c r="B250" s="16">
        <f>B249+1</f>
        <v/>
      </c>
      <c r="C250" s="20">
        <f>TEXT(B250,"aaa")</f>
        <v/>
      </c>
      <c r="D250" s="20" t="inlineStr">
        <is>
          <t>페이스북/인스타그램</t>
        </is>
      </c>
      <c r="K250" s="20" t="n">
        <v>5214059</v>
      </c>
    </row>
    <row r="251" ht="16.5" customHeight="1" s="17">
      <c r="B251" s="16">
        <f>B250+1</f>
        <v/>
      </c>
      <c r="C251" s="20">
        <f>TEXT(B251,"aaa")</f>
        <v/>
      </c>
      <c r="D251" s="20" t="inlineStr">
        <is>
          <t>페이스북/인스타그램</t>
        </is>
      </c>
      <c r="K251" s="20" t="n">
        <v>4780271</v>
      </c>
    </row>
    <row r="252" ht="16.5" customHeight="1" s="17">
      <c r="B252" s="16">
        <f>B251+1</f>
        <v/>
      </c>
      <c r="C252" s="20">
        <f>TEXT(B252,"aaa")</f>
        <v/>
      </c>
      <c r="D252" s="20" t="inlineStr">
        <is>
          <t>페이스북/인스타그램</t>
        </is>
      </c>
      <c r="K252" s="20" t="n">
        <v>5040650</v>
      </c>
    </row>
    <row r="253" ht="16.5" customHeight="1" s="17">
      <c r="B253" s="16">
        <f>B252+1</f>
        <v/>
      </c>
      <c r="C253" s="20">
        <f>TEXT(B253,"aaa")</f>
        <v/>
      </c>
      <c r="D253" s="20" t="inlineStr">
        <is>
          <t>페이스북/인스타그램</t>
        </is>
      </c>
      <c r="K253" s="20" t="n">
        <v>4563528</v>
      </c>
    </row>
    <row r="254" ht="16.5" customHeight="1" s="17">
      <c r="B254" s="16">
        <f>B253+1</f>
        <v/>
      </c>
      <c r="C254" s="20">
        <f>TEXT(B254,"aaa")</f>
        <v/>
      </c>
      <c r="D254" s="20" t="inlineStr">
        <is>
          <t>페이스북/인스타그램</t>
        </is>
      </c>
      <c r="K254" s="20" t="n">
        <v>1909635</v>
      </c>
    </row>
    <row r="255" ht="16.5" customHeight="1" s="17">
      <c r="B255" s="16">
        <f>B254+1</f>
        <v/>
      </c>
      <c r="C255" s="20">
        <f>TEXT(B255,"aaa")</f>
        <v/>
      </c>
      <c r="D255" s="20" t="inlineStr">
        <is>
          <t>페이스북/인스타그램</t>
        </is>
      </c>
      <c r="K255" s="20" t="n">
        <v>1476447</v>
      </c>
    </row>
    <row r="256" ht="16.5" customHeight="1" s="17">
      <c r="B256" s="16">
        <f>B255+1</f>
        <v/>
      </c>
      <c r="C256" s="20">
        <f>TEXT(B256,"aaa")</f>
        <v/>
      </c>
      <c r="D256" s="20" t="inlineStr">
        <is>
          <t>페이스북/인스타그램</t>
        </is>
      </c>
      <c r="K256" s="20" t="n">
        <v>897400</v>
      </c>
    </row>
    <row r="257" ht="16.5" customHeight="1" s="17">
      <c r="B257" s="16">
        <f>B256+1</f>
        <v/>
      </c>
      <c r="C257" s="20">
        <f>TEXT(B257,"aaa")</f>
        <v/>
      </c>
      <c r="D257" s="20" t="inlineStr">
        <is>
          <t>페이스북/인스타그램</t>
        </is>
      </c>
      <c r="K257" s="20" t="n">
        <v>827199</v>
      </c>
    </row>
    <row r="258" ht="16.5" customHeight="1" s="17">
      <c r="B258" s="16">
        <f>B257+1</f>
        <v/>
      </c>
      <c r="C258" s="20">
        <f>TEXT(B258,"aaa")</f>
        <v/>
      </c>
      <c r="D258" s="20" t="inlineStr">
        <is>
          <t>페이스북/인스타그램</t>
        </is>
      </c>
      <c r="K258" s="20" t="n">
        <v>1086363</v>
      </c>
    </row>
    <row r="259" ht="16.5" customHeight="1" s="17">
      <c r="B259" s="16">
        <f>B258+1</f>
        <v/>
      </c>
      <c r="C259" s="20">
        <f>TEXT(B259,"aaa")</f>
        <v/>
      </c>
      <c r="D259" s="20" t="inlineStr">
        <is>
          <t>페이스북/인스타그램</t>
        </is>
      </c>
      <c r="K259" s="20" t="n">
        <v>1084369</v>
      </c>
    </row>
    <row r="260" ht="16.5" customHeight="1" s="17">
      <c r="B260" s="16">
        <f>B259+1</f>
        <v/>
      </c>
      <c r="C260" s="20">
        <f>TEXT(B260,"aaa")</f>
        <v/>
      </c>
      <c r="D260" s="20" t="inlineStr">
        <is>
          <t>페이스북/인스타그램</t>
        </is>
      </c>
      <c r="K260" s="20" t="n">
        <v>1052758</v>
      </c>
    </row>
    <row r="261" ht="16.5" customHeight="1" s="17">
      <c r="B261" s="16">
        <f>B260+1</f>
        <v/>
      </c>
      <c r="C261" s="20">
        <f>TEXT(B261,"aaa")</f>
        <v/>
      </c>
      <c r="D261" s="20" t="inlineStr">
        <is>
          <t>페이스북/인스타그램</t>
        </is>
      </c>
      <c r="K261" s="20" t="n">
        <v>1027292</v>
      </c>
    </row>
    <row r="262" ht="16.5" customHeight="1" s="17">
      <c r="B262" s="16">
        <f>B261+1</f>
        <v/>
      </c>
      <c r="C262" s="20">
        <f>TEXT(B262,"aaa")</f>
        <v/>
      </c>
      <c r="D262" s="20" t="inlineStr">
        <is>
          <t>페이스북/인스타그램</t>
        </is>
      </c>
      <c r="K262" s="20" t="n">
        <v>1242255</v>
      </c>
    </row>
    <row r="263" ht="16.5" customHeight="1" s="17">
      <c r="B263" s="16">
        <f>B262+1</f>
        <v/>
      </c>
      <c r="C263" s="20">
        <f>TEXT(B263,"aaa")</f>
        <v/>
      </c>
      <c r="D263" s="20" t="inlineStr">
        <is>
          <t>페이스북/인스타그램</t>
        </is>
      </c>
      <c r="K263" s="20" t="n">
        <v>1064481</v>
      </c>
    </row>
    <row r="264" ht="16.5" customHeight="1" s="17">
      <c r="B264" s="16">
        <f>B263+1</f>
        <v/>
      </c>
      <c r="C264" s="20">
        <f>TEXT(B264,"aaa")</f>
        <v/>
      </c>
      <c r="D264" s="20" t="inlineStr">
        <is>
          <t>페이스북/인스타그램</t>
        </is>
      </c>
      <c r="K264" s="20" t="n">
        <v>1064034</v>
      </c>
    </row>
    <row r="265" ht="16.5" customHeight="1" s="17">
      <c r="B265" s="16">
        <f>B264+1</f>
        <v/>
      </c>
      <c r="C265" s="20">
        <f>TEXT(B265,"aaa")</f>
        <v/>
      </c>
      <c r="D265" s="20" t="inlineStr">
        <is>
          <t>페이스북/인스타그램</t>
        </is>
      </c>
      <c r="K265" s="20" t="n">
        <v>1067233</v>
      </c>
    </row>
    <row r="266" ht="17.85" customHeight="1" s="17">
      <c r="B266" s="16">
        <f>B265+1</f>
        <v/>
      </c>
      <c r="C266" s="20">
        <f>TEXT(B266,"aaa")</f>
        <v/>
      </c>
      <c r="D266" s="20" t="inlineStr">
        <is>
          <t>페이스북/인스타그램</t>
        </is>
      </c>
      <c r="K266" s="20" t="n">
        <v>1063546</v>
      </c>
    </row>
    <row r="267" ht="17.85" customHeight="1" s="17">
      <c r="B267" s="16">
        <f>B266+1</f>
        <v/>
      </c>
      <c r="C267" s="20">
        <f>TEXT(B267,"aaa")</f>
        <v/>
      </c>
      <c r="D267" s="20" t="inlineStr">
        <is>
          <t>페이스북/인스타그램</t>
        </is>
      </c>
      <c r="K267" s="20" t="n">
        <v>1073545</v>
      </c>
    </row>
    <row r="268" ht="17.85" customHeight="1" s="17">
      <c r="B268" s="16">
        <f>B267+1</f>
        <v/>
      </c>
      <c r="C268" s="20">
        <f>TEXT(B268,"aaa")</f>
        <v/>
      </c>
      <c r="D268" s="20" t="inlineStr">
        <is>
          <t>페이스북/인스타그램</t>
        </is>
      </c>
      <c r="K268" s="20" t="n">
        <v>1162621</v>
      </c>
    </row>
    <row r="269" ht="17.85" customHeight="1" s="17">
      <c r="B269" s="16">
        <f>B268+1</f>
        <v/>
      </c>
      <c r="C269" s="20">
        <f>TEXT(B269,"aaa")</f>
        <v/>
      </c>
      <c r="D269" s="20" t="inlineStr">
        <is>
          <t>페이스북/인스타그램</t>
        </is>
      </c>
      <c r="K269" s="20" t="n">
        <v>1567666</v>
      </c>
    </row>
    <row r="270" ht="17.85" customHeight="1" s="17">
      <c r="B270" s="16">
        <f>B269+1</f>
        <v/>
      </c>
      <c r="C270" s="20">
        <f>TEXT(B270,"aaa")</f>
        <v/>
      </c>
      <c r="D270" s="20" t="inlineStr">
        <is>
          <t>페이스북/인스타그램</t>
        </is>
      </c>
      <c r="K270" s="20" t="n">
        <v>1658029</v>
      </c>
    </row>
    <row r="271" ht="17.85" customHeight="1" s="17">
      <c r="B271" s="16">
        <f>B270+1</f>
        <v/>
      </c>
      <c r="C271" s="20">
        <f>TEXT(B271,"aaa")</f>
        <v/>
      </c>
      <c r="D271" s="20" t="inlineStr">
        <is>
          <t>페이스북/인스타그램</t>
        </is>
      </c>
      <c r="K271" s="20" t="n">
        <v>1477903</v>
      </c>
    </row>
    <row r="272" ht="17.85" customHeight="1" s="17">
      <c r="B272" s="16">
        <f>B271+1</f>
        <v/>
      </c>
      <c r="C272" s="20">
        <f>TEXT(B272,"aaa")</f>
        <v/>
      </c>
      <c r="D272" s="20" t="inlineStr">
        <is>
          <t>페이스북/인스타그램</t>
        </is>
      </c>
      <c r="K272" s="20" t="n">
        <v>1583658</v>
      </c>
    </row>
    <row r="273" ht="17.85" customHeight="1" s="17">
      <c r="B273" s="16">
        <f>B272+1</f>
        <v/>
      </c>
      <c r="C273" s="20">
        <f>TEXT(B273,"aaa")</f>
        <v/>
      </c>
      <c r="D273" s="20" t="inlineStr">
        <is>
          <t>페이스북/인스타그램</t>
        </is>
      </c>
      <c r="K273" s="20" t="n">
        <v>1751306</v>
      </c>
    </row>
    <row r="274" ht="17.85" customHeight="1" s="17">
      <c r="B274" s="16">
        <f>B273+1</f>
        <v/>
      </c>
      <c r="C274" s="20">
        <f>TEXT(B274,"aaa")</f>
        <v/>
      </c>
      <c r="D274" s="20" t="inlineStr">
        <is>
          <t>페이스북/인스타그램</t>
        </is>
      </c>
      <c r="K274" s="20" t="n">
        <v>1802275</v>
      </c>
    </row>
    <row r="275" ht="17.85" customHeight="1" s="17">
      <c r="B275" s="16">
        <f>B274+1</f>
        <v/>
      </c>
      <c r="C275" s="20">
        <f>TEXT(B275,"aaa")</f>
        <v/>
      </c>
      <c r="D275" s="20" t="inlineStr">
        <is>
          <t>페이스북/인스타그램</t>
        </is>
      </c>
      <c r="K275" s="20" t="n">
        <v>1849046</v>
      </c>
    </row>
    <row r="276" ht="17.85" customHeight="1" s="17">
      <c r="B276" s="16">
        <f>B275+1</f>
        <v/>
      </c>
      <c r="C276" s="20">
        <f>TEXT(B276,"aaa")</f>
        <v/>
      </c>
      <c r="D276" s="20" t="inlineStr">
        <is>
          <t>페이스북/인스타그램</t>
        </is>
      </c>
      <c r="K276" s="20" t="n">
        <v>1772156</v>
      </c>
    </row>
    <row r="277" ht="17.85" customHeight="1" s="17">
      <c r="B277" s="16">
        <f>B276+1</f>
        <v/>
      </c>
      <c r="C277" s="20">
        <f>TEXT(B277,"aaa")</f>
        <v/>
      </c>
      <c r="D277" s="20" t="inlineStr">
        <is>
          <t>페이스북/인스타그램</t>
        </is>
      </c>
      <c r="K277" s="20" t="n">
        <v>1695520</v>
      </c>
    </row>
    <row r="278" ht="17.85" customHeight="1" s="17">
      <c r="B278" s="16">
        <f>B277+1</f>
        <v/>
      </c>
      <c r="C278" s="20">
        <f>TEXT(B278,"aaa")</f>
        <v/>
      </c>
      <c r="D278" s="20" t="inlineStr">
        <is>
          <t>페이스북/인스타그램</t>
        </is>
      </c>
      <c r="K278" s="20" t="n">
        <v>1832295</v>
      </c>
    </row>
    <row r="279" ht="17.85" customHeight="1" s="17">
      <c r="B279" s="16">
        <f>B278+1</f>
        <v/>
      </c>
      <c r="C279" s="20">
        <f>TEXT(B279,"aaa")</f>
        <v/>
      </c>
      <c r="D279" s="20" t="inlineStr">
        <is>
          <t>페이스북/인스타그램</t>
        </is>
      </c>
      <c r="K279" s="20" t="n">
        <v>2484717</v>
      </c>
    </row>
    <row r="280" ht="17.85" customHeight="1" s="17">
      <c r="B280" s="16">
        <f>B279+1</f>
        <v/>
      </c>
      <c r="C280" s="20">
        <f>TEXT(B280,"aaa")</f>
        <v/>
      </c>
      <c r="D280" s="20" t="inlineStr">
        <is>
          <t>페이스북/인스타그램</t>
        </is>
      </c>
      <c r="K280" s="20" t="n">
        <v>2688860</v>
      </c>
    </row>
    <row r="281" ht="17.85" customHeight="1" s="17">
      <c r="B281" s="16">
        <f>B280+1</f>
        <v/>
      </c>
      <c r="C281" s="20">
        <f>TEXT(B281,"aaa")</f>
        <v/>
      </c>
      <c r="D281" s="20" t="inlineStr">
        <is>
          <t>페이스북/인스타그램</t>
        </is>
      </c>
      <c r="K281" s="20" t="n">
        <v>3369121</v>
      </c>
    </row>
    <row r="282" ht="17.85" customHeight="1" s="17">
      <c r="B282" s="16">
        <f>B281+1</f>
        <v/>
      </c>
      <c r="C282" s="20">
        <f>TEXT(B282,"aaa")</f>
        <v/>
      </c>
      <c r="D282" s="20" t="inlineStr">
        <is>
          <t>페이스북/인스타그램</t>
        </is>
      </c>
      <c r="K282" s="20" t="n">
        <v>4213068</v>
      </c>
    </row>
    <row r="283" ht="17.85" customHeight="1" s="17">
      <c r="B283" s="16">
        <f>B282+1</f>
        <v/>
      </c>
      <c r="C283" s="20">
        <f>TEXT(B283,"aaa")</f>
        <v/>
      </c>
      <c r="D283" s="20" t="inlineStr">
        <is>
          <t>페이스북/인스타그램</t>
        </is>
      </c>
      <c r="K283" s="20" t="n">
        <v>4968615</v>
      </c>
    </row>
    <row r="284" ht="17.85" customHeight="1" s="17">
      <c r="B284" s="16">
        <f>B283+1</f>
        <v/>
      </c>
      <c r="C284" s="20">
        <f>TEXT(B284,"aaa")</f>
        <v/>
      </c>
      <c r="D284" s="20" t="inlineStr">
        <is>
          <t>페이스북/인스타그램</t>
        </is>
      </c>
      <c r="K284" s="20" t="n">
        <v>5506343</v>
      </c>
    </row>
    <row r="285" ht="17.85" customHeight="1" s="17">
      <c r="B285" s="16">
        <f>B284+1</f>
        <v/>
      </c>
      <c r="C285" s="20">
        <f>TEXT(B285,"aaa")</f>
        <v/>
      </c>
      <c r="D285" s="20" t="inlineStr">
        <is>
          <t>페이스북/인스타그램</t>
        </is>
      </c>
      <c r="K285" s="20" t="n">
        <v>5913042</v>
      </c>
    </row>
    <row r="286" ht="17.85" customHeight="1" s="17">
      <c r="B286" s="16">
        <f>B285+1</f>
        <v/>
      </c>
      <c r="C286" s="20">
        <f>TEXT(B286,"aaa")</f>
        <v/>
      </c>
      <c r="D286" s="20" t="inlineStr">
        <is>
          <t>페이스북/인스타그램</t>
        </is>
      </c>
      <c r="K286" s="20" t="n">
        <v>5703341</v>
      </c>
    </row>
    <row r="287" ht="17.85" customHeight="1" s="17">
      <c r="B287" s="16">
        <f>B286+1</f>
        <v/>
      </c>
      <c r="C287" s="20">
        <f>TEXT(B287,"aaa")</f>
        <v/>
      </c>
      <c r="D287" s="20" t="inlineStr">
        <is>
          <t>페이스북/인스타그램</t>
        </is>
      </c>
      <c r="K287" s="20" t="n">
        <v>6272608</v>
      </c>
    </row>
    <row r="288" ht="17.85" customHeight="1" s="17">
      <c r="B288" s="16">
        <f>B287+1</f>
        <v/>
      </c>
      <c r="C288" s="20">
        <f>TEXT(B288,"aaa")</f>
        <v/>
      </c>
      <c r="D288" s="20" t="inlineStr">
        <is>
          <t>페이스북/인스타그램</t>
        </is>
      </c>
      <c r="K288" s="20" t="n">
        <v>6891789</v>
      </c>
    </row>
    <row r="289" ht="17.85" customHeight="1" s="17">
      <c r="B289" s="16">
        <f>B288+1</f>
        <v/>
      </c>
      <c r="C289" s="20">
        <f>TEXT(B289,"aaa")</f>
        <v/>
      </c>
      <c r="D289" s="20" t="inlineStr">
        <is>
          <t>페이스북/인스타그램</t>
        </is>
      </c>
      <c r="K289" s="20" t="n">
        <v>5926152</v>
      </c>
    </row>
    <row r="290" ht="17.85" customHeight="1" s="17">
      <c r="B290" s="16">
        <f>B289+1</f>
        <v/>
      </c>
      <c r="C290" s="20">
        <f>TEXT(B290,"aaa")</f>
        <v/>
      </c>
      <c r="D290" s="20" t="inlineStr">
        <is>
          <t>페이스북/인스타그램</t>
        </is>
      </c>
      <c r="K290" s="20" t="n">
        <v>4865962</v>
      </c>
    </row>
    <row r="291" ht="17.85" customHeight="1" s="17">
      <c r="B291" s="16">
        <f>B290+1</f>
        <v/>
      </c>
      <c r="C291" s="20">
        <f>TEXT(B291,"aaa")</f>
        <v/>
      </c>
      <c r="D291" s="20" t="inlineStr">
        <is>
          <t>페이스북/인스타그램</t>
        </is>
      </c>
      <c r="K291" s="20" t="n">
        <v>3231197</v>
      </c>
    </row>
    <row r="292" ht="17.85" customHeight="1" s="17">
      <c r="B292" s="16">
        <f>B291+1</f>
        <v/>
      </c>
      <c r="C292" s="20">
        <f>TEXT(B292,"aaa")</f>
        <v/>
      </c>
      <c r="D292" s="20" t="inlineStr">
        <is>
          <t>페이스북/인스타그램</t>
        </is>
      </c>
      <c r="K292" s="20" t="n">
        <v>2991135</v>
      </c>
    </row>
    <row r="293" ht="17.85" customHeight="1" s="17">
      <c r="B293" s="16">
        <f>B292+1</f>
        <v/>
      </c>
      <c r="C293" s="20">
        <f>TEXT(B293,"aaa")</f>
        <v/>
      </c>
      <c r="D293" s="20" t="inlineStr">
        <is>
          <t>페이스북/인스타그램</t>
        </is>
      </c>
      <c r="K293" s="20" t="n">
        <v>3377561</v>
      </c>
    </row>
    <row r="294" ht="17.85" customHeight="1" s="17">
      <c r="B294" s="16">
        <f>B293+1</f>
        <v/>
      </c>
      <c r="C294" s="20">
        <f>TEXT(B294,"aaa")</f>
        <v/>
      </c>
      <c r="D294" s="20" t="inlineStr">
        <is>
          <t>페이스북/인스타그램</t>
        </is>
      </c>
      <c r="K294" s="20" t="n">
        <v>3747438</v>
      </c>
    </row>
    <row r="295" ht="17.85" customHeight="1" s="17">
      <c r="B295" s="16">
        <f>B294+1</f>
        <v/>
      </c>
      <c r="C295" s="20">
        <f>TEXT(B295,"aaa")</f>
        <v/>
      </c>
      <c r="D295" s="20" t="inlineStr">
        <is>
          <t>페이스북/인스타그램</t>
        </is>
      </c>
      <c r="K295" s="20" t="n">
        <v>3916705</v>
      </c>
    </row>
    <row r="296" ht="17.85" customHeight="1" s="17">
      <c r="B296" s="16">
        <f>B295+1</f>
        <v/>
      </c>
      <c r="C296" s="20">
        <f>TEXT(B296,"aaa")</f>
        <v/>
      </c>
      <c r="D296" s="20" t="inlineStr">
        <is>
          <t>페이스북/인스타그램</t>
        </is>
      </c>
      <c r="K296" s="20" t="n">
        <v>3802760</v>
      </c>
    </row>
    <row r="297" ht="17.85" customHeight="1" s="17">
      <c r="B297" s="16">
        <f>B296+1</f>
        <v/>
      </c>
      <c r="C297" s="20">
        <f>TEXT(B297,"aaa")</f>
        <v/>
      </c>
      <c r="D297" s="20" t="inlineStr">
        <is>
          <t>페이스북/인스타그램</t>
        </is>
      </c>
      <c r="K297" s="20" t="n">
        <v>3959175</v>
      </c>
    </row>
    <row r="298" ht="17.85" customHeight="1" s="17">
      <c r="B298" s="16">
        <f>B297+1</f>
        <v/>
      </c>
      <c r="C298" s="20">
        <f>TEXT(B298,"aaa")</f>
        <v/>
      </c>
      <c r="D298" s="20" t="inlineStr">
        <is>
          <t>페이스북/인스타그램</t>
        </is>
      </c>
      <c r="K298" s="20" t="n">
        <v>5137445</v>
      </c>
    </row>
    <row r="299" ht="17.85" customHeight="1" s="17">
      <c r="B299" s="16">
        <f>B298+1</f>
        <v/>
      </c>
      <c r="C299" s="20">
        <f>TEXT(B299,"aaa")</f>
        <v/>
      </c>
      <c r="D299" s="20" t="inlineStr">
        <is>
          <t>페이스북/인스타그램</t>
        </is>
      </c>
      <c r="K299" s="20" t="n">
        <v>5110183</v>
      </c>
    </row>
    <row r="300" ht="17.85" customHeight="1" s="17">
      <c r="B300" s="16">
        <f>B299+1</f>
        <v/>
      </c>
      <c r="C300" s="20">
        <f>TEXT(B300,"aaa")</f>
        <v/>
      </c>
      <c r="D300" s="20" t="inlineStr">
        <is>
          <t>페이스북/인스타그램</t>
        </is>
      </c>
      <c r="K300" s="20" t="n">
        <v>5107750</v>
      </c>
    </row>
    <row r="301" ht="17.85" customHeight="1" s="17">
      <c r="B301" s="16">
        <f>B300+1</f>
        <v/>
      </c>
      <c r="C301" s="20">
        <f>TEXT(B301,"aaa")</f>
        <v/>
      </c>
      <c r="D301" s="20" t="inlineStr">
        <is>
          <t>페이스북/인스타그램</t>
        </is>
      </c>
      <c r="K301" s="20" t="n">
        <v>5498801</v>
      </c>
    </row>
    <row r="302" ht="17.85" customHeight="1" s="17">
      <c r="B302" s="16">
        <f>B301+1</f>
        <v/>
      </c>
      <c r="C302" s="20">
        <f>TEXT(B302,"aaa")</f>
        <v/>
      </c>
      <c r="D302" s="20" t="inlineStr">
        <is>
          <t>페이스북/인스타그램</t>
        </is>
      </c>
      <c r="K302" s="20" t="n">
        <v>5132147</v>
      </c>
    </row>
    <row r="303" ht="17.85" customHeight="1" s="17">
      <c r="B303" s="16">
        <f>B302+1</f>
        <v/>
      </c>
      <c r="C303" s="20">
        <f>TEXT(B303,"aaa")</f>
        <v/>
      </c>
      <c r="D303" s="20" t="inlineStr">
        <is>
          <t>페이스북/인스타그램</t>
        </is>
      </c>
      <c r="K303" s="20" t="n">
        <v>4924534</v>
      </c>
    </row>
    <row r="304" ht="17.85" customHeight="1" s="17">
      <c r="B304" s="16">
        <f>B303+1</f>
        <v/>
      </c>
      <c r="C304" s="20">
        <f>TEXT(B304,"aaa")</f>
        <v/>
      </c>
      <c r="D304" s="20" t="inlineStr">
        <is>
          <t>페이스북/인스타그램</t>
        </is>
      </c>
      <c r="K304" s="20" t="n">
        <v>4889804</v>
      </c>
    </row>
    <row r="305" ht="17.85" customHeight="1" s="17">
      <c r="B305" s="16">
        <f>B304+1</f>
        <v/>
      </c>
      <c r="C305" s="20">
        <f>TEXT(B305,"aaa")</f>
        <v/>
      </c>
      <c r="D305" s="20" t="inlineStr">
        <is>
          <t>페이스북/인스타그램</t>
        </is>
      </c>
      <c r="K305" s="20" t="n">
        <v>5107354</v>
      </c>
    </row>
    <row r="306" ht="17.85" customHeight="1" s="17">
      <c r="B306" s="16">
        <f>B305+1</f>
        <v/>
      </c>
      <c r="C306" s="20">
        <f>TEXT(B306,"aaa")</f>
        <v/>
      </c>
      <c r="D306" s="20" t="inlineStr">
        <is>
          <t>페이스북/인스타그램</t>
        </is>
      </c>
      <c r="K306" s="20" t="n">
        <v>5068785</v>
      </c>
    </row>
    <row r="307" ht="17.85" customHeight="1" s="17">
      <c r="B307" s="16">
        <f>B306+1</f>
        <v/>
      </c>
      <c r="C307" s="20">
        <f>TEXT(B307,"aaa")</f>
        <v/>
      </c>
      <c r="D307" s="20" t="inlineStr">
        <is>
          <t>페이스북/인스타그램</t>
        </is>
      </c>
      <c r="K307" s="20" t="n">
        <v>5121174</v>
      </c>
    </row>
    <row r="308" ht="17.85" customHeight="1" s="17">
      <c r="B308" s="16">
        <f>B307+1</f>
        <v/>
      </c>
      <c r="C308" s="20">
        <f>TEXT(B308,"aaa")</f>
        <v/>
      </c>
      <c r="D308" s="20" t="inlineStr">
        <is>
          <t>페이스북/인스타그램</t>
        </is>
      </c>
      <c r="K308" s="20" t="n">
        <v>4943526</v>
      </c>
    </row>
    <row r="309" ht="17.85" customHeight="1" s="17">
      <c r="B309" s="16">
        <f>B308+1</f>
        <v/>
      </c>
      <c r="C309" s="20">
        <f>TEXT(B309,"aaa")</f>
        <v/>
      </c>
      <c r="D309" s="20" t="inlineStr">
        <is>
          <t>페이스북/인스타그램</t>
        </is>
      </c>
      <c r="K309" s="20" t="n">
        <v>5048775</v>
      </c>
    </row>
    <row r="310" ht="17.85" customHeight="1" s="17">
      <c r="B310" s="16">
        <f>B309+1</f>
        <v/>
      </c>
      <c r="C310" s="20">
        <f>TEXT(B310,"aaa")</f>
        <v/>
      </c>
      <c r="D310" s="20" t="inlineStr">
        <is>
          <t>페이스북/인스타그램</t>
        </is>
      </c>
      <c r="K310" s="20" t="n">
        <v>4429424</v>
      </c>
    </row>
    <row r="311" ht="17.85" customHeight="1" s="17">
      <c r="B311" s="16">
        <f>B310+1</f>
        <v/>
      </c>
      <c r="C311" s="20">
        <f>TEXT(B311,"aaa")</f>
        <v/>
      </c>
      <c r="D311" s="20" t="inlineStr">
        <is>
          <t>페이스북/인스타그램</t>
        </is>
      </c>
      <c r="K311" s="20" t="n">
        <v>4339586</v>
      </c>
    </row>
    <row r="312" ht="17.85" customHeight="1" s="17">
      <c r="B312" s="16">
        <f>B311+1</f>
        <v/>
      </c>
      <c r="C312" s="20">
        <f>TEXT(B312,"aaa")</f>
        <v/>
      </c>
      <c r="D312" s="20" t="inlineStr">
        <is>
          <t>페이스북/인스타그램</t>
        </is>
      </c>
      <c r="K312" s="20" t="n">
        <v>4232664</v>
      </c>
    </row>
    <row r="313" ht="17.85" customHeight="1" s="17">
      <c r="B313" s="16">
        <f>B312+1</f>
        <v/>
      </c>
      <c r="C313" s="20">
        <f>TEXT(B313,"aaa")</f>
        <v/>
      </c>
      <c r="D313" s="20" t="inlineStr">
        <is>
          <t>페이스북/인스타그램</t>
        </is>
      </c>
      <c r="K313" s="20" t="n">
        <v>4126826</v>
      </c>
    </row>
    <row r="314" ht="17.85" customHeight="1" s="17">
      <c r="B314" s="16">
        <f>B313+1</f>
        <v/>
      </c>
      <c r="C314" s="20">
        <f>TEXT(B314,"aaa")</f>
        <v/>
      </c>
      <c r="D314" s="20" t="inlineStr">
        <is>
          <t>페이스북/인스타그램</t>
        </is>
      </c>
      <c r="K314" s="20" t="n">
        <v>4327408</v>
      </c>
    </row>
    <row r="315" ht="17.85" customHeight="1" s="17">
      <c r="B315" s="16">
        <f>B314+1</f>
        <v/>
      </c>
      <c r="C315" s="20">
        <f>TEXT(B315,"aaa")</f>
        <v/>
      </c>
      <c r="D315" s="20" t="inlineStr">
        <is>
          <t>페이스북/인스타그램</t>
        </is>
      </c>
      <c r="K315" s="20" t="n">
        <v>4537018</v>
      </c>
    </row>
    <row r="316" ht="16.5" customHeight="1" s="17">
      <c r="B316" s="16">
        <f>B315+1</f>
        <v/>
      </c>
      <c r="C316" s="20">
        <f>TEXT(B316,"aaa")</f>
        <v/>
      </c>
      <c r="D316" s="20" t="inlineStr">
        <is>
          <t>페이스북/인스타그램</t>
        </is>
      </c>
      <c r="K316" s="20" t="n">
        <v>4542592</v>
      </c>
    </row>
    <row r="317" ht="16.5" customHeight="1" s="17">
      <c r="B317" s="16">
        <f>B316+1</f>
        <v/>
      </c>
      <c r="C317" s="20">
        <f>TEXT(B317,"aaa")</f>
        <v/>
      </c>
      <c r="D317" s="20" t="inlineStr">
        <is>
          <t>페이스북/인스타그램</t>
        </is>
      </c>
      <c r="K317" s="20" t="n">
        <v>4368026</v>
      </c>
    </row>
    <row r="318" ht="16.5" customHeight="1" s="17">
      <c r="B318" s="16">
        <f>B317+1</f>
        <v/>
      </c>
      <c r="C318" s="20">
        <f>TEXT(B318,"aaa")</f>
        <v/>
      </c>
      <c r="D318" s="20" t="inlineStr">
        <is>
          <t>페이스북/인스타그램</t>
        </is>
      </c>
      <c r="K318" s="20" t="n">
        <v>4533547</v>
      </c>
    </row>
    <row r="319" ht="16.5" customHeight="1" s="17">
      <c r="B319" s="16">
        <f>B318+1</f>
        <v/>
      </c>
      <c r="C319" s="20">
        <f>TEXT(B319,"aaa")</f>
        <v/>
      </c>
      <c r="D319" s="20" t="inlineStr">
        <is>
          <t>페이스북/인스타그램</t>
        </is>
      </c>
      <c r="K319" s="20" t="n">
        <v>4500123</v>
      </c>
    </row>
    <row r="320" ht="16.5" customHeight="1" s="17">
      <c r="B320" s="16">
        <f>B319+1</f>
        <v/>
      </c>
      <c r="C320" s="20">
        <f>TEXT(B320,"aaa")</f>
        <v/>
      </c>
      <c r="D320" s="20" t="inlineStr">
        <is>
          <t>페이스북/인스타그램</t>
        </is>
      </c>
      <c r="K320" s="20" t="n">
        <v>4648581</v>
      </c>
    </row>
    <row r="321" ht="16.5" customHeight="1" s="17">
      <c r="B321" s="16">
        <f>B320+1</f>
        <v/>
      </c>
      <c r="C321" s="20">
        <f>TEXT(B321,"aaa")</f>
        <v/>
      </c>
      <c r="D321" s="20" t="inlineStr">
        <is>
          <t>페이스북/인스타그램</t>
        </is>
      </c>
      <c r="K321" s="20" t="n">
        <v>4509017</v>
      </c>
    </row>
    <row r="322" ht="16.5" customHeight="1" s="17">
      <c r="B322" s="16">
        <f>B321+1</f>
        <v/>
      </c>
      <c r="C322" s="20">
        <f>TEXT(B322,"aaa")</f>
        <v/>
      </c>
      <c r="D322" s="20" t="inlineStr">
        <is>
          <t>페이스북/인스타그램</t>
        </is>
      </c>
      <c r="K322" s="20" t="n">
        <v>4509017</v>
      </c>
    </row>
    <row r="323" ht="16.5" customHeight="1" s="17">
      <c r="B323" s="16">
        <f>B322+1</f>
        <v/>
      </c>
      <c r="C323" s="20">
        <f>TEXT(B323,"aaa")</f>
        <v/>
      </c>
      <c r="D323" s="20" t="inlineStr">
        <is>
          <t>페이스북/인스타그램</t>
        </is>
      </c>
      <c r="K323" s="20" t="n">
        <v>4491645</v>
      </c>
    </row>
    <row r="324" ht="16.5" customHeight="1" s="17">
      <c r="B324" s="16">
        <f>B323+1</f>
        <v/>
      </c>
      <c r="C324" s="20">
        <f>TEXT(B324,"aaa")</f>
        <v/>
      </c>
      <c r="D324" s="20" t="inlineStr">
        <is>
          <t>페이스북/인스타그램</t>
        </is>
      </c>
      <c r="K324" s="20" t="n">
        <v>4152557</v>
      </c>
    </row>
    <row r="325" ht="16.5" customHeight="1" s="17">
      <c r="B325" s="16">
        <f>B324+1</f>
        <v/>
      </c>
      <c r="C325" s="20">
        <f>TEXT(B325,"aaa")</f>
        <v/>
      </c>
      <c r="D325" s="20" t="inlineStr">
        <is>
          <t>페이스북/인스타그램</t>
        </is>
      </c>
      <c r="K325" s="20" t="n">
        <v>4309647</v>
      </c>
    </row>
    <row r="326" ht="16.5" customHeight="1" s="17">
      <c r="B326" s="16">
        <f>B325+1</f>
        <v/>
      </c>
      <c r="C326" s="20">
        <f>TEXT(B326,"aaa")</f>
        <v/>
      </c>
      <c r="D326" s="20" t="inlineStr">
        <is>
          <t>페이스북/인스타그램</t>
        </is>
      </c>
      <c r="K326" s="20" t="n">
        <v>4161919</v>
      </c>
    </row>
    <row r="327" ht="16.5" customHeight="1" s="17">
      <c r="B327" s="16">
        <f>B326+1</f>
        <v/>
      </c>
      <c r="C327" s="20">
        <f>TEXT(B327,"aaa")</f>
        <v/>
      </c>
      <c r="D327" s="20" t="inlineStr">
        <is>
          <t>페이스북/인스타그램</t>
        </is>
      </c>
      <c r="K327" s="20" t="n">
        <v>4128112</v>
      </c>
    </row>
    <row r="328" ht="16.5" customHeight="1" s="17">
      <c r="B328" s="16">
        <f>B327+1</f>
        <v/>
      </c>
      <c r="C328" s="20">
        <f>TEXT(B328,"aaa")</f>
        <v/>
      </c>
      <c r="D328" s="20" t="inlineStr">
        <is>
          <t>페이스북/인스타그램</t>
        </is>
      </c>
      <c r="K328" s="20" t="n">
        <v>4190922</v>
      </c>
    </row>
    <row r="329" ht="16.5" customHeight="1" s="17">
      <c r="B329" s="16">
        <f>B328+1</f>
        <v/>
      </c>
      <c r="C329" s="20">
        <f>TEXT(B329,"aaa")</f>
        <v/>
      </c>
      <c r="D329" s="20" t="inlineStr">
        <is>
          <t>페이스북/인스타그램</t>
        </is>
      </c>
      <c r="K329" s="20" t="n">
        <v>4369544</v>
      </c>
    </row>
    <row r="330" ht="16.5" customHeight="1" s="17">
      <c r="B330" s="16">
        <f>B329+1</f>
        <v/>
      </c>
      <c r="C330" s="20">
        <f>TEXT(B330,"aaa")</f>
        <v/>
      </c>
      <c r="D330" s="20" t="inlineStr">
        <is>
          <t>페이스북/인스타그램</t>
        </is>
      </c>
      <c r="K330" s="20" t="n">
        <v>4188960</v>
      </c>
    </row>
    <row r="331" ht="16.5" customHeight="1" s="17">
      <c r="B331" s="16">
        <f>B330+1</f>
        <v/>
      </c>
      <c r="C331" s="20">
        <f>TEXT(B331,"aaa")</f>
        <v/>
      </c>
      <c r="D331" s="20" t="inlineStr">
        <is>
          <t>페이스북/인스타그램</t>
        </is>
      </c>
      <c r="K331" s="20" t="n">
        <v>4064471</v>
      </c>
    </row>
    <row r="332" ht="16.5" customHeight="1" s="17">
      <c r="B332" s="16">
        <f>B331+1</f>
        <v/>
      </c>
      <c r="C332" s="20">
        <f>TEXT(B332,"aaa")</f>
        <v/>
      </c>
      <c r="D332" s="20" t="inlineStr">
        <is>
          <t>페이스북/인스타그램</t>
        </is>
      </c>
      <c r="K332" s="20" t="n">
        <v>3918886</v>
      </c>
    </row>
    <row r="333" ht="16.5" customHeight="1" s="17">
      <c r="B333" s="16">
        <f>B332+1</f>
        <v/>
      </c>
      <c r="C333" s="20">
        <f>TEXT(B333,"aaa")</f>
        <v/>
      </c>
      <c r="D333" s="20" t="inlineStr">
        <is>
          <t>페이스북/인스타그램</t>
        </is>
      </c>
      <c r="K333" s="20" t="n">
        <v>3808298</v>
      </c>
    </row>
    <row r="334" ht="16.5" customHeight="1" s="17">
      <c r="B334" s="16">
        <f>B333+1</f>
        <v/>
      </c>
      <c r="C334" s="20">
        <f>TEXT(B334,"aaa")</f>
        <v/>
      </c>
      <c r="D334" s="20" t="inlineStr">
        <is>
          <t>페이스북/인스타그램</t>
        </is>
      </c>
      <c r="K334" s="20" t="n">
        <v>3553718</v>
      </c>
    </row>
    <row r="335" ht="16.5" customHeight="1" s="17">
      <c r="B335" s="16">
        <f>B334+1</f>
        <v/>
      </c>
      <c r="C335" s="20">
        <f>TEXT(B335,"aaa")</f>
        <v/>
      </c>
      <c r="D335" s="20" t="inlineStr">
        <is>
          <t>페이스북/인스타그램</t>
        </is>
      </c>
      <c r="K335" s="20" t="n">
        <v>3107785</v>
      </c>
    </row>
    <row r="336" ht="16.5" customHeight="1" s="17">
      <c r="B336" s="16">
        <f>B335+1</f>
        <v/>
      </c>
      <c r="C336" s="20">
        <f>TEXT(B336,"aaa")</f>
        <v/>
      </c>
      <c r="D336" s="20" t="inlineStr">
        <is>
          <t>페이스북/인스타그램</t>
        </is>
      </c>
      <c r="K336" s="20" t="n">
        <v>2826800</v>
      </c>
    </row>
    <row r="337" ht="16.5" customHeight="1" s="17">
      <c r="B337" s="16">
        <f>B336+1</f>
        <v/>
      </c>
      <c r="C337" s="20">
        <f>TEXT(B337,"aaa")</f>
        <v/>
      </c>
      <c r="D337" s="20" t="inlineStr">
        <is>
          <t>페이스북/인스타그램</t>
        </is>
      </c>
      <c r="K337" s="20" t="n">
        <v>2823592</v>
      </c>
    </row>
    <row r="338" ht="16.5" customHeight="1" s="17">
      <c r="B338" s="16">
        <f>B337+1</f>
        <v/>
      </c>
      <c r="C338" s="20">
        <f>TEXT(B338,"aaa")</f>
        <v/>
      </c>
      <c r="D338" s="20" t="inlineStr">
        <is>
          <t>페이스북/인스타그램</t>
        </is>
      </c>
      <c r="K338" s="20" t="n">
        <v>2876646</v>
      </c>
    </row>
    <row r="339" ht="16.5" customHeight="1" s="17">
      <c r="B339" s="16">
        <f>B338+1</f>
        <v/>
      </c>
      <c r="C339" s="20">
        <f>TEXT(B339,"aaa")</f>
        <v/>
      </c>
      <c r="D339" s="20" t="inlineStr">
        <is>
          <t>페이스북/인스타그램</t>
        </is>
      </c>
      <c r="K339" s="20" t="n">
        <v>2762968</v>
      </c>
    </row>
    <row r="340" ht="16.5" customHeight="1" s="17">
      <c r="B340" s="16" t="n">
        <v>44033</v>
      </c>
      <c r="C340" s="20">
        <f>TEXT(B340,"aaa")</f>
        <v/>
      </c>
      <c r="D340" s="20" t="inlineStr">
        <is>
          <t>네이버 쇼핑검색</t>
        </is>
      </c>
      <c r="K340" s="20" t="n">
        <v>1590</v>
      </c>
    </row>
    <row r="341" ht="16.5" customHeight="1" s="17">
      <c r="B341" s="16">
        <f>B340+1</f>
        <v/>
      </c>
      <c r="C341" s="20">
        <f>TEXT(B341,"aaa")</f>
        <v/>
      </c>
      <c r="D341" s="20" t="inlineStr">
        <is>
          <t>네이버 쇼핑검색</t>
        </is>
      </c>
      <c r="K341" s="20" t="n">
        <v>5460</v>
      </c>
    </row>
    <row r="342" ht="16.5" customHeight="1" s="17">
      <c r="B342" s="16">
        <f>B341+1</f>
        <v/>
      </c>
      <c r="C342" s="20">
        <f>TEXT(B342,"aaa")</f>
        <v/>
      </c>
      <c r="D342" s="20" t="inlineStr">
        <is>
          <t>네이버 쇼핑검색</t>
        </is>
      </c>
      <c r="K342" s="20" t="n">
        <v>3480</v>
      </c>
    </row>
    <row r="343" ht="16.5" customHeight="1" s="17">
      <c r="B343" s="16">
        <f>B342+1</f>
        <v/>
      </c>
      <c r="C343" s="20">
        <f>TEXT(B343,"aaa")</f>
        <v/>
      </c>
      <c r="D343" s="20" t="inlineStr">
        <is>
          <t>네이버 쇼핑검색</t>
        </is>
      </c>
      <c r="K343" s="20" t="n">
        <v>2380</v>
      </c>
    </row>
    <row r="344" ht="16.5" customHeight="1" s="17">
      <c r="B344" s="16">
        <f>B343+1</f>
        <v/>
      </c>
      <c r="C344" s="20">
        <f>TEXT(B344,"aaa")</f>
        <v/>
      </c>
      <c r="D344" s="20" t="inlineStr">
        <is>
          <t>네이버 쇼핑검색</t>
        </is>
      </c>
      <c r="K344" s="20" t="n">
        <v>1780</v>
      </c>
    </row>
    <row r="345" ht="16.5" customHeight="1" s="17">
      <c r="B345" s="16">
        <f>B344+1</f>
        <v/>
      </c>
      <c r="C345" s="20">
        <f>TEXT(B345,"aaa")</f>
        <v/>
      </c>
      <c r="D345" s="20" t="inlineStr">
        <is>
          <t>네이버 쇼핑검색</t>
        </is>
      </c>
      <c r="K345" s="20" t="n">
        <v>170</v>
      </c>
    </row>
    <row r="346" ht="16.5" customHeight="1" s="17">
      <c r="B346" s="16">
        <f>B345+1</f>
        <v/>
      </c>
      <c r="C346" s="20">
        <f>TEXT(B346,"aaa")</f>
        <v/>
      </c>
      <c r="D346" s="20" t="inlineStr">
        <is>
          <t>네이버 쇼핑검색</t>
        </is>
      </c>
      <c r="K346" s="20" t="n">
        <v>170</v>
      </c>
    </row>
    <row r="347" ht="16.5" customHeight="1" s="17">
      <c r="B347" s="16">
        <f>B346+1</f>
        <v/>
      </c>
      <c r="C347" s="20">
        <f>TEXT(B347,"aaa")</f>
        <v/>
      </c>
      <c r="D347" s="20" t="inlineStr">
        <is>
          <t>네이버 쇼핑검색</t>
        </is>
      </c>
      <c r="K347" s="20" t="n">
        <v>4270</v>
      </c>
    </row>
    <row r="348" ht="16.5" customHeight="1" s="17">
      <c r="B348" s="16">
        <f>B347+1</f>
        <v/>
      </c>
      <c r="C348" s="20">
        <f>TEXT(B348,"aaa")</f>
        <v/>
      </c>
      <c r="D348" s="20" t="inlineStr">
        <is>
          <t>네이버 쇼핑검색</t>
        </is>
      </c>
      <c r="K348" s="20" t="n">
        <v>2340</v>
      </c>
    </row>
    <row r="349" ht="16.5" customHeight="1" s="17">
      <c r="B349" s="16">
        <f>B348+1</f>
        <v/>
      </c>
      <c r="C349" s="20">
        <f>TEXT(B349,"aaa")</f>
        <v/>
      </c>
      <c r="D349" s="20" t="inlineStr">
        <is>
          <t>네이버 쇼핑검색</t>
        </is>
      </c>
      <c r="K349" s="20" t="n">
        <v>350</v>
      </c>
    </row>
    <row r="350" ht="16.5" customHeight="1" s="17">
      <c r="B350" s="16">
        <f>B349+1</f>
        <v/>
      </c>
      <c r="C350" s="20">
        <f>TEXT(B350,"aaa")</f>
        <v/>
      </c>
      <c r="D350" s="20" t="inlineStr">
        <is>
          <t>네이버 쇼핑검색</t>
        </is>
      </c>
      <c r="K350" s="20" t="n">
        <v>959.9999999999999</v>
      </c>
    </row>
    <row r="351" ht="16.5" customHeight="1" s="17">
      <c r="B351" s="16">
        <f>B350+1</f>
        <v/>
      </c>
      <c r="C351" s="20">
        <f>TEXT(B351,"aaa")</f>
        <v/>
      </c>
      <c r="D351" s="20" t="inlineStr">
        <is>
          <t>네이버 쇼핑검색</t>
        </is>
      </c>
      <c r="K351" s="20" t="n">
        <v>1600</v>
      </c>
    </row>
    <row r="352" ht="16.5" customHeight="1" s="17">
      <c r="B352" s="16">
        <f>B351+1</f>
        <v/>
      </c>
      <c r="C352" s="20">
        <f>TEXT(B352,"aaa")</f>
        <v/>
      </c>
      <c r="D352" s="20" t="inlineStr">
        <is>
          <t>네이버 쇼핑검색</t>
        </is>
      </c>
      <c r="K352" s="20" t="n">
        <v>1140</v>
      </c>
    </row>
    <row r="353" ht="16.5" customHeight="1" s="17">
      <c r="B353" s="16">
        <f>B352+1</f>
        <v/>
      </c>
      <c r="C353" s="20">
        <f>TEXT(B353,"aaa")</f>
        <v/>
      </c>
      <c r="D353" s="20" t="inlineStr">
        <is>
          <t>네이버 쇼핑검색</t>
        </is>
      </c>
      <c r="K353" s="20" t="n">
        <v>1560</v>
      </c>
    </row>
    <row r="354" ht="16.5" customHeight="1" s="17">
      <c r="B354" s="16">
        <f>B353+1</f>
        <v/>
      </c>
      <c r="C354" s="20">
        <f>TEXT(B354,"aaa")</f>
        <v/>
      </c>
      <c r="D354" s="20" t="inlineStr">
        <is>
          <t>네이버 쇼핑검색</t>
        </is>
      </c>
      <c r="K354" s="20" t="n">
        <v>1560</v>
      </c>
    </row>
    <row r="355" ht="16.5" customHeight="1" s="17">
      <c r="B355" s="16">
        <f>B354+1</f>
        <v/>
      </c>
      <c r="C355" s="20">
        <f>TEXT(B355,"aaa")</f>
        <v/>
      </c>
      <c r="D355" s="20" t="inlineStr">
        <is>
          <t>네이버 쇼핑검색</t>
        </is>
      </c>
      <c r="K355" s="20" t="n">
        <v>4010</v>
      </c>
    </row>
    <row r="356" ht="16.5" customHeight="1" s="17">
      <c r="B356" s="16">
        <f>B355+1</f>
        <v/>
      </c>
      <c r="C356" s="20">
        <f>TEXT(B356,"aaa")</f>
        <v/>
      </c>
      <c r="D356" s="20" t="inlineStr">
        <is>
          <t>네이버 쇼핑검색</t>
        </is>
      </c>
      <c r="K356" s="20" t="n">
        <v>1940</v>
      </c>
    </row>
    <row r="357" ht="16.5" customHeight="1" s="17">
      <c r="B357" s="16">
        <f>B356+1</f>
        <v/>
      </c>
      <c r="C357" s="20">
        <f>TEXT(B357,"aaa")</f>
        <v/>
      </c>
      <c r="D357" s="20" t="inlineStr">
        <is>
          <t>네이버 쇼핑검색</t>
        </is>
      </c>
      <c r="K357" s="20" t="n">
        <v>0</v>
      </c>
    </row>
    <row r="358" ht="16.5" customHeight="1" s="17">
      <c r="B358" s="16">
        <f>B357+1</f>
        <v/>
      </c>
      <c r="C358" s="20">
        <f>TEXT(B358,"aaa")</f>
        <v/>
      </c>
      <c r="D358" s="20" t="inlineStr">
        <is>
          <t>네이버 쇼핑검색</t>
        </is>
      </c>
      <c r="K358" s="20" t="n">
        <v>200</v>
      </c>
    </row>
    <row r="359" ht="16.5" customHeight="1" s="17">
      <c r="B359" s="16">
        <f>B358+1</f>
        <v/>
      </c>
      <c r="C359" s="20">
        <f>TEXT(B359,"aaa")</f>
        <v/>
      </c>
      <c r="D359" s="20" t="inlineStr">
        <is>
          <t>네이버 쇼핑검색</t>
        </is>
      </c>
      <c r="K359" s="20" t="n">
        <v>0</v>
      </c>
    </row>
    <row r="360" ht="16.5" customHeight="1" s="17">
      <c r="B360" s="16">
        <f>B359+1</f>
        <v/>
      </c>
      <c r="C360" s="20">
        <f>TEXT(B360,"aaa")</f>
        <v/>
      </c>
      <c r="D360" s="20" t="inlineStr">
        <is>
          <t>네이버 쇼핑검색</t>
        </is>
      </c>
      <c r="K360" s="20" t="n">
        <v>0</v>
      </c>
    </row>
    <row r="361" ht="16.5" customHeight="1" s="17">
      <c r="B361" s="16">
        <f>B360+1</f>
        <v/>
      </c>
      <c r="C361" s="20">
        <f>TEXT(B361,"aaa")</f>
        <v/>
      </c>
      <c r="D361" s="20" t="inlineStr">
        <is>
          <t>네이버 쇼핑검색</t>
        </is>
      </c>
      <c r="K361" s="20" t="n">
        <v>3170</v>
      </c>
    </row>
    <row r="362" ht="16.5" customHeight="1" s="17">
      <c r="B362" s="16">
        <f>B361+1</f>
        <v/>
      </c>
      <c r="C362" s="20">
        <f>TEXT(B362,"aaa")</f>
        <v/>
      </c>
      <c r="D362" s="20" t="inlineStr">
        <is>
          <t>네이버 쇼핑검색</t>
        </is>
      </c>
      <c r="K362" s="20" t="n">
        <v>5080</v>
      </c>
    </row>
    <row r="363" ht="16.5" customHeight="1" s="17">
      <c r="B363" s="16">
        <f>B362+1</f>
        <v/>
      </c>
      <c r="C363" s="20">
        <f>TEXT(B363,"aaa")</f>
        <v/>
      </c>
      <c r="D363" s="20" t="inlineStr">
        <is>
          <t>네이버 쇼핑검색</t>
        </is>
      </c>
      <c r="K363" s="20" t="n">
        <v>2350</v>
      </c>
    </row>
    <row r="364" ht="16.5" customHeight="1" s="17">
      <c r="B364" s="16">
        <f>B363+1</f>
        <v/>
      </c>
      <c r="C364" s="20">
        <f>TEXT(B364,"aaa")</f>
        <v/>
      </c>
      <c r="D364" s="20" t="inlineStr">
        <is>
          <t>네이버 쇼핑검색</t>
        </is>
      </c>
      <c r="K364" s="20" t="n">
        <v>330</v>
      </c>
    </row>
    <row r="365" ht="16.5" customHeight="1" s="17">
      <c r="B365" s="16">
        <f>B364+1</f>
        <v/>
      </c>
      <c r="C365" s="20">
        <f>TEXT(B365,"aaa")</f>
        <v/>
      </c>
      <c r="D365" s="20" t="inlineStr">
        <is>
          <t>네이버 쇼핑검색</t>
        </is>
      </c>
      <c r="K365" s="20" t="n">
        <v>2870</v>
      </c>
    </row>
    <row r="366" ht="16.5" customHeight="1" s="17">
      <c r="B366" s="16">
        <f>B365+1</f>
        <v/>
      </c>
      <c r="C366" s="20">
        <f>TEXT(B366,"aaa")</f>
        <v/>
      </c>
      <c r="D366" s="20" t="inlineStr">
        <is>
          <t>네이버 쇼핑검색</t>
        </is>
      </c>
      <c r="K366" s="20" t="n">
        <v>620</v>
      </c>
    </row>
    <row r="367" ht="16.5" customHeight="1" s="17">
      <c r="B367" s="16">
        <f>B366+1</f>
        <v/>
      </c>
      <c r="C367" s="20">
        <f>TEXT(B367,"aaa")</f>
        <v/>
      </c>
      <c r="D367" s="20" t="inlineStr">
        <is>
          <t>네이버 쇼핑검색</t>
        </is>
      </c>
      <c r="K367" s="20" t="n">
        <v>1770</v>
      </c>
    </row>
    <row r="368" ht="16.5" customHeight="1" s="17">
      <c r="B368" s="16">
        <f>B367+1</f>
        <v/>
      </c>
      <c r="C368" s="20">
        <f>TEXT(B368,"aaa")</f>
        <v/>
      </c>
      <c r="D368" s="20" t="inlineStr">
        <is>
          <t>네이버 쇼핑검색</t>
        </is>
      </c>
      <c r="K368" s="20" t="n">
        <v>1590</v>
      </c>
    </row>
    <row r="369" ht="16.5" customHeight="1" s="17">
      <c r="B369" s="16">
        <f>B368+1</f>
        <v/>
      </c>
      <c r="C369" s="20">
        <f>TEXT(B369,"aaa")</f>
        <v/>
      </c>
      <c r="D369" s="20" t="inlineStr">
        <is>
          <t>네이버 쇼핑검색</t>
        </is>
      </c>
      <c r="K369" s="20" t="n">
        <v>2610</v>
      </c>
    </row>
    <row r="370" ht="16.5" customHeight="1" s="17">
      <c r="B370" s="16">
        <f>B369+1</f>
        <v/>
      </c>
      <c r="C370" s="20">
        <f>TEXT(B370,"aaa")</f>
        <v/>
      </c>
      <c r="D370" s="20" t="inlineStr">
        <is>
          <t>네이버 쇼핑검색</t>
        </is>
      </c>
      <c r="K370" s="20" t="n">
        <v>3010</v>
      </c>
    </row>
    <row r="371" ht="16.5" customHeight="1" s="17">
      <c r="B371" s="16">
        <f>B370+1</f>
        <v/>
      </c>
      <c r="C371" s="20">
        <f>TEXT(B371,"aaa")</f>
        <v/>
      </c>
      <c r="D371" s="20" t="inlineStr">
        <is>
          <t>네이버 쇼핑검색</t>
        </is>
      </c>
      <c r="K371" s="20" t="n">
        <v>3480</v>
      </c>
    </row>
    <row r="372" ht="16.5" customHeight="1" s="17">
      <c r="B372" s="16">
        <f>B371+1</f>
        <v/>
      </c>
      <c r="C372" s="20">
        <f>TEXT(B372,"aaa")</f>
        <v/>
      </c>
      <c r="D372" s="20" t="inlineStr">
        <is>
          <t>네이버 쇼핑검색</t>
        </is>
      </c>
      <c r="K372" s="20" t="n">
        <v>1630</v>
      </c>
    </row>
    <row r="373" ht="16.5" customHeight="1" s="17">
      <c r="B373" s="16">
        <f>B372+1</f>
        <v/>
      </c>
      <c r="C373" s="20">
        <f>TEXT(B373,"aaa")</f>
        <v/>
      </c>
      <c r="D373" s="20" t="inlineStr">
        <is>
          <t>네이버 쇼핑검색</t>
        </is>
      </c>
      <c r="K373" s="20" t="n">
        <v>2030</v>
      </c>
    </row>
    <row r="374" ht="16.5" customHeight="1" s="17">
      <c r="B374" s="16">
        <f>B373+1</f>
        <v/>
      </c>
      <c r="C374" s="20">
        <f>TEXT(B374,"aaa")</f>
        <v/>
      </c>
      <c r="D374" s="20" t="inlineStr">
        <is>
          <t>네이버 쇼핑검색</t>
        </is>
      </c>
      <c r="K374" s="20" t="n">
        <v>1540</v>
      </c>
    </row>
    <row r="375" ht="16.5" customHeight="1" s="17">
      <c r="B375" s="16">
        <f>B374+1</f>
        <v/>
      </c>
      <c r="C375" s="20">
        <f>TEXT(B375,"aaa")</f>
        <v/>
      </c>
      <c r="D375" s="20" t="inlineStr">
        <is>
          <t>네이버 쇼핑검색</t>
        </is>
      </c>
      <c r="K375" s="20">
        <f>1716/1.1</f>
        <v/>
      </c>
    </row>
    <row r="376" ht="16.5" customHeight="1" s="17">
      <c r="B376" s="16">
        <f>B375+1</f>
        <v/>
      </c>
      <c r="C376" s="20">
        <f>TEXT(B376,"aaa")</f>
        <v/>
      </c>
      <c r="D376" s="20" t="inlineStr">
        <is>
          <t>네이버 쇼핑검색</t>
        </is>
      </c>
      <c r="K376" s="20" t="n">
        <v>3470</v>
      </c>
    </row>
    <row r="377" ht="16.5" customHeight="1" s="17">
      <c r="B377" s="16">
        <f>B376+1</f>
        <v/>
      </c>
      <c r="C377" s="20">
        <f>TEXT(B377,"aaa")</f>
        <v/>
      </c>
      <c r="D377" s="20" t="inlineStr">
        <is>
          <t>네이버 쇼핑검색</t>
        </is>
      </c>
      <c r="K377" s="20" t="n">
        <v>5270</v>
      </c>
    </row>
    <row r="378" ht="16.5" customHeight="1" s="17">
      <c r="B378" s="16">
        <f>B377+1</f>
        <v/>
      </c>
      <c r="C378" s="20">
        <f>TEXT(B378,"aaa")</f>
        <v/>
      </c>
      <c r="D378" s="20" t="inlineStr">
        <is>
          <t>네이버 쇼핑검색</t>
        </is>
      </c>
      <c r="K378" s="20" t="n">
        <v>2640</v>
      </c>
    </row>
    <row r="379" ht="16.5" customHeight="1" s="17">
      <c r="B379" s="16">
        <f>B378+1</f>
        <v/>
      </c>
      <c r="C379" s="20">
        <f>TEXT(B379,"aaa")</f>
        <v/>
      </c>
      <c r="D379" s="20" t="inlineStr">
        <is>
          <t>네이버 쇼핑검색</t>
        </is>
      </c>
      <c r="K379" s="20" t="n">
        <v>1920</v>
      </c>
    </row>
    <row r="380" ht="16.5" customHeight="1" s="17">
      <c r="B380" s="16">
        <f>B379+1</f>
        <v/>
      </c>
      <c r="C380" s="20">
        <f>TEXT(B380,"aaa")</f>
        <v/>
      </c>
      <c r="D380" s="20" t="inlineStr">
        <is>
          <t>네이버 쇼핑검색</t>
        </is>
      </c>
      <c r="K380" s="20" t="n">
        <v>3180</v>
      </c>
    </row>
    <row r="381" ht="16.5" customHeight="1" s="17">
      <c r="B381" s="16">
        <f>B380+1</f>
        <v/>
      </c>
      <c r="C381" s="20">
        <f>TEXT(B381,"aaa")</f>
        <v/>
      </c>
      <c r="D381" s="20" t="inlineStr">
        <is>
          <t>네이버 쇼핑검색</t>
        </is>
      </c>
      <c r="K381" s="20" t="n">
        <v>1290</v>
      </c>
    </row>
    <row r="382" ht="16.5" customHeight="1" s="17">
      <c r="B382" s="16">
        <f>B381+1</f>
        <v/>
      </c>
      <c r="C382" s="20">
        <f>TEXT(B382,"aaa")</f>
        <v/>
      </c>
      <c r="D382" s="20" t="inlineStr">
        <is>
          <t>네이버 쇼핑검색</t>
        </is>
      </c>
      <c r="K382" s="20" t="n">
        <v>6010</v>
      </c>
    </row>
    <row r="383" ht="16.5" customHeight="1" s="17">
      <c r="B383" s="16">
        <f>B382+1</f>
        <v/>
      </c>
      <c r="C383" s="20">
        <f>TEXT(B383,"aaa")</f>
        <v/>
      </c>
      <c r="D383" s="20" t="inlineStr">
        <is>
          <t>네이버 쇼핑검색</t>
        </is>
      </c>
      <c r="K383" s="20" t="n">
        <v>5600</v>
      </c>
    </row>
    <row r="384" ht="16.5" customHeight="1" s="17">
      <c r="B384" s="16">
        <f>B383+1</f>
        <v/>
      </c>
      <c r="C384" s="20">
        <f>TEXT(B384,"aaa")</f>
        <v/>
      </c>
      <c r="D384" s="20" t="inlineStr">
        <is>
          <t>네이버 쇼핑검색</t>
        </is>
      </c>
      <c r="K384" s="20" t="n">
        <v>5600</v>
      </c>
    </row>
    <row r="385" ht="16.5" customHeight="1" s="17">
      <c r="B385" s="16">
        <f>B384+1</f>
        <v/>
      </c>
      <c r="C385" s="20">
        <f>TEXT(B385,"aaa")</f>
        <v/>
      </c>
      <c r="D385" s="20" t="inlineStr">
        <is>
          <t>네이버 쇼핑검색</t>
        </is>
      </c>
      <c r="K385" s="20" t="n">
        <v>3690</v>
      </c>
    </row>
    <row r="386" ht="16.5" customHeight="1" s="17">
      <c r="B386" s="16">
        <f>B385+1</f>
        <v/>
      </c>
      <c r="C386" s="20">
        <f>TEXT(B386,"aaa")</f>
        <v/>
      </c>
      <c r="D386" s="20" t="inlineStr">
        <is>
          <t>네이버 쇼핑검색</t>
        </is>
      </c>
      <c r="K386" s="20" t="n">
        <v>1870</v>
      </c>
    </row>
    <row r="387" ht="16.5" customHeight="1" s="17">
      <c r="B387" s="16">
        <f>B386+1</f>
        <v/>
      </c>
      <c r="C387" s="20">
        <f>TEXT(B387,"aaa")</f>
        <v/>
      </c>
      <c r="D387" s="20" t="inlineStr">
        <is>
          <t>네이버 쇼핑검색</t>
        </is>
      </c>
      <c r="K387" s="20" t="n">
        <v>3320</v>
      </c>
    </row>
    <row r="388" ht="16.5" customHeight="1" s="17">
      <c r="B388" s="16">
        <f>B387+1</f>
        <v/>
      </c>
      <c r="C388" s="20">
        <f>TEXT(B388,"aaa")</f>
        <v/>
      </c>
      <c r="D388" s="20" t="inlineStr">
        <is>
          <t>네이버 쇼핑검색</t>
        </is>
      </c>
      <c r="K388" s="20" t="n">
        <v>3110</v>
      </c>
    </row>
    <row r="389" ht="16.5" customHeight="1" s="17">
      <c r="B389" s="16">
        <f>B388+1</f>
        <v/>
      </c>
      <c r="C389" s="20">
        <f>TEXT(B389,"aaa")</f>
        <v/>
      </c>
      <c r="D389" s="20" t="inlineStr">
        <is>
          <t>네이버 쇼핑검색</t>
        </is>
      </c>
      <c r="K389" s="20" t="n">
        <v>4390</v>
      </c>
    </row>
    <row r="390" ht="16.5" customHeight="1" s="17">
      <c r="B390" s="16">
        <f>B389+1</f>
        <v/>
      </c>
      <c r="C390" s="20">
        <f>TEXT(B390,"aaa")</f>
        <v/>
      </c>
      <c r="D390" s="20" t="inlineStr">
        <is>
          <t>네이버 쇼핑검색</t>
        </is>
      </c>
      <c r="K390" s="20" t="n">
        <v>1770</v>
      </c>
    </row>
    <row r="391" ht="16.5" customHeight="1" s="17">
      <c r="B391" s="16">
        <f>B390+1</f>
        <v/>
      </c>
      <c r="C391" s="20">
        <f>TEXT(B391,"aaa")</f>
        <v/>
      </c>
      <c r="D391" s="20" t="inlineStr">
        <is>
          <t>네이버 쇼핑검색</t>
        </is>
      </c>
      <c r="K391" s="20" t="n">
        <v>1450</v>
      </c>
    </row>
    <row r="392" ht="16.5" customHeight="1" s="17">
      <c r="B392" s="16">
        <f>B391+1</f>
        <v/>
      </c>
      <c r="C392" s="20">
        <f>TEXT(B392,"aaa")</f>
        <v/>
      </c>
      <c r="D392" s="20" t="inlineStr">
        <is>
          <t>네이버 쇼핑검색</t>
        </is>
      </c>
      <c r="K392" s="20" t="n">
        <v>1510</v>
      </c>
    </row>
    <row r="393" ht="16.5" customHeight="1" s="17">
      <c r="B393" s="16">
        <f>B392+1</f>
        <v/>
      </c>
      <c r="C393" s="20">
        <f>TEXT(B393,"aaa")</f>
        <v/>
      </c>
      <c r="D393" s="20" t="inlineStr">
        <is>
          <t>네이버 쇼핑검색</t>
        </is>
      </c>
      <c r="K393" s="20" t="n">
        <v>1450</v>
      </c>
    </row>
    <row r="394" ht="16.5" customHeight="1" s="17">
      <c r="B394" s="16">
        <f>B393+1</f>
        <v/>
      </c>
      <c r="C394" s="20">
        <f>TEXT(B394,"aaa")</f>
        <v/>
      </c>
      <c r="D394" s="20" t="inlineStr">
        <is>
          <t>네이버 쇼핑검색</t>
        </is>
      </c>
      <c r="K394" s="20" t="n">
        <v>5090</v>
      </c>
    </row>
    <row r="395" ht="16.5" customHeight="1" s="17">
      <c r="B395" s="16">
        <f>B394+1</f>
        <v/>
      </c>
      <c r="C395" s="20">
        <f>TEXT(B395,"aaa")</f>
        <v/>
      </c>
      <c r="D395" s="20" t="inlineStr">
        <is>
          <t>네이버 쇼핑검색</t>
        </is>
      </c>
      <c r="K395" s="20" t="n">
        <v>2680</v>
      </c>
    </row>
    <row r="396" ht="16.5" customHeight="1" s="17">
      <c r="B396" s="16">
        <f>B395+1</f>
        <v/>
      </c>
      <c r="C396" s="20">
        <f>TEXT(B396,"aaa")</f>
        <v/>
      </c>
      <c r="D396" s="20" t="inlineStr">
        <is>
          <t>네이버 쇼핑검색</t>
        </is>
      </c>
      <c r="K396" s="20" t="n">
        <v>1890</v>
      </c>
    </row>
    <row r="397" ht="16.5" customHeight="1" s="17">
      <c r="B397" s="16">
        <f>B396+1</f>
        <v/>
      </c>
      <c r="C397" s="20">
        <f>TEXT(B397,"aaa")</f>
        <v/>
      </c>
      <c r="D397" s="20" t="inlineStr">
        <is>
          <t>네이버 쇼핑검색</t>
        </is>
      </c>
      <c r="K397" s="20" t="n">
        <v>1100</v>
      </c>
    </row>
    <row r="398" ht="16.5" customHeight="1" s="17">
      <c r="B398" s="16">
        <f>B397+1</f>
        <v/>
      </c>
      <c r="C398" s="20">
        <f>TEXT(B398,"aaa")</f>
        <v/>
      </c>
      <c r="D398" s="20" t="inlineStr">
        <is>
          <t>네이버 쇼핑검색</t>
        </is>
      </c>
      <c r="K398" s="20" t="n">
        <v>2120</v>
      </c>
    </row>
    <row r="399" ht="16.5" customHeight="1" s="17">
      <c r="B399" s="16">
        <f>B398+1</f>
        <v/>
      </c>
      <c r="C399" s="20">
        <f>TEXT(B399,"aaa")</f>
        <v/>
      </c>
      <c r="D399" s="20" t="inlineStr">
        <is>
          <t>네이버 쇼핑검색</t>
        </is>
      </c>
      <c r="K399" s="20" t="n">
        <v>420</v>
      </c>
    </row>
    <row r="400" ht="16.5" customHeight="1" s="17">
      <c r="B400" s="16">
        <f>B399+1</f>
        <v/>
      </c>
      <c r="C400" s="20">
        <f>TEXT(B400,"aaa")</f>
        <v/>
      </c>
      <c r="D400" s="20" t="inlineStr">
        <is>
          <t>네이버 쇼핑검색</t>
        </is>
      </c>
      <c r="K400" s="20" t="n">
        <v>2610</v>
      </c>
    </row>
    <row r="401" ht="16.5" customHeight="1" s="17">
      <c r="B401" s="16">
        <f>B400+1</f>
        <v/>
      </c>
      <c r="C401" s="20">
        <f>TEXT(B401,"aaa")</f>
        <v/>
      </c>
      <c r="D401" s="20" t="inlineStr">
        <is>
          <t>네이버 쇼핑검색</t>
        </is>
      </c>
      <c r="K401" s="20" t="n">
        <v>2770</v>
      </c>
    </row>
    <row r="402" ht="16.5" customHeight="1" s="17">
      <c r="B402" s="16">
        <f>B401+1</f>
        <v/>
      </c>
      <c r="C402" s="20">
        <f>TEXT(B402,"aaa")</f>
        <v/>
      </c>
      <c r="D402" s="20" t="inlineStr">
        <is>
          <t>네이버 쇼핑검색</t>
        </is>
      </c>
      <c r="K402" s="20" t="n">
        <v>4610</v>
      </c>
    </row>
    <row r="403" ht="16.5" customHeight="1" s="17">
      <c r="B403" s="16">
        <f>B402+1</f>
        <v/>
      </c>
      <c r="C403" s="20">
        <f>TEXT(B403,"aaa")</f>
        <v/>
      </c>
      <c r="D403" s="20" t="inlineStr">
        <is>
          <t>네이버 쇼핑검색</t>
        </is>
      </c>
      <c r="K403" s="20" t="n">
        <v>4320</v>
      </c>
    </row>
    <row r="404" ht="16.5" customHeight="1" s="17">
      <c r="B404" s="16">
        <f>B403+1</f>
        <v/>
      </c>
      <c r="C404" s="20">
        <f>TEXT(B404,"aaa")</f>
        <v/>
      </c>
      <c r="D404" s="20" t="inlineStr">
        <is>
          <t>네이버 쇼핑검색</t>
        </is>
      </c>
      <c r="K404" s="20" t="n">
        <v>2670</v>
      </c>
    </row>
    <row r="405" ht="16.5" customHeight="1" s="17">
      <c r="B405" s="16">
        <f>B404+1</f>
        <v/>
      </c>
      <c r="C405" s="20">
        <f>TEXT(B405,"aaa")</f>
        <v/>
      </c>
      <c r="D405" s="20" t="inlineStr">
        <is>
          <t>네이버 쇼핑검색</t>
        </is>
      </c>
      <c r="K405" s="20" t="n">
        <v>3010</v>
      </c>
    </row>
    <row r="406" ht="16.5" customHeight="1" s="17">
      <c r="B406" s="16">
        <f>B405+1</f>
        <v/>
      </c>
      <c r="C406" s="20">
        <f>TEXT(B406,"aaa")</f>
        <v/>
      </c>
      <c r="D406" s="20" t="inlineStr">
        <is>
          <t>네이버 쇼핑검색</t>
        </is>
      </c>
      <c r="K406" s="20" t="n">
        <v>3090</v>
      </c>
    </row>
    <row r="407" ht="16.5" customHeight="1" s="17">
      <c r="B407" s="16">
        <f>B406+1</f>
        <v/>
      </c>
      <c r="C407" s="20">
        <f>TEXT(B407,"aaa")</f>
        <v/>
      </c>
      <c r="D407" s="20" t="inlineStr">
        <is>
          <t>네이버 쇼핑검색</t>
        </is>
      </c>
      <c r="K407" s="20" t="n">
        <v>2180</v>
      </c>
    </row>
    <row r="408" ht="16.5" customHeight="1" s="17">
      <c r="B408" s="16">
        <f>B407+1</f>
        <v/>
      </c>
      <c r="C408" s="20">
        <f>TEXT(B408,"aaa")</f>
        <v/>
      </c>
      <c r="D408" s="20" t="inlineStr">
        <is>
          <t>네이버 쇼핑검색</t>
        </is>
      </c>
      <c r="K408" s="20" t="n">
        <v>4320</v>
      </c>
    </row>
    <row r="409" ht="16.5" customHeight="1" s="17">
      <c r="B409" s="16">
        <f>B408+1</f>
        <v/>
      </c>
      <c r="C409" s="20">
        <f>TEXT(B409,"aaa")</f>
        <v/>
      </c>
      <c r="D409" s="20" t="inlineStr">
        <is>
          <t>네이버 쇼핑검색</t>
        </is>
      </c>
      <c r="K409" s="20" t="n">
        <v>2860</v>
      </c>
    </row>
    <row r="410" ht="16.5" customHeight="1" s="17">
      <c r="B410" s="16">
        <f>B409+1</f>
        <v/>
      </c>
      <c r="C410" s="20">
        <f>TEXT(B410,"aaa")</f>
        <v/>
      </c>
      <c r="D410" s="20" t="inlineStr">
        <is>
          <t>네이버 쇼핑검색</t>
        </is>
      </c>
      <c r="K410" s="20" t="n">
        <v>6550</v>
      </c>
    </row>
    <row r="411" ht="16.5" customHeight="1" s="17">
      <c r="B411" s="16">
        <f>B410+1</f>
        <v/>
      </c>
      <c r="C411" s="20">
        <f>TEXT(B411,"aaa")</f>
        <v/>
      </c>
      <c r="D411" s="20" t="inlineStr">
        <is>
          <t>네이버 쇼핑검색</t>
        </is>
      </c>
      <c r="K411" s="20" t="n">
        <v>2880</v>
      </c>
    </row>
    <row r="412" ht="16.5" customHeight="1" s="17">
      <c r="B412" s="16">
        <f>B411+1</f>
        <v/>
      </c>
      <c r="C412" s="20">
        <f>TEXT(B412,"aaa")</f>
        <v/>
      </c>
      <c r="D412" s="20" t="inlineStr">
        <is>
          <t>네이버 쇼핑검색</t>
        </is>
      </c>
      <c r="K412" s="20" t="n">
        <v>7030</v>
      </c>
    </row>
    <row r="413" ht="16.5" customHeight="1" s="17">
      <c r="B413" s="16">
        <f>B412+1</f>
        <v/>
      </c>
      <c r="C413" s="20">
        <f>TEXT(B413,"aaa")</f>
        <v/>
      </c>
      <c r="D413" s="20" t="inlineStr">
        <is>
          <t>네이버 쇼핑검색</t>
        </is>
      </c>
      <c r="K413" s="20" t="n">
        <v>4360</v>
      </c>
    </row>
    <row r="414" ht="16.5" customHeight="1" s="17">
      <c r="B414" s="16">
        <f>B413+1</f>
        <v/>
      </c>
      <c r="C414" s="20">
        <f>TEXT(B414,"aaa")</f>
        <v/>
      </c>
      <c r="D414" s="20" t="inlineStr">
        <is>
          <t>네이버 쇼핑검색</t>
        </is>
      </c>
      <c r="K414" s="20" t="n">
        <v>13770</v>
      </c>
    </row>
    <row r="415" ht="16.5" customHeight="1" s="17">
      <c r="B415" s="16">
        <f>B414+1</f>
        <v/>
      </c>
      <c r="C415" s="20">
        <f>TEXT(B415,"aaa")</f>
        <v/>
      </c>
      <c r="D415" s="20" t="inlineStr">
        <is>
          <t>네이버 쇼핑검색</t>
        </is>
      </c>
      <c r="K415" s="20" t="n">
        <v>8750</v>
      </c>
    </row>
    <row r="416" ht="16.5" customHeight="1" s="17">
      <c r="B416" s="16">
        <f>B415+1</f>
        <v/>
      </c>
      <c r="C416" s="20">
        <f>TEXT(B416,"aaa")</f>
        <v/>
      </c>
      <c r="D416" s="20" t="inlineStr">
        <is>
          <t>네이버 쇼핑검색</t>
        </is>
      </c>
      <c r="K416" s="20" t="n">
        <v>9780</v>
      </c>
    </row>
    <row r="417" ht="16.5" customHeight="1" s="17">
      <c r="B417" s="16">
        <f>B416+1</f>
        <v/>
      </c>
      <c r="C417" s="20">
        <f>TEXT(B417,"aaa")</f>
        <v/>
      </c>
      <c r="D417" s="20" t="inlineStr">
        <is>
          <t>네이버 쇼핑검색</t>
        </is>
      </c>
      <c r="K417" s="20" t="n">
        <v>5870</v>
      </c>
    </row>
    <row r="418" ht="16.5" customHeight="1" s="17">
      <c r="B418" s="16">
        <f>B417+1</f>
        <v/>
      </c>
      <c r="C418" s="20">
        <f>TEXT(B418,"aaa")</f>
        <v/>
      </c>
      <c r="D418" s="20" t="inlineStr">
        <is>
          <t>네이버 쇼핑검색</t>
        </is>
      </c>
      <c r="K418" s="20" t="n">
        <v>5560</v>
      </c>
    </row>
    <row r="419" ht="16.5" customHeight="1" s="17">
      <c r="B419" s="16">
        <f>B418+1</f>
        <v/>
      </c>
      <c r="C419" s="20">
        <f>TEXT(B419,"aaa")</f>
        <v/>
      </c>
      <c r="D419" s="20" t="inlineStr">
        <is>
          <t>네이버 쇼핑검색</t>
        </is>
      </c>
      <c r="K419" s="20" t="n">
        <v>8670</v>
      </c>
    </row>
    <row r="420" ht="16.5" customHeight="1" s="17">
      <c r="B420" s="16">
        <f>B419+1</f>
        <v/>
      </c>
      <c r="C420" s="20">
        <f>TEXT(B420,"aaa")</f>
        <v/>
      </c>
      <c r="D420" s="20" t="inlineStr">
        <is>
          <t>네이버 쇼핑검색</t>
        </is>
      </c>
      <c r="K420" s="20" t="n">
        <v>7260</v>
      </c>
    </row>
    <row r="421" ht="16.5" customHeight="1" s="17">
      <c r="B421" s="16">
        <f>B420+1</f>
        <v/>
      </c>
      <c r="C421" s="20">
        <f>TEXT(B421,"aaa")</f>
        <v/>
      </c>
      <c r="D421" s="20" t="inlineStr">
        <is>
          <t>네이버 쇼핑검색</t>
        </is>
      </c>
      <c r="K421" s="20" t="n">
        <v>12680</v>
      </c>
    </row>
    <row r="422" ht="16.5" customHeight="1" s="17">
      <c r="B422" s="16">
        <f>B421+1</f>
        <v/>
      </c>
      <c r="C422" s="20">
        <f>TEXT(B422,"aaa")</f>
        <v/>
      </c>
      <c r="D422" s="20" t="inlineStr">
        <is>
          <t>네이버 쇼핑검색</t>
        </is>
      </c>
      <c r="K422" s="20" t="n">
        <v>14480</v>
      </c>
    </row>
    <row r="423" ht="16.5" customHeight="1" s="17">
      <c r="B423" s="16">
        <f>B422+1</f>
        <v/>
      </c>
      <c r="C423" s="20">
        <f>TEXT(B423,"aaa")</f>
        <v/>
      </c>
      <c r="D423" s="20" t="inlineStr">
        <is>
          <t>네이버 쇼핑검색</t>
        </is>
      </c>
      <c r="K423" s="20" t="n">
        <v>7040</v>
      </c>
    </row>
    <row r="424" ht="16.5" customHeight="1" s="17">
      <c r="B424" s="16">
        <f>B423+1</f>
        <v/>
      </c>
      <c r="C424" s="20">
        <f>TEXT(B424,"aaa")</f>
        <v/>
      </c>
      <c r="D424" s="20" t="inlineStr">
        <is>
          <t>네이버 쇼핑검색</t>
        </is>
      </c>
      <c r="K424" s="20" t="n">
        <v>12770</v>
      </c>
    </row>
    <row r="425" ht="16.5" customHeight="1" s="17">
      <c r="B425" s="16">
        <f>B424+1</f>
        <v/>
      </c>
      <c r="C425" s="20">
        <f>TEXT(B425,"aaa")</f>
        <v/>
      </c>
      <c r="D425" s="20" t="inlineStr">
        <is>
          <t>네이버 쇼핑검색</t>
        </is>
      </c>
      <c r="K425" s="20" t="n">
        <v>11740</v>
      </c>
    </row>
    <row r="426" ht="16.5" customHeight="1" s="17">
      <c r="B426" s="16">
        <f>B425+1</f>
        <v/>
      </c>
      <c r="C426" s="20">
        <f>TEXT(B426,"aaa")</f>
        <v/>
      </c>
      <c r="D426" s="20" t="inlineStr">
        <is>
          <t>네이버 쇼핑검색</t>
        </is>
      </c>
      <c r="K426" s="20" t="n">
        <v>12460</v>
      </c>
    </row>
    <row r="427" ht="16.5" customHeight="1" s="17">
      <c r="B427" s="16">
        <f>B426+1</f>
        <v/>
      </c>
      <c r="C427" s="20">
        <f>TEXT(B427,"aaa")</f>
        <v/>
      </c>
      <c r="D427" s="20" t="inlineStr">
        <is>
          <t>네이버 쇼핑검색</t>
        </is>
      </c>
      <c r="K427" s="20" t="n">
        <v>7990</v>
      </c>
    </row>
    <row r="428" ht="16.5" customHeight="1" s="17">
      <c r="B428" s="16">
        <f>B427+1</f>
        <v/>
      </c>
      <c r="C428" s="20">
        <f>TEXT(B428,"aaa")</f>
        <v/>
      </c>
      <c r="D428" s="20" t="inlineStr">
        <is>
          <t>네이버 쇼핑검색</t>
        </is>
      </c>
      <c r="K428" s="20" t="n">
        <v>11070</v>
      </c>
    </row>
    <row r="429" ht="16.5" customHeight="1" s="17">
      <c r="B429" s="16">
        <f>B428+1</f>
        <v/>
      </c>
      <c r="C429" s="20">
        <f>TEXT(B429,"aaa")</f>
        <v/>
      </c>
      <c r="D429" s="20" t="inlineStr">
        <is>
          <t>네이버 쇼핑검색</t>
        </is>
      </c>
      <c r="K429" s="20" t="n">
        <v>12730</v>
      </c>
    </row>
    <row r="430" ht="16.5" customHeight="1" s="17">
      <c r="B430" s="16">
        <f>B429+1</f>
        <v/>
      </c>
      <c r="C430" s="20">
        <f>TEXT(B430,"aaa")</f>
        <v/>
      </c>
      <c r="D430" s="20" t="inlineStr">
        <is>
          <t>네이버 쇼핑검색</t>
        </is>
      </c>
      <c r="K430" s="20" t="n">
        <v>7840</v>
      </c>
    </row>
    <row r="431" ht="16.5" customHeight="1" s="17">
      <c r="B431" s="16">
        <f>B430+1</f>
        <v/>
      </c>
      <c r="C431" s="20">
        <f>TEXT(B431,"aaa")</f>
        <v/>
      </c>
      <c r="D431" s="20" t="inlineStr">
        <is>
          <t>네이버 쇼핑검색</t>
        </is>
      </c>
      <c r="K431" s="20" t="n">
        <v>7650</v>
      </c>
    </row>
    <row r="432" ht="16.5" customHeight="1" s="17">
      <c r="B432" s="16">
        <f>B431+1</f>
        <v/>
      </c>
      <c r="C432" s="20">
        <f>TEXT(B432,"aaa")</f>
        <v/>
      </c>
      <c r="D432" s="20" t="inlineStr">
        <is>
          <t>네이버 쇼핑검색</t>
        </is>
      </c>
      <c r="K432" s="20" t="n">
        <v>13600</v>
      </c>
    </row>
    <row r="433" ht="16.5" customHeight="1" s="17">
      <c r="B433" s="16">
        <f>B432+1</f>
        <v/>
      </c>
      <c r="C433" s="20">
        <f>TEXT(B433,"aaa")</f>
        <v/>
      </c>
      <c r="D433" s="20" t="inlineStr">
        <is>
          <t>네이버 쇼핑검색</t>
        </is>
      </c>
      <c r="K433" s="20" t="n">
        <v>11370</v>
      </c>
    </row>
    <row r="434" ht="16.5" customHeight="1" s="17">
      <c r="B434" s="16">
        <f>B433+1</f>
        <v/>
      </c>
      <c r="C434" s="20">
        <f>TEXT(B434,"aaa")</f>
        <v/>
      </c>
      <c r="D434" s="20" t="inlineStr">
        <is>
          <t>네이버 쇼핑검색</t>
        </is>
      </c>
      <c r="K434" s="20" t="n">
        <v>7930</v>
      </c>
    </row>
    <row r="435" ht="16.5" customHeight="1" s="17">
      <c r="B435" s="16">
        <f>B434+1</f>
        <v/>
      </c>
      <c r="C435" s="20">
        <f>TEXT(B435,"aaa")</f>
        <v/>
      </c>
      <c r="D435" s="20" t="inlineStr">
        <is>
          <t>네이버 쇼핑검색</t>
        </is>
      </c>
      <c r="K435" s="20" t="n">
        <v>2940</v>
      </c>
    </row>
    <row r="436" ht="16.5" customHeight="1" s="17">
      <c r="B436" s="16">
        <f>B435+1</f>
        <v/>
      </c>
      <c r="C436" s="20">
        <f>TEXT(B436,"aaa")</f>
        <v/>
      </c>
      <c r="D436" s="20" t="inlineStr">
        <is>
          <t>네이버 쇼핑검색</t>
        </is>
      </c>
      <c r="K436" s="20" t="n">
        <v>15270</v>
      </c>
    </row>
    <row r="437" ht="16.5" customHeight="1" s="17">
      <c r="B437" s="16">
        <f>B436+1</f>
        <v/>
      </c>
      <c r="C437" s="20">
        <f>TEXT(B437,"aaa")</f>
        <v/>
      </c>
      <c r="D437" s="20" t="inlineStr">
        <is>
          <t>네이버 쇼핑검색</t>
        </is>
      </c>
      <c r="K437" s="20" t="n">
        <v>9190</v>
      </c>
    </row>
    <row r="438" ht="16.5" customHeight="1" s="17">
      <c r="B438" s="16">
        <f>B437+1</f>
        <v/>
      </c>
      <c r="C438" s="20">
        <f>TEXT(B438,"aaa")</f>
        <v/>
      </c>
      <c r="D438" s="20" t="inlineStr">
        <is>
          <t>네이버 쇼핑검색</t>
        </is>
      </c>
      <c r="K438" s="20" t="n">
        <v>18700</v>
      </c>
    </row>
    <row r="439" ht="16.5" customHeight="1" s="17">
      <c r="B439" s="16">
        <f>B438+1</f>
        <v/>
      </c>
      <c r="C439" s="20">
        <f>TEXT(B439,"aaa")</f>
        <v/>
      </c>
      <c r="D439" s="20" t="inlineStr">
        <is>
          <t>네이버 쇼핑검색</t>
        </is>
      </c>
      <c r="K439" s="20" t="n">
        <v>10690</v>
      </c>
    </row>
    <row r="440" ht="16.5" customHeight="1" s="17">
      <c r="B440" s="16">
        <f>B439+1</f>
        <v/>
      </c>
      <c r="C440" s="20">
        <f>TEXT(B440,"aaa")</f>
        <v/>
      </c>
      <c r="D440" s="20" t="inlineStr">
        <is>
          <t>네이버 쇼핑검색</t>
        </is>
      </c>
      <c r="K440" s="20">
        <f>(1606+9075)/1.1</f>
        <v/>
      </c>
    </row>
    <row r="441" ht="16.5" customHeight="1" s="17">
      <c r="B441" s="16">
        <f>B440+1</f>
        <v/>
      </c>
      <c r="C441" s="20">
        <f>TEXT(B441,"aaa")</f>
        <v/>
      </c>
      <c r="D441" s="20" t="inlineStr">
        <is>
          <t>네이버 쇼핑검색</t>
        </is>
      </c>
      <c r="K441" s="20">
        <f>4576/1.1</f>
        <v/>
      </c>
    </row>
    <row r="442" ht="16.5" customHeight="1" s="17">
      <c r="B442" s="16">
        <f>B441+1</f>
        <v/>
      </c>
      <c r="C442" s="20">
        <f>TEXT(B442,"aaa")</f>
        <v/>
      </c>
      <c r="D442" s="20" t="inlineStr">
        <is>
          <t>네이버 쇼핑검색</t>
        </is>
      </c>
      <c r="K442" s="20">
        <f>6556/1.1</f>
        <v/>
      </c>
    </row>
    <row r="443" ht="16.5" customHeight="1" s="17">
      <c r="B443" s="16">
        <f>B442+1</f>
        <v/>
      </c>
      <c r="C443" s="20">
        <f>TEXT(B443,"aaa")</f>
        <v/>
      </c>
      <c r="D443" s="20" t="inlineStr">
        <is>
          <t>네이버 쇼핑검색</t>
        </is>
      </c>
      <c r="K443" s="20">
        <f>9416/1.1</f>
        <v/>
      </c>
    </row>
    <row r="444" ht="16.5" customHeight="1" s="17">
      <c r="B444" s="16">
        <f>B443+1</f>
        <v/>
      </c>
      <c r="C444" s="20">
        <f>TEXT(B444,"aaa")</f>
        <v/>
      </c>
      <c r="D444" s="20" t="inlineStr">
        <is>
          <t>네이버 쇼핑검색</t>
        </is>
      </c>
      <c r="K444" s="20">
        <f>11165/1.1</f>
        <v/>
      </c>
    </row>
    <row r="445" ht="16.5" customHeight="1" s="17">
      <c r="B445" s="16">
        <f>B444+1</f>
        <v/>
      </c>
      <c r="C445" s="20">
        <f>TEXT(B445,"aaa")</f>
        <v/>
      </c>
      <c r="D445" s="20" t="inlineStr">
        <is>
          <t>네이버 쇼핑검색</t>
        </is>
      </c>
      <c r="K445" s="20">
        <f>(10868+176)/1.1</f>
        <v/>
      </c>
    </row>
    <row r="446" ht="16.5" customHeight="1" s="17">
      <c r="B446" s="16">
        <f>B445+1</f>
        <v/>
      </c>
      <c r="C446" s="20">
        <f>TEXT(B446,"aaa")</f>
        <v/>
      </c>
      <c r="D446" s="20" t="inlineStr">
        <is>
          <t>네이버 쇼핑검색</t>
        </is>
      </c>
      <c r="K446" s="20">
        <f>3553/1.1</f>
        <v/>
      </c>
    </row>
    <row r="447" ht="16.5" customHeight="1" s="17">
      <c r="B447" s="16">
        <f>B446+1</f>
        <v/>
      </c>
      <c r="C447" s="20">
        <f>TEXT(B447,"aaa")</f>
        <v/>
      </c>
      <c r="D447" s="20" t="inlineStr">
        <is>
          <t>네이버 쇼핑검색</t>
        </is>
      </c>
      <c r="K447" s="20">
        <f>(814+4829)/1.1</f>
        <v/>
      </c>
    </row>
    <row r="448" ht="16.5" customHeight="1" s="17">
      <c r="B448" s="16">
        <f>B447+1</f>
        <v/>
      </c>
      <c r="C448" s="20">
        <f>TEXT(B448,"aaa")</f>
        <v/>
      </c>
      <c r="D448" s="20" t="inlineStr">
        <is>
          <t>네이버 쇼핑검색</t>
        </is>
      </c>
      <c r="K448" s="20">
        <f>(4092+814)/1.1</f>
        <v/>
      </c>
    </row>
    <row r="449" ht="16.5" customHeight="1" s="17">
      <c r="B449" s="16">
        <f>B448+1</f>
        <v/>
      </c>
      <c r="C449" s="20">
        <f>TEXT(B449,"aaa")</f>
        <v/>
      </c>
      <c r="D449" s="20" t="inlineStr">
        <is>
          <t>네이버 쇼핑검색</t>
        </is>
      </c>
      <c r="K449" s="20">
        <f>9856/1.1</f>
        <v/>
      </c>
    </row>
    <row r="450" ht="16.5" customHeight="1" s="17">
      <c r="B450" s="16">
        <f>B449+1</f>
        <v/>
      </c>
      <c r="C450" s="20">
        <f>TEXT(B450,"aaa")</f>
        <v/>
      </c>
      <c r="D450" s="20" t="inlineStr">
        <is>
          <t>네이버 쇼핑검색</t>
        </is>
      </c>
      <c r="K450" s="20">
        <f>12331/1.1</f>
        <v/>
      </c>
    </row>
    <row r="451" ht="16.5" customHeight="1" s="17">
      <c r="B451" s="16">
        <f>B450+1</f>
        <v/>
      </c>
      <c r="C451" s="20">
        <f>TEXT(B451,"aaa")</f>
        <v/>
      </c>
      <c r="D451" s="20" t="inlineStr">
        <is>
          <t>네이버 쇼핑검색</t>
        </is>
      </c>
      <c r="K451" s="20">
        <f>7766/1.1</f>
        <v/>
      </c>
    </row>
    <row r="452" ht="16.5" customHeight="1" s="17">
      <c r="B452" s="16">
        <f>B451+1</f>
        <v/>
      </c>
      <c r="C452" s="20">
        <f>TEXT(B452,"aaa")</f>
        <v/>
      </c>
      <c r="D452" s="20" t="inlineStr">
        <is>
          <t>네이버 쇼핑검색</t>
        </is>
      </c>
      <c r="K452" s="20">
        <f>7348/1.1</f>
        <v/>
      </c>
    </row>
    <row r="453" ht="16.5" customHeight="1" s="17">
      <c r="B453" s="16">
        <f>B452+1</f>
        <v/>
      </c>
      <c r="C453" s="20">
        <f>TEXT(B453,"aaa")</f>
        <v/>
      </c>
      <c r="D453" s="20" t="inlineStr">
        <is>
          <t>네이버 쇼핑검색</t>
        </is>
      </c>
      <c r="K453" s="20">
        <f>2618/1.1</f>
        <v/>
      </c>
    </row>
    <row r="454" ht="16.5" customHeight="1" s="17">
      <c r="B454" s="16">
        <f>B453+1</f>
        <v/>
      </c>
      <c r="C454" s="20">
        <f>TEXT(B454,"aaa")</f>
        <v/>
      </c>
      <c r="D454" s="20" t="inlineStr">
        <is>
          <t>네이버 쇼핑검색</t>
        </is>
      </c>
      <c r="K454" s="20">
        <f>7183/1.1</f>
        <v/>
      </c>
    </row>
    <row r="455" ht="16.5" customHeight="1" s="17">
      <c r="B455" s="16">
        <f>B454+1</f>
        <v/>
      </c>
      <c r="C455" s="20">
        <f>TEXT(B455,"aaa")</f>
        <v/>
      </c>
      <c r="D455" s="20" t="inlineStr">
        <is>
          <t>네이버 쇼핑검색</t>
        </is>
      </c>
      <c r="K455" s="20">
        <f>14960/1.1</f>
        <v/>
      </c>
    </row>
    <row r="456" ht="16.5" customHeight="1" s="17">
      <c r="B456" s="16">
        <f>B455+1</f>
        <v/>
      </c>
      <c r="C456" s="20">
        <f>TEXT(B456,"aaa")</f>
        <v/>
      </c>
      <c r="D456" s="20" t="inlineStr">
        <is>
          <t>네이버 쇼핑검색</t>
        </is>
      </c>
      <c r="K456" s="20">
        <f>17457/1.1</f>
        <v/>
      </c>
    </row>
    <row r="457" ht="16.5" customHeight="1" s="17">
      <c r="B457" s="16">
        <f>B456+1</f>
        <v/>
      </c>
      <c r="C457" s="20">
        <f>TEXT(B457,"aaa")</f>
        <v/>
      </c>
      <c r="D457" s="20" t="inlineStr">
        <is>
          <t>네이버 쇼핑검색</t>
        </is>
      </c>
      <c r="K457" s="20">
        <f>(20042+968)/1.1</f>
        <v/>
      </c>
    </row>
    <row r="458" ht="16.5" customHeight="1" s="17">
      <c r="B458" s="16">
        <f>B457+1</f>
        <v/>
      </c>
      <c r="C458" s="20">
        <f>TEXT(B458,"aaa")</f>
        <v/>
      </c>
      <c r="D458" s="20" t="inlineStr">
        <is>
          <t>네이버 쇼핑검색</t>
        </is>
      </c>
      <c r="K458" s="20">
        <f>(99+11880)/1.1</f>
        <v/>
      </c>
    </row>
    <row r="459" ht="16.5" customHeight="1" s="17">
      <c r="B459" s="16">
        <f>B458+1</f>
        <v/>
      </c>
      <c r="C459" s="20">
        <f>TEXT(B459,"aaa")</f>
        <v/>
      </c>
      <c r="D459" s="20" t="inlineStr">
        <is>
          <t>네이버 쇼핑검색</t>
        </is>
      </c>
      <c r="K459" s="20">
        <f>(17105+968)/1.1</f>
        <v/>
      </c>
    </row>
    <row r="460" ht="16.5" customHeight="1" s="17">
      <c r="B460" s="16">
        <f>B459+1</f>
        <v/>
      </c>
      <c r="C460" s="20">
        <f>TEXT(B460,"aaa")</f>
        <v/>
      </c>
      <c r="D460" s="20" t="inlineStr">
        <is>
          <t>네이버 쇼핑검색</t>
        </is>
      </c>
      <c r="K460" s="20">
        <f>22561/1.1</f>
        <v/>
      </c>
    </row>
    <row r="461" ht="16.5" customHeight="1" s="17">
      <c r="B461" s="16">
        <f>B460+1</f>
        <v/>
      </c>
      <c r="C461" s="20">
        <f>TEXT(B461,"aaa")</f>
        <v/>
      </c>
      <c r="D461" s="20" t="inlineStr">
        <is>
          <t>네이버 쇼핑검색</t>
        </is>
      </c>
      <c r="K461" s="20">
        <f>(30470+55)/1.1</f>
        <v/>
      </c>
    </row>
    <row r="462" ht="16.5" customHeight="1" s="17">
      <c r="B462" s="16">
        <f>B461+1</f>
        <v/>
      </c>
      <c r="C462" s="20">
        <f>TEXT(B462,"aaa")</f>
        <v/>
      </c>
      <c r="D462" s="20" t="inlineStr">
        <is>
          <t>네이버 쇼핑검색</t>
        </is>
      </c>
      <c r="K462" s="20">
        <f>(21406+55)/1.1</f>
        <v/>
      </c>
    </row>
    <row r="463" ht="16.5" customHeight="1" s="17">
      <c r="B463" s="16">
        <f>B462+1</f>
        <v/>
      </c>
      <c r="C463" s="20">
        <f>TEXT(B463,"aaa")</f>
        <v/>
      </c>
      <c r="D463" s="20" t="inlineStr">
        <is>
          <t>네이버 쇼핑검색</t>
        </is>
      </c>
      <c r="K463" s="20">
        <f>(19591+55)/1.1</f>
        <v/>
      </c>
    </row>
    <row r="464" ht="16.5" customHeight="1" s="17">
      <c r="B464" s="16">
        <f>B463+1</f>
        <v/>
      </c>
      <c r="C464" s="20">
        <f>TEXT(B464,"aaa")</f>
        <v/>
      </c>
      <c r="D464" s="20" t="inlineStr">
        <is>
          <t>네이버 쇼핑검색</t>
        </is>
      </c>
      <c r="K464" s="20">
        <f>26708/1.1</f>
        <v/>
      </c>
    </row>
    <row r="465" ht="16.5" customHeight="1" s="17">
      <c r="B465" s="16">
        <f>B464+1</f>
        <v/>
      </c>
      <c r="C465" s="20">
        <f>TEXT(B465,"aaa")</f>
        <v/>
      </c>
      <c r="D465" s="20" t="inlineStr">
        <is>
          <t>네이버 쇼핑검색</t>
        </is>
      </c>
      <c r="K465" s="20">
        <f>18865/1.1</f>
        <v/>
      </c>
    </row>
    <row r="466" ht="16.5" customHeight="1" s="17">
      <c r="B466" s="16">
        <f>B465+1</f>
        <v/>
      </c>
      <c r="C466" s="20">
        <f>TEXT(B466,"aaa")</f>
        <v/>
      </c>
      <c r="D466" s="20" t="inlineStr">
        <is>
          <t>네이버 쇼핑검색</t>
        </is>
      </c>
      <c r="K466" s="20">
        <f>21604/1.1</f>
        <v/>
      </c>
    </row>
    <row r="467" ht="16.5" customHeight="1" s="17">
      <c r="B467" s="16">
        <f>B466+1</f>
        <v/>
      </c>
      <c r="C467" s="20">
        <f>TEXT(B467,"aaa")</f>
        <v/>
      </c>
      <c r="D467" s="20" t="inlineStr">
        <is>
          <t>네이버 쇼핑검색</t>
        </is>
      </c>
      <c r="K467" s="20">
        <f>24926/1.1</f>
        <v/>
      </c>
    </row>
    <row r="468" ht="16.5" customHeight="1" s="17">
      <c r="B468" s="16">
        <f>B467+1</f>
        <v/>
      </c>
      <c r="C468" s="20">
        <f>TEXT(B468,"aaa")</f>
        <v/>
      </c>
      <c r="D468" s="20" t="inlineStr">
        <is>
          <t>네이버 쇼핑검색</t>
        </is>
      </c>
      <c r="K468" s="20">
        <f>(15609+55)/1.1</f>
        <v/>
      </c>
    </row>
    <row r="469" ht="16.5" customHeight="1" s="17">
      <c r="B469" s="16">
        <f>B468+1</f>
        <v/>
      </c>
      <c r="C469" s="20">
        <f>TEXT(B469,"aaa")</f>
        <v/>
      </c>
      <c r="D469" s="20" t="inlineStr">
        <is>
          <t>네이버 쇼핑검색</t>
        </is>
      </c>
      <c r="K469" s="20">
        <f>25157/1.1</f>
        <v/>
      </c>
    </row>
    <row r="470" ht="16.5" customHeight="1" s="17">
      <c r="B470" s="16">
        <f>B469+1</f>
        <v/>
      </c>
      <c r="C470" s="20">
        <f>TEXT(B470,"aaa")</f>
        <v/>
      </c>
      <c r="D470" s="20" t="inlineStr">
        <is>
          <t>네이버 쇼핑검색</t>
        </is>
      </c>
      <c r="K470" s="20">
        <f>29931/1.1</f>
        <v/>
      </c>
    </row>
    <row r="471" ht="16.5" customHeight="1" s="17">
      <c r="B471" s="16">
        <f>B470+1</f>
        <v/>
      </c>
      <c r="C471" s="20">
        <f>TEXT(B471,"aaa")</f>
        <v/>
      </c>
      <c r="D471" s="20" t="inlineStr">
        <is>
          <t>네이버 쇼핑검색</t>
        </is>
      </c>
      <c r="K471" s="20">
        <f>44946/1.1</f>
        <v/>
      </c>
    </row>
    <row r="472" ht="16.5" customHeight="1" s="17">
      <c r="B472" s="16">
        <f>B471+1</f>
        <v/>
      </c>
      <c r="C472" s="20">
        <f>TEXT(B472,"aaa")</f>
        <v/>
      </c>
      <c r="D472" s="20" t="inlineStr">
        <is>
          <t>네이버 쇼핑검색</t>
        </is>
      </c>
      <c r="K472" s="20">
        <f>29018/1.1</f>
        <v/>
      </c>
    </row>
    <row r="473" ht="16.5" customHeight="1" s="17">
      <c r="B473" s="16">
        <f>B472+1</f>
        <v/>
      </c>
      <c r="C473" s="20">
        <f>TEXT(B473,"aaa")</f>
        <v/>
      </c>
      <c r="D473" s="20" t="inlineStr">
        <is>
          <t>네이버 쇼핑검색</t>
        </is>
      </c>
      <c r="K473" s="20">
        <f>35189/1.1</f>
        <v/>
      </c>
    </row>
    <row r="474" ht="16.5" customHeight="1" s="17">
      <c r="B474" s="16">
        <f>B473+1</f>
        <v/>
      </c>
      <c r="C474" s="20">
        <f>TEXT(B474,"aaa")</f>
        <v/>
      </c>
      <c r="D474" s="20" t="inlineStr">
        <is>
          <t>네이버 쇼핑검색</t>
        </is>
      </c>
      <c r="K474" s="20">
        <f>46970/1.1</f>
        <v/>
      </c>
    </row>
    <row r="475" ht="16.5" customHeight="1" s="17">
      <c r="B475" s="16">
        <f>B474+1</f>
        <v/>
      </c>
      <c r="C475" s="20">
        <f>TEXT(B475,"aaa")</f>
        <v/>
      </c>
      <c r="D475" s="20" t="inlineStr">
        <is>
          <t>네이버 쇼핑검색</t>
        </is>
      </c>
      <c r="K475" s="20">
        <f>(36190+110)/1.1</f>
        <v/>
      </c>
    </row>
    <row r="476" ht="16.5" customHeight="1" s="17">
      <c r="B476" s="16">
        <f>B475+1</f>
        <v/>
      </c>
      <c r="C476" s="20">
        <f>TEXT(B476,"aaa")</f>
        <v/>
      </c>
      <c r="D476" s="20" t="inlineStr">
        <is>
          <t>네이버 쇼핑검색</t>
        </is>
      </c>
      <c r="K476" s="20">
        <f>(42240+55)/1.1</f>
        <v/>
      </c>
    </row>
    <row r="477" ht="16.5" customHeight="1" s="17">
      <c r="B477" s="16">
        <f>B476+1</f>
        <v/>
      </c>
      <c r="C477" s="20">
        <f>TEXT(B477,"aaa")</f>
        <v/>
      </c>
      <c r="D477" s="20" t="inlineStr">
        <is>
          <t>네이버 쇼핑검색</t>
        </is>
      </c>
      <c r="K477" s="20">
        <f>38775/1.1</f>
        <v/>
      </c>
    </row>
    <row r="478" ht="16.5" customHeight="1" s="17">
      <c r="B478" s="16">
        <f>B477+1</f>
        <v/>
      </c>
      <c r="C478" s="20">
        <f>TEXT(B478,"aaa")</f>
        <v/>
      </c>
      <c r="D478" s="20" t="inlineStr">
        <is>
          <t>네이버 쇼핑검색</t>
        </is>
      </c>
      <c r="K478" s="20">
        <f>57596/1.1</f>
        <v/>
      </c>
    </row>
    <row r="479" ht="16.5" customHeight="1" s="17">
      <c r="B479" s="16">
        <f>B478+1</f>
        <v/>
      </c>
      <c r="C479" s="20">
        <f>TEXT(B479,"aaa")</f>
        <v/>
      </c>
      <c r="D479" s="20" t="inlineStr">
        <is>
          <t>네이버 쇼핑검색</t>
        </is>
      </c>
      <c r="K479" s="20">
        <f>53097/1.1</f>
        <v/>
      </c>
    </row>
    <row r="480" ht="16.5" customHeight="1" s="17">
      <c r="B480" s="16">
        <f>B479+1</f>
        <v/>
      </c>
      <c r="C480" s="20">
        <f>TEXT(B480,"aaa")</f>
        <v/>
      </c>
      <c r="D480" s="20" t="inlineStr">
        <is>
          <t>네이버 쇼핑검색</t>
        </is>
      </c>
      <c r="K480" s="20">
        <f>(55682+55)/1.1</f>
        <v/>
      </c>
    </row>
    <row r="481" ht="16.5" customHeight="1" s="17">
      <c r="B481" s="16">
        <f>B480+1</f>
        <v/>
      </c>
      <c r="C481" s="20">
        <f>TEXT(B481,"aaa")</f>
        <v/>
      </c>
      <c r="D481" s="20" t="inlineStr">
        <is>
          <t>네이버 쇼핑검색</t>
        </is>
      </c>
      <c r="K481" s="20">
        <f>(72644+110)/1.1</f>
        <v/>
      </c>
    </row>
    <row r="482" ht="16.5" customHeight="1" s="17">
      <c r="B482" s="16">
        <f>B481+1</f>
        <v/>
      </c>
      <c r="C482" s="20">
        <f>TEXT(B482,"aaa")</f>
        <v/>
      </c>
      <c r="D482" s="20" t="inlineStr">
        <is>
          <t>네이버 쇼핑검색</t>
        </is>
      </c>
      <c r="K482" s="20">
        <f>(69300+55)/1.1</f>
        <v/>
      </c>
    </row>
    <row r="483" ht="16.5" customHeight="1" s="17">
      <c r="B483" s="16">
        <f>B482+1</f>
        <v/>
      </c>
      <c r="C483" s="20">
        <f>TEXT(B483,"aaa")</f>
        <v/>
      </c>
      <c r="D483" s="20" t="inlineStr">
        <is>
          <t>네이버 쇼핑검색</t>
        </is>
      </c>
      <c r="K483" s="20">
        <f>67078/1.1</f>
        <v/>
      </c>
    </row>
    <row r="484" ht="16.5" customHeight="1" s="17">
      <c r="B484" s="16">
        <f>B483+1</f>
        <v/>
      </c>
      <c r="C484" s="20">
        <f>TEXT(B484,"aaa")</f>
        <v/>
      </c>
      <c r="D484" s="20" t="inlineStr">
        <is>
          <t>네이버 쇼핑검색</t>
        </is>
      </c>
      <c r="K484" s="20">
        <f>(74745+55)/1.1</f>
        <v/>
      </c>
    </row>
    <row r="485" ht="16.5" customHeight="1" s="17">
      <c r="B485" s="16">
        <f>B484+1</f>
        <v/>
      </c>
      <c r="C485" s="20">
        <f>TEXT(B485,"aaa")</f>
        <v/>
      </c>
      <c r="D485" s="20" t="inlineStr">
        <is>
          <t>네이버 쇼핑검색</t>
        </is>
      </c>
      <c r="K485" s="20">
        <f>77495/1.1</f>
        <v/>
      </c>
    </row>
    <row r="486" ht="16.5" customHeight="1" s="17">
      <c r="B486" s="16">
        <f>B485+1</f>
        <v/>
      </c>
      <c r="C486" s="20">
        <f>TEXT(B486,"aaa")</f>
        <v/>
      </c>
      <c r="D486" s="20" t="inlineStr">
        <is>
          <t>네이버 쇼핑검색</t>
        </is>
      </c>
      <c r="K486" s="20">
        <f>65879/1.1</f>
        <v/>
      </c>
    </row>
    <row r="487" ht="16.5" customHeight="1" s="17">
      <c r="B487" s="16">
        <f>B486+1</f>
        <v/>
      </c>
      <c r="C487" s="20">
        <f>TEXT(B487,"aaa")</f>
        <v/>
      </c>
      <c r="D487" s="20" t="inlineStr">
        <is>
          <t>네이버 쇼핑검색</t>
        </is>
      </c>
      <c r="K487" s="20">
        <f>(23837+1177+3740+1463)/1.1</f>
        <v/>
      </c>
    </row>
    <row r="488" ht="16.5" customHeight="1" s="17">
      <c r="B488" s="16">
        <f>B487+1</f>
        <v/>
      </c>
      <c r="C488" s="20">
        <f>TEXT(B488,"aaa")</f>
        <v/>
      </c>
      <c r="D488" s="20" t="inlineStr">
        <is>
          <t>네이버 쇼핑검색</t>
        </is>
      </c>
      <c r="K488" s="20">
        <f>(825+14146+1122)/1.1</f>
        <v/>
      </c>
    </row>
    <row r="489" ht="16.5" customHeight="1" s="17">
      <c r="B489" s="16">
        <f>B488+1</f>
        <v/>
      </c>
      <c r="C489" s="20">
        <f>TEXT(B489,"aaa")</f>
        <v/>
      </c>
      <c r="D489" s="20" t="inlineStr">
        <is>
          <t>네이버 쇼핑검색</t>
        </is>
      </c>
      <c r="K489" s="20">
        <f>(1122+12760+2288)/1.1</f>
        <v/>
      </c>
    </row>
    <row r="490" ht="16.5" customHeight="1" s="17">
      <c r="B490" s="16">
        <f>B489+1</f>
        <v/>
      </c>
      <c r="C490" s="20">
        <f>TEXT(B490,"aaa")</f>
        <v/>
      </c>
      <c r="D490" s="20" t="inlineStr">
        <is>
          <t>네이버 쇼핑검색</t>
        </is>
      </c>
      <c r="K490" s="20">
        <f>(847+15389+2189)/1.1</f>
        <v/>
      </c>
    </row>
    <row r="491" ht="16.5" customHeight="1" s="17">
      <c r="B491" s="16">
        <f>B490+1</f>
        <v/>
      </c>
      <c r="C491" s="20">
        <f>TEXT(B491,"aaa")</f>
        <v/>
      </c>
      <c r="D491" s="20" t="inlineStr">
        <is>
          <t>네이버 쇼핑검색</t>
        </is>
      </c>
      <c r="K491" s="20">
        <f>(16665+770+440)/1.1</f>
        <v/>
      </c>
    </row>
    <row r="492" ht="16.5" customHeight="1" s="17">
      <c r="B492" s="16">
        <f>B491+1</f>
        <v/>
      </c>
      <c r="C492" s="20">
        <f>TEXT(B492,"aaa")</f>
        <v/>
      </c>
      <c r="D492" s="20" t="inlineStr">
        <is>
          <t>네이버 쇼핑검색</t>
        </is>
      </c>
      <c r="K492" s="20">
        <f>(957+26169+2090)/1.1</f>
        <v/>
      </c>
    </row>
    <row r="493" ht="16.5" customHeight="1" s="17">
      <c r="B493" s="16">
        <f>B492+1</f>
        <v/>
      </c>
      <c r="C493" s="20">
        <f>TEXT(B493,"aaa")</f>
        <v/>
      </c>
      <c r="D493" s="20" t="inlineStr">
        <is>
          <t>네이버 쇼핑검색</t>
        </is>
      </c>
      <c r="K493" s="20">
        <f>(209+13684+1144)/1.1</f>
        <v/>
      </c>
    </row>
    <row r="494" ht="16.5" customHeight="1" s="17">
      <c r="B494" s="16">
        <f>B493+1</f>
        <v/>
      </c>
      <c r="C494" s="20">
        <f>TEXT(B494,"aaa")</f>
        <v/>
      </c>
      <c r="D494" s="20" t="inlineStr">
        <is>
          <t>네이버 쇼핑검색</t>
        </is>
      </c>
      <c r="K494" s="20">
        <f>(9515+649)/1.1</f>
        <v/>
      </c>
    </row>
    <row r="495" ht="16.5" customHeight="1" s="17">
      <c r="B495" s="16">
        <f>B494+1</f>
        <v/>
      </c>
      <c r="C495" s="20">
        <f>TEXT(B495,"aaa")</f>
        <v/>
      </c>
      <c r="D495" s="20" t="inlineStr">
        <is>
          <t>네이버 쇼핑검색</t>
        </is>
      </c>
      <c r="K495" s="20">
        <f>(836+11671+2244)/1.1</f>
        <v/>
      </c>
    </row>
    <row r="496" ht="16.5" customHeight="1" s="17">
      <c r="B496" s="16">
        <f>B495+1</f>
        <v/>
      </c>
      <c r="C496" s="20">
        <f>TEXT(B496,"aaa")</f>
        <v/>
      </c>
      <c r="D496" s="20" t="inlineStr">
        <is>
          <t>네이버 쇼핑검색</t>
        </is>
      </c>
      <c r="K496" s="20">
        <f>(418+10142+1122)/1.1</f>
        <v/>
      </c>
    </row>
    <row r="497" ht="16.5" customHeight="1" s="17">
      <c r="B497" s="16">
        <f>B496+1</f>
        <v/>
      </c>
      <c r="C497" s="20">
        <f>TEXT(B497,"aaa")</f>
        <v/>
      </c>
      <c r="D497" s="20" t="inlineStr">
        <is>
          <t>네이버 쇼핑검색</t>
        </is>
      </c>
      <c r="K497" s="20">
        <f>(1727+23441+2398)/1.1</f>
        <v/>
      </c>
    </row>
    <row r="498" ht="16.5" customHeight="1" s="17">
      <c r="B498" s="16">
        <f>B497+1</f>
        <v/>
      </c>
      <c r="C498" s="20">
        <f>TEXT(B498,"aaa")</f>
        <v/>
      </c>
      <c r="D498" s="20" t="inlineStr">
        <is>
          <t>네이버 쇼핑검색</t>
        </is>
      </c>
      <c r="K498" s="20">
        <f>(1463+33033+1012)/1.1</f>
        <v/>
      </c>
    </row>
    <row r="499" ht="16.5" customHeight="1" s="17">
      <c r="B499" s="16">
        <f>B498+1</f>
        <v/>
      </c>
      <c r="C499" s="20">
        <f>TEXT(B499,"aaa")</f>
        <v/>
      </c>
      <c r="D499" s="20" t="inlineStr">
        <is>
          <t>네이버 쇼핑검색</t>
        </is>
      </c>
      <c r="K499" s="20">
        <f>(627+32087+2585)/1.1</f>
        <v/>
      </c>
    </row>
    <row r="500" ht="16.5" customHeight="1" s="17">
      <c r="B500" s="16">
        <f>B499+1</f>
        <v/>
      </c>
      <c r="C500" s="20">
        <f>TEXT(B500,"aaa")</f>
        <v/>
      </c>
      <c r="D500" s="20" t="inlineStr">
        <is>
          <t>네이버 쇼핑검색</t>
        </is>
      </c>
      <c r="K500" s="20">
        <f>(308+29183+2266)/1.1</f>
        <v/>
      </c>
    </row>
    <row r="501" ht="16.5" customHeight="1" s="17">
      <c r="B501" s="16">
        <f>B500+1</f>
        <v/>
      </c>
      <c r="C501" s="20">
        <f>TEXT(B501,"aaa")</f>
        <v/>
      </c>
      <c r="D501" s="20" t="inlineStr">
        <is>
          <t>네이버 쇼핑검색</t>
        </is>
      </c>
      <c r="K501" s="20">
        <f>(594+26103+583)/1.1</f>
        <v/>
      </c>
    </row>
    <row r="502" ht="16.5" customHeight="1" s="17">
      <c r="B502" s="16">
        <f>B501+1</f>
        <v/>
      </c>
      <c r="C502" s="20">
        <f>TEXT(B502,"aaa")</f>
        <v/>
      </c>
      <c r="D502" s="20" t="inlineStr">
        <is>
          <t>네이버 쇼핑검색</t>
        </is>
      </c>
      <c r="K502" s="20">
        <f>(1089+30019+2453)/1.1</f>
        <v/>
      </c>
    </row>
    <row r="503" ht="16.5" customHeight="1" s="17">
      <c r="B503" s="16">
        <f>B502+1</f>
        <v/>
      </c>
      <c r="C503" s="20">
        <f>TEXT(B503,"aaa")</f>
        <v/>
      </c>
      <c r="D503" s="20" t="inlineStr">
        <is>
          <t>네이버 쇼핑검색</t>
        </is>
      </c>
      <c r="K503" s="20">
        <f>(1254+25201+1496)/1.1</f>
        <v/>
      </c>
    </row>
    <row r="504" ht="16.5" customHeight="1" s="17">
      <c r="B504" s="16">
        <f>B503+1</f>
        <v/>
      </c>
      <c r="C504" s="20">
        <f>TEXT(B504,"aaa")</f>
        <v/>
      </c>
      <c r="D504" s="20" t="inlineStr">
        <is>
          <t>네이버 쇼핑검색</t>
        </is>
      </c>
      <c r="K504" s="20">
        <f>(561+33242+1034)/1.1</f>
        <v/>
      </c>
    </row>
    <row r="505" ht="16.5" customHeight="1" s="17">
      <c r="B505" s="16">
        <f>B504+1</f>
        <v/>
      </c>
      <c r="C505" s="20">
        <f>TEXT(B505,"aaa")</f>
        <v/>
      </c>
      <c r="D505" s="20" t="inlineStr">
        <is>
          <t>네이버 쇼핑검색</t>
        </is>
      </c>
      <c r="K505" s="20">
        <f>(814+31999+1826)/1.1</f>
        <v/>
      </c>
    </row>
    <row r="506" ht="16.5" customHeight="1" s="17">
      <c r="B506" s="16">
        <f>B505+1</f>
        <v/>
      </c>
      <c r="C506" s="20">
        <f>TEXT(B506,"aaa")</f>
        <v/>
      </c>
      <c r="D506" s="20" t="inlineStr">
        <is>
          <t>네이버 쇼핑검색</t>
        </is>
      </c>
      <c r="K506" s="20">
        <f>(440+32538+3014)/1.1</f>
        <v/>
      </c>
    </row>
    <row r="507" ht="16.5" customHeight="1" s="17">
      <c r="B507" s="16">
        <f>B506+1</f>
        <v/>
      </c>
      <c r="C507" s="20">
        <f>TEXT(B507,"aaa")</f>
        <v/>
      </c>
      <c r="D507" s="20" t="inlineStr">
        <is>
          <t>네이버 쇼핑검색</t>
        </is>
      </c>
      <c r="K507" s="20">
        <f>(61908+935+23518+1969)/1.1</f>
        <v/>
      </c>
    </row>
    <row r="508" ht="16.5" customHeight="1" s="17">
      <c r="B508" s="16">
        <f>B507+1</f>
        <v/>
      </c>
      <c r="C508" s="20">
        <f>TEXT(B508,"aaa")</f>
        <v/>
      </c>
      <c r="D508" s="20" t="inlineStr">
        <is>
          <t>네이버 쇼핑검색</t>
        </is>
      </c>
      <c r="K508" s="20">
        <f>(116743+187+11506+3234)/1.1</f>
        <v/>
      </c>
    </row>
    <row r="509" ht="16.5" customHeight="1" s="17">
      <c r="B509" s="16">
        <f>B508+1</f>
        <v/>
      </c>
      <c r="C509" s="20">
        <f>TEXT(B509,"aaa")</f>
        <v/>
      </c>
      <c r="D509" s="20" t="inlineStr">
        <is>
          <t>네이버 쇼핑검색</t>
        </is>
      </c>
      <c r="K509" s="20">
        <f>(37158+374+17941+6435)/1.1</f>
        <v/>
      </c>
    </row>
    <row r="510" ht="16.5" customHeight="1" s="17">
      <c r="B510" s="16">
        <f>B509+1</f>
        <v/>
      </c>
      <c r="C510" s="20">
        <f>TEXT(B510,"aaa")</f>
        <v/>
      </c>
      <c r="D510" s="20" t="inlineStr">
        <is>
          <t>네이버 쇼핑검색</t>
        </is>
      </c>
      <c r="K510" s="20">
        <f>(1122+30646+3047)/1.1</f>
        <v/>
      </c>
    </row>
    <row r="511" ht="16.5" customHeight="1" s="17">
      <c r="B511" s="16">
        <f>B510+1</f>
        <v/>
      </c>
      <c r="C511" s="20">
        <f>TEXT(B511,"aaa")</f>
        <v/>
      </c>
      <c r="D511" s="20" t="inlineStr">
        <is>
          <t>네이버 쇼핑검색</t>
        </is>
      </c>
      <c r="K511" s="20">
        <f>(374+33913+627)/1.1</f>
        <v/>
      </c>
    </row>
    <row r="512" ht="16.5" customHeight="1" s="17">
      <c r="B512" s="16">
        <f>B511+1</f>
        <v/>
      </c>
      <c r="C512" s="20">
        <f>TEXT(B512,"aaa")</f>
        <v/>
      </c>
      <c r="D512" s="20" t="inlineStr">
        <is>
          <t>네이버 쇼핑검색</t>
        </is>
      </c>
      <c r="K512" s="20">
        <f>(748+33220+1155)/1.1</f>
        <v/>
      </c>
    </row>
    <row r="513" ht="16.5" customHeight="1" s="17">
      <c r="B513" s="16">
        <f>B512+1</f>
        <v/>
      </c>
      <c r="C513" s="20">
        <f>TEXT(B513,"aaa")</f>
        <v/>
      </c>
      <c r="D513" s="20" t="inlineStr">
        <is>
          <t>네이버 쇼핑검색</t>
        </is>
      </c>
      <c r="K513" s="20">
        <f>(253+33990+1001)/1.1</f>
        <v/>
      </c>
    </row>
    <row r="514" ht="16.5" customHeight="1" s="17">
      <c r="B514" s="16">
        <f>B513+1</f>
        <v/>
      </c>
      <c r="C514" s="20">
        <f>TEXT(B514,"aaa")</f>
        <v/>
      </c>
      <c r="D514" s="20" t="inlineStr">
        <is>
          <t>네이버 쇼핑검색</t>
        </is>
      </c>
      <c r="K514" s="20">
        <f>(561+34155+1067)/1.1</f>
        <v/>
      </c>
    </row>
    <row r="515" ht="16.5" customHeight="1" s="17">
      <c r="B515" s="16">
        <f>B514+1</f>
        <v/>
      </c>
      <c r="C515" s="20">
        <f>TEXT(B515,"aaa")</f>
        <v/>
      </c>
      <c r="D515" s="20" t="inlineStr">
        <is>
          <t>네이버 쇼핑검색</t>
        </is>
      </c>
      <c r="K515" s="20">
        <f>(66+32714+1925)/1.1</f>
        <v/>
      </c>
    </row>
    <row r="516" ht="16.5" customHeight="1" s="17">
      <c r="B516" s="16">
        <f>B515+1</f>
        <v/>
      </c>
      <c r="C516" s="20">
        <f>TEXT(B516,"aaa")</f>
        <v/>
      </c>
      <c r="D516" s="20" t="inlineStr">
        <is>
          <t>네이버 쇼핑검색</t>
        </is>
      </c>
      <c r="K516" s="20">
        <f>(385+32252+2310)/1.1</f>
        <v/>
      </c>
    </row>
    <row r="517" ht="16.5" customHeight="1" s="17">
      <c r="B517" s="16">
        <f>B516+1</f>
        <v/>
      </c>
      <c r="C517" s="20">
        <f>TEXT(B517,"aaa")</f>
        <v/>
      </c>
      <c r="D517" s="20" t="inlineStr">
        <is>
          <t>네이버 쇼핑검색</t>
        </is>
      </c>
      <c r="K517" s="20">
        <f>(1210+29964+3762)/1.1</f>
        <v/>
      </c>
    </row>
    <row r="518" ht="16.5" customHeight="1" s="17">
      <c r="B518" s="16">
        <f>B517+1</f>
        <v/>
      </c>
      <c r="C518" s="20">
        <f>TEXT(B518,"aaa")</f>
        <v/>
      </c>
      <c r="D518" s="20" t="inlineStr">
        <is>
          <t>네이버 쇼핑검색</t>
        </is>
      </c>
      <c r="K518" s="20">
        <f>(572+33418+770)/1.1</f>
        <v/>
      </c>
    </row>
    <row r="519" ht="16.5" customHeight="1" s="17">
      <c r="B519" s="16">
        <f>B518+1</f>
        <v/>
      </c>
      <c r="C519" s="20">
        <f>TEXT(B519,"aaa")</f>
        <v/>
      </c>
      <c r="D519" s="20" t="inlineStr">
        <is>
          <t>네이버 쇼핑검색</t>
        </is>
      </c>
      <c r="K519" s="20">
        <f>(924+32714+1540)/1.1</f>
        <v/>
      </c>
    </row>
    <row r="520" ht="16.5" customHeight="1" s="17">
      <c r="B520" s="16">
        <f>B519+1</f>
        <v/>
      </c>
      <c r="C520" s="20">
        <f>TEXT(B520,"aaa")</f>
        <v/>
      </c>
      <c r="D520" s="20" t="inlineStr">
        <is>
          <t>네이버 쇼핑검색</t>
        </is>
      </c>
      <c r="K520" s="20">
        <f>(275+34947)/1.1</f>
        <v/>
      </c>
    </row>
    <row r="521" ht="16.5" customHeight="1" s="17">
      <c r="B521" s="16">
        <f>B520+1</f>
        <v/>
      </c>
      <c r="C521" s="20">
        <f>TEXT(B521,"aaa")</f>
        <v/>
      </c>
      <c r="D521" s="20" t="inlineStr">
        <is>
          <t>네이버 쇼핑검색</t>
        </is>
      </c>
      <c r="K521" s="20">
        <f>(1595+32615+385)/1.1</f>
        <v/>
      </c>
    </row>
    <row r="522" ht="16.5" customHeight="1" s="17">
      <c r="B522" s="16">
        <f>B521+1</f>
        <v/>
      </c>
      <c r="C522" s="20">
        <f>TEXT(B522,"aaa")</f>
        <v/>
      </c>
      <c r="D522" s="20" t="inlineStr">
        <is>
          <t>네이버 쇼핑검색</t>
        </is>
      </c>
      <c r="K522" s="20">
        <f>(902+32043+1925)/1.1</f>
        <v/>
      </c>
    </row>
    <row r="523" ht="16.5" customHeight="1" s="17">
      <c r="B523" s="16">
        <f>B522+1</f>
        <v/>
      </c>
      <c r="C523" s="20">
        <f>TEXT(B523,"aaa")</f>
        <v/>
      </c>
      <c r="D523" s="20" t="inlineStr">
        <is>
          <t>네이버 쇼핑검색</t>
        </is>
      </c>
      <c r="K523" s="20">
        <f>(1441+31955+1540)/1.1</f>
        <v/>
      </c>
    </row>
    <row r="524" ht="16.5" customHeight="1" s="17">
      <c r="B524" s="16">
        <f>B523+1</f>
        <v/>
      </c>
      <c r="C524" s="20">
        <f>TEXT(B524,"aaa")</f>
        <v/>
      </c>
      <c r="D524" s="20" t="inlineStr">
        <is>
          <t>네이버 쇼핑검색</t>
        </is>
      </c>
      <c r="K524" s="20">
        <f>(583+33517+770)/1.1</f>
        <v/>
      </c>
    </row>
    <row r="525" ht="16.5" customHeight="1" s="17">
      <c r="B525" s="16">
        <f>B524+1</f>
        <v/>
      </c>
      <c r="C525" s="20">
        <f>TEXT(B525,"aaa")</f>
        <v/>
      </c>
      <c r="D525" s="20" t="inlineStr">
        <is>
          <t>네이버 쇼핑검색</t>
        </is>
      </c>
      <c r="K525" s="20">
        <f>(891+32901+1540)/1.1</f>
        <v/>
      </c>
    </row>
    <row r="526" ht="16.5" customHeight="1" s="17">
      <c r="B526" s="16">
        <f>B525+1</f>
        <v/>
      </c>
      <c r="C526" s="20">
        <f>TEXT(B526,"aaa")</f>
        <v/>
      </c>
      <c r="D526" s="20" t="inlineStr">
        <is>
          <t>네이버 쇼핑검색</t>
        </is>
      </c>
      <c r="K526" s="20">
        <f>(594+33957+770)/1.1</f>
        <v/>
      </c>
    </row>
    <row r="527" ht="16.5" customHeight="1" s="17">
      <c r="B527" s="16">
        <f>B526+1</f>
        <v/>
      </c>
      <c r="C527" s="20">
        <f>TEXT(B527,"aaa")</f>
        <v/>
      </c>
      <c r="D527" s="20" t="inlineStr">
        <is>
          <t>네이버 쇼핑검색</t>
        </is>
      </c>
      <c r="K527" s="20">
        <f>(1221+31427+2992)/1.1</f>
        <v/>
      </c>
    </row>
    <row r="528" ht="16.5" customHeight="1" s="17">
      <c r="B528" s="16">
        <f>B527+1</f>
        <v/>
      </c>
      <c r="C528" s="20">
        <f>TEXT(B528,"aaa")</f>
        <v/>
      </c>
      <c r="D528" s="20" t="inlineStr">
        <is>
          <t>네이버 쇼핑검색</t>
        </is>
      </c>
      <c r="K528" s="20">
        <f>(1815+30591+2310)/1.1</f>
        <v/>
      </c>
    </row>
    <row r="529" ht="16.5" customHeight="1" s="17">
      <c r="B529" s="16">
        <f>B528+1</f>
        <v/>
      </c>
      <c r="C529" s="20">
        <f>TEXT(B529,"aaa")</f>
        <v/>
      </c>
      <c r="D529" s="20" t="inlineStr">
        <is>
          <t>네이버 쇼핑검색</t>
        </is>
      </c>
      <c r="K529" s="20">
        <f>(1529+31592+1540)/1.1</f>
        <v/>
      </c>
    </row>
    <row r="530" ht="16.5" customHeight="1" s="17">
      <c r="B530" s="16">
        <f>B529+1</f>
        <v/>
      </c>
      <c r="C530" s="20">
        <f>TEXT(B530,"aaa")</f>
        <v/>
      </c>
      <c r="D530" s="20" t="inlineStr">
        <is>
          <t>네이버 쇼핑검색</t>
        </is>
      </c>
      <c r="K530" s="20">
        <f>(2596+31295+1155)/1.1</f>
        <v/>
      </c>
    </row>
    <row r="531" ht="16.5" customHeight="1" s="17">
      <c r="B531" s="16">
        <f>B530+1</f>
        <v/>
      </c>
      <c r="C531" s="20">
        <f>TEXT(B531,"aaa")</f>
        <v/>
      </c>
      <c r="D531" s="20" t="inlineStr">
        <is>
          <t>네이버 쇼핑검색</t>
        </is>
      </c>
      <c r="K531" s="20">
        <f>(1518+31581+2310)/1.1</f>
        <v/>
      </c>
    </row>
    <row r="532" ht="16.5" customHeight="1" s="17">
      <c r="B532" s="16">
        <f>B531+1</f>
        <v/>
      </c>
      <c r="C532" s="20">
        <f>TEXT(B532,"aaa")</f>
        <v/>
      </c>
      <c r="D532" s="20" t="inlineStr">
        <is>
          <t>네이버 쇼핑검색</t>
        </is>
      </c>
      <c r="K532" s="20">
        <f>(5346+28633+770)/1.1</f>
        <v/>
      </c>
    </row>
    <row r="533" ht="16.5" customHeight="1" s="17">
      <c r="B533" s="16">
        <f>B532+1</f>
        <v/>
      </c>
      <c r="C533" s="20">
        <f>TEXT(B533,"aaa")</f>
        <v/>
      </c>
      <c r="D533" s="20" t="inlineStr">
        <is>
          <t>네이버 쇼핑검색</t>
        </is>
      </c>
      <c r="K533" s="20">
        <f>(6809+25212+2662)/1.1</f>
        <v/>
      </c>
    </row>
    <row r="534" ht="16.5" customHeight="1" s="17">
      <c r="B534" s="16">
        <f>B533+1</f>
        <v/>
      </c>
      <c r="C534" s="20">
        <f>TEXT(B534,"aaa")</f>
        <v/>
      </c>
      <c r="D534" s="20" t="inlineStr">
        <is>
          <t>네이버 쇼핑검색</t>
        </is>
      </c>
      <c r="K534" s="20">
        <f>(3663+26917+4180)/1.1</f>
        <v/>
      </c>
    </row>
    <row r="535" ht="16.5" customHeight="1" s="17">
      <c r="B535" s="16">
        <f>B534+1</f>
        <v/>
      </c>
      <c r="C535" s="20">
        <f>TEXT(B535,"aaa")</f>
        <v/>
      </c>
      <c r="D535" s="20" t="inlineStr">
        <is>
          <t>네이버 쇼핑검색</t>
        </is>
      </c>
      <c r="K535" s="20">
        <f>(3960+29711+1155)/1.1</f>
        <v/>
      </c>
    </row>
    <row r="536" ht="16.5" customHeight="1" s="17">
      <c r="B536" s="16">
        <f>B535+1</f>
        <v/>
      </c>
      <c r="C536" s="20">
        <f>TEXT(B536,"aaa")</f>
        <v/>
      </c>
      <c r="D536" s="20" t="inlineStr">
        <is>
          <t>네이버 쇼핑검색</t>
        </is>
      </c>
      <c r="K536" s="20">
        <f>(2574+31702+770)/1.1</f>
        <v/>
      </c>
    </row>
    <row r="537" ht="16.5" customHeight="1" s="17">
      <c r="B537" s="16">
        <f>B536+1</f>
        <v/>
      </c>
      <c r="C537" s="20">
        <f>TEXT(B537,"aaa")</f>
        <v/>
      </c>
      <c r="D537" s="20" t="inlineStr">
        <is>
          <t>네이버 쇼핑검색</t>
        </is>
      </c>
      <c r="K537" s="20">
        <f>(2200+31823+1100)/1.1</f>
        <v/>
      </c>
    </row>
    <row r="538" ht="16.5" customHeight="1" s="17">
      <c r="B538" s="16">
        <f>B537+1</f>
        <v/>
      </c>
      <c r="C538" s="20">
        <f>TEXT(B538,"aaa")</f>
        <v/>
      </c>
      <c r="D538" s="20" t="inlineStr">
        <is>
          <t>네이버 쇼핑검색</t>
        </is>
      </c>
      <c r="K538" s="20">
        <f>(1980+31053+2255)/1.1</f>
        <v/>
      </c>
    </row>
    <row r="539" ht="16.5" customHeight="1" s="17">
      <c r="B539" s="16">
        <f>B538+1</f>
        <v/>
      </c>
      <c r="C539" s="20">
        <f>TEXT(B539,"aaa")</f>
        <v/>
      </c>
      <c r="D539" s="20" t="inlineStr">
        <is>
          <t>네이버 쇼핑검색</t>
        </is>
      </c>
      <c r="K539" s="20">
        <f>(1870+30646+2607)/1.1</f>
        <v/>
      </c>
    </row>
    <row r="540" ht="16.5" customHeight="1" s="17">
      <c r="B540" s="16">
        <f>B539+1</f>
        <v/>
      </c>
      <c r="C540" s="20">
        <f>TEXT(B540,"aaa")</f>
        <v/>
      </c>
      <c r="D540" s="20" t="inlineStr">
        <is>
          <t>네이버 쇼핑검색</t>
        </is>
      </c>
      <c r="K540" s="20">
        <f>(1738+32923+770)/1.1</f>
        <v/>
      </c>
    </row>
    <row r="541" ht="16.5" customHeight="1" s="17">
      <c r="B541" s="16">
        <f>B540+1</f>
        <v/>
      </c>
      <c r="C541" s="20">
        <f>TEXT(B541,"aaa")</f>
        <v/>
      </c>
      <c r="D541" s="20" t="inlineStr">
        <is>
          <t>네이버 쇼핑검색</t>
        </is>
      </c>
      <c r="K541" s="20">
        <f>(1925+32978+1155)/1.1</f>
        <v/>
      </c>
    </row>
    <row r="542" ht="16.5" customHeight="1" s="17">
      <c r="B542" s="16">
        <f>B541+1</f>
        <v/>
      </c>
      <c r="C542" s="20">
        <f>TEXT(B542,"aaa")</f>
        <v/>
      </c>
      <c r="D542" s="20" t="inlineStr">
        <is>
          <t>네이버 쇼핑검색</t>
        </is>
      </c>
      <c r="K542" s="20">
        <f>(990+30756+3069)/1.1</f>
        <v/>
      </c>
    </row>
    <row r="543" ht="16.5" customHeight="1" s="17">
      <c r="B543" s="16">
        <f>B542+1</f>
        <v/>
      </c>
      <c r="C543" s="20">
        <f>TEXT(B543,"aaa")</f>
        <v/>
      </c>
      <c r="D543" s="20" t="inlineStr">
        <is>
          <t>네이버 쇼핑검색</t>
        </is>
      </c>
      <c r="K543" s="20">
        <f>(1870+30558+2310)/1.1</f>
        <v/>
      </c>
    </row>
    <row r="544" ht="16.5" customHeight="1" s="17">
      <c r="B544" s="16" t="n">
        <v>44033</v>
      </c>
      <c r="C544" s="20">
        <f>TEXT(B544,"aaa")</f>
        <v/>
      </c>
      <c r="D544" s="20" t="inlineStr">
        <is>
          <t>네이버 파워링크</t>
        </is>
      </c>
      <c r="K544" s="20" t="n">
        <v>140</v>
      </c>
    </row>
    <row r="545" ht="16.5" customHeight="1" s="17">
      <c r="B545" s="16">
        <f>B544+1</f>
        <v/>
      </c>
      <c r="C545" s="20">
        <f>TEXT(B545,"aaa")</f>
        <v/>
      </c>
      <c r="D545" s="20" t="inlineStr">
        <is>
          <t>네이버 파워링크</t>
        </is>
      </c>
      <c r="K545" s="20" t="n">
        <v>70</v>
      </c>
    </row>
    <row r="546" ht="16.5" customHeight="1" s="17">
      <c r="B546" s="16">
        <f>B545+1</f>
        <v/>
      </c>
      <c r="C546" s="20">
        <f>TEXT(B546,"aaa")</f>
        <v/>
      </c>
      <c r="D546" s="20" t="inlineStr">
        <is>
          <t>네이버 파워링크</t>
        </is>
      </c>
      <c r="K546" s="20" t="n">
        <v>140</v>
      </c>
    </row>
    <row r="547" ht="16.5" customHeight="1" s="17">
      <c r="B547" s="16">
        <f>B546+1</f>
        <v/>
      </c>
      <c r="C547" s="20">
        <f>TEXT(B547,"aaa")</f>
        <v/>
      </c>
      <c r="D547" s="20" t="inlineStr">
        <is>
          <t>네이버 파워링크</t>
        </is>
      </c>
      <c r="K547" s="20" t="n">
        <v>140</v>
      </c>
    </row>
    <row r="548" ht="16.5" customHeight="1" s="17">
      <c r="B548" s="16">
        <f>B547+1</f>
        <v/>
      </c>
      <c r="C548" s="20">
        <f>TEXT(B548,"aaa")</f>
        <v/>
      </c>
      <c r="D548" s="20" t="inlineStr">
        <is>
          <t>네이버 파워링크</t>
        </is>
      </c>
      <c r="K548" s="20" t="n">
        <v>0</v>
      </c>
    </row>
    <row r="549" ht="16.5" customHeight="1" s="17">
      <c r="B549" s="16">
        <f>B548+1</f>
        <v/>
      </c>
      <c r="C549" s="20">
        <f>TEXT(B549,"aaa")</f>
        <v/>
      </c>
      <c r="D549" s="20" t="inlineStr">
        <is>
          <t>네이버 파워링크</t>
        </is>
      </c>
      <c r="K549" s="20" t="n">
        <v>70</v>
      </c>
    </row>
    <row r="550" ht="16.5" customHeight="1" s="17">
      <c r="B550" s="16">
        <f>B549+1</f>
        <v/>
      </c>
      <c r="C550" s="20">
        <f>TEXT(B550,"aaa")</f>
        <v/>
      </c>
      <c r="D550" s="20" t="inlineStr">
        <is>
          <t>네이버 파워링크</t>
        </is>
      </c>
      <c r="K550" s="20" t="n">
        <v>70</v>
      </c>
    </row>
    <row r="551" ht="16.5" customHeight="1" s="17">
      <c r="B551" s="16">
        <f>B550+1</f>
        <v/>
      </c>
      <c r="C551" s="20">
        <f>TEXT(B551,"aaa")</f>
        <v/>
      </c>
      <c r="D551" s="20" t="inlineStr">
        <is>
          <t>네이버 파워링크</t>
        </is>
      </c>
      <c r="K551" s="20" t="n">
        <v>70</v>
      </c>
    </row>
    <row r="552" ht="16.5" customHeight="1" s="17">
      <c r="B552" s="16">
        <f>B551+1</f>
        <v/>
      </c>
      <c r="C552" s="20">
        <f>TEXT(B552,"aaa")</f>
        <v/>
      </c>
      <c r="D552" s="20" t="inlineStr">
        <is>
          <t>네이버 파워링크</t>
        </is>
      </c>
      <c r="K552" s="20" t="n">
        <v>0</v>
      </c>
    </row>
    <row r="553" ht="16.5" customHeight="1" s="17">
      <c r="B553" s="16">
        <f>B552+1</f>
        <v/>
      </c>
      <c r="C553" s="20">
        <f>TEXT(B553,"aaa")</f>
        <v/>
      </c>
      <c r="D553" s="20" t="inlineStr">
        <is>
          <t>네이버 파워링크</t>
        </is>
      </c>
      <c r="K553" s="20" t="n">
        <v>140</v>
      </c>
    </row>
    <row r="554" ht="16.5" customHeight="1" s="17">
      <c r="B554" s="16">
        <f>B553+1</f>
        <v/>
      </c>
      <c r="C554" s="20">
        <f>TEXT(B554,"aaa")</f>
        <v/>
      </c>
      <c r="D554" s="20" t="inlineStr">
        <is>
          <t>네이버 파워링크</t>
        </is>
      </c>
      <c r="K554" s="20" t="n">
        <v>0</v>
      </c>
    </row>
    <row r="555" ht="16.5" customHeight="1" s="17">
      <c r="B555" s="16">
        <f>B554+1</f>
        <v/>
      </c>
      <c r="C555" s="20">
        <f>TEXT(B555,"aaa")</f>
        <v/>
      </c>
      <c r="D555" s="20" t="inlineStr">
        <is>
          <t>네이버 파워링크</t>
        </is>
      </c>
      <c r="K555" s="20" t="n">
        <v>0</v>
      </c>
    </row>
    <row r="556" ht="16.5" customHeight="1" s="17">
      <c r="B556" s="16">
        <f>B555+1</f>
        <v/>
      </c>
      <c r="C556" s="20">
        <f>TEXT(B556,"aaa")</f>
        <v/>
      </c>
      <c r="D556" s="20" t="inlineStr">
        <is>
          <t>네이버 파워링크</t>
        </is>
      </c>
      <c r="K556" s="20" t="n">
        <v>70</v>
      </c>
    </row>
    <row r="557" ht="16.5" customHeight="1" s="17">
      <c r="B557" s="16">
        <f>B556+1</f>
        <v/>
      </c>
      <c r="C557" s="20">
        <f>TEXT(B557,"aaa")</f>
        <v/>
      </c>
      <c r="D557" s="20" t="inlineStr">
        <is>
          <t>네이버 파워링크</t>
        </is>
      </c>
      <c r="K557" s="20" t="n">
        <v>70</v>
      </c>
    </row>
    <row r="558" ht="16.5" customHeight="1" s="17">
      <c r="B558" s="16">
        <f>B557+1</f>
        <v/>
      </c>
      <c r="C558" s="20">
        <f>TEXT(B558,"aaa")</f>
        <v/>
      </c>
      <c r="D558" s="20" t="inlineStr">
        <is>
          <t>네이버 파워링크</t>
        </is>
      </c>
      <c r="K558" s="20" t="n">
        <v>0</v>
      </c>
    </row>
    <row r="559" ht="16.5" customHeight="1" s="17">
      <c r="B559" s="16">
        <f>B558+1</f>
        <v/>
      </c>
      <c r="C559" s="20">
        <f>TEXT(B559,"aaa")</f>
        <v/>
      </c>
      <c r="D559" s="20" t="inlineStr">
        <is>
          <t>네이버 파워링크</t>
        </is>
      </c>
      <c r="K559" s="20" t="n">
        <v>70</v>
      </c>
    </row>
    <row r="560" ht="16.5" customHeight="1" s="17">
      <c r="B560" s="16">
        <f>B559+1</f>
        <v/>
      </c>
      <c r="C560" s="20">
        <f>TEXT(B560,"aaa")</f>
        <v/>
      </c>
      <c r="D560" s="20" t="inlineStr">
        <is>
          <t>네이버 파워링크</t>
        </is>
      </c>
      <c r="K560" s="20" t="n">
        <v>70</v>
      </c>
    </row>
    <row r="561" ht="16.5" customHeight="1" s="17">
      <c r="B561" s="16">
        <f>B560+1</f>
        <v/>
      </c>
      <c r="C561" s="20">
        <f>TEXT(B561,"aaa")</f>
        <v/>
      </c>
      <c r="D561" s="20" t="inlineStr">
        <is>
          <t>네이버 파워링크</t>
        </is>
      </c>
      <c r="K561" s="20" t="n">
        <v>70</v>
      </c>
    </row>
    <row r="562" ht="16.5" customHeight="1" s="17">
      <c r="B562" s="16">
        <f>B561+1</f>
        <v/>
      </c>
      <c r="C562" s="20">
        <f>TEXT(B562,"aaa")</f>
        <v/>
      </c>
      <c r="D562" s="20" t="inlineStr">
        <is>
          <t>네이버 파워링크</t>
        </is>
      </c>
      <c r="K562" s="20" t="n">
        <v>0</v>
      </c>
    </row>
    <row r="563" ht="16.5" customHeight="1" s="17">
      <c r="B563" s="16">
        <f>B562+1</f>
        <v/>
      </c>
      <c r="C563" s="20">
        <f>TEXT(B563,"aaa")</f>
        <v/>
      </c>
      <c r="D563" s="20" t="inlineStr">
        <is>
          <t>네이버 파워링크</t>
        </is>
      </c>
      <c r="K563" s="20" t="n">
        <v>140</v>
      </c>
    </row>
    <row r="564" ht="16.5" customHeight="1" s="17">
      <c r="B564" s="16">
        <f>B563+1</f>
        <v/>
      </c>
      <c r="C564" s="20">
        <f>TEXT(B564,"aaa")</f>
        <v/>
      </c>
      <c r="D564" s="20" t="inlineStr">
        <is>
          <t>네이버 파워링크</t>
        </is>
      </c>
      <c r="K564" s="20" t="n">
        <v>0</v>
      </c>
    </row>
    <row r="565" ht="16.5" customHeight="1" s="17">
      <c r="B565" s="16">
        <f>B564+1</f>
        <v/>
      </c>
      <c r="C565" s="20">
        <f>TEXT(B565,"aaa")</f>
        <v/>
      </c>
      <c r="D565" s="20" t="inlineStr">
        <is>
          <t>네이버 파워링크</t>
        </is>
      </c>
      <c r="K565" s="20" t="n">
        <v>210</v>
      </c>
    </row>
    <row r="566" ht="16.5" customHeight="1" s="17">
      <c r="B566" s="16">
        <f>B565+1</f>
        <v/>
      </c>
      <c r="C566" s="20">
        <f>TEXT(B566,"aaa")</f>
        <v/>
      </c>
      <c r="D566" s="20" t="inlineStr">
        <is>
          <t>네이버 파워링크</t>
        </is>
      </c>
      <c r="K566" s="20" t="n">
        <v>0</v>
      </c>
    </row>
    <row r="567" ht="16.5" customHeight="1" s="17">
      <c r="B567" s="16">
        <f>B566+1</f>
        <v/>
      </c>
      <c r="C567" s="20">
        <f>TEXT(B567,"aaa")</f>
        <v/>
      </c>
      <c r="D567" s="20" t="inlineStr">
        <is>
          <t>네이버 파워링크</t>
        </is>
      </c>
      <c r="K567" s="20" t="n">
        <v>0</v>
      </c>
    </row>
    <row r="568" ht="16.5" customHeight="1" s="17">
      <c r="B568" s="16">
        <f>B567+1</f>
        <v/>
      </c>
      <c r="C568" s="20">
        <f>TEXT(B568,"aaa")</f>
        <v/>
      </c>
      <c r="D568" s="20" t="inlineStr">
        <is>
          <t>네이버 파워링크</t>
        </is>
      </c>
      <c r="K568" s="20" t="n">
        <v>140</v>
      </c>
    </row>
    <row r="569" ht="16.5" customHeight="1" s="17">
      <c r="B569" s="16">
        <f>B568+1</f>
        <v/>
      </c>
      <c r="C569" s="20">
        <f>TEXT(B569,"aaa")</f>
        <v/>
      </c>
      <c r="D569" s="20" t="inlineStr">
        <is>
          <t>네이버 파워링크</t>
        </is>
      </c>
      <c r="K569" s="20" t="n">
        <v>0</v>
      </c>
    </row>
    <row r="570" ht="16.5" customHeight="1" s="17">
      <c r="B570" s="16">
        <f>B569+1</f>
        <v/>
      </c>
      <c r="C570" s="20">
        <f>TEXT(B570,"aaa")</f>
        <v/>
      </c>
      <c r="D570" s="20" t="inlineStr">
        <is>
          <t>네이버 파워링크</t>
        </is>
      </c>
      <c r="K570" s="20" t="n">
        <v>0</v>
      </c>
    </row>
    <row r="571" ht="16.5" customHeight="1" s="17">
      <c r="B571" s="16">
        <f>B570+1</f>
        <v/>
      </c>
      <c r="C571" s="20">
        <f>TEXT(B571,"aaa")</f>
        <v/>
      </c>
      <c r="D571" s="20" t="inlineStr">
        <is>
          <t>네이버 파워링크</t>
        </is>
      </c>
      <c r="K571" s="20" t="n">
        <v>0</v>
      </c>
    </row>
    <row r="572" ht="16.5" customHeight="1" s="17">
      <c r="B572" s="16">
        <f>B571+1</f>
        <v/>
      </c>
      <c r="C572" s="20">
        <f>TEXT(B572,"aaa")</f>
        <v/>
      </c>
      <c r="D572" s="20" t="inlineStr">
        <is>
          <t>네이버 파워링크</t>
        </is>
      </c>
      <c r="K572" s="20" t="n">
        <v>210</v>
      </c>
    </row>
    <row r="573" ht="16.5" customHeight="1" s="17">
      <c r="B573" s="16">
        <f>B572+1</f>
        <v/>
      </c>
      <c r="C573" s="20">
        <f>TEXT(B573,"aaa")</f>
        <v/>
      </c>
      <c r="D573" s="20" t="inlineStr">
        <is>
          <t>네이버 파워링크</t>
        </is>
      </c>
      <c r="K573" s="20" t="n">
        <v>70</v>
      </c>
    </row>
    <row r="574" ht="16.5" customHeight="1" s="17">
      <c r="B574" s="16">
        <f>B573+1</f>
        <v/>
      </c>
      <c r="C574" s="20">
        <f>TEXT(B574,"aaa")</f>
        <v/>
      </c>
      <c r="D574" s="20" t="inlineStr">
        <is>
          <t>네이버 파워링크</t>
        </is>
      </c>
      <c r="K574" s="20" t="n">
        <v>70</v>
      </c>
    </row>
    <row r="575" ht="16.5" customHeight="1" s="17">
      <c r="B575" s="16">
        <f>B574+1</f>
        <v/>
      </c>
      <c r="C575" s="20">
        <f>TEXT(B575,"aaa")</f>
        <v/>
      </c>
      <c r="D575" s="20" t="inlineStr">
        <is>
          <t>네이버 파워링크</t>
        </is>
      </c>
      <c r="K575" s="20" t="n">
        <v>0</v>
      </c>
    </row>
    <row r="576" ht="16.5" customHeight="1" s="17">
      <c r="B576" s="16">
        <f>B575+1</f>
        <v/>
      </c>
      <c r="C576" s="20">
        <f>TEXT(B576,"aaa")</f>
        <v/>
      </c>
      <c r="D576" s="20" t="inlineStr">
        <is>
          <t>네이버 파워링크</t>
        </is>
      </c>
      <c r="K576" s="20" t="n">
        <v>70</v>
      </c>
    </row>
    <row r="577" ht="16.5" customHeight="1" s="17">
      <c r="B577" s="16">
        <f>B576+1</f>
        <v/>
      </c>
      <c r="C577" s="20">
        <f>TEXT(B577,"aaa")</f>
        <v/>
      </c>
      <c r="D577" s="20" t="inlineStr">
        <is>
          <t>네이버 파워링크</t>
        </is>
      </c>
      <c r="K577" s="20" t="n">
        <v>0</v>
      </c>
    </row>
    <row r="578" ht="16.5" customHeight="1" s="17">
      <c r="B578" s="16">
        <f>B577+1</f>
        <v/>
      </c>
      <c r="C578" s="20">
        <f>TEXT(B578,"aaa")</f>
        <v/>
      </c>
      <c r="D578" s="20" t="inlineStr">
        <is>
          <t>네이버 파워링크</t>
        </is>
      </c>
      <c r="K578" s="20" t="n">
        <v>70</v>
      </c>
    </row>
    <row r="579" ht="16.5" customHeight="1" s="17">
      <c r="B579" s="16">
        <f>B578+1</f>
        <v/>
      </c>
      <c r="C579" s="20">
        <f>TEXT(B579,"aaa")</f>
        <v/>
      </c>
      <c r="D579" s="20" t="inlineStr">
        <is>
          <t>네이버 파워링크</t>
        </is>
      </c>
      <c r="K579" s="20" t="n">
        <v>0</v>
      </c>
    </row>
    <row r="580" ht="16.5" customHeight="1" s="17">
      <c r="B580" s="16">
        <f>B579+1</f>
        <v/>
      </c>
      <c r="C580" s="20">
        <f>TEXT(B580,"aaa")</f>
        <v/>
      </c>
      <c r="D580" s="20" t="inlineStr">
        <is>
          <t>네이버 파워링크</t>
        </is>
      </c>
      <c r="K580" s="20" t="n">
        <v>0</v>
      </c>
    </row>
    <row r="581" ht="16.5" customHeight="1" s="17">
      <c r="B581" s="16">
        <f>B580+1</f>
        <v/>
      </c>
      <c r="C581" s="20">
        <f>TEXT(B581,"aaa")</f>
        <v/>
      </c>
      <c r="D581" s="20" t="inlineStr">
        <is>
          <t>네이버 파워링크</t>
        </is>
      </c>
      <c r="K581" s="20" t="n">
        <v>0</v>
      </c>
    </row>
    <row r="582" ht="16.5" customHeight="1" s="17">
      <c r="B582" s="16">
        <f>B581+1</f>
        <v/>
      </c>
      <c r="C582" s="20">
        <f>TEXT(B582,"aaa")</f>
        <v/>
      </c>
      <c r="D582" s="20" t="inlineStr">
        <is>
          <t>네이버 파워링크</t>
        </is>
      </c>
      <c r="K582" s="20" t="n">
        <v>210</v>
      </c>
    </row>
    <row r="583" ht="16.5" customHeight="1" s="17">
      <c r="B583" s="16">
        <f>B582+1</f>
        <v/>
      </c>
      <c r="C583" s="20">
        <f>TEXT(B583,"aaa")</f>
        <v/>
      </c>
      <c r="D583" s="20" t="inlineStr">
        <is>
          <t>네이버 파워링크</t>
        </is>
      </c>
      <c r="K583" s="20" t="n">
        <v>70</v>
      </c>
    </row>
    <row r="584" ht="16.5" customHeight="1" s="17">
      <c r="B584" s="16">
        <f>B583+1</f>
        <v/>
      </c>
      <c r="C584" s="20">
        <f>TEXT(B584,"aaa")</f>
        <v/>
      </c>
      <c r="D584" s="20" t="inlineStr">
        <is>
          <t>네이버 파워링크</t>
        </is>
      </c>
      <c r="K584" s="20" t="n">
        <v>70</v>
      </c>
    </row>
    <row r="585" ht="16.5" customHeight="1" s="17">
      <c r="B585" s="16">
        <f>B584+1</f>
        <v/>
      </c>
      <c r="C585" s="20">
        <f>TEXT(B585,"aaa")</f>
        <v/>
      </c>
      <c r="D585" s="20" t="inlineStr">
        <is>
          <t>네이버 파워링크</t>
        </is>
      </c>
      <c r="K585" s="20" t="n">
        <v>0</v>
      </c>
    </row>
    <row r="586" ht="16.5" customHeight="1" s="17">
      <c r="B586" s="16">
        <f>B585+1</f>
        <v/>
      </c>
      <c r="C586" s="20">
        <f>TEXT(B586,"aaa")</f>
        <v/>
      </c>
      <c r="D586" s="20" t="inlineStr">
        <is>
          <t>네이버 파워링크</t>
        </is>
      </c>
      <c r="K586" s="20" t="n">
        <v>210</v>
      </c>
    </row>
    <row r="587" ht="16.5" customHeight="1" s="17">
      <c r="B587" s="16">
        <f>B586+1</f>
        <v/>
      </c>
      <c r="C587" s="20">
        <f>TEXT(B587,"aaa")</f>
        <v/>
      </c>
      <c r="D587" s="20" t="inlineStr">
        <is>
          <t>네이버 파워링크</t>
        </is>
      </c>
      <c r="K587" s="20" t="n">
        <v>70</v>
      </c>
    </row>
    <row r="588" ht="16.5" customHeight="1" s="17">
      <c r="B588" s="16">
        <f>B587+1</f>
        <v/>
      </c>
      <c r="C588" s="20">
        <f>TEXT(B588,"aaa")</f>
        <v/>
      </c>
      <c r="D588" s="20" t="inlineStr">
        <is>
          <t>네이버 파워링크</t>
        </is>
      </c>
      <c r="K588" s="20" t="n">
        <v>70</v>
      </c>
    </row>
    <row r="589" ht="16.5" customHeight="1" s="17">
      <c r="B589" s="16">
        <f>B588+1</f>
        <v/>
      </c>
      <c r="C589" s="20">
        <f>TEXT(B589,"aaa")</f>
        <v/>
      </c>
      <c r="D589" s="20" t="inlineStr">
        <is>
          <t>네이버 파워링크</t>
        </is>
      </c>
      <c r="K589" s="20" t="n">
        <v>0</v>
      </c>
    </row>
    <row r="590" ht="16.5" customHeight="1" s="17">
      <c r="B590" s="16">
        <f>B589+1</f>
        <v/>
      </c>
      <c r="C590" s="20">
        <f>TEXT(B590,"aaa")</f>
        <v/>
      </c>
      <c r="D590" s="20" t="inlineStr">
        <is>
          <t>네이버 파워링크</t>
        </is>
      </c>
      <c r="K590" s="20" t="n">
        <v>140</v>
      </c>
    </row>
    <row r="591" ht="16.5" customHeight="1" s="17">
      <c r="B591" s="16">
        <f>B590+1</f>
        <v/>
      </c>
      <c r="C591" s="20">
        <f>TEXT(B591,"aaa")</f>
        <v/>
      </c>
      <c r="D591" s="20" t="inlineStr">
        <is>
          <t>네이버 파워링크</t>
        </is>
      </c>
      <c r="K591" s="20" t="n">
        <v>70</v>
      </c>
    </row>
    <row r="592" ht="16.5" customHeight="1" s="17">
      <c r="B592" s="16">
        <f>B591+1</f>
        <v/>
      </c>
      <c r="C592" s="20">
        <f>TEXT(B592,"aaa")</f>
        <v/>
      </c>
      <c r="D592" s="20" t="inlineStr">
        <is>
          <t>네이버 파워링크</t>
        </is>
      </c>
      <c r="K592" s="20" t="n">
        <v>0</v>
      </c>
    </row>
    <row r="593" ht="16.5" customHeight="1" s="17">
      <c r="B593" s="16">
        <f>B592+1</f>
        <v/>
      </c>
      <c r="C593" s="20">
        <f>TEXT(B593,"aaa")</f>
        <v/>
      </c>
      <c r="D593" s="20" t="inlineStr">
        <is>
          <t>네이버 파워링크</t>
        </is>
      </c>
      <c r="K593" s="20" t="n">
        <v>0</v>
      </c>
    </row>
    <row r="594" ht="16.5" customHeight="1" s="17">
      <c r="B594" s="16">
        <f>B593+1</f>
        <v/>
      </c>
      <c r="C594" s="20">
        <f>TEXT(B594,"aaa")</f>
        <v/>
      </c>
      <c r="D594" s="20" t="inlineStr">
        <is>
          <t>네이버 파워링크</t>
        </is>
      </c>
      <c r="K594" s="20" t="n">
        <v>70</v>
      </c>
    </row>
    <row r="595" ht="16.5" customHeight="1" s="17">
      <c r="B595" s="16">
        <f>B594+1</f>
        <v/>
      </c>
      <c r="C595" s="20">
        <f>TEXT(B595,"aaa")</f>
        <v/>
      </c>
      <c r="D595" s="20" t="inlineStr">
        <is>
          <t>네이버 파워링크</t>
        </is>
      </c>
      <c r="K595" s="20" t="n">
        <v>70</v>
      </c>
    </row>
    <row r="596" ht="16.5" customHeight="1" s="17">
      <c r="B596" s="16">
        <f>B595+1</f>
        <v/>
      </c>
      <c r="C596" s="20">
        <f>TEXT(B596,"aaa")</f>
        <v/>
      </c>
      <c r="D596" s="20" t="inlineStr">
        <is>
          <t>네이버 파워링크</t>
        </is>
      </c>
      <c r="K596" s="20" t="n">
        <v>0</v>
      </c>
    </row>
    <row r="597" ht="16.5" customHeight="1" s="17">
      <c r="B597" s="16">
        <f>B596+1</f>
        <v/>
      </c>
      <c r="C597" s="20">
        <f>TEXT(B597,"aaa")</f>
        <v/>
      </c>
      <c r="D597" s="20" t="inlineStr">
        <is>
          <t>네이버 파워링크</t>
        </is>
      </c>
      <c r="K597" s="20" t="n">
        <v>140</v>
      </c>
    </row>
    <row r="598" ht="16.5" customHeight="1" s="17">
      <c r="B598" s="16">
        <f>B597+1</f>
        <v/>
      </c>
      <c r="C598" s="20">
        <f>TEXT(B598,"aaa")</f>
        <v/>
      </c>
      <c r="D598" s="20" t="inlineStr">
        <is>
          <t>네이버 파워링크</t>
        </is>
      </c>
      <c r="K598" s="20" t="n">
        <v>140</v>
      </c>
    </row>
    <row r="599" ht="16.5" customHeight="1" s="17">
      <c r="B599" s="16">
        <f>B598+1</f>
        <v/>
      </c>
      <c r="C599" s="20">
        <f>TEXT(B599,"aaa")</f>
        <v/>
      </c>
      <c r="D599" s="20" t="inlineStr">
        <is>
          <t>네이버 파워링크</t>
        </is>
      </c>
      <c r="K599" s="20" t="n">
        <v>0</v>
      </c>
    </row>
    <row r="600" ht="16.5" customHeight="1" s="17">
      <c r="B600" s="16">
        <f>B599+1</f>
        <v/>
      </c>
      <c r="C600" s="20">
        <f>TEXT(B600,"aaa")</f>
        <v/>
      </c>
      <c r="D600" s="20" t="inlineStr">
        <is>
          <t>네이버 파워링크</t>
        </is>
      </c>
      <c r="K600" s="20" t="n">
        <v>70</v>
      </c>
    </row>
    <row r="601" ht="16.5" customHeight="1" s="17">
      <c r="B601" s="16">
        <f>B600+1</f>
        <v/>
      </c>
      <c r="C601" s="20">
        <f>TEXT(B601,"aaa")</f>
        <v/>
      </c>
      <c r="D601" s="20" t="inlineStr">
        <is>
          <t>네이버 파워링크</t>
        </is>
      </c>
      <c r="K601" s="20" t="n">
        <v>0</v>
      </c>
    </row>
    <row r="602" ht="16.5" customHeight="1" s="17">
      <c r="B602" s="16">
        <f>B601+1</f>
        <v/>
      </c>
      <c r="C602" s="20">
        <f>TEXT(B602,"aaa")</f>
        <v/>
      </c>
      <c r="D602" s="20" t="inlineStr">
        <is>
          <t>네이버 파워링크</t>
        </is>
      </c>
      <c r="K602" s="20" t="n">
        <v>70</v>
      </c>
    </row>
    <row r="603" ht="16.5" customHeight="1" s="17">
      <c r="B603" s="16">
        <f>B602+1</f>
        <v/>
      </c>
      <c r="C603" s="20">
        <f>TEXT(B603,"aaa")</f>
        <v/>
      </c>
      <c r="D603" s="20" t="inlineStr">
        <is>
          <t>네이버 파워링크</t>
        </is>
      </c>
      <c r="K603" s="20" t="n">
        <v>70</v>
      </c>
    </row>
    <row r="604" ht="16.5" customHeight="1" s="17">
      <c r="B604" s="16">
        <f>B603+1</f>
        <v/>
      </c>
      <c r="C604" s="20">
        <f>TEXT(B604,"aaa")</f>
        <v/>
      </c>
      <c r="D604" s="20" t="inlineStr">
        <is>
          <t>네이버 파워링크</t>
        </is>
      </c>
      <c r="K604" s="20" t="n">
        <v>140</v>
      </c>
    </row>
    <row r="605" ht="16.5" customHeight="1" s="17">
      <c r="B605" s="16">
        <f>B604+1</f>
        <v/>
      </c>
      <c r="C605" s="20">
        <f>TEXT(B605,"aaa")</f>
        <v/>
      </c>
      <c r="D605" s="20" t="inlineStr">
        <is>
          <t>네이버 파워링크</t>
        </is>
      </c>
      <c r="K605" s="20" t="n">
        <v>70</v>
      </c>
    </row>
    <row r="606" ht="16.5" customHeight="1" s="17">
      <c r="B606" s="16">
        <f>B605+1</f>
        <v/>
      </c>
      <c r="C606" s="20">
        <f>TEXT(B606,"aaa")</f>
        <v/>
      </c>
      <c r="D606" s="20" t="inlineStr">
        <is>
          <t>네이버 파워링크</t>
        </is>
      </c>
      <c r="K606" s="20" t="n">
        <v>70</v>
      </c>
    </row>
    <row r="607" ht="16.5" customHeight="1" s="17">
      <c r="B607" s="16">
        <f>B606+1</f>
        <v/>
      </c>
      <c r="C607" s="20">
        <f>TEXT(B607,"aaa")</f>
        <v/>
      </c>
      <c r="D607" s="20" t="inlineStr">
        <is>
          <t>네이버 파워링크</t>
        </is>
      </c>
      <c r="K607" s="20" t="n">
        <v>70</v>
      </c>
    </row>
    <row r="608" ht="16.5" customHeight="1" s="17">
      <c r="B608" s="16">
        <f>B607+1</f>
        <v/>
      </c>
      <c r="C608" s="20">
        <f>TEXT(B608,"aaa")</f>
        <v/>
      </c>
      <c r="D608" s="20" t="inlineStr">
        <is>
          <t>네이버 파워링크</t>
        </is>
      </c>
      <c r="K608" s="20" t="n">
        <v>140</v>
      </c>
    </row>
    <row r="609" ht="16.5" customHeight="1" s="17">
      <c r="B609" s="16">
        <f>B608+1</f>
        <v/>
      </c>
      <c r="C609" s="20">
        <f>TEXT(B609,"aaa")</f>
        <v/>
      </c>
      <c r="D609" s="20" t="inlineStr">
        <is>
          <t>네이버 파워링크</t>
        </is>
      </c>
      <c r="K609" s="20" t="n">
        <v>0</v>
      </c>
    </row>
    <row r="610" ht="16.5" customHeight="1" s="17">
      <c r="B610" s="16">
        <f>B609+1</f>
        <v/>
      </c>
      <c r="C610" s="20">
        <f>TEXT(B610,"aaa")</f>
        <v/>
      </c>
      <c r="D610" s="20" t="inlineStr">
        <is>
          <t>네이버 파워링크</t>
        </is>
      </c>
      <c r="K610" s="20" t="n">
        <v>0</v>
      </c>
    </row>
    <row r="611" ht="16.5" customHeight="1" s="17">
      <c r="B611" s="16">
        <f>B610+1</f>
        <v/>
      </c>
      <c r="C611" s="20">
        <f>TEXT(B611,"aaa")</f>
        <v/>
      </c>
      <c r="D611" s="20" t="inlineStr">
        <is>
          <t>네이버 파워링크</t>
        </is>
      </c>
      <c r="K611" s="20" t="n">
        <v>70</v>
      </c>
    </row>
    <row r="612" ht="16.5" customHeight="1" s="17">
      <c r="B612" s="16">
        <f>B611+1</f>
        <v/>
      </c>
      <c r="C612" s="20">
        <f>TEXT(B612,"aaa")</f>
        <v/>
      </c>
      <c r="D612" s="20" t="inlineStr">
        <is>
          <t>네이버 파워링크</t>
        </is>
      </c>
      <c r="K612" s="20" t="n">
        <v>0</v>
      </c>
    </row>
    <row r="613" ht="16.5" customHeight="1" s="17">
      <c r="B613" s="16">
        <f>B612+1</f>
        <v/>
      </c>
      <c r="C613" s="20">
        <f>TEXT(B613,"aaa")</f>
        <v/>
      </c>
      <c r="D613" s="20" t="inlineStr">
        <is>
          <t>네이버 파워링크</t>
        </is>
      </c>
      <c r="K613" s="20" t="n">
        <v>140</v>
      </c>
    </row>
    <row r="614" ht="16.5" customHeight="1" s="17">
      <c r="B614" s="16">
        <f>B613+1</f>
        <v/>
      </c>
      <c r="C614" s="20">
        <f>TEXT(B614,"aaa")</f>
        <v/>
      </c>
      <c r="D614" s="20" t="inlineStr">
        <is>
          <t>네이버 파워링크</t>
        </is>
      </c>
      <c r="K614" s="20" t="n">
        <v>0</v>
      </c>
    </row>
    <row r="615" ht="16.5" customHeight="1" s="17">
      <c r="B615" s="16">
        <f>B614+1</f>
        <v/>
      </c>
      <c r="C615" s="20">
        <f>TEXT(B615,"aaa")</f>
        <v/>
      </c>
      <c r="D615" s="20" t="inlineStr">
        <is>
          <t>네이버 파워링크</t>
        </is>
      </c>
      <c r="K615" s="20" t="n">
        <v>140</v>
      </c>
    </row>
    <row r="616" ht="16.5" customHeight="1" s="17">
      <c r="B616" s="16">
        <f>B615+1</f>
        <v/>
      </c>
      <c r="C616" s="20">
        <f>TEXT(B616,"aaa")</f>
        <v/>
      </c>
      <c r="D616" s="20" t="inlineStr">
        <is>
          <t>네이버 파워링크</t>
        </is>
      </c>
      <c r="K616" s="20" t="n">
        <v>0</v>
      </c>
    </row>
    <row r="617" ht="16.5" customHeight="1" s="17">
      <c r="B617" s="16">
        <f>B616+1</f>
        <v/>
      </c>
      <c r="C617" s="20">
        <f>TEXT(B617,"aaa")</f>
        <v/>
      </c>
      <c r="D617" s="20" t="inlineStr">
        <is>
          <t>네이버 파워링크</t>
        </is>
      </c>
      <c r="K617" s="20" t="n">
        <v>0</v>
      </c>
    </row>
    <row r="618" ht="16.5" customHeight="1" s="17">
      <c r="B618" s="16">
        <f>B617+1</f>
        <v/>
      </c>
      <c r="C618" s="20">
        <f>TEXT(B618,"aaa")</f>
        <v/>
      </c>
      <c r="D618" s="20" t="inlineStr">
        <is>
          <t>네이버 파워링크</t>
        </is>
      </c>
      <c r="K618" s="20" t="n">
        <v>140</v>
      </c>
    </row>
    <row r="619" ht="16.5" customHeight="1" s="17">
      <c r="B619" s="16">
        <f>B618+1</f>
        <v/>
      </c>
      <c r="C619" s="20">
        <f>TEXT(B619,"aaa")</f>
        <v/>
      </c>
      <c r="D619" s="20" t="inlineStr">
        <is>
          <t>네이버 파워링크</t>
        </is>
      </c>
      <c r="K619" s="20" t="n">
        <v>3690</v>
      </c>
    </row>
    <row r="620" ht="16.5" customHeight="1" s="17">
      <c r="B620" s="16">
        <f>B619+1</f>
        <v/>
      </c>
      <c r="C620" s="20">
        <f>TEXT(B620,"aaa")</f>
        <v/>
      </c>
      <c r="D620" s="20" t="inlineStr">
        <is>
          <t>네이버 파워링크</t>
        </is>
      </c>
      <c r="K620" s="20" t="n">
        <v>13340</v>
      </c>
    </row>
    <row r="621" ht="16.5" customHeight="1" s="17">
      <c r="B621" s="16">
        <f>B620+1</f>
        <v/>
      </c>
      <c r="C621" s="20">
        <f>TEXT(B621,"aaa")</f>
        <v/>
      </c>
      <c r="D621" s="20" t="inlineStr">
        <is>
          <t>네이버 파워링크</t>
        </is>
      </c>
      <c r="K621" s="20" t="n">
        <v>740</v>
      </c>
    </row>
    <row r="622" ht="16.5" customHeight="1" s="17">
      <c r="B622" s="16">
        <f>B621+1</f>
        <v/>
      </c>
      <c r="C622" s="20">
        <f>TEXT(B622,"aaa")</f>
        <v/>
      </c>
      <c r="D622" s="20" t="inlineStr">
        <is>
          <t>네이버 파워링크</t>
        </is>
      </c>
      <c r="K622" s="20" t="n">
        <v>0</v>
      </c>
    </row>
    <row r="623" ht="16.5" customHeight="1" s="17">
      <c r="B623" s="16">
        <f>B622+1</f>
        <v/>
      </c>
      <c r="C623" s="20">
        <f>TEXT(B623,"aaa")</f>
        <v/>
      </c>
      <c r="D623" s="20" t="inlineStr">
        <is>
          <t>네이버 파워링크</t>
        </is>
      </c>
      <c r="K623" s="20" t="n">
        <v>0</v>
      </c>
    </row>
    <row r="624" ht="16.5" customHeight="1" s="17">
      <c r="B624" s="16">
        <f>B623+1</f>
        <v/>
      </c>
      <c r="C624" s="20">
        <f>TEXT(B624,"aaa")</f>
        <v/>
      </c>
      <c r="D624" s="20" t="inlineStr">
        <is>
          <t>네이버 파워링크</t>
        </is>
      </c>
      <c r="K624" s="20" t="n">
        <v>0</v>
      </c>
    </row>
    <row r="625" ht="16.5" customHeight="1" s="17">
      <c r="B625" s="16">
        <f>B624+1</f>
        <v/>
      </c>
      <c r="C625" s="20">
        <f>TEXT(B625,"aaa")</f>
        <v/>
      </c>
      <c r="D625" s="20" t="inlineStr">
        <is>
          <t>네이버 파워링크</t>
        </is>
      </c>
      <c r="K625" s="20" t="n">
        <v>0</v>
      </c>
    </row>
    <row r="626" ht="16.5" customHeight="1" s="17">
      <c r="B626" s="16">
        <f>B625+1</f>
        <v/>
      </c>
      <c r="C626" s="20">
        <f>TEXT(B626,"aaa")</f>
        <v/>
      </c>
      <c r="D626" s="20" t="inlineStr">
        <is>
          <t>네이버 파워링크</t>
        </is>
      </c>
      <c r="K626" s="20" t="n">
        <v>0</v>
      </c>
    </row>
    <row r="627" ht="16.5" customHeight="1" s="17">
      <c r="B627" s="16">
        <f>B626+1</f>
        <v/>
      </c>
      <c r="C627" s="20">
        <f>TEXT(B627,"aaa")</f>
        <v/>
      </c>
      <c r="D627" s="20" t="inlineStr">
        <is>
          <t>네이버 파워링크</t>
        </is>
      </c>
      <c r="K627" s="20" t="n">
        <v>0</v>
      </c>
    </row>
    <row r="628" ht="16.5" customHeight="1" s="17">
      <c r="B628" s="16">
        <f>B627+1</f>
        <v/>
      </c>
      <c r="C628" s="20">
        <f>TEXT(B628,"aaa")</f>
        <v/>
      </c>
      <c r="D628" s="20" t="inlineStr">
        <is>
          <t>네이버 파워링크</t>
        </is>
      </c>
      <c r="K628" s="20" t="n">
        <v>0</v>
      </c>
    </row>
    <row r="629" ht="16.5" customHeight="1" s="17">
      <c r="B629" s="16">
        <f>B628+1</f>
        <v/>
      </c>
      <c r="C629" s="20">
        <f>TEXT(B629,"aaa")</f>
        <v/>
      </c>
      <c r="D629" s="20" t="inlineStr">
        <is>
          <t>네이버 파워링크</t>
        </is>
      </c>
      <c r="K629" s="20" t="n">
        <v>4930</v>
      </c>
    </row>
    <row r="630" ht="16.5" customHeight="1" s="17">
      <c r="B630" s="16">
        <f>B629+1</f>
        <v/>
      </c>
      <c r="C630" s="20">
        <f>TEXT(B630,"aaa")</f>
        <v/>
      </c>
      <c r="D630" s="20" t="inlineStr">
        <is>
          <t>네이버 파워링크</t>
        </is>
      </c>
      <c r="K630" s="20" t="n">
        <v>17470</v>
      </c>
    </row>
    <row r="631" ht="16.5" customHeight="1" s="17">
      <c r="B631" s="16">
        <f>B630+1</f>
        <v/>
      </c>
      <c r="C631" s="20">
        <f>TEXT(B631,"aaa")</f>
        <v/>
      </c>
      <c r="D631" s="20" t="inlineStr">
        <is>
          <t>네이버 파워링크</t>
        </is>
      </c>
      <c r="K631" s="20" t="n">
        <v>11880</v>
      </c>
    </row>
    <row r="632" ht="16.5" customHeight="1" s="17">
      <c r="B632" s="16">
        <f>B631+1</f>
        <v/>
      </c>
      <c r="C632" s="20">
        <f>TEXT(B632,"aaa")</f>
        <v/>
      </c>
      <c r="D632" s="20" t="inlineStr">
        <is>
          <t>네이버 파워링크</t>
        </is>
      </c>
      <c r="K632" s="20" t="n">
        <v>11040</v>
      </c>
    </row>
    <row r="633" ht="16.5" customHeight="1" s="17">
      <c r="B633" s="16">
        <f>B632+1</f>
        <v/>
      </c>
      <c r="C633" s="20">
        <f>TEXT(B633,"aaa")</f>
        <v/>
      </c>
      <c r="D633" s="20" t="inlineStr">
        <is>
          <t>네이버 파워링크</t>
        </is>
      </c>
      <c r="K633" s="20" t="n">
        <v>9410</v>
      </c>
    </row>
    <row r="634" ht="16.5" customHeight="1" s="17">
      <c r="B634" s="16">
        <f>B633+1</f>
        <v/>
      </c>
      <c r="C634" s="20">
        <f>TEXT(B634,"aaa")</f>
        <v/>
      </c>
      <c r="D634" s="20" t="inlineStr">
        <is>
          <t>네이버 파워링크</t>
        </is>
      </c>
      <c r="K634" s="20" t="n">
        <v>16380</v>
      </c>
    </row>
    <row r="635" ht="16.5" customHeight="1" s="17">
      <c r="B635" s="16">
        <f>B634+1</f>
        <v/>
      </c>
      <c r="C635" s="20">
        <f>TEXT(B635,"aaa")</f>
        <v/>
      </c>
      <c r="D635" s="20" t="inlineStr">
        <is>
          <t>네이버 파워링크</t>
        </is>
      </c>
      <c r="K635" s="20" t="n">
        <v>9130</v>
      </c>
    </row>
    <row r="636" ht="16.5" customHeight="1" s="17">
      <c r="B636" s="16">
        <f>B635+1</f>
        <v/>
      </c>
      <c r="C636" s="20">
        <f>TEXT(B636,"aaa")</f>
        <v/>
      </c>
      <c r="D636" s="20" t="inlineStr">
        <is>
          <t>네이버 파워링크</t>
        </is>
      </c>
      <c r="K636" s="20" t="n">
        <v>19310</v>
      </c>
    </row>
    <row r="637" ht="16.5" customHeight="1" s="17">
      <c r="B637" s="16">
        <f>B636+1</f>
        <v/>
      </c>
      <c r="C637" s="20">
        <f>TEXT(B637,"aaa")</f>
        <v/>
      </c>
      <c r="D637" s="20" t="inlineStr">
        <is>
          <t>네이버 파워링크</t>
        </is>
      </c>
      <c r="K637" s="20" t="n">
        <v>38670</v>
      </c>
    </row>
    <row r="638" ht="16.5" customHeight="1" s="17">
      <c r="B638" s="16">
        <f>B637+1</f>
        <v/>
      </c>
      <c r="C638" s="20">
        <f>TEXT(B638,"aaa")</f>
        <v/>
      </c>
      <c r="D638" s="20" t="inlineStr">
        <is>
          <t>네이버 파워링크</t>
        </is>
      </c>
      <c r="K638" s="20" t="n">
        <v>45680</v>
      </c>
    </row>
    <row r="639" ht="16.5" customHeight="1" s="17">
      <c r="B639" s="16">
        <f>B638+1</f>
        <v/>
      </c>
      <c r="C639" s="20">
        <f>TEXT(B639,"aaa")</f>
        <v/>
      </c>
      <c r="D639" s="20" t="inlineStr">
        <is>
          <t>네이버 파워링크</t>
        </is>
      </c>
      <c r="K639" s="20" t="n">
        <v>48380</v>
      </c>
    </row>
    <row r="640" ht="16.5" customHeight="1" s="17">
      <c r="B640" s="16">
        <f>B639+1</f>
        <v/>
      </c>
      <c r="C640" s="20">
        <f>TEXT(B640,"aaa")</f>
        <v/>
      </c>
      <c r="D640" s="20" t="inlineStr">
        <is>
          <t>네이버 파워링크</t>
        </is>
      </c>
      <c r="K640" s="20" t="n">
        <v>61550</v>
      </c>
    </row>
    <row r="641" ht="16.5" customHeight="1" s="17">
      <c r="B641" s="16">
        <f>B640+1</f>
        <v/>
      </c>
      <c r="C641" s="20">
        <f>TEXT(B641,"aaa")</f>
        <v/>
      </c>
      <c r="D641" s="20" t="inlineStr">
        <is>
          <t>네이버 파워링크</t>
        </is>
      </c>
      <c r="K641" s="20" t="n">
        <v>63190</v>
      </c>
    </row>
    <row r="642" ht="16.5" customHeight="1" s="17">
      <c r="B642" s="16">
        <f>B641+1</f>
        <v/>
      </c>
      <c r="C642" s="20">
        <f>TEXT(B642,"aaa")</f>
        <v/>
      </c>
      <c r="D642" s="20" t="inlineStr">
        <is>
          <t>네이버 파워링크</t>
        </is>
      </c>
      <c r="K642" s="20" t="n">
        <v>31360</v>
      </c>
    </row>
    <row r="643" ht="16.5" customHeight="1" s="17">
      <c r="B643" s="16">
        <f>B642+1</f>
        <v/>
      </c>
      <c r="C643" s="20">
        <f>TEXT(B643,"aaa")</f>
        <v/>
      </c>
      <c r="D643" s="20" t="inlineStr">
        <is>
          <t>네이버 파워링크</t>
        </is>
      </c>
      <c r="K643" s="20" t="n">
        <v>5890</v>
      </c>
    </row>
    <row r="644" ht="16.5" customHeight="1" s="17">
      <c r="B644" s="16">
        <f>B643+1</f>
        <v/>
      </c>
      <c r="C644" s="20">
        <f>TEXT(B644,"aaa")</f>
        <v/>
      </c>
      <c r="D644" s="20" t="inlineStr">
        <is>
          <t>네이버 파워링크</t>
        </is>
      </c>
      <c r="K644" s="20">
        <f>4367/1.1</f>
        <v/>
      </c>
    </row>
    <row r="645" ht="16.5" customHeight="1" s="17">
      <c r="B645" s="16">
        <f>B644+1</f>
        <v/>
      </c>
      <c r="C645" s="20">
        <f>TEXT(B645,"aaa")</f>
        <v/>
      </c>
      <c r="D645" s="20" t="inlineStr">
        <is>
          <t>네이버 파워링크</t>
        </is>
      </c>
      <c r="K645" s="20">
        <f>8184/1.1</f>
        <v/>
      </c>
    </row>
    <row r="646" ht="16.5" customHeight="1" s="17">
      <c r="B646" s="16">
        <f>B645+1</f>
        <v/>
      </c>
      <c r="C646" s="20">
        <f>TEXT(B646,"aaa")</f>
        <v/>
      </c>
      <c r="D646" s="20" t="inlineStr">
        <is>
          <t>네이버 파워링크</t>
        </is>
      </c>
      <c r="K646" s="20">
        <f>5852/1.1</f>
        <v/>
      </c>
    </row>
    <row r="647" ht="16.5" customHeight="1" s="17">
      <c r="B647" s="16">
        <f>B646+1</f>
        <v/>
      </c>
      <c r="C647" s="20">
        <f>TEXT(B647,"aaa")</f>
        <v/>
      </c>
      <c r="D647" s="20" t="inlineStr">
        <is>
          <t>네이버 파워링크</t>
        </is>
      </c>
      <c r="K647" s="20">
        <f>8910/1.1</f>
        <v/>
      </c>
    </row>
    <row r="648" ht="16.5" customHeight="1" s="17">
      <c r="B648" s="16">
        <f>B647+1</f>
        <v/>
      </c>
      <c r="C648" s="20">
        <f>TEXT(B648,"aaa")</f>
        <v/>
      </c>
      <c r="D648" s="20" t="inlineStr">
        <is>
          <t>네이버 파워링크</t>
        </is>
      </c>
      <c r="K648" s="20">
        <f>10142/1.1</f>
        <v/>
      </c>
    </row>
    <row r="649" ht="16.5" customHeight="1" s="17">
      <c r="B649" s="16">
        <f>B648+1</f>
        <v/>
      </c>
      <c r="C649" s="20">
        <f>TEXT(B649,"aaa")</f>
        <v/>
      </c>
      <c r="D649" s="20" t="inlineStr">
        <is>
          <t>네이버 파워링크</t>
        </is>
      </c>
      <c r="K649" s="20">
        <f>4631/1.1</f>
        <v/>
      </c>
    </row>
    <row r="650" ht="16.5" customHeight="1" s="17">
      <c r="B650" s="16">
        <f>B649+1</f>
        <v/>
      </c>
      <c r="C650" s="20">
        <f>TEXT(B650,"aaa")</f>
        <v/>
      </c>
      <c r="D650" s="20" t="inlineStr">
        <is>
          <t>네이버 파워링크</t>
        </is>
      </c>
      <c r="K650" s="20">
        <f>7810/1.1</f>
        <v/>
      </c>
    </row>
    <row r="651" ht="16.5" customHeight="1" s="17">
      <c r="B651" s="16">
        <f>B650+1</f>
        <v/>
      </c>
      <c r="C651" s="20">
        <f>TEXT(B651,"aaa")</f>
        <v/>
      </c>
      <c r="D651" s="20" t="inlineStr">
        <is>
          <t>네이버 파워링크</t>
        </is>
      </c>
      <c r="K651" s="20">
        <f>2475/1.1</f>
        <v/>
      </c>
    </row>
    <row r="652" ht="16.5" customHeight="1" s="17">
      <c r="B652" s="16">
        <f>B651+1</f>
        <v/>
      </c>
      <c r="C652" s="20">
        <f>TEXT(B652,"aaa")</f>
        <v/>
      </c>
      <c r="D652" s="20" t="inlineStr">
        <is>
          <t>네이버 파워링크</t>
        </is>
      </c>
      <c r="K652" s="20">
        <f>10219/1.1</f>
        <v/>
      </c>
    </row>
    <row r="653" ht="16.5" customHeight="1" s="17">
      <c r="B653" s="16">
        <f>B652+1</f>
        <v/>
      </c>
      <c r="C653" s="20">
        <f>TEXT(B653,"aaa")</f>
        <v/>
      </c>
      <c r="D653" s="20" t="inlineStr">
        <is>
          <t>네이버 파워링크</t>
        </is>
      </c>
      <c r="K653" s="20">
        <f>2783/1.1</f>
        <v/>
      </c>
    </row>
    <row r="654" ht="16.5" customHeight="1" s="17">
      <c r="B654" s="16">
        <f>B653+1</f>
        <v/>
      </c>
      <c r="C654" s="20">
        <f>TEXT(B654,"aaa")</f>
        <v/>
      </c>
      <c r="D654" s="20" t="inlineStr">
        <is>
          <t>네이버 파워링크</t>
        </is>
      </c>
      <c r="K654" s="20">
        <f>4488/1.1</f>
        <v/>
      </c>
    </row>
    <row r="655" ht="16.5" customHeight="1" s="17">
      <c r="B655" s="16">
        <f>B654+1</f>
        <v/>
      </c>
      <c r="C655" s="20">
        <f>TEXT(B655,"aaa")</f>
        <v/>
      </c>
      <c r="D655" s="20" t="inlineStr">
        <is>
          <t>네이버 파워링크</t>
        </is>
      </c>
      <c r="K655" s="20">
        <f>4411/1.1</f>
        <v/>
      </c>
    </row>
    <row r="656" ht="16.5" customHeight="1" s="17">
      <c r="B656" s="16">
        <f>B655+1</f>
        <v/>
      </c>
      <c r="C656" s="20">
        <f>TEXT(B656,"aaa")</f>
        <v/>
      </c>
      <c r="D656" s="20" t="inlineStr">
        <is>
          <t>네이버 파워링크</t>
        </is>
      </c>
      <c r="K656" s="20">
        <f>6765/1.1</f>
        <v/>
      </c>
    </row>
    <row r="657" ht="16.5" customHeight="1" s="17">
      <c r="B657" s="16">
        <f>B656+1</f>
        <v/>
      </c>
      <c r="C657" s="20">
        <f>TEXT(B657,"aaa")</f>
        <v/>
      </c>
      <c r="D657" s="20" t="inlineStr">
        <is>
          <t>네이버 파워링크</t>
        </is>
      </c>
      <c r="K657" s="20">
        <f>3157/1.1</f>
        <v/>
      </c>
    </row>
    <row r="658" ht="16.5" customHeight="1" s="17">
      <c r="B658" s="16">
        <f>B657+1</f>
        <v/>
      </c>
      <c r="C658" s="20">
        <f>TEXT(B658,"aaa")</f>
        <v/>
      </c>
      <c r="D658" s="20" t="inlineStr">
        <is>
          <t>네이버 파워링크</t>
        </is>
      </c>
      <c r="K658" s="20">
        <f>9086/1.1</f>
        <v/>
      </c>
    </row>
    <row r="659" ht="16.5" customHeight="1" s="17">
      <c r="B659" s="16">
        <f>B658+1</f>
        <v/>
      </c>
      <c r="C659" s="20">
        <f>TEXT(B659,"aaa")</f>
        <v/>
      </c>
      <c r="D659" s="20" t="inlineStr">
        <is>
          <t>네이버 파워링크</t>
        </is>
      </c>
      <c r="K659" s="20">
        <f>3388/1.1</f>
        <v/>
      </c>
    </row>
    <row r="660" ht="16.5" customHeight="1" s="17">
      <c r="B660" s="16">
        <f>B659+1</f>
        <v/>
      </c>
      <c r="C660" s="20">
        <f>TEXT(B660,"aaa")</f>
        <v/>
      </c>
      <c r="D660" s="20" t="inlineStr">
        <is>
          <t>네이버 파워링크</t>
        </is>
      </c>
      <c r="K660" s="20">
        <f>4411/1.1</f>
        <v/>
      </c>
    </row>
    <row r="661" ht="16.5" customHeight="1" s="17">
      <c r="B661" s="16">
        <f>B660+1</f>
        <v/>
      </c>
      <c r="C661" s="20">
        <f>TEXT(B661,"aaa")</f>
        <v/>
      </c>
      <c r="D661" s="20" t="inlineStr">
        <is>
          <t>네이버 파워링크</t>
        </is>
      </c>
      <c r="K661" s="20">
        <f>7557/1.1</f>
        <v/>
      </c>
    </row>
    <row r="662" ht="16.5" customHeight="1" s="17">
      <c r="B662" s="16">
        <f>B661+1</f>
        <v/>
      </c>
      <c r="C662" s="20">
        <f>TEXT(B662,"aaa")</f>
        <v/>
      </c>
      <c r="D662" s="20" t="inlineStr">
        <is>
          <t>네이버 파워링크</t>
        </is>
      </c>
      <c r="K662" s="20">
        <f>3377/1.1</f>
        <v/>
      </c>
    </row>
    <row r="663" ht="16.5" customHeight="1" s="17">
      <c r="B663" s="16">
        <f>B662+1</f>
        <v/>
      </c>
      <c r="C663" s="20">
        <f>TEXT(B663,"aaa")</f>
        <v/>
      </c>
      <c r="D663" s="20" t="inlineStr">
        <is>
          <t>네이버 파워링크</t>
        </is>
      </c>
      <c r="K663" s="20">
        <f>11803/1.1</f>
        <v/>
      </c>
    </row>
    <row r="664" ht="16.5" customHeight="1" s="17">
      <c r="B664" s="16">
        <f>B663+1</f>
        <v/>
      </c>
      <c r="C664" s="20">
        <f>TEXT(B664,"aaa")</f>
        <v/>
      </c>
      <c r="D664" s="20" t="inlineStr">
        <is>
          <t>네이버 파워링크</t>
        </is>
      </c>
      <c r="K664" s="20">
        <f>4851/1.1</f>
        <v/>
      </c>
    </row>
    <row r="665" ht="16.5" customHeight="1" s="17">
      <c r="B665" s="16">
        <f>B664+1</f>
        <v/>
      </c>
      <c r="C665" s="20">
        <f>TEXT(B665,"aaa")</f>
        <v/>
      </c>
      <c r="D665" s="20" t="inlineStr">
        <is>
          <t>네이버 파워링크</t>
        </is>
      </c>
      <c r="K665" s="20">
        <f>9878/1.1</f>
        <v/>
      </c>
    </row>
    <row r="666" ht="16.5" customHeight="1" s="17">
      <c r="B666" s="16">
        <f>B665+1</f>
        <v/>
      </c>
      <c r="C666" s="20">
        <f>TEXT(B666,"aaa")</f>
        <v/>
      </c>
      <c r="D666" s="20" t="inlineStr">
        <is>
          <t>네이버 파워링크</t>
        </is>
      </c>
      <c r="K666" s="20">
        <f>2585/1.1</f>
        <v/>
      </c>
    </row>
    <row r="667" ht="16.5" customHeight="1" s="17">
      <c r="B667" s="16">
        <f>B666+1</f>
        <v/>
      </c>
      <c r="C667" s="20">
        <f>TEXT(B667,"aaa")</f>
        <v/>
      </c>
      <c r="D667" s="20" t="inlineStr">
        <is>
          <t>네이버 파워링크</t>
        </is>
      </c>
      <c r="K667" s="20">
        <f>6919/1.1</f>
        <v/>
      </c>
    </row>
    <row r="668" ht="16.5" customHeight="1" s="17">
      <c r="B668" s="16">
        <f>B667+1</f>
        <v/>
      </c>
      <c r="C668" s="20">
        <f>TEXT(B668,"aaa")</f>
        <v/>
      </c>
      <c r="D668" s="20" t="inlineStr">
        <is>
          <t>네이버 파워링크</t>
        </is>
      </c>
      <c r="K668" s="20">
        <f>7843/1.1</f>
        <v/>
      </c>
    </row>
    <row r="669" ht="16.5" customHeight="1" s="17">
      <c r="B669" s="16">
        <f>B668+1</f>
        <v/>
      </c>
      <c r="C669" s="20">
        <f>TEXT(B669,"aaa")</f>
        <v/>
      </c>
      <c r="D669" s="20" t="inlineStr">
        <is>
          <t>네이버 파워링크</t>
        </is>
      </c>
      <c r="K669" s="20">
        <f>13167/1.1</f>
        <v/>
      </c>
    </row>
    <row r="670" ht="16.5" customHeight="1" s="17">
      <c r="B670" s="16">
        <f>B669+1</f>
        <v/>
      </c>
      <c r="C670" s="20">
        <f>TEXT(B670,"aaa")</f>
        <v/>
      </c>
      <c r="D670" s="20" t="inlineStr">
        <is>
          <t>네이버 파워링크</t>
        </is>
      </c>
      <c r="K670" s="20">
        <f>8888/1.1</f>
        <v/>
      </c>
    </row>
    <row r="671" ht="16.5" customHeight="1" s="17">
      <c r="B671" s="16">
        <f>B670+1</f>
        <v/>
      </c>
      <c r="C671" s="20">
        <f>TEXT(B671,"aaa")</f>
        <v/>
      </c>
      <c r="D671" s="20" t="inlineStr">
        <is>
          <t>네이버 파워링크</t>
        </is>
      </c>
      <c r="K671" s="20">
        <f>10527/1.1</f>
        <v/>
      </c>
    </row>
    <row r="672" ht="16.5" customHeight="1" s="17">
      <c r="B672" s="16">
        <f>B671+1</f>
        <v/>
      </c>
      <c r="C672" s="20">
        <f>TEXT(B672,"aaa")</f>
        <v/>
      </c>
      <c r="D672" s="20" t="inlineStr">
        <is>
          <t>네이버 파워링크</t>
        </is>
      </c>
      <c r="K672" s="20">
        <f>4862/1.1</f>
        <v/>
      </c>
    </row>
    <row r="673" ht="16.5" customHeight="1" s="17">
      <c r="B673" s="16">
        <f>B672+1</f>
        <v/>
      </c>
      <c r="C673" s="20">
        <f>TEXT(B673,"aaa")</f>
        <v/>
      </c>
      <c r="D673" s="20" t="inlineStr">
        <is>
          <t>네이버 파워링크</t>
        </is>
      </c>
      <c r="K673" s="20">
        <f>6028/1.1</f>
        <v/>
      </c>
    </row>
    <row r="674" ht="16.5" customHeight="1" s="17">
      <c r="B674" s="16">
        <f>B673+1</f>
        <v/>
      </c>
      <c r="C674" s="20">
        <f>TEXT(B674,"aaa")</f>
        <v/>
      </c>
      <c r="D674" s="20" t="inlineStr">
        <is>
          <t>네이버 파워링크</t>
        </is>
      </c>
      <c r="K674" s="20">
        <f>4334/1.1</f>
        <v/>
      </c>
    </row>
    <row r="675" ht="16.5" customHeight="1" s="17">
      <c r="B675" s="16">
        <f>B674+1</f>
        <v/>
      </c>
      <c r="C675" s="20">
        <f>TEXT(B675,"aaa")</f>
        <v/>
      </c>
      <c r="D675" s="20" t="inlineStr">
        <is>
          <t>네이버 파워링크</t>
        </is>
      </c>
      <c r="K675" s="20">
        <f>2552/1.1</f>
        <v/>
      </c>
    </row>
    <row r="676" ht="16.5" customHeight="1" s="17">
      <c r="B676" s="16">
        <f>B675+1</f>
        <v/>
      </c>
      <c r="C676" s="20">
        <f>TEXT(B676,"aaa")</f>
        <v/>
      </c>
      <c r="D676" s="20" t="inlineStr">
        <is>
          <t>네이버 파워링크</t>
        </is>
      </c>
      <c r="K676" s="20">
        <f>9350/1.1</f>
        <v/>
      </c>
    </row>
    <row r="677" ht="16.5" customHeight="1" s="17">
      <c r="B677" s="16">
        <f>B676+1</f>
        <v/>
      </c>
      <c r="C677" s="20">
        <f>TEXT(B677,"aaa")</f>
        <v/>
      </c>
      <c r="D677" s="20" t="inlineStr">
        <is>
          <t>네이버 파워링크</t>
        </is>
      </c>
      <c r="K677" s="20">
        <f>9790/1.1</f>
        <v/>
      </c>
    </row>
    <row r="678" ht="16.5" customHeight="1" s="17">
      <c r="B678" s="16">
        <f>B677+1</f>
        <v/>
      </c>
      <c r="C678" s="20">
        <f>TEXT(B678,"aaa")</f>
        <v/>
      </c>
      <c r="D678" s="20" t="inlineStr">
        <is>
          <t>네이버 파워링크</t>
        </is>
      </c>
      <c r="K678" s="20">
        <f>7689/1.1</f>
        <v/>
      </c>
    </row>
    <row r="679" ht="16.5" customHeight="1" s="17">
      <c r="B679" s="16">
        <f>B678+1</f>
        <v/>
      </c>
      <c r="C679" s="20">
        <f>TEXT(B679,"aaa")</f>
        <v/>
      </c>
      <c r="D679" s="20" t="inlineStr">
        <is>
          <t>네이버 파워링크</t>
        </is>
      </c>
      <c r="K679" s="20">
        <f>9493/1.1</f>
        <v/>
      </c>
    </row>
    <row r="680" ht="16.5" customHeight="1" s="17">
      <c r="B680" s="16">
        <f>B679+1</f>
        <v/>
      </c>
      <c r="C680" s="20">
        <f>TEXT(B680,"aaa")</f>
        <v/>
      </c>
      <c r="D680" s="20" t="inlineStr">
        <is>
          <t>네이버 파워링크</t>
        </is>
      </c>
      <c r="K680" s="20">
        <f>8371/1.1</f>
        <v/>
      </c>
    </row>
    <row r="681" ht="16.5" customHeight="1" s="17">
      <c r="B681" s="16">
        <f>B680+1</f>
        <v/>
      </c>
      <c r="C681" s="20">
        <f>TEXT(B681,"aaa")</f>
        <v/>
      </c>
      <c r="D681" s="20" t="inlineStr">
        <is>
          <t>네이버 파워링크</t>
        </is>
      </c>
      <c r="K681" s="20">
        <f>14509/1.1</f>
        <v/>
      </c>
    </row>
    <row r="682" ht="16.5" customHeight="1" s="17">
      <c r="B682" s="16">
        <f>B681+1</f>
        <v/>
      </c>
      <c r="C682" s="20">
        <f>TEXT(B682,"aaa")</f>
        <v/>
      </c>
      <c r="D682" s="20" t="inlineStr">
        <is>
          <t>네이버 파워링크</t>
        </is>
      </c>
      <c r="K682" s="20">
        <f>12947/1.1</f>
        <v/>
      </c>
    </row>
    <row r="683" ht="16.5" customHeight="1" s="17">
      <c r="B683" s="16">
        <f>B682+1</f>
        <v/>
      </c>
      <c r="C683" s="20">
        <f>TEXT(B683,"aaa")</f>
        <v/>
      </c>
      <c r="D683" s="20" t="inlineStr">
        <is>
          <t>네이버 파워링크</t>
        </is>
      </c>
      <c r="K683" s="20">
        <f>11814/1.1</f>
        <v/>
      </c>
    </row>
    <row r="684" ht="16.5" customHeight="1" s="17">
      <c r="B684" s="16">
        <f>B683+1</f>
        <v/>
      </c>
      <c r="C684" s="20">
        <f>TEXT(B684,"aaa")</f>
        <v/>
      </c>
      <c r="D684" s="20" t="inlineStr">
        <is>
          <t>네이버 파워링크</t>
        </is>
      </c>
      <c r="K684" s="20">
        <f>12067/1.1</f>
        <v/>
      </c>
    </row>
    <row r="685" ht="16.5" customHeight="1" s="17">
      <c r="B685" s="16">
        <f>B684+1</f>
        <v/>
      </c>
      <c r="C685" s="20">
        <f>TEXT(B685,"aaa")</f>
        <v/>
      </c>
      <c r="D685" s="20" t="inlineStr">
        <is>
          <t>네이버 파워링크</t>
        </is>
      </c>
      <c r="K685" s="20">
        <f>9900/1.1</f>
        <v/>
      </c>
    </row>
    <row r="686" ht="16.5" customHeight="1" s="17">
      <c r="B686" s="16">
        <f>B685+1</f>
        <v/>
      </c>
      <c r="C686" s="20">
        <f>TEXT(B686,"aaa")</f>
        <v/>
      </c>
      <c r="D686" s="20" t="inlineStr">
        <is>
          <t>네이버 파워링크</t>
        </is>
      </c>
      <c r="K686" s="20">
        <f>8008/1.1</f>
        <v/>
      </c>
    </row>
    <row r="687" ht="16.5" customHeight="1" s="17">
      <c r="B687" s="16">
        <f>B686+1</f>
        <v/>
      </c>
      <c r="C687" s="20">
        <f>TEXT(B687,"aaa")</f>
        <v/>
      </c>
      <c r="D687" s="20" t="inlineStr">
        <is>
          <t>네이버 파워링크</t>
        </is>
      </c>
      <c r="K687" s="20">
        <f>6237/1.1</f>
        <v/>
      </c>
    </row>
    <row r="688" ht="16.5" customHeight="1" s="17">
      <c r="B688" s="16">
        <f>B687+1</f>
        <v/>
      </c>
      <c r="C688" s="20">
        <f>TEXT(B688,"aaa")</f>
        <v/>
      </c>
      <c r="D688" s="20" t="inlineStr">
        <is>
          <t>네이버 파워링크</t>
        </is>
      </c>
      <c r="K688" s="20">
        <f>1078/1.1</f>
        <v/>
      </c>
    </row>
    <row r="689" ht="16.5" customHeight="1" s="17">
      <c r="B689" s="16">
        <f>B688+1</f>
        <v/>
      </c>
      <c r="C689" s="20">
        <f>TEXT(B689,"aaa")</f>
        <v/>
      </c>
      <c r="D689" s="20" t="inlineStr">
        <is>
          <t>네이버 파워링크</t>
        </is>
      </c>
      <c r="K689" s="20">
        <f>9559/1.1</f>
        <v/>
      </c>
    </row>
    <row r="690" ht="16.5" customHeight="1" s="17">
      <c r="B690" s="16">
        <f>B689+1</f>
        <v/>
      </c>
      <c r="C690" s="20">
        <f>TEXT(B690,"aaa")</f>
        <v/>
      </c>
      <c r="D690" s="20" t="inlineStr">
        <is>
          <t>네이버 파워링크</t>
        </is>
      </c>
      <c r="K690" s="20">
        <f>10285/1.1</f>
        <v/>
      </c>
    </row>
    <row r="691" ht="16.5" customHeight="1" s="17">
      <c r="B691" s="16">
        <f>B690+1</f>
        <v/>
      </c>
      <c r="C691" s="20">
        <f>TEXT(B691,"aaa")</f>
        <v/>
      </c>
      <c r="D691" s="20" t="inlineStr">
        <is>
          <t>네이버 파워링크</t>
        </is>
      </c>
      <c r="K691" s="20">
        <f>3817/1.1</f>
        <v/>
      </c>
    </row>
    <row r="692" ht="16.5" customHeight="1" s="17">
      <c r="B692" s="16">
        <f>B691+1</f>
        <v/>
      </c>
      <c r="C692" s="20">
        <f>TEXT(B692,"aaa")</f>
        <v/>
      </c>
      <c r="D692" s="20" t="inlineStr">
        <is>
          <t>네이버 파워링크</t>
        </is>
      </c>
      <c r="K692" s="20" t="n">
        <v>0</v>
      </c>
    </row>
    <row r="693" ht="16.5" customHeight="1" s="17">
      <c r="B693" s="16">
        <f>B692+1</f>
        <v/>
      </c>
      <c r="C693" s="20">
        <f>TEXT(B693,"aaa")</f>
        <v/>
      </c>
      <c r="D693" s="20" t="inlineStr">
        <is>
          <t>네이버 파워링크</t>
        </is>
      </c>
      <c r="K693" s="20" t="n">
        <v>0</v>
      </c>
    </row>
    <row r="694" ht="16.5" customHeight="1" s="17">
      <c r="B694" s="16">
        <f>B693+1</f>
        <v/>
      </c>
      <c r="C694" s="20">
        <f>TEXT(B694,"aaa")</f>
        <v/>
      </c>
      <c r="D694" s="20" t="inlineStr">
        <is>
          <t>네이버 파워링크</t>
        </is>
      </c>
      <c r="K694" s="20" t="n">
        <v>0</v>
      </c>
    </row>
    <row r="695" ht="16.5" customHeight="1" s="17">
      <c r="B695" s="16">
        <f>B694+1</f>
        <v/>
      </c>
      <c r="C695" s="20">
        <f>TEXT(B695,"aaa")</f>
        <v/>
      </c>
      <c r="D695" s="20" t="inlineStr">
        <is>
          <t>네이버 파워링크</t>
        </is>
      </c>
      <c r="K695" s="20" t="n">
        <v>0</v>
      </c>
    </row>
    <row r="696" ht="16.5" customHeight="1" s="17">
      <c r="B696" s="16">
        <f>B695+1</f>
        <v/>
      </c>
      <c r="C696" s="20">
        <f>TEXT(B696,"aaa")</f>
        <v/>
      </c>
      <c r="D696" s="20" t="inlineStr">
        <is>
          <t>네이버 파워링크</t>
        </is>
      </c>
      <c r="K696" s="20" t="n">
        <v>0</v>
      </c>
    </row>
    <row r="697" ht="16.5" customHeight="1" s="17">
      <c r="B697" s="16">
        <f>B696+1</f>
        <v/>
      </c>
      <c r="C697" s="20">
        <f>TEXT(B697,"aaa")</f>
        <v/>
      </c>
      <c r="D697" s="20" t="inlineStr">
        <is>
          <t>네이버 파워링크</t>
        </is>
      </c>
      <c r="K697" s="20">
        <f>30162/1.1</f>
        <v/>
      </c>
    </row>
    <row r="698" ht="16.5" customHeight="1" s="17">
      <c r="B698" s="16">
        <f>B697+1</f>
        <v/>
      </c>
      <c r="C698" s="20">
        <f>TEXT(B698,"aaa")</f>
        <v/>
      </c>
      <c r="D698" s="20" t="inlineStr">
        <is>
          <t>네이버 파워링크</t>
        </is>
      </c>
      <c r="K698" s="20">
        <f>43241/1.1</f>
        <v/>
      </c>
    </row>
    <row r="699" ht="16.5" customHeight="1" s="17">
      <c r="B699" s="16">
        <f>B698+1</f>
        <v/>
      </c>
      <c r="C699" s="20">
        <f>TEXT(B699,"aaa")</f>
        <v/>
      </c>
      <c r="D699" s="20" t="inlineStr">
        <is>
          <t>네이버 파워링크</t>
        </is>
      </c>
      <c r="K699" s="20">
        <f>36410/1.1</f>
        <v/>
      </c>
    </row>
    <row r="700" ht="16.5" customHeight="1" s="17">
      <c r="B700" s="16">
        <f>B699+1</f>
        <v/>
      </c>
      <c r="C700" s="20">
        <f>TEXT(B700,"aaa")</f>
        <v/>
      </c>
      <c r="D700" s="20" t="inlineStr">
        <is>
          <t>네이버 파워링크</t>
        </is>
      </c>
      <c r="K700" s="20">
        <f>36608/1.1</f>
        <v/>
      </c>
    </row>
    <row r="701" ht="16.5" customHeight="1" s="17">
      <c r="B701" s="16">
        <f>B700+1</f>
        <v/>
      </c>
      <c r="C701" s="20">
        <f>TEXT(B701,"aaa")</f>
        <v/>
      </c>
      <c r="D701" s="20" t="inlineStr">
        <is>
          <t>네이버 파워링크</t>
        </is>
      </c>
      <c r="K701" s="20">
        <f>50677/1.1</f>
        <v/>
      </c>
    </row>
    <row r="702" ht="16.5" customHeight="1" s="17">
      <c r="B702" s="16">
        <f>B701+1</f>
        <v/>
      </c>
      <c r="C702" s="20">
        <f>TEXT(B702,"aaa")</f>
        <v/>
      </c>
      <c r="D702" s="20" t="inlineStr">
        <is>
          <t>네이버 파워링크</t>
        </is>
      </c>
      <c r="K702" s="20">
        <f>65362/1.1</f>
        <v/>
      </c>
    </row>
    <row r="703" ht="16.5" customHeight="1" s="17">
      <c r="B703" s="16">
        <f>B702+1</f>
        <v/>
      </c>
      <c r="C703" s="20">
        <f>TEXT(B703,"aaa")</f>
        <v/>
      </c>
      <c r="D703" s="20" t="inlineStr">
        <is>
          <t>네이버 파워링크</t>
        </is>
      </c>
      <c r="K703" s="20">
        <f>71951/1.1</f>
        <v/>
      </c>
    </row>
    <row r="704" ht="16.5" customHeight="1" s="17">
      <c r="B704" s="16">
        <f>B703+1</f>
        <v/>
      </c>
      <c r="C704" s="20">
        <f>TEXT(B704,"aaa")</f>
        <v/>
      </c>
      <c r="D704" s="20" t="inlineStr">
        <is>
          <t>네이버 파워링크</t>
        </is>
      </c>
      <c r="K704" s="20">
        <f>40205/1.1</f>
        <v/>
      </c>
    </row>
    <row r="705" ht="16.5" customHeight="1" s="17">
      <c r="B705" s="16">
        <f>B704+1</f>
        <v/>
      </c>
      <c r="C705" s="20">
        <f>TEXT(B705,"aaa")</f>
        <v/>
      </c>
      <c r="D705" s="20" t="inlineStr">
        <is>
          <t>네이버 파워링크</t>
        </is>
      </c>
      <c r="K705" s="20">
        <f>114796/1.1</f>
        <v/>
      </c>
    </row>
    <row r="706" ht="16.5" customHeight="1" s="17">
      <c r="B706" s="16">
        <f>B705+1</f>
        <v/>
      </c>
      <c r="C706" s="20">
        <f>TEXT(B706,"aaa")</f>
        <v/>
      </c>
      <c r="D706" s="20" t="inlineStr">
        <is>
          <t>네이버 파워링크</t>
        </is>
      </c>
      <c r="K706" s="20">
        <f>76527/1.1</f>
        <v/>
      </c>
    </row>
    <row r="707" ht="16.5" customHeight="1" s="17">
      <c r="B707" s="16">
        <f>B706+1</f>
        <v/>
      </c>
      <c r="C707" s="20">
        <f>TEXT(B707,"aaa")</f>
        <v/>
      </c>
      <c r="D707" s="20" t="inlineStr">
        <is>
          <t>네이버 파워링크</t>
        </is>
      </c>
      <c r="K707" s="20">
        <f>90398/1.1</f>
        <v/>
      </c>
    </row>
    <row r="708" ht="16.5" customHeight="1" s="17">
      <c r="B708" s="16">
        <f>B707+1</f>
        <v/>
      </c>
      <c r="C708" s="20">
        <f>TEXT(B708,"aaa")</f>
        <v/>
      </c>
      <c r="D708" s="20" t="inlineStr">
        <is>
          <t>네이버 파워링크</t>
        </is>
      </c>
      <c r="K708" s="20">
        <f>136752/1.1</f>
        <v/>
      </c>
    </row>
    <row r="709" ht="16.5" customHeight="1" s="17">
      <c r="B709" s="16">
        <f>B708+1</f>
        <v/>
      </c>
      <c r="C709" s="20">
        <f>TEXT(B709,"aaa")</f>
        <v/>
      </c>
      <c r="D709" s="20" t="inlineStr">
        <is>
          <t>네이버 파워링크</t>
        </is>
      </c>
      <c r="K709" s="20">
        <f>186065/1.1</f>
        <v/>
      </c>
    </row>
    <row r="710" ht="16.5" customHeight="1" s="17">
      <c r="B710" s="16">
        <f>B709+1</f>
        <v/>
      </c>
      <c r="C710" s="20">
        <f>TEXT(B710,"aaa")</f>
        <v/>
      </c>
      <c r="D710" s="20" t="inlineStr">
        <is>
          <t>네이버 파워링크</t>
        </is>
      </c>
      <c r="K710" s="20">
        <f>193600/1.1</f>
        <v/>
      </c>
    </row>
    <row r="711" ht="16.5" customHeight="1" s="17">
      <c r="B711" s="16">
        <f>B710+1</f>
        <v/>
      </c>
      <c r="C711" s="20">
        <f>TEXT(B711,"aaa")</f>
        <v/>
      </c>
      <c r="D711" s="20" t="inlineStr">
        <is>
          <t>네이버 파워링크</t>
        </is>
      </c>
      <c r="K711" s="20">
        <f>112376/1.1</f>
        <v/>
      </c>
    </row>
    <row r="712" ht="16.5" customHeight="1" s="17">
      <c r="B712" s="16">
        <f>B711+1</f>
        <v/>
      </c>
      <c r="C712" s="20">
        <f>TEXT(B712,"aaa")</f>
        <v/>
      </c>
      <c r="D712" s="20" t="inlineStr">
        <is>
          <t>네이버 파워링크</t>
        </is>
      </c>
      <c r="K712" s="20">
        <f>99077/1.1</f>
        <v/>
      </c>
    </row>
    <row r="713" ht="16.5" customHeight="1" s="17">
      <c r="B713" s="16">
        <f>B712+1</f>
        <v/>
      </c>
      <c r="C713" s="20">
        <f>TEXT(B713,"aaa")</f>
        <v/>
      </c>
      <c r="D713" s="20" t="inlineStr">
        <is>
          <t>네이버 파워링크</t>
        </is>
      </c>
      <c r="K713" s="20">
        <f>155617/1.1</f>
        <v/>
      </c>
    </row>
    <row r="714" ht="16.5" customHeight="1" s="17">
      <c r="B714" s="16">
        <f>B713+1</f>
        <v/>
      </c>
      <c r="C714" s="20">
        <f>TEXT(B714,"aaa")</f>
        <v/>
      </c>
      <c r="D714" s="20" t="inlineStr">
        <is>
          <t>네이버 파워링크</t>
        </is>
      </c>
      <c r="K714" s="20">
        <f>99055/1.1</f>
        <v/>
      </c>
    </row>
    <row r="715" ht="16.5" customHeight="1" s="17">
      <c r="B715" s="16">
        <f>B714+1</f>
        <v/>
      </c>
      <c r="C715" s="20">
        <f>TEXT(B715,"aaa")</f>
        <v/>
      </c>
      <c r="D715" s="20" t="inlineStr">
        <is>
          <t>네이버 파워링크</t>
        </is>
      </c>
      <c r="K715" s="20">
        <f>38313/1.1</f>
        <v/>
      </c>
    </row>
    <row r="716" ht="16.5" customHeight="1" s="17">
      <c r="B716" s="16">
        <f>B715+1</f>
        <v/>
      </c>
      <c r="C716" s="20">
        <f>TEXT(B716,"aaa")</f>
        <v/>
      </c>
      <c r="D716" s="20" t="inlineStr">
        <is>
          <t>네이버 파워링크</t>
        </is>
      </c>
      <c r="K716" s="20">
        <f>8800/1.1</f>
        <v/>
      </c>
    </row>
    <row r="717" ht="16.5" customHeight="1" s="17">
      <c r="B717" s="16">
        <f>B716+1</f>
        <v/>
      </c>
      <c r="C717" s="20">
        <f>TEXT(B717,"aaa")</f>
        <v/>
      </c>
      <c r="D717" s="20" t="inlineStr">
        <is>
          <t>네이버 파워링크</t>
        </is>
      </c>
      <c r="K717" s="20">
        <f>12463/1.1</f>
        <v/>
      </c>
    </row>
    <row r="718" ht="16.5" customHeight="1" s="17">
      <c r="B718" s="16">
        <f>B717+1</f>
        <v/>
      </c>
      <c r="C718" s="20">
        <f>TEXT(B718,"aaa")</f>
        <v/>
      </c>
      <c r="D718" s="20" t="inlineStr">
        <is>
          <t>네이버 파워링크</t>
        </is>
      </c>
      <c r="K718" s="20">
        <f>10890/1.1</f>
        <v/>
      </c>
    </row>
    <row r="719" ht="16.5" customHeight="1" s="17">
      <c r="B719" s="16">
        <f>B718+1</f>
        <v/>
      </c>
      <c r="C719" s="20">
        <f>TEXT(B719,"aaa")</f>
        <v/>
      </c>
      <c r="D719" s="20" t="inlineStr">
        <is>
          <t>네이버 파워링크</t>
        </is>
      </c>
      <c r="K719" s="20">
        <f>9185/1.1</f>
        <v/>
      </c>
    </row>
    <row r="720" ht="16.5" customHeight="1" s="17">
      <c r="B720" s="16">
        <f>B719+1</f>
        <v/>
      </c>
      <c r="C720" s="20">
        <f>TEXT(B720,"aaa")</f>
        <v/>
      </c>
      <c r="D720" s="20" t="inlineStr">
        <is>
          <t>네이버 파워링크</t>
        </is>
      </c>
      <c r="K720" s="20">
        <f>9746/1.1</f>
        <v/>
      </c>
    </row>
    <row r="721" ht="16.5" customHeight="1" s="17">
      <c r="B721" s="16">
        <f>B720+1</f>
        <v/>
      </c>
      <c r="C721" s="20">
        <f>TEXT(B721,"aaa")</f>
        <v/>
      </c>
      <c r="D721" s="20" t="inlineStr">
        <is>
          <t>네이버 파워링크</t>
        </is>
      </c>
      <c r="K721" s="20">
        <f>10274/1.1</f>
        <v/>
      </c>
    </row>
    <row r="722" ht="16.5" customHeight="1" s="17">
      <c r="B722" s="16">
        <f>B721+1</f>
        <v/>
      </c>
      <c r="C722" s="20">
        <f>TEXT(B722,"aaa")</f>
        <v/>
      </c>
      <c r="D722" s="20" t="inlineStr">
        <is>
          <t>네이버 파워링크</t>
        </is>
      </c>
      <c r="K722" s="20">
        <f>8877/1.1</f>
        <v/>
      </c>
    </row>
    <row r="723" ht="16.5" customHeight="1" s="17">
      <c r="B723" s="16">
        <f>B722+1</f>
        <v/>
      </c>
      <c r="C723" s="20">
        <f>TEXT(B723,"aaa")</f>
        <v/>
      </c>
      <c r="D723" s="20" t="inlineStr">
        <is>
          <t>네이버 파워링크</t>
        </is>
      </c>
      <c r="K723" s="20">
        <f>9009/1.1</f>
        <v/>
      </c>
    </row>
    <row r="724" ht="16.5" customHeight="1" s="17">
      <c r="B724" s="16">
        <f>B723+1</f>
        <v/>
      </c>
      <c r="C724" s="20">
        <f>TEXT(B724,"aaa")</f>
        <v/>
      </c>
      <c r="D724" s="20" t="inlineStr">
        <is>
          <t>네이버 파워링크</t>
        </is>
      </c>
      <c r="K724" s="20">
        <f>9196/1.1</f>
        <v/>
      </c>
    </row>
    <row r="725" ht="16.5" customHeight="1" s="17">
      <c r="B725" s="16">
        <f>B724+1</f>
        <v/>
      </c>
      <c r="C725" s="20">
        <f>TEXT(B725,"aaa")</f>
        <v/>
      </c>
      <c r="D725" s="20" t="inlineStr">
        <is>
          <t>네이버 파워링크</t>
        </is>
      </c>
      <c r="K725" s="20">
        <f>9988/1.1</f>
        <v/>
      </c>
    </row>
    <row r="726" ht="16.5" customHeight="1" s="17">
      <c r="B726" s="16">
        <f>B725+1</f>
        <v/>
      </c>
      <c r="C726" s="20">
        <f>TEXT(B726,"aaa")</f>
        <v/>
      </c>
      <c r="D726" s="20" t="inlineStr">
        <is>
          <t>네이버 파워링크</t>
        </is>
      </c>
      <c r="K726" s="20">
        <f>8998/1.1</f>
        <v/>
      </c>
    </row>
    <row r="727" ht="16.5" customHeight="1" s="17">
      <c r="B727" s="16">
        <f>B726+1</f>
        <v/>
      </c>
      <c r="C727" s="20">
        <f>TEXT(B727,"aaa")</f>
        <v/>
      </c>
      <c r="D727" s="20" t="inlineStr">
        <is>
          <t>네이버 파워링크</t>
        </is>
      </c>
      <c r="K727" s="20">
        <f>10549/1.1</f>
        <v/>
      </c>
    </row>
    <row r="728" ht="16.5" customHeight="1" s="17">
      <c r="B728" s="16">
        <f>B727+1</f>
        <v/>
      </c>
      <c r="C728" s="20">
        <f>TEXT(B728,"aaa")</f>
        <v/>
      </c>
      <c r="D728" s="20" t="inlineStr">
        <is>
          <t>네이버 파워링크</t>
        </is>
      </c>
      <c r="K728" s="20">
        <f>12617/1.1</f>
        <v/>
      </c>
    </row>
    <row r="729" ht="16.5" customHeight="1" s="17">
      <c r="B729" s="16">
        <f>B728+1</f>
        <v/>
      </c>
      <c r="C729" s="20">
        <f>TEXT(B729,"aaa")</f>
        <v/>
      </c>
      <c r="D729" s="20" t="inlineStr">
        <is>
          <t>네이버 파워링크</t>
        </is>
      </c>
      <c r="K729" s="20">
        <f>9240/1.1</f>
        <v/>
      </c>
    </row>
    <row r="730" ht="16.5" customHeight="1" s="17">
      <c r="B730" s="16">
        <f>B729+1</f>
        <v/>
      </c>
      <c r="C730" s="20">
        <f>TEXT(B730,"aaa")</f>
        <v/>
      </c>
      <c r="D730" s="20" t="inlineStr">
        <is>
          <t>네이버 파워링크</t>
        </is>
      </c>
      <c r="K730" s="20">
        <f>8954/1.1</f>
        <v/>
      </c>
    </row>
    <row r="731" ht="16.5" customHeight="1" s="17">
      <c r="B731" s="16">
        <f>B730+1</f>
        <v/>
      </c>
      <c r="C731" s="20">
        <f>TEXT(B731,"aaa")</f>
        <v/>
      </c>
      <c r="D731" s="20" t="inlineStr">
        <is>
          <t>네이버 파워링크</t>
        </is>
      </c>
      <c r="K731" s="20">
        <f>9944/1.1</f>
        <v/>
      </c>
    </row>
    <row r="732" ht="16.5" customHeight="1" s="17">
      <c r="B732" s="16">
        <f>B731+1</f>
        <v/>
      </c>
      <c r="C732" s="20">
        <f>TEXT(B732,"aaa")</f>
        <v/>
      </c>
      <c r="D732" s="20" t="inlineStr">
        <is>
          <t>네이버 파워링크</t>
        </is>
      </c>
      <c r="K732" s="20">
        <f>10868/1.1</f>
        <v/>
      </c>
    </row>
    <row r="733" ht="16.5" customHeight="1" s="17">
      <c r="B733" s="16">
        <f>B732+1</f>
        <v/>
      </c>
      <c r="C733" s="20">
        <f>TEXT(B733,"aaa")</f>
        <v/>
      </c>
      <c r="D733" s="20" t="inlineStr">
        <is>
          <t>네이버 파워링크</t>
        </is>
      </c>
      <c r="K733" s="20">
        <f>10065/1.1</f>
        <v/>
      </c>
    </row>
    <row r="734" ht="16.5" customHeight="1" s="17">
      <c r="B734" s="16">
        <f>B733+1</f>
        <v/>
      </c>
      <c r="C734" s="20">
        <f>TEXT(B734,"aaa")</f>
        <v/>
      </c>
      <c r="D734" s="20" t="inlineStr">
        <is>
          <t>네이버 파워링크</t>
        </is>
      </c>
      <c r="K734" s="20">
        <f>10956/1.1</f>
        <v/>
      </c>
    </row>
    <row r="735" ht="16.5" customHeight="1" s="17">
      <c r="B735" s="16">
        <f>B734+1</f>
        <v/>
      </c>
      <c r="C735" s="20">
        <f>TEXT(B735,"aaa")</f>
        <v/>
      </c>
      <c r="D735" s="20" t="inlineStr">
        <is>
          <t>네이버 파워링크</t>
        </is>
      </c>
      <c r="K735" s="20">
        <f>9262/1.1</f>
        <v/>
      </c>
    </row>
    <row r="736" ht="16.5" customHeight="1" s="17">
      <c r="B736" s="16">
        <f>B735+1</f>
        <v/>
      </c>
      <c r="C736" s="20">
        <f>TEXT(B736,"aaa")</f>
        <v/>
      </c>
      <c r="D736" s="20" t="inlineStr">
        <is>
          <t>네이버 파워링크</t>
        </is>
      </c>
      <c r="K736" s="20">
        <f>8855/1.1</f>
        <v/>
      </c>
    </row>
    <row r="737" ht="16.5" customHeight="1" s="17">
      <c r="B737" s="16">
        <f>B736+1</f>
        <v/>
      </c>
      <c r="C737" s="20">
        <f>TEXT(B737,"aaa")</f>
        <v/>
      </c>
      <c r="D737" s="20" t="inlineStr">
        <is>
          <t>네이버 파워링크</t>
        </is>
      </c>
      <c r="K737" s="20">
        <f>9493/1.1</f>
        <v/>
      </c>
    </row>
    <row r="738" ht="16.5" customHeight="1" s="17">
      <c r="B738" s="16">
        <f>B737+1</f>
        <v/>
      </c>
      <c r="C738" s="20">
        <f>TEXT(B738,"aaa")</f>
        <v/>
      </c>
      <c r="D738" s="20" t="inlineStr">
        <is>
          <t>네이버 파워링크</t>
        </is>
      </c>
      <c r="K738" s="20">
        <f>9009/1.1</f>
        <v/>
      </c>
    </row>
    <row r="739" ht="16.5" customHeight="1" s="17">
      <c r="B739" s="16">
        <f>B738+1</f>
        <v/>
      </c>
      <c r="C739" s="20">
        <f>TEXT(B739,"aaa")</f>
        <v/>
      </c>
      <c r="D739" s="20" t="inlineStr">
        <is>
          <t>네이버 파워링크</t>
        </is>
      </c>
      <c r="K739" s="20">
        <f>9207/1.1</f>
        <v/>
      </c>
    </row>
    <row r="740" ht="16.5" customHeight="1" s="17">
      <c r="B740" s="16">
        <f>B739+1</f>
        <v/>
      </c>
      <c r="C740" s="20">
        <f>TEXT(B740,"aaa")</f>
        <v/>
      </c>
      <c r="D740" s="20" t="inlineStr">
        <is>
          <t>네이버 파워링크</t>
        </is>
      </c>
      <c r="K740" s="20">
        <f>10934/1.1</f>
        <v/>
      </c>
    </row>
    <row r="741" ht="16.5" customHeight="1" s="17">
      <c r="B741" s="16">
        <f>B740+1</f>
        <v/>
      </c>
      <c r="C741" s="20">
        <f>TEXT(B741,"aaa")</f>
        <v/>
      </c>
      <c r="D741" s="20" t="inlineStr">
        <is>
          <t>네이버 파워링크</t>
        </is>
      </c>
      <c r="K741" s="20">
        <f>9768/1.1</f>
        <v/>
      </c>
    </row>
    <row r="742" ht="16.5" customHeight="1" s="17">
      <c r="B742" s="16">
        <f>B741+1</f>
        <v/>
      </c>
      <c r="C742" s="20">
        <f>TEXT(B742,"aaa")</f>
        <v/>
      </c>
      <c r="D742" s="20" t="inlineStr">
        <is>
          <t>네이버 파워링크</t>
        </is>
      </c>
      <c r="K742" s="20">
        <f>11110/1.1</f>
        <v/>
      </c>
    </row>
    <row r="743" ht="16.5" customHeight="1" s="17">
      <c r="B743" s="16">
        <f>B742+1</f>
        <v/>
      </c>
      <c r="C743" s="20">
        <f>TEXT(B743,"aaa")</f>
        <v/>
      </c>
      <c r="D743" s="20" t="inlineStr">
        <is>
          <t>네이버 파워링크</t>
        </is>
      </c>
      <c r="K743" s="20">
        <f>9504/1.1</f>
        <v/>
      </c>
    </row>
    <row r="744" ht="16.5" customHeight="1" s="17">
      <c r="B744" s="16">
        <f>B743+1</f>
        <v/>
      </c>
      <c r="C744" s="20">
        <f>TEXT(B744,"aaa")</f>
        <v/>
      </c>
      <c r="D744" s="20" t="inlineStr">
        <is>
          <t>네이버 파워링크</t>
        </is>
      </c>
      <c r="K744" s="20">
        <f>8811/1.1</f>
        <v/>
      </c>
    </row>
    <row r="745" ht="16.5" customHeight="1" s="17">
      <c r="B745" s="16">
        <f>B744+1</f>
        <v/>
      </c>
      <c r="C745" s="20">
        <f>TEXT(B745,"aaa")</f>
        <v/>
      </c>
      <c r="D745" s="20" t="inlineStr">
        <is>
          <t>네이버 파워링크</t>
        </is>
      </c>
      <c r="K745" s="20" t="n">
        <v>0</v>
      </c>
    </row>
    <row r="746" ht="16.5" customHeight="1" s="17">
      <c r="B746" s="16">
        <f>B745+1</f>
        <v/>
      </c>
      <c r="C746" s="20">
        <f>TEXT(B746,"aaa")</f>
        <v/>
      </c>
      <c r="D746" s="20" t="inlineStr">
        <is>
          <t>네이버 파워링크</t>
        </is>
      </c>
      <c r="K746" s="20" t="n">
        <v>0</v>
      </c>
    </row>
    <row r="747" ht="16.5" customHeight="1" s="17">
      <c r="B747" s="16">
        <f>B746+1</f>
        <v/>
      </c>
      <c r="C747" s="20">
        <f>TEXT(B747,"aaa")</f>
        <v/>
      </c>
      <c r="D747" s="20" t="inlineStr">
        <is>
          <t>네이버 파워링크</t>
        </is>
      </c>
      <c r="K747" s="20" t="n">
        <v>0</v>
      </c>
    </row>
    <row r="748" ht="16.35" customHeight="1" s="17">
      <c r="B748" s="16" t="n">
        <v>44033</v>
      </c>
      <c r="C748" s="20">
        <f>TEXT(B748,"aaa")</f>
        <v/>
      </c>
      <c r="D748" s="20" t="inlineStr">
        <is>
          <t>네이버 브랜드검색</t>
        </is>
      </c>
      <c r="K748" s="26">
        <f>600000/30</f>
        <v/>
      </c>
    </row>
    <row r="749" ht="16.5" customHeight="1" s="17">
      <c r="B749" s="16">
        <f>B748+1</f>
        <v/>
      </c>
      <c r="C749" s="20">
        <f>TEXT(B749,"aaa")</f>
        <v/>
      </c>
      <c r="D749" s="20" t="inlineStr">
        <is>
          <t>네이버 브랜드검색</t>
        </is>
      </c>
      <c r="K749" s="26">
        <f>600000/30</f>
        <v/>
      </c>
    </row>
    <row r="750" ht="16.5" customHeight="1" s="17">
      <c r="B750" s="16">
        <f>B749+1</f>
        <v/>
      </c>
      <c r="C750" s="20">
        <f>TEXT(B750,"aaa")</f>
        <v/>
      </c>
      <c r="D750" s="20" t="inlineStr">
        <is>
          <t>네이버 브랜드검색</t>
        </is>
      </c>
      <c r="K750" s="26">
        <f>600000/30</f>
        <v/>
      </c>
    </row>
    <row r="751" ht="16.5" customHeight="1" s="17">
      <c r="B751" s="16">
        <f>B750+1</f>
        <v/>
      </c>
      <c r="C751" s="20">
        <f>TEXT(B751,"aaa")</f>
        <v/>
      </c>
      <c r="D751" s="20" t="inlineStr">
        <is>
          <t>네이버 브랜드검색</t>
        </is>
      </c>
      <c r="K751" s="26">
        <f>600000/30</f>
        <v/>
      </c>
    </row>
    <row r="752" ht="16.5" customHeight="1" s="17">
      <c r="B752" s="16">
        <f>B751+1</f>
        <v/>
      </c>
      <c r="C752" s="20">
        <f>TEXT(B752,"aaa")</f>
        <v/>
      </c>
      <c r="D752" s="20" t="inlineStr">
        <is>
          <t>네이버 브랜드검색</t>
        </is>
      </c>
      <c r="K752" s="26">
        <f>600000/30</f>
        <v/>
      </c>
    </row>
    <row r="753" ht="16.5" customHeight="1" s="17">
      <c r="B753" s="16">
        <f>B752+1</f>
        <v/>
      </c>
      <c r="C753" s="20">
        <f>TEXT(B753,"aaa")</f>
        <v/>
      </c>
      <c r="D753" s="20" t="inlineStr">
        <is>
          <t>네이버 브랜드검색</t>
        </is>
      </c>
      <c r="K753" s="26">
        <f>600000/30</f>
        <v/>
      </c>
    </row>
    <row r="754" ht="16.5" customHeight="1" s="17">
      <c r="B754" s="16">
        <f>B753+1</f>
        <v/>
      </c>
      <c r="C754" s="20">
        <f>TEXT(B754,"aaa")</f>
        <v/>
      </c>
      <c r="D754" s="20" t="inlineStr">
        <is>
          <t>네이버 브랜드검색</t>
        </is>
      </c>
      <c r="K754" s="26">
        <f>600000/30</f>
        <v/>
      </c>
    </row>
    <row r="755" ht="16.5" customHeight="1" s="17">
      <c r="B755" s="16">
        <f>B754+1</f>
        <v/>
      </c>
      <c r="C755" s="20">
        <f>TEXT(B755,"aaa")</f>
        <v/>
      </c>
      <c r="D755" s="20" t="inlineStr">
        <is>
          <t>네이버 브랜드검색</t>
        </is>
      </c>
      <c r="K755" s="26">
        <f>600000/30</f>
        <v/>
      </c>
    </row>
    <row r="756" ht="16.5" customHeight="1" s="17">
      <c r="B756" s="16">
        <f>B755+1</f>
        <v/>
      </c>
      <c r="C756" s="20">
        <f>TEXT(B756,"aaa")</f>
        <v/>
      </c>
      <c r="D756" s="20" t="inlineStr">
        <is>
          <t>네이버 브랜드검색</t>
        </is>
      </c>
      <c r="K756" s="26">
        <f>600000/30</f>
        <v/>
      </c>
    </row>
    <row r="757" ht="16.5" customHeight="1" s="17">
      <c r="B757" s="16">
        <f>B756+1</f>
        <v/>
      </c>
      <c r="C757" s="20">
        <f>TEXT(B757,"aaa")</f>
        <v/>
      </c>
      <c r="D757" s="20" t="inlineStr">
        <is>
          <t>네이버 브랜드검색</t>
        </is>
      </c>
      <c r="K757" s="26">
        <f>600000/30</f>
        <v/>
      </c>
    </row>
    <row r="758" ht="16.5" customHeight="1" s="17">
      <c r="B758" s="16">
        <f>B757+1</f>
        <v/>
      </c>
      <c r="C758" s="20">
        <f>TEXT(B758,"aaa")</f>
        <v/>
      </c>
      <c r="D758" s="20" t="inlineStr">
        <is>
          <t>네이버 브랜드검색</t>
        </is>
      </c>
      <c r="K758" s="26">
        <f>600000/30</f>
        <v/>
      </c>
    </row>
    <row r="759" ht="16.5" customHeight="1" s="17">
      <c r="B759" s="16">
        <f>B758+1</f>
        <v/>
      </c>
      <c r="C759" s="20">
        <f>TEXT(B759,"aaa")</f>
        <v/>
      </c>
      <c r="D759" s="20" t="inlineStr">
        <is>
          <t>네이버 브랜드검색</t>
        </is>
      </c>
      <c r="K759" s="26">
        <f>600000/30</f>
        <v/>
      </c>
    </row>
    <row r="760" ht="16.5" customHeight="1" s="17">
      <c r="B760" s="16">
        <f>B759+1</f>
        <v/>
      </c>
      <c r="C760" s="20">
        <f>TEXT(B760,"aaa")</f>
        <v/>
      </c>
      <c r="D760" s="20" t="inlineStr">
        <is>
          <t>네이버 브랜드검색</t>
        </is>
      </c>
      <c r="K760" s="26">
        <f>600000/30</f>
        <v/>
      </c>
    </row>
    <row r="761" ht="16.5" customHeight="1" s="17">
      <c r="B761" s="16">
        <f>B760+1</f>
        <v/>
      </c>
      <c r="C761" s="20">
        <f>TEXT(B761,"aaa")</f>
        <v/>
      </c>
      <c r="D761" s="20" t="inlineStr">
        <is>
          <t>네이버 브랜드검색</t>
        </is>
      </c>
      <c r="K761" s="26">
        <f>600000/30</f>
        <v/>
      </c>
    </row>
    <row r="762" ht="16.5" customHeight="1" s="17">
      <c r="B762" s="16">
        <f>B761+1</f>
        <v/>
      </c>
      <c r="C762" s="20">
        <f>TEXT(B762,"aaa")</f>
        <v/>
      </c>
      <c r="D762" s="20" t="inlineStr">
        <is>
          <t>네이버 브랜드검색</t>
        </is>
      </c>
      <c r="K762" s="26">
        <f>600000/30</f>
        <v/>
      </c>
    </row>
    <row r="763" ht="16.5" customHeight="1" s="17">
      <c r="B763" s="16">
        <f>B762+1</f>
        <v/>
      </c>
      <c r="C763" s="20">
        <f>TEXT(B763,"aaa")</f>
        <v/>
      </c>
      <c r="D763" s="20" t="inlineStr">
        <is>
          <t>네이버 브랜드검색</t>
        </is>
      </c>
      <c r="K763" s="26">
        <f>600000/30</f>
        <v/>
      </c>
    </row>
    <row r="764" ht="16.5" customHeight="1" s="17">
      <c r="B764" s="16">
        <f>B763+1</f>
        <v/>
      </c>
      <c r="C764" s="20">
        <f>TEXT(B764,"aaa")</f>
        <v/>
      </c>
      <c r="D764" s="20" t="inlineStr">
        <is>
          <t>네이버 브랜드검색</t>
        </is>
      </c>
      <c r="K764" s="26">
        <f>600000/30</f>
        <v/>
      </c>
    </row>
    <row r="765" ht="16.5" customHeight="1" s="17">
      <c r="B765" s="16">
        <f>B764+1</f>
        <v/>
      </c>
      <c r="C765" s="20">
        <f>TEXT(B765,"aaa")</f>
        <v/>
      </c>
      <c r="D765" s="20" t="inlineStr">
        <is>
          <t>네이버 브랜드검색</t>
        </is>
      </c>
      <c r="K765" s="26">
        <f>600000/30</f>
        <v/>
      </c>
    </row>
    <row r="766" ht="16.5" customHeight="1" s="17">
      <c r="B766" s="16">
        <f>B765+1</f>
        <v/>
      </c>
      <c r="C766" s="20">
        <f>TEXT(B766,"aaa")</f>
        <v/>
      </c>
      <c r="D766" s="20" t="inlineStr">
        <is>
          <t>네이버 브랜드검색</t>
        </is>
      </c>
      <c r="K766" s="26">
        <f>600000/30</f>
        <v/>
      </c>
    </row>
    <row r="767" ht="16.5" customHeight="1" s="17">
      <c r="B767" s="16">
        <f>B766+1</f>
        <v/>
      </c>
      <c r="C767" s="20">
        <f>TEXT(B767,"aaa")</f>
        <v/>
      </c>
      <c r="D767" s="20" t="inlineStr">
        <is>
          <t>네이버 브랜드검색</t>
        </is>
      </c>
      <c r="K767" s="26">
        <f>600000/30</f>
        <v/>
      </c>
    </row>
    <row r="768" ht="16.5" customHeight="1" s="17">
      <c r="B768" s="16">
        <f>B767+1</f>
        <v/>
      </c>
      <c r="C768" s="20">
        <f>TEXT(B768,"aaa")</f>
        <v/>
      </c>
      <c r="D768" s="20" t="inlineStr">
        <is>
          <t>네이버 브랜드검색</t>
        </is>
      </c>
      <c r="K768" s="26">
        <f>600000/30</f>
        <v/>
      </c>
    </row>
    <row r="769" ht="16.5" customHeight="1" s="17">
      <c r="B769" s="16">
        <f>B768+1</f>
        <v/>
      </c>
      <c r="C769" s="20">
        <f>TEXT(B769,"aaa")</f>
        <v/>
      </c>
      <c r="D769" s="20" t="inlineStr">
        <is>
          <t>네이버 브랜드검색</t>
        </is>
      </c>
      <c r="K769" s="26">
        <f>600000/30</f>
        <v/>
      </c>
    </row>
    <row r="770" ht="16.5" customHeight="1" s="17">
      <c r="B770" s="16">
        <f>B769+1</f>
        <v/>
      </c>
      <c r="C770" s="20">
        <f>TEXT(B770,"aaa")</f>
        <v/>
      </c>
      <c r="D770" s="20" t="inlineStr">
        <is>
          <t>네이버 브랜드검색</t>
        </is>
      </c>
      <c r="K770" s="26">
        <f>600000/30</f>
        <v/>
      </c>
    </row>
    <row r="771" ht="16.5" customHeight="1" s="17">
      <c r="B771" s="16">
        <f>B770+1</f>
        <v/>
      </c>
      <c r="C771" s="20">
        <f>TEXT(B771,"aaa")</f>
        <v/>
      </c>
      <c r="D771" s="20" t="inlineStr">
        <is>
          <t>네이버 브랜드검색</t>
        </is>
      </c>
      <c r="K771" s="26">
        <f>600000/30</f>
        <v/>
      </c>
    </row>
    <row r="772" ht="16.5" customHeight="1" s="17">
      <c r="B772" s="16">
        <f>B771+1</f>
        <v/>
      </c>
      <c r="C772" s="20">
        <f>TEXT(B772,"aaa")</f>
        <v/>
      </c>
      <c r="D772" s="20" t="inlineStr">
        <is>
          <t>네이버 브랜드검색</t>
        </is>
      </c>
      <c r="K772" s="26">
        <f>600000/30</f>
        <v/>
      </c>
    </row>
    <row r="773" ht="16.5" customHeight="1" s="17">
      <c r="B773" s="16">
        <f>B772+1</f>
        <v/>
      </c>
      <c r="C773" s="20">
        <f>TEXT(B773,"aaa")</f>
        <v/>
      </c>
      <c r="D773" s="20" t="inlineStr">
        <is>
          <t>네이버 브랜드검색</t>
        </is>
      </c>
      <c r="K773" s="26">
        <f>600000/30</f>
        <v/>
      </c>
    </row>
    <row r="774" ht="16.5" customHeight="1" s="17">
      <c r="B774" s="16">
        <f>B773+1</f>
        <v/>
      </c>
      <c r="C774" s="20">
        <f>TEXT(B774,"aaa")</f>
        <v/>
      </c>
      <c r="D774" s="20" t="inlineStr">
        <is>
          <t>네이버 브랜드검색</t>
        </is>
      </c>
      <c r="K774" s="26">
        <f>600000/30</f>
        <v/>
      </c>
    </row>
    <row r="775" ht="16.5" customHeight="1" s="17">
      <c r="B775" s="16">
        <f>B774+1</f>
        <v/>
      </c>
      <c r="C775" s="20">
        <f>TEXT(B775,"aaa")</f>
        <v/>
      </c>
      <c r="D775" s="20" t="inlineStr">
        <is>
          <t>네이버 브랜드검색</t>
        </is>
      </c>
      <c r="K775" s="26">
        <f>600000/30</f>
        <v/>
      </c>
    </row>
    <row r="776" ht="16.5" customHeight="1" s="17">
      <c r="B776" s="16">
        <f>B775+1</f>
        <v/>
      </c>
      <c r="C776" s="20">
        <f>TEXT(B776,"aaa")</f>
        <v/>
      </c>
      <c r="D776" s="20" t="inlineStr">
        <is>
          <t>네이버 브랜드검색</t>
        </is>
      </c>
      <c r="K776" s="26">
        <f>600000/30</f>
        <v/>
      </c>
    </row>
    <row r="777" ht="16.5" customHeight="1" s="17">
      <c r="B777" s="16">
        <f>B776+1</f>
        <v/>
      </c>
      <c r="C777" s="20">
        <f>TEXT(B777,"aaa")</f>
        <v/>
      </c>
      <c r="D777" s="20" t="inlineStr">
        <is>
          <t>네이버 브랜드검색</t>
        </is>
      </c>
      <c r="K777" s="26">
        <f>600000/30</f>
        <v/>
      </c>
    </row>
    <row r="778" ht="16.5" customHeight="1" s="17">
      <c r="B778" s="16">
        <f>B777+1</f>
        <v/>
      </c>
      <c r="C778" s="20">
        <f>TEXT(B778,"aaa")</f>
        <v/>
      </c>
      <c r="D778" s="20" t="inlineStr">
        <is>
          <t>네이버 브랜드검색</t>
        </is>
      </c>
      <c r="K778" s="26">
        <f>600000/30</f>
        <v/>
      </c>
    </row>
    <row r="779" ht="16.5" customHeight="1" s="17">
      <c r="B779" s="16">
        <f>B778+1</f>
        <v/>
      </c>
      <c r="C779" s="20">
        <f>TEXT(B779,"aaa")</f>
        <v/>
      </c>
      <c r="D779" s="20" t="inlineStr">
        <is>
          <t>네이버 브랜드검색</t>
        </is>
      </c>
      <c r="K779" s="26">
        <f>600000/30</f>
        <v/>
      </c>
    </row>
    <row r="780" ht="16.5" customHeight="1" s="17">
      <c r="B780" s="16">
        <f>B779+1</f>
        <v/>
      </c>
      <c r="C780" s="20">
        <f>TEXT(B780,"aaa")</f>
        <v/>
      </c>
      <c r="D780" s="20" t="inlineStr">
        <is>
          <t>네이버 브랜드검색</t>
        </is>
      </c>
      <c r="K780" s="26">
        <f>600000/30</f>
        <v/>
      </c>
    </row>
    <row r="781" ht="16.5" customHeight="1" s="17">
      <c r="B781" s="16">
        <f>B780+1</f>
        <v/>
      </c>
      <c r="C781" s="20">
        <f>TEXT(B781,"aaa")</f>
        <v/>
      </c>
      <c r="D781" s="20" t="inlineStr">
        <is>
          <t>네이버 브랜드검색</t>
        </is>
      </c>
      <c r="K781" s="26">
        <f>600000/30</f>
        <v/>
      </c>
    </row>
    <row r="782" ht="16.5" customHeight="1" s="17">
      <c r="B782" s="16">
        <f>B781+1</f>
        <v/>
      </c>
      <c r="C782" s="20">
        <f>TEXT(B782,"aaa")</f>
        <v/>
      </c>
      <c r="D782" s="20" t="inlineStr">
        <is>
          <t>네이버 브랜드검색</t>
        </is>
      </c>
      <c r="K782" s="26">
        <f>600000/30</f>
        <v/>
      </c>
    </row>
    <row r="783" ht="16.5" customHeight="1" s="17">
      <c r="B783" s="16">
        <f>B782+1</f>
        <v/>
      </c>
      <c r="C783" s="20">
        <f>TEXT(B783,"aaa")</f>
        <v/>
      </c>
      <c r="D783" s="20" t="inlineStr">
        <is>
          <t>네이버 브랜드검색</t>
        </is>
      </c>
      <c r="K783" s="26">
        <f>600000/30</f>
        <v/>
      </c>
    </row>
    <row r="784" ht="16.5" customHeight="1" s="17">
      <c r="B784" s="16">
        <f>B783+1</f>
        <v/>
      </c>
      <c r="C784" s="20">
        <f>TEXT(B784,"aaa")</f>
        <v/>
      </c>
      <c r="D784" s="20" t="inlineStr">
        <is>
          <t>네이버 브랜드검색</t>
        </is>
      </c>
      <c r="K784" s="26">
        <f>600000/30</f>
        <v/>
      </c>
    </row>
    <row r="785" ht="16.5" customHeight="1" s="17">
      <c r="B785" s="16">
        <f>B784+1</f>
        <v/>
      </c>
      <c r="C785" s="20">
        <f>TEXT(B785,"aaa")</f>
        <v/>
      </c>
      <c r="D785" s="20" t="inlineStr">
        <is>
          <t>네이버 브랜드검색</t>
        </is>
      </c>
      <c r="K785" s="26">
        <f>600000/30</f>
        <v/>
      </c>
    </row>
    <row r="786" ht="16.5" customHeight="1" s="17">
      <c r="B786" s="16">
        <f>B785+1</f>
        <v/>
      </c>
      <c r="C786" s="20">
        <f>TEXT(B786,"aaa")</f>
        <v/>
      </c>
      <c r="D786" s="20" t="inlineStr">
        <is>
          <t>네이버 브랜드검색</t>
        </is>
      </c>
      <c r="K786" s="26">
        <f>600000/30</f>
        <v/>
      </c>
    </row>
    <row r="787" ht="16.5" customHeight="1" s="17">
      <c r="B787" s="16">
        <f>B786+1</f>
        <v/>
      </c>
      <c r="C787" s="20">
        <f>TEXT(B787,"aaa")</f>
        <v/>
      </c>
      <c r="D787" s="20" t="inlineStr">
        <is>
          <t>네이버 브랜드검색</t>
        </is>
      </c>
      <c r="K787" s="26">
        <f>600000/30</f>
        <v/>
      </c>
    </row>
    <row r="788" ht="16.5" customHeight="1" s="17">
      <c r="B788" s="16">
        <f>B787+1</f>
        <v/>
      </c>
      <c r="C788" s="20">
        <f>TEXT(B788,"aaa")</f>
        <v/>
      </c>
      <c r="D788" s="20" t="inlineStr">
        <is>
          <t>네이버 브랜드검색</t>
        </is>
      </c>
      <c r="K788" s="26">
        <f>600000/30</f>
        <v/>
      </c>
    </row>
    <row r="789" ht="16.5" customHeight="1" s="17">
      <c r="B789" s="16">
        <f>B788+1</f>
        <v/>
      </c>
      <c r="C789" s="20">
        <f>TEXT(B789,"aaa")</f>
        <v/>
      </c>
      <c r="D789" s="20" t="inlineStr">
        <is>
          <t>네이버 브랜드검색</t>
        </is>
      </c>
      <c r="K789" s="26">
        <f>600000/30</f>
        <v/>
      </c>
    </row>
    <row r="790" ht="16.5" customHeight="1" s="17">
      <c r="B790" s="16">
        <f>B789+1</f>
        <v/>
      </c>
      <c r="C790" s="20">
        <f>TEXT(B790,"aaa")</f>
        <v/>
      </c>
      <c r="D790" s="20" t="inlineStr">
        <is>
          <t>네이버 브랜드검색</t>
        </is>
      </c>
      <c r="K790" s="26">
        <f>600000/30</f>
        <v/>
      </c>
    </row>
    <row r="791" ht="16.5" customHeight="1" s="17">
      <c r="B791" s="16">
        <f>B790+1</f>
        <v/>
      </c>
      <c r="C791" s="20">
        <f>TEXT(B791,"aaa")</f>
        <v/>
      </c>
      <c r="D791" s="20" t="inlineStr">
        <is>
          <t>네이버 브랜드검색</t>
        </is>
      </c>
      <c r="K791" s="26">
        <f>600000/30</f>
        <v/>
      </c>
    </row>
    <row r="792" ht="16.5" customHeight="1" s="17">
      <c r="B792" s="16">
        <f>B791+1</f>
        <v/>
      </c>
      <c r="C792" s="20">
        <f>TEXT(B792,"aaa")</f>
        <v/>
      </c>
      <c r="D792" s="20" t="inlineStr">
        <is>
          <t>네이버 브랜드검색</t>
        </is>
      </c>
      <c r="K792" s="26">
        <f>600000/30</f>
        <v/>
      </c>
    </row>
    <row r="793" ht="16.5" customHeight="1" s="17">
      <c r="B793" s="16">
        <f>B792+1</f>
        <v/>
      </c>
      <c r="C793" s="20">
        <f>TEXT(B793,"aaa")</f>
        <v/>
      </c>
      <c r="D793" s="20" t="inlineStr">
        <is>
          <t>네이버 브랜드검색</t>
        </is>
      </c>
      <c r="K793" s="26">
        <f>600000/30</f>
        <v/>
      </c>
    </row>
    <row r="794" ht="16.5" customHeight="1" s="17">
      <c r="B794" s="16">
        <f>B793+1</f>
        <v/>
      </c>
      <c r="C794" s="20">
        <f>TEXT(B794,"aaa")</f>
        <v/>
      </c>
      <c r="D794" s="20" t="inlineStr">
        <is>
          <t>네이버 브랜드검색</t>
        </is>
      </c>
      <c r="K794" s="26">
        <f>600000/30</f>
        <v/>
      </c>
    </row>
    <row r="795" ht="16.5" customHeight="1" s="17">
      <c r="B795" s="16">
        <f>B794+1</f>
        <v/>
      </c>
      <c r="C795" s="20">
        <f>TEXT(B795,"aaa")</f>
        <v/>
      </c>
      <c r="D795" s="20" t="inlineStr">
        <is>
          <t>네이버 브랜드검색</t>
        </is>
      </c>
      <c r="K795" s="26">
        <f>600000/30</f>
        <v/>
      </c>
    </row>
    <row r="796" ht="16.5" customHeight="1" s="17">
      <c r="B796" s="16">
        <f>B795+1</f>
        <v/>
      </c>
      <c r="C796" s="20">
        <f>TEXT(B796,"aaa")</f>
        <v/>
      </c>
      <c r="D796" s="20" t="inlineStr">
        <is>
          <t>네이버 브랜드검색</t>
        </is>
      </c>
      <c r="K796" s="26">
        <f>600000/30</f>
        <v/>
      </c>
    </row>
    <row r="797" ht="16.5" customHeight="1" s="17">
      <c r="B797" s="16">
        <f>B796+1</f>
        <v/>
      </c>
      <c r="C797" s="20">
        <f>TEXT(B797,"aaa")</f>
        <v/>
      </c>
      <c r="D797" s="20" t="inlineStr">
        <is>
          <t>네이버 브랜드검색</t>
        </is>
      </c>
      <c r="K797" s="26">
        <f>600000/30</f>
        <v/>
      </c>
    </row>
    <row r="798" ht="16.5" customHeight="1" s="17">
      <c r="B798" s="16">
        <f>B797+1</f>
        <v/>
      </c>
      <c r="C798" s="20">
        <f>TEXT(B798,"aaa")</f>
        <v/>
      </c>
      <c r="D798" s="20" t="inlineStr">
        <is>
          <t>네이버 브랜드검색</t>
        </is>
      </c>
      <c r="K798" s="26">
        <f>600000/30</f>
        <v/>
      </c>
    </row>
    <row r="799" ht="16.5" customHeight="1" s="17">
      <c r="B799" s="16">
        <f>B798+1</f>
        <v/>
      </c>
      <c r="C799" s="20">
        <f>TEXT(B799,"aaa")</f>
        <v/>
      </c>
      <c r="D799" s="20" t="inlineStr">
        <is>
          <t>네이버 브랜드검색</t>
        </is>
      </c>
      <c r="K799" s="26">
        <f>600000/30</f>
        <v/>
      </c>
    </row>
    <row r="800" ht="16.5" customHeight="1" s="17">
      <c r="B800" s="16">
        <f>B799+1</f>
        <v/>
      </c>
      <c r="C800" s="20">
        <f>TEXT(B800,"aaa")</f>
        <v/>
      </c>
      <c r="D800" s="20" t="inlineStr">
        <is>
          <t>네이버 브랜드검색</t>
        </is>
      </c>
      <c r="K800" s="26">
        <f>600000/30</f>
        <v/>
      </c>
    </row>
    <row r="801" ht="16.5" customHeight="1" s="17">
      <c r="B801" s="16">
        <f>B800+1</f>
        <v/>
      </c>
      <c r="C801" s="20">
        <f>TEXT(B801,"aaa")</f>
        <v/>
      </c>
      <c r="D801" s="20" t="inlineStr">
        <is>
          <t>네이버 브랜드검색</t>
        </is>
      </c>
      <c r="K801" s="26">
        <f>600000/30</f>
        <v/>
      </c>
    </row>
    <row r="802" ht="16.5" customHeight="1" s="17">
      <c r="B802" s="16">
        <f>B801+1</f>
        <v/>
      </c>
      <c r="C802" s="20">
        <f>TEXT(B802,"aaa")</f>
        <v/>
      </c>
      <c r="D802" s="20" t="inlineStr">
        <is>
          <t>네이버 브랜드검색</t>
        </is>
      </c>
      <c r="K802" s="26">
        <f>600000/30</f>
        <v/>
      </c>
    </row>
    <row r="803" ht="16.5" customHeight="1" s="17">
      <c r="B803" s="16">
        <f>B802+1</f>
        <v/>
      </c>
      <c r="C803" s="20">
        <f>TEXT(B803,"aaa")</f>
        <v/>
      </c>
      <c r="D803" s="20" t="inlineStr">
        <is>
          <t>네이버 브랜드검색</t>
        </is>
      </c>
      <c r="K803" s="26">
        <f>600000/30</f>
        <v/>
      </c>
    </row>
    <row r="804" ht="16.5" customHeight="1" s="17">
      <c r="B804" s="16">
        <f>B803+1</f>
        <v/>
      </c>
      <c r="C804" s="20">
        <f>TEXT(B804,"aaa")</f>
        <v/>
      </c>
      <c r="D804" s="20" t="inlineStr">
        <is>
          <t>네이버 브랜드검색</t>
        </is>
      </c>
      <c r="K804" s="26">
        <f>600000/30</f>
        <v/>
      </c>
    </row>
    <row r="805" ht="16.5" customHeight="1" s="17">
      <c r="B805" s="16">
        <f>B804+1</f>
        <v/>
      </c>
      <c r="C805" s="20">
        <f>TEXT(B805,"aaa")</f>
        <v/>
      </c>
      <c r="D805" s="20" t="inlineStr">
        <is>
          <t>네이버 브랜드검색</t>
        </is>
      </c>
      <c r="K805" s="26">
        <f>600000/30</f>
        <v/>
      </c>
    </row>
    <row r="806" ht="16.5" customHeight="1" s="17">
      <c r="B806" s="16">
        <f>B805+1</f>
        <v/>
      </c>
      <c r="C806" s="20">
        <f>TEXT(B806,"aaa")</f>
        <v/>
      </c>
      <c r="D806" s="20" t="inlineStr">
        <is>
          <t>네이버 브랜드검색</t>
        </is>
      </c>
      <c r="K806" s="26">
        <f>600000/30</f>
        <v/>
      </c>
    </row>
    <row r="807" ht="16.5" customHeight="1" s="17">
      <c r="B807" s="16">
        <f>B806+1</f>
        <v/>
      </c>
      <c r="C807" s="20">
        <f>TEXT(B807,"aaa")</f>
        <v/>
      </c>
      <c r="D807" s="20" t="inlineStr">
        <is>
          <t>네이버 브랜드검색</t>
        </is>
      </c>
      <c r="K807" s="26">
        <f>600000/30</f>
        <v/>
      </c>
    </row>
    <row r="808" ht="16.5" customHeight="1" s="17">
      <c r="B808" s="16">
        <f>B807+1</f>
        <v/>
      </c>
      <c r="C808" s="20">
        <f>TEXT(B808,"aaa")</f>
        <v/>
      </c>
      <c r="D808" s="20" t="inlineStr">
        <is>
          <t>네이버 브랜드검색</t>
        </is>
      </c>
      <c r="K808" s="26">
        <f>600000/30</f>
        <v/>
      </c>
    </row>
    <row r="809" ht="16.5" customHeight="1" s="17">
      <c r="B809" s="16">
        <f>B808+1</f>
        <v/>
      </c>
      <c r="C809" s="20">
        <f>TEXT(B809,"aaa")</f>
        <v/>
      </c>
      <c r="D809" s="20" t="inlineStr">
        <is>
          <t>네이버 브랜드검색</t>
        </is>
      </c>
      <c r="K809" s="26">
        <f>600000/30</f>
        <v/>
      </c>
    </row>
    <row r="810" ht="16.5" customHeight="1" s="17">
      <c r="B810" s="16">
        <f>B809+1</f>
        <v/>
      </c>
      <c r="C810" s="20">
        <f>TEXT(B810,"aaa")</f>
        <v/>
      </c>
      <c r="D810" s="20" t="inlineStr">
        <is>
          <t>네이버 브랜드검색</t>
        </is>
      </c>
      <c r="K810" s="26">
        <f>600000/30</f>
        <v/>
      </c>
    </row>
    <row r="811" ht="16.5" customHeight="1" s="17">
      <c r="B811" s="16">
        <f>B810+1</f>
        <v/>
      </c>
      <c r="C811" s="20">
        <f>TEXT(B811,"aaa")</f>
        <v/>
      </c>
      <c r="D811" s="20" t="inlineStr">
        <is>
          <t>네이버 브랜드검색</t>
        </is>
      </c>
      <c r="K811" s="26">
        <f>600000/30</f>
        <v/>
      </c>
    </row>
    <row r="812" ht="16.5" customHeight="1" s="17">
      <c r="B812" s="16">
        <f>B811+1</f>
        <v/>
      </c>
      <c r="C812" s="20">
        <f>TEXT(B812,"aaa")</f>
        <v/>
      </c>
      <c r="D812" s="20" t="inlineStr">
        <is>
          <t>네이버 브랜드검색</t>
        </is>
      </c>
      <c r="K812" s="26">
        <f>600000/30</f>
        <v/>
      </c>
    </row>
    <row r="813" ht="16.5" customHeight="1" s="17">
      <c r="B813" s="16">
        <f>B812+1</f>
        <v/>
      </c>
      <c r="C813" s="20">
        <f>TEXT(B813,"aaa")</f>
        <v/>
      </c>
      <c r="D813" s="20" t="inlineStr">
        <is>
          <t>네이버 브랜드검색</t>
        </is>
      </c>
      <c r="K813" s="26">
        <f>600000/30</f>
        <v/>
      </c>
    </row>
    <row r="814" ht="16.5" customHeight="1" s="17">
      <c r="B814" s="16">
        <f>B813+1</f>
        <v/>
      </c>
      <c r="C814" s="20">
        <f>TEXT(B814,"aaa")</f>
        <v/>
      </c>
      <c r="D814" s="20" t="inlineStr">
        <is>
          <t>네이버 브랜드검색</t>
        </is>
      </c>
      <c r="K814" s="26">
        <f>600000/30</f>
        <v/>
      </c>
    </row>
    <row r="815" ht="16.5" customHeight="1" s="17">
      <c r="B815" s="16">
        <f>B814+1</f>
        <v/>
      </c>
      <c r="C815" s="20">
        <f>TEXT(B815,"aaa")</f>
        <v/>
      </c>
      <c r="D815" s="20" t="inlineStr">
        <is>
          <t>네이버 브랜드검색</t>
        </is>
      </c>
      <c r="K815" s="26">
        <f>600000/30</f>
        <v/>
      </c>
    </row>
    <row r="816" ht="16.5" customHeight="1" s="17">
      <c r="B816" s="16">
        <f>B815+1</f>
        <v/>
      </c>
      <c r="C816" s="20">
        <f>TEXT(B816,"aaa")</f>
        <v/>
      </c>
      <c r="D816" s="20" t="inlineStr">
        <is>
          <t>네이버 브랜드검색</t>
        </is>
      </c>
      <c r="K816" s="26">
        <f>600000/30</f>
        <v/>
      </c>
    </row>
    <row r="817" ht="16.5" customHeight="1" s="17">
      <c r="B817" s="16">
        <f>B816+1</f>
        <v/>
      </c>
      <c r="C817" s="20">
        <f>TEXT(B817,"aaa")</f>
        <v/>
      </c>
      <c r="D817" s="20" t="inlineStr">
        <is>
          <t>네이버 브랜드검색</t>
        </is>
      </c>
      <c r="K817" s="26">
        <f>600000/30</f>
        <v/>
      </c>
    </row>
    <row r="818" ht="16.5" customHeight="1" s="17">
      <c r="B818" s="16">
        <f>B817+1</f>
        <v/>
      </c>
      <c r="C818" s="20">
        <f>TEXT(B818,"aaa")</f>
        <v/>
      </c>
      <c r="D818" s="20" t="inlineStr">
        <is>
          <t>네이버 브랜드검색</t>
        </is>
      </c>
      <c r="K818" s="26">
        <f>600000/30</f>
        <v/>
      </c>
    </row>
    <row r="819" ht="16.5" customHeight="1" s="17">
      <c r="B819" s="16">
        <f>B818+1</f>
        <v/>
      </c>
      <c r="C819" s="20">
        <f>TEXT(B819,"aaa")</f>
        <v/>
      </c>
      <c r="D819" s="20" t="inlineStr">
        <is>
          <t>네이버 브랜드검색</t>
        </is>
      </c>
      <c r="K819" s="26">
        <f>600000/30</f>
        <v/>
      </c>
    </row>
    <row r="820" ht="16.5" customHeight="1" s="17">
      <c r="B820" s="16">
        <f>B819+1</f>
        <v/>
      </c>
      <c r="C820" s="20">
        <f>TEXT(B820,"aaa")</f>
        <v/>
      </c>
      <c r="D820" s="20" t="inlineStr">
        <is>
          <t>네이버 브랜드검색</t>
        </is>
      </c>
      <c r="K820" s="26">
        <f>600000/30</f>
        <v/>
      </c>
    </row>
    <row r="821" ht="16.5" customHeight="1" s="17">
      <c r="B821" s="16">
        <f>B820+1</f>
        <v/>
      </c>
      <c r="C821" s="20">
        <f>TEXT(B821,"aaa")</f>
        <v/>
      </c>
      <c r="D821" s="20" t="inlineStr">
        <is>
          <t>네이버 브랜드검색</t>
        </is>
      </c>
      <c r="K821" s="26">
        <f>600000/30</f>
        <v/>
      </c>
    </row>
    <row r="822" ht="16.5" customHeight="1" s="17">
      <c r="B822" s="16">
        <f>B821+1</f>
        <v/>
      </c>
      <c r="C822" s="20">
        <f>TEXT(B822,"aaa")</f>
        <v/>
      </c>
      <c r="D822" s="20" t="inlineStr">
        <is>
          <t>네이버 브랜드검색</t>
        </is>
      </c>
      <c r="K822" s="26">
        <f>600000/30</f>
        <v/>
      </c>
    </row>
    <row r="823" ht="16.5" customHeight="1" s="17">
      <c r="B823" s="16">
        <f>B822+1</f>
        <v/>
      </c>
      <c r="C823" s="20">
        <f>TEXT(B823,"aaa")</f>
        <v/>
      </c>
      <c r="D823" s="20" t="inlineStr">
        <is>
          <t>네이버 브랜드검색</t>
        </is>
      </c>
      <c r="K823" s="26">
        <f>600000/30</f>
        <v/>
      </c>
    </row>
    <row r="824" ht="16.5" customHeight="1" s="17">
      <c r="B824" s="16">
        <f>B823+1</f>
        <v/>
      </c>
      <c r="C824" s="20">
        <f>TEXT(B824,"aaa")</f>
        <v/>
      </c>
      <c r="D824" s="20" t="inlineStr">
        <is>
          <t>네이버 브랜드검색</t>
        </is>
      </c>
      <c r="K824" s="26">
        <f>600000/30</f>
        <v/>
      </c>
    </row>
    <row r="825" ht="16.5" customHeight="1" s="17">
      <c r="B825" s="16">
        <f>B824+1</f>
        <v/>
      </c>
      <c r="C825" s="20">
        <f>TEXT(B825,"aaa")</f>
        <v/>
      </c>
      <c r="D825" s="20" t="inlineStr">
        <is>
          <t>네이버 브랜드검색</t>
        </is>
      </c>
      <c r="K825" s="26">
        <f>600000/30</f>
        <v/>
      </c>
    </row>
    <row r="826" ht="16.5" customHeight="1" s="17">
      <c r="B826" s="16">
        <f>B825+1</f>
        <v/>
      </c>
      <c r="C826" s="20">
        <f>TEXT(B826,"aaa")</f>
        <v/>
      </c>
      <c r="D826" s="20" t="inlineStr">
        <is>
          <t>네이버 브랜드검색</t>
        </is>
      </c>
      <c r="K826" s="26">
        <f>600000/30</f>
        <v/>
      </c>
    </row>
    <row r="827" ht="16.5" customHeight="1" s="17">
      <c r="B827" s="16">
        <f>B826+1</f>
        <v/>
      </c>
      <c r="C827" s="20">
        <f>TEXT(B827,"aaa")</f>
        <v/>
      </c>
      <c r="D827" s="20" t="inlineStr">
        <is>
          <t>네이버 브랜드검색</t>
        </is>
      </c>
      <c r="K827" s="26">
        <f>600000/30</f>
        <v/>
      </c>
    </row>
    <row r="828" ht="16.5" customHeight="1" s="17">
      <c r="B828" s="16">
        <f>B827+1</f>
        <v/>
      </c>
      <c r="C828" s="20">
        <f>TEXT(B828,"aaa")</f>
        <v/>
      </c>
      <c r="D828" s="20" t="inlineStr">
        <is>
          <t>네이버 브랜드검색</t>
        </is>
      </c>
      <c r="K828" s="26">
        <f>600000/30</f>
        <v/>
      </c>
    </row>
    <row r="829" ht="16.5" customHeight="1" s="17">
      <c r="B829" s="16">
        <f>B828+1</f>
        <v/>
      </c>
      <c r="C829" s="20">
        <f>TEXT(B829,"aaa")</f>
        <v/>
      </c>
      <c r="D829" s="20" t="inlineStr">
        <is>
          <t>네이버 브랜드검색</t>
        </is>
      </c>
      <c r="K829" s="26">
        <f>600000/30</f>
        <v/>
      </c>
    </row>
    <row r="830" ht="16.5" customHeight="1" s="17">
      <c r="B830" s="16">
        <f>B829+1</f>
        <v/>
      </c>
      <c r="C830" s="20">
        <f>TEXT(B830,"aaa")</f>
        <v/>
      </c>
      <c r="D830" s="20" t="inlineStr">
        <is>
          <t>네이버 브랜드검색</t>
        </is>
      </c>
      <c r="K830" s="26">
        <f>600000/30</f>
        <v/>
      </c>
    </row>
    <row r="831" ht="16.5" customHeight="1" s="17">
      <c r="B831" s="16">
        <f>B830+1</f>
        <v/>
      </c>
      <c r="C831" s="20">
        <f>TEXT(B831,"aaa")</f>
        <v/>
      </c>
      <c r="D831" s="20" t="inlineStr">
        <is>
          <t>네이버 브랜드검색</t>
        </is>
      </c>
      <c r="K831" s="26">
        <f>600000/30</f>
        <v/>
      </c>
    </row>
    <row r="832" ht="16.5" customHeight="1" s="17">
      <c r="B832" s="16">
        <f>B831+1</f>
        <v/>
      </c>
      <c r="C832" s="20">
        <f>TEXT(B832,"aaa")</f>
        <v/>
      </c>
      <c r="D832" s="20" t="inlineStr">
        <is>
          <t>네이버 브랜드검색</t>
        </is>
      </c>
      <c r="K832" s="26">
        <f>600000/30</f>
        <v/>
      </c>
    </row>
    <row r="833" ht="16.5" customHeight="1" s="17">
      <c r="B833" s="16">
        <f>B832+1</f>
        <v/>
      </c>
      <c r="C833" s="20">
        <f>TEXT(B833,"aaa")</f>
        <v/>
      </c>
      <c r="D833" s="20" t="inlineStr">
        <is>
          <t>네이버 브랜드검색</t>
        </is>
      </c>
      <c r="K833" s="26">
        <f>600000/30</f>
        <v/>
      </c>
    </row>
    <row r="834" ht="16.5" customHeight="1" s="17">
      <c r="B834" s="16">
        <f>B833+1</f>
        <v/>
      </c>
      <c r="C834" s="20">
        <f>TEXT(B834,"aaa")</f>
        <v/>
      </c>
      <c r="D834" s="20" t="inlineStr">
        <is>
          <t>네이버 브랜드검색</t>
        </is>
      </c>
      <c r="K834" s="26">
        <f>600000/30</f>
        <v/>
      </c>
    </row>
    <row r="835" ht="16.5" customHeight="1" s="17">
      <c r="B835" s="16">
        <f>B834+1</f>
        <v/>
      </c>
      <c r="C835" s="20">
        <f>TEXT(B835,"aaa")</f>
        <v/>
      </c>
      <c r="D835" s="20" t="inlineStr">
        <is>
          <t>네이버 브랜드검색</t>
        </is>
      </c>
      <c r="K835" s="26">
        <f>600000/30</f>
        <v/>
      </c>
    </row>
    <row r="836" ht="16.5" customHeight="1" s="17">
      <c r="B836" s="16">
        <f>B835+1</f>
        <v/>
      </c>
      <c r="C836" s="20">
        <f>TEXT(B836,"aaa")</f>
        <v/>
      </c>
      <c r="D836" s="20" t="inlineStr">
        <is>
          <t>네이버 브랜드검색</t>
        </is>
      </c>
      <c r="K836" s="26">
        <f>600000/30</f>
        <v/>
      </c>
    </row>
    <row r="837" ht="16.5" customHeight="1" s="17">
      <c r="B837" s="16">
        <f>B836+1</f>
        <v/>
      </c>
      <c r="C837" s="20">
        <f>TEXT(B837,"aaa")</f>
        <v/>
      </c>
      <c r="D837" s="20" t="inlineStr">
        <is>
          <t>네이버 브랜드검색</t>
        </is>
      </c>
      <c r="K837" s="26">
        <f>600000/30</f>
        <v/>
      </c>
    </row>
    <row r="838" ht="16.5" customHeight="1" s="17">
      <c r="B838" s="16">
        <f>B837+1</f>
        <v/>
      </c>
      <c r="C838" s="20">
        <f>TEXT(B838,"aaa")</f>
        <v/>
      </c>
      <c r="D838" s="20" t="inlineStr">
        <is>
          <t>네이버 브랜드검색</t>
        </is>
      </c>
      <c r="K838" s="26">
        <f>600000/30</f>
        <v/>
      </c>
    </row>
    <row r="839" ht="16.5" customHeight="1" s="17">
      <c r="B839" s="16">
        <f>B838+1</f>
        <v/>
      </c>
      <c r="C839" s="20">
        <f>TEXT(B839,"aaa")</f>
        <v/>
      </c>
      <c r="D839" s="20" t="inlineStr">
        <is>
          <t>네이버 브랜드검색</t>
        </is>
      </c>
      <c r="K839" s="26">
        <f>600000/30</f>
        <v/>
      </c>
    </row>
    <row r="840" ht="16.5" customHeight="1" s="17">
      <c r="B840" s="16">
        <f>B839+1</f>
        <v/>
      </c>
      <c r="C840" s="20">
        <f>TEXT(B840,"aaa")</f>
        <v/>
      </c>
      <c r="D840" s="20" t="inlineStr">
        <is>
          <t>네이버 브랜드검색</t>
        </is>
      </c>
      <c r="K840" s="26">
        <f>600000/30</f>
        <v/>
      </c>
    </row>
    <row r="841" ht="16.5" customHeight="1" s="17">
      <c r="B841" s="16">
        <f>B840+1</f>
        <v/>
      </c>
      <c r="C841" s="20">
        <f>TEXT(B841,"aaa")</f>
        <v/>
      </c>
      <c r="D841" s="20" t="inlineStr">
        <is>
          <t>네이버 브랜드검색</t>
        </is>
      </c>
      <c r="K841" s="26">
        <f>5400000/90</f>
        <v/>
      </c>
    </row>
    <row r="842" ht="16.5" customHeight="1" s="17">
      <c r="B842" s="16">
        <f>B841+1</f>
        <v/>
      </c>
      <c r="C842" s="20">
        <f>TEXT(B842,"aaa")</f>
        <v/>
      </c>
      <c r="D842" s="20" t="inlineStr">
        <is>
          <t>네이버 브랜드검색</t>
        </is>
      </c>
      <c r="K842" s="26">
        <f>5400000/90</f>
        <v/>
      </c>
    </row>
    <row r="843" ht="16.5" customHeight="1" s="17">
      <c r="B843" s="16">
        <f>B842+1</f>
        <v/>
      </c>
      <c r="C843" s="20">
        <f>TEXT(B843,"aaa")</f>
        <v/>
      </c>
      <c r="D843" s="20" t="inlineStr">
        <is>
          <t>네이버 브랜드검색</t>
        </is>
      </c>
      <c r="K843" s="26">
        <f>5400000/90</f>
        <v/>
      </c>
    </row>
    <row r="844" ht="16.5" customHeight="1" s="17">
      <c r="B844" s="16">
        <f>B843+1</f>
        <v/>
      </c>
      <c r="C844" s="20">
        <f>TEXT(B844,"aaa")</f>
        <v/>
      </c>
      <c r="D844" s="20" t="inlineStr">
        <is>
          <t>네이버 브랜드검색</t>
        </is>
      </c>
      <c r="K844" s="26">
        <f>5400000/90</f>
        <v/>
      </c>
    </row>
    <row r="845" ht="16.5" customHeight="1" s="17">
      <c r="B845" s="16">
        <f>B844+1</f>
        <v/>
      </c>
      <c r="C845" s="20">
        <f>TEXT(B845,"aaa")</f>
        <v/>
      </c>
      <c r="D845" s="20" t="inlineStr">
        <is>
          <t>네이버 브랜드검색</t>
        </is>
      </c>
      <c r="K845" s="26">
        <f>5400000/90</f>
        <v/>
      </c>
    </row>
    <row r="846" ht="16.5" customHeight="1" s="17">
      <c r="B846" s="16">
        <f>B845+1</f>
        <v/>
      </c>
      <c r="C846" s="20">
        <f>TEXT(B846,"aaa")</f>
        <v/>
      </c>
      <c r="D846" s="20" t="inlineStr">
        <is>
          <t>네이버 브랜드검색</t>
        </is>
      </c>
      <c r="K846" s="26">
        <f>5400000/90</f>
        <v/>
      </c>
    </row>
    <row r="847" ht="16.5" customHeight="1" s="17">
      <c r="B847" s="16">
        <f>B846+1</f>
        <v/>
      </c>
      <c r="C847" s="20">
        <f>TEXT(B847,"aaa")</f>
        <v/>
      </c>
      <c r="D847" s="20" t="inlineStr">
        <is>
          <t>네이버 브랜드검색</t>
        </is>
      </c>
      <c r="K847" s="26">
        <f>5400000/90</f>
        <v/>
      </c>
    </row>
    <row r="848" ht="16.5" customHeight="1" s="17">
      <c r="B848" s="16">
        <f>B847+1</f>
        <v/>
      </c>
      <c r="C848" s="20">
        <f>TEXT(B848,"aaa")</f>
        <v/>
      </c>
      <c r="D848" s="20" t="inlineStr">
        <is>
          <t>네이버 브랜드검색</t>
        </is>
      </c>
      <c r="K848" s="26">
        <f>5400000/90</f>
        <v/>
      </c>
    </row>
    <row r="849" ht="16.5" customHeight="1" s="17">
      <c r="B849" s="16">
        <f>B848+1</f>
        <v/>
      </c>
      <c r="C849" s="20">
        <f>TEXT(B849,"aaa")</f>
        <v/>
      </c>
      <c r="D849" s="20" t="inlineStr">
        <is>
          <t>네이버 브랜드검색</t>
        </is>
      </c>
      <c r="K849" s="26">
        <f>5400000/90</f>
        <v/>
      </c>
    </row>
    <row r="850" ht="16.5" customHeight="1" s="17">
      <c r="B850" s="16">
        <f>B849+1</f>
        <v/>
      </c>
      <c r="C850" s="20">
        <f>TEXT(B850,"aaa")</f>
        <v/>
      </c>
      <c r="D850" s="20" t="inlineStr">
        <is>
          <t>네이버 브랜드검색</t>
        </is>
      </c>
      <c r="K850" s="26">
        <f>5400000/90</f>
        <v/>
      </c>
    </row>
    <row r="851" ht="16.5" customHeight="1" s="17">
      <c r="B851" s="16">
        <f>B850+1</f>
        <v/>
      </c>
      <c r="C851" s="20">
        <f>TEXT(B851,"aaa")</f>
        <v/>
      </c>
      <c r="D851" s="20" t="inlineStr">
        <is>
          <t>네이버 브랜드검색</t>
        </is>
      </c>
      <c r="K851" s="26">
        <f>5400000/90</f>
        <v/>
      </c>
    </row>
    <row r="852" ht="16.5" customHeight="1" s="17">
      <c r="B852" s="16">
        <f>B851+1</f>
        <v/>
      </c>
      <c r="C852" s="20">
        <f>TEXT(B852,"aaa")</f>
        <v/>
      </c>
      <c r="D852" s="20" t="inlineStr">
        <is>
          <t>네이버 브랜드검색</t>
        </is>
      </c>
      <c r="K852" s="26">
        <f>5400000/90</f>
        <v/>
      </c>
    </row>
    <row r="853" ht="16.5" customHeight="1" s="17">
      <c r="B853" s="16">
        <f>B852+1</f>
        <v/>
      </c>
      <c r="C853" s="20">
        <f>TEXT(B853,"aaa")</f>
        <v/>
      </c>
      <c r="D853" s="20" t="inlineStr">
        <is>
          <t>네이버 브랜드검색</t>
        </is>
      </c>
      <c r="K853" s="26">
        <f>5400000/90</f>
        <v/>
      </c>
    </row>
    <row r="854" ht="16.5" customHeight="1" s="17">
      <c r="B854" s="16">
        <f>B853+1</f>
        <v/>
      </c>
      <c r="C854" s="20">
        <f>TEXT(B854,"aaa")</f>
        <v/>
      </c>
      <c r="D854" s="20" t="inlineStr">
        <is>
          <t>네이버 브랜드검색</t>
        </is>
      </c>
      <c r="K854" s="26">
        <f>5400000/90</f>
        <v/>
      </c>
    </row>
    <row r="855" ht="16.5" customHeight="1" s="17">
      <c r="B855" s="16">
        <f>B854+1</f>
        <v/>
      </c>
      <c r="C855" s="20">
        <f>TEXT(B855,"aaa")</f>
        <v/>
      </c>
      <c r="D855" s="20" t="inlineStr">
        <is>
          <t>네이버 브랜드검색</t>
        </is>
      </c>
      <c r="K855" s="26">
        <f>5400000/90</f>
        <v/>
      </c>
    </row>
    <row r="856" ht="16.5" customHeight="1" s="17">
      <c r="B856" s="16">
        <f>B855+1</f>
        <v/>
      </c>
      <c r="C856" s="20">
        <f>TEXT(B856,"aaa")</f>
        <v/>
      </c>
      <c r="D856" s="20" t="inlineStr">
        <is>
          <t>네이버 브랜드검색</t>
        </is>
      </c>
      <c r="K856" s="26">
        <f>5400000/90</f>
        <v/>
      </c>
    </row>
    <row r="857" ht="16.5" customHeight="1" s="17">
      <c r="B857" s="16">
        <f>B856+1</f>
        <v/>
      </c>
      <c r="C857" s="20">
        <f>TEXT(B857,"aaa")</f>
        <v/>
      </c>
      <c r="D857" s="20" t="inlineStr">
        <is>
          <t>네이버 브랜드검색</t>
        </is>
      </c>
      <c r="K857" s="26">
        <f>5400000/90</f>
        <v/>
      </c>
    </row>
    <row r="858" ht="16.5" customHeight="1" s="17">
      <c r="B858" s="16">
        <f>B857+1</f>
        <v/>
      </c>
      <c r="C858" s="20">
        <f>TEXT(B858,"aaa")</f>
        <v/>
      </c>
      <c r="D858" s="20" t="inlineStr">
        <is>
          <t>네이버 브랜드검색</t>
        </is>
      </c>
      <c r="K858" s="26">
        <f>5400000/90</f>
        <v/>
      </c>
    </row>
    <row r="859" ht="16.5" customHeight="1" s="17">
      <c r="B859" s="16">
        <f>B858+1</f>
        <v/>
      </c>
      <c r="C859" s="20">
        <f>TEXT(B859,"aaa")</f>
        <v/>
      </c>
      <c r="D859" s="20" t="inlineStr">
        <is>
          <t>네이버 브랜드검색</t>
        </is>
      </c>
      <c r="K859" s="26">
        <f>5400000/90</f>
        <v/>
      </c>
    </row>
    <row r="860" ht="16.5" customHeight="1" s="17">
      <c r="B860" s="16">
        <f>B859+1</f>
        <v/>
      </c>
      <c r="C860" s="20">
        <f>TEXT(B860,"aaa")</f>
        <v/>
      </c>
      <c r="D860" s="20" t="inlineStr">
        <is>
          <t>네이버 브랜드검색</t>
        </is>
      </c>
      <c r="K860" s="26">
        <f>5400000/90</f>
        <v/>
      </c>
    </row>
    <row r="861" ht="16.5" customHeight="1" s="17">
      <c r="B861" s="16">
        <f>B860+1</f>
        <v/>
      </c>
      <c r="C861" s="20">
        <f>TEXT(B861,"aaa")</f>
        <v/>
      </c>
      <c r="D861" s="20" t="inlineStr">
        <is>
          <t>네이버 브랜드검색</t>
        </is>
      </c>
      <c r="K861" s="26">
        <f>5400000/90</f>
        <v/>
      </c>
    </row>
    <row r="862" ht="16.5" customHeight="1" s="17">
      <c r="B862" s="16">
        <f>B861+1</f>
        <v/>
      </c>
      <c r="C862" s="20">
        <f>TEXT(B862,"aaa")</f>
        <v/>
      </c>
      <c r="D862" s="20" t="inlineStr">
        <is>
          <t>네이버 브랜드검색</t>
        </is>
      </c>
      <c r="K862" s="26">
        <f>5400000/90</f>
        <v/>
      </c>
    </row>
    <row r="863" ht="16.5" customHeight="1" s="17">
      <c r="B863" s="16">
        <f>B862+1</f>
        <v/>
      </c>
      <c r="C863" s="20">
        <f>TEXT(B863,"aaa")</f>
        <v/>
      </c>
      <c r="D863" s="20" t="inlineStr">
        <is>
          <t>네이버 브랜드검색</t>
        </is>
      </c>
      <c r="K863" s="26">
        <f>5400000/90</f>
        <v/>
      </c>
    </row>
    <row r="864" ht="16.5" customHeight="1" s="17">
      <c r="B864" s="16">
        <f>B863+1</f>
        <v/>
      </c>
      <c r="C864" s="20">
        <f>TEXT(B864,"aaa")</f>
        <v/>
      </c>
      <c r="D864" s="20" t="inlineStr">
        <is>
          <t>네이버 브랜드검색</t>
        </is>
      </c>
      <c r="K864" s="26">
        <f>5400000/90</f>
        <v/>
      </c>
    </row>
    <row r="865" ht="16.5" customHeight="1" s="17">
      <c r="B865" s="16">
        <f>B864+1</f>
        <v/>
      </c>
      <c r="C865" s="20">
        <f>TEXT(B865,"aaa")</f>
        <v/>
      </c>
      <c r="D865" s="20" t="inlineStr">
        <is>
          <t>네이버 브랜드검색</t>
        </is>
      </c>
      <c r="K865" s="26">
        <f>5400000/90</f>
        <v/>
      </c>
    </row>
    <row r="866" ht="16.5" customHeight="1" s="17">
      <c r="B866" s="16">
        <f>B865+1</f>
        <v/>
      </c>
      <c r="C866" s="20">
        <f>TEXT(B866,"aaa")</f>
        <v/>
      </c>
      <c r="D866" s="20" t="inlineStr">
        <is>
          <t>네이버 브랜드검색</t>
        </is>
      </c>
      <c r="K866" s="26">
        <f>5400000/90</f>
        <v/>
      </c>
    </row>
    <row r="867" ht="16.5" customHeight="1" s="17">
      <c r="B867" s="16">
        <f>B866+1</f>
        <v/>
      </c>
      <c r="C867" s="20">
        <f>TEXT(B867,"aaa")</f>
        <v/>
      </c>
      <c r="D867" s="20" t="inlineStr">
        <is>
          <t>네이버 브랜드검색</t>
        </is>
      </c>
      <c r="K867" s="26">
        <f>5400000/90</f>
        <v/>
      </c>
    </row>
    <row r="868" ht="16.5" customHeight="1" s="17">
      <c r="B868" s="16">
        <f>B867+1</f>
        <v/>
      </c>
      <c r="C868" s="20">
        <f>TEXT(B868,"aaa")</f>
        <v/>
      </c>
      <c r="D868" s="20" t="inlineStr">
        <is>
          <t>네이버 브랜드검색</t>
        </is>
      </c>
      <c r="K868" s="26">
        <f>5400000/90</f>
        <v/>
      </c>
    </row>
    <row r="869" ht="16.5" customHeight="1" s="17">
      <c r="B869" s="16">
        <f>B868+1</f>
        <v/>
      </c>
      <c r="C869" s="20">
        <f>TEXT(B869,"aaa")</f>
        <v/>
      </c>
      <c r="D869" s="20" t="inlineStr">
        <is>
          <t>네이버 브랜드검색</t>
        </is>
      </c>
      <c r="K869" s="26">
        <f>5400000/90</f>
        <v/>
      </c>
    </row>
    <row r="870" ht="16.5" customHeight="1" s="17">
      <c r="B870" s="16">
        <f>B869+1</f>
        <v/>
      </c>
      <c r="C870" s="20">
        <f>TEXT(B870,"aaa")</f>
        <v/>
      </c>
      <c r="D870" s="20" t="inlineStr">
        <is>
          <t>네이버 브랜드검색</t>
        </is>
      </c>
      <c r="K870" s="26">
        <f>5400000/90</f>
        <v/>
      </c>
    </row>
    <row r="871" ht="16.5" customHeight="1" s="17">
      <c r="B871" s="16">
        <f>B870+1</f>
        <v/>
      </c>
      <c r="C871" s="20">
        <f>TEXT(B871,"aaa")</f>
        <v/>
      </c>
      <c r="D871" s="20" t="inlineStr">
        <is>
          <t>네이버 브랜드검색</t>
        </is>
      </c>
      <c r="K871" s="26">
        <f>5400000/90</f>
        <v/>
      </c>
    </row>
    <row r="872" ht="16.5" customHeight="1" s="17">
      <c r="B872" s="16">
        <f>B871+1</f>
        <v/>
      </c>
      <c r="C872" s="20">
        <f>TEXT(B872,"aaa")</f>
        <v/>
      </c>
      <c r="D872" s="20" t="inlineStr">
        <is>
          <t>네이버 브랜드검색</t>
        </is>
      </c>
      <c r="K872" s="26">
        <f>5400000/90</f>
        <v/>
      </c>
    </row>
    <row r="873" ht="16.5" customHeight="1" s="17">
      <c r="B873" s="16">
        <f>B872+1</f>
        <v/>
      </c>
      <c r="C873" s="20">
        <f>TEXT(B873,"aaa")</f>
        <v/>
      </c>
      <c r="D873" s="20" t="inlineStr">
        <is>
          <t>네이버 브랜드검색</t>
        </is>
      </c>
      <c r="K873" s="26">
        <f>5400000/90</f>
        <v/>
      </c>
    </row>
    <row r="874" ht="16.5" customHeight="1" s="17">
      <c r="B874" s="16">
        <f>B873+1</f>
        <v/>
      </c>
      <c r="C874" s="20">
        <f>TEXT(B874,"aaa")</f>
        <v/>
      </c>
      <c r="D874" s="20" t="inlineStr">
        <is>
          <t>네이버 브랜드검색</t>
        </is>
      </c>
      <c r="K874" s="26">
        <f>5400000/90</f>
        <v/>
      </c>
    </row>
    <row r="875" ht="16.5" customHeight="1" s="17">
      <c r="B875" s="16">
        <f>B874+1</f>
        <v/>
      </c>
      <c r="C875" s="20">
        <f>TEXT(B875,"aaa")</f>
        <v/>
      </c>
      <c r="D875" s="20" t="inlineStr">
        <is>
          <t>네이버 브랜드검색</t>
        </is>
      </c>
      <c r="K875" s="26">
        <f>5400000/90</f>
        <v/>
      </c>
    </row>
    <row r="876" ht="16.5" customHeight="1" s="17">
      <c r="B876" s="16">
        <f>B875+1</f>
        <v/>
      </c>
      <c r="C876" s="20">
        <f>TEXT(B876,"aaa")</f>
        <v/>
      </c>
      <c r="D876" s="20" t="inlineStr">
        <is>
          <t>네이버 브랜드검색</t>
        </is>
      </c>
      <c r="K876" s="26">
        <f>5400000/90</f>
        <v/>
      </c>
    </row>
    <row r="877" ht="16.5" customHeight="1" s="17">
      <c r="B877" s="16">
        <f>B876+1</f>
        <v/>
      </c>
      <c r="C877" s="20">
        <f>TEXT(B877,"aaa")</f>
        <v/>
      </c>
      <c r="D877" s="20" t="inlineStr">
        <is>
          <t>네이버 브랜드검색</t>
        </is>
      </c>
      <c r="K877" s="26">
        <f>5400000/90</f>
        <v/>
      </c>
    </row>
    <row r="878" ht="16.5" customHeight="1" s="17">
      <c r="B878" s="16">
        <f>B877+1</f>
        <v/>
      </c>
      <c r="C878" s="20">
        <f>TEXT(B878,"aaa")</f>
        <v/>
      </c>
      <c r="D878" s="20" t="inlineStr">
        <is>
          <t>네이버 브랜드검색</t>
        </is>
      </c>
      <c r="K878" s="26">
        <f>5400000/90</f>
        <v/>
      </c>
    </row>
    <row r="879" ht="16.5" customHeight="1" s="17">
      <c r="B879" s="16">
        <f>B878+1</f>
        <v/>
      </c>
      <c r="C879" s="20">
        <f>TEXT(B879,"aaa")</f>
        <v/>
      </c>
      <c r="D879" s="20" t="inlineStr">
        <is>
          <t>네이버 브랜드검색</t>
        </is>
      </c>
      <c r="K879" s="26">
        <f>5400000/90</f>
        <v/>
      </c>
    </row>
    <row r="880" ht="16.5" customHeight="1" s="17">
      <c r="B880" s="16">
        <f>B879+1</f>
        <v/>
      </c>
      <c r="C880" s="20">
        <f>TEXT(B880,"aaa")</f>
        <v/>
      </c>
      <c r="D880" s="20" t="inlineStr">
        <is>
          <t>네이버 브랜드검색</t>
        </is>
      </c>
      <c r="K880" s="26">
        <f>5400000/90</f>
        <v/>
      </c>
    </row>
    <row r="881" ht="16.5" customHeight="1" s="17">
      <c r="B881" s="16">
        <f>B880+1</f>
        <v/>
      </c>
      <c r="C881" s="20">
        <f>TEXT(B881,"aaa")</f>
        <v/>
      </c>
      <c r="D881" s="20" t="inlineStr">
        <is>
          <t>네이버 브랜드검색</t>
        </is>
      </c>
      <c r="K881" s="26">
        <f>5400000/90</f>
        <v/>
      </c>
    </row>
    <row r="882" ht="16.5" customHeight="1" s="17">
      <c r="B882" s="16">
        <f>B881+1</f>
        <v/>
      </c>
      <c r="C882" s="20">
        <f>TEXT(B882,"aaa")</f>
        <v/>
      </c>
      <c r="D882" s="20" t="inlineStr">
        <is>
          <t>네이버 브랜드검색</t>
        </is>
      </c>
      <c r="K882" s="26">
        <f>5400000/90</f>
        <v/>
      </c>
    </row>
    <row r="883" ht="16.5" customHeight="1" s="17">
      <c r="B883" s="16">
        <f>B882+1</f>
        <v/>
      </c>
      <c r="C883" s="20">
        <f>TEXT(B883,"aaa")</f>
        <v/>
      </c>
      <c r="D883" s="20" t="inlineStr">
        <is>
          <t>네이버 브랜드검색</t>
        </is>
      </c>
      <c r="K883" s="26">
        <f>5400000/90</f>
        <v/>
      </c>
    </row>
    <row r="884" ht="16.5" customHeight="1" s="17">
      <c r="B884" s="16">
        <f>B883+1</f>
        <v/>
      </c>
      <c r="C884" s="20">
        <f>TEXT(B884,"aaa")</f>
        <v/>
      </c>
      <c r="D884" s="20" t="inlineStr">
        <is>
          <t>네이버 브랜드검색</t>
        </is>
      </c>
      <c r="K884" s="26">
        <f>5400000/90</f>
        <v/>
      </c>
    </row>
    <row r="885" ht="16.5" customHeight="1" s="17">
      <c r="B885" s="16">
        <f>B884+1</f>
        <v/>
      </c>
      <c r="C885" s="20">
        <f>TEXT(B885,"aaa")</f>
        <v/>
      </c>
      <c r="D885" s="20" t="inlineStr">
        <is>
          <t>네이버 브랜드검색</t>
        </is>
      </c>
      <c r="K885" s="26">
        <f>5400000/90</f>
        <v/>
      </c>
    </row>
    <row r="886" ht="16.5" customHeight="1" s="17">
      <c r="B886" s="16">
        <f>B885+1</f>
        <v/>
      </c>
      <c r="C886" s="20">
        <f>TEXT(B886,"aaa")</f>
        <v/>
      </c>
      <c r="D886" s="20" t="inlineStr">
        <is>
          <t>네이버 브랜드검색</t>
        </is>
      </c>
      <c r="K886" s="26">
        <f>5400000/90</f>
        <v/>
      </c>
    </row>
    <row r="887" ht="16.5" customHeight="1" s="17">
      <c r="B887" s="16">
        <f>B886+1</f>
        <v/>
      </c>
      <c r="C887" s="20">
        <f>TEXT(B887,"aaa")</f>
        <v/>
      </c>
      <c r="D887" s="20" t="inlineStr">
        <is>
          <t>네이버 브랜드검색</t>
        </is>
      </c>
      <c r="K887" s="26">
        <f>5400000/90</f>
        <v/>
      </c>
    </row>
    <row r="888" ht="16.5" customHeight="1" s="17">
      <c r="B888" s="16">
        <f>B887+1</f>
        <v/>
      </c>
      <c r="C888" s="20">
        <f>TEXT(B888,"aaa")</f>
        <v/>
      </c>
      <c r="D888" s="20" t="inlineStr">
        <is>
          <t>네이버 브랜드검색</t>
        </is>
      </c>
      <c r="K888" s="26">
        <f>5400000/90</f>
        <v/>
      </c>
    </row>
    <row r="889" ht="16.5" customHeight="1" s="17">
      <c r="B889" s="16">
        <f>B888+1</f>
        <v/>
      </c>
      <c r="C889" s="20">
        <f>TEXT(B889,"aaa")</f>
        <v/>
      </c>
      <c r="D889" s="20" t="inlineStr">
        <is>
          <t>네이버 브랜드검색</t>
        </is>
      </c>
      <c r="K889" s="26">
        <f>5400000/90</f>
        <v/>
      </c>
    </row>
    <row r="890" ht="16.5" customHeight="1" s="17">
      <c r="B890" s="16">
        <f>B889+1</f>
        <v/>
      </c>
      <c r="C890" s="20">
        <f>TEXT(B890,"aaa")</f>
        <v/>
      </c>
      <c r="D890" s="20" t="inlineStr">
        <is>
          <t>네이버 브랜드검색</t>
        </is>
      </c>
      <c r="K890" s="26">
        <f>5400000/90</f>
        <v/>
      </c>
    </row>
    <row r="891" ht="16.5" customHeight="1" s="17">
      <c r="B891" s="16">
        <f>B890+1</f>
        <v/>
      </c>
      <c r="C891" s="20">
        <f>TEXT(B891,"aaa")</f>
        <v/>
      </c>
      <c r="D891" s="20" t="inlineStr">
        <is>
          <t>네이버 브랜드검색</t>
        </is>
      </c>
      <c r="K891" s="26">
        <f>5400000/90</f>
        <v/>
      </c>
    </row>
    <row r="892" ht="16.5" customHeight="1" s="17">
      <c r="B892" s="16">
        <f>B891+1</f>
        <v/>
      </c>
      <c r="C892" s="20">
        <f>TEXT(B892,"aaa")</f>
        <v/>
      </c>
      <c r="D892" s="20" t="inlineStr">
        <is>
          <t>네이버 브랜드검색</t>
        </is>
      </c>
      <c r="K892" s="26">
        <f>5400000/90</f>
        <v/>
      </c>
    </row>
    <row r="893" ht="16.5" customHeight="1" s="17">
      <c r="B893" s="16">
        <f>B892+1</f>
        <v/>
      </c>
      <c r="C893" s="20">
        <f>TEXT(B893,"aaa")</f>
        <v/>
      </c>
      <c r="D893" s="20" t="inlineStr">
        <is>
          <t>네이버 브랜드검색</t>
        </is>
      </c>
      <c r="K893" s="26">
        <f>5400000/90</f>
        <v/>
      </c>
    </row>
    <row r="894" ht="16.5" customHeight="1" s="17">
      <c r="B894" s="16">
        <f>B893+1</f>
        <v/>
      </c>
      <c r="C894" s="20">
        <f>TEXT(B894,"aaa")</f>
        <v/>
      </c>
      <c r="D894" s="20" t="inlineStr">
        <is>
          <t>네이버 브랜드검색</t>
        </is>
      </c>
      <c r="K894" s="26">
        <f>5400000/90</f>
        <v/>
      </c>
    </row>
    <row r="895" ht="16.5" customHeight="1" s="17">
      <c r="B895" s="16">
        <f>B894+1</f>
        <v/>
      </c>
      <c r="C895" s="20">
        <f>TEXT(B895,"aaa")</f>
        <v/>
      </c>
      <c r="D895" s="20" t="inlineStr">
        <is>
          <t>네이버 브랜드검색</t>
        </is>
      </c>
      <c r="K895" s="26">
        <f>5400000/90</f>
        <v/>
      </c>
    </row>
    <row r="896" ht="16.5" customHeight="1" s="17">
      <c r="B896" s="16">
        <f>B895+1</f>
        <v/>
      </c>
      <c r="C896" s="20">
        <f>TEXT(B896,"aaa")</f>
        <v/>
      </c>
      <c r="D896" s="20" t="inlineStr">
        <is>
          <t>네이버 브랜드검색</t>
        </is>
      </c>
      <c r="K896" s="26">
        <f>5400000/90</f>
        <v/>
      </c>
    </row>
    <row r="897" ht="16.5" customHeight="1" s="17">
      <c r="B897" s="16">
        <f>B896+1</f>
        <v/>
      </c>
      <c r="C897" s="20">
        <f>TEXT(B897,"aaa")</f>
        <v/>
      </c>
      <c r="D897" s="20" t="inlineStr">
        <is>
          <t>네이버 브랜드검색</t>
        </is>
      </c>
      <c r="K897" s="26">
        <f>5400000/90</f>
        <v/>
      </c>
    </row>
    <row r="898" ht="16.5" customHeight="1" s="17">
      <c r="B898" s="16">
        <f>B897+1</f>
        <v/>
      </c>
      <c r="C898" s="20">
        <f>TEXT(B898,"aaa")</f>
        <v/>
      </c>
      <c r="D898" s="20" t="inlineStr">
        <is>
          <t>네이버 브랜드검색</t>
        </is>
      </c>
      <c r="K898" s="26">
        <f>5400000/90</f>
        <v/>
      </c>
    </row>
    <row r="899" ht="16.5" customHeight="1" s="17">
      <c r="B899" s="16">
        <f>B898+1</f>
        <v/>
      </c>
      <c r="C899" s="20">
        <f>TEXT(B899,"aaa")</f>
        <v/>
      </c>
      <c r="D899" s="20" t="inlineStr">
        <is>
          <t>네이버 브랜드검색</t>
        </is>
      </c>
      <c r="K899" s="26">
        <f>5400000/90</f>
        <v/>
      </c>
    </row>
    <row r="900" ht="16.5" customHeight="1" s="17">
      <c r="B900" s="16">
        <f>B899+1</f>
        <v/>
      </c>
      <c r="C900" s="20">
        <f>TEXT(B900,"aaa")</f>
        <v/>
      </c>
      <c r="D900" s="20" t="inlineStr">
        <is>
          <t>네이버 브랜드검색</t>
        </is>
      </c>
      <c r="K900" s="26">
        <f>5400000/90</f>
        <v/>
      </c>
    </row>
    <row r="901" ht="16.5" customHeight="1" s="17">
      <c r="B901" s="16">
        <f>B900+1</f>
        <v/>
      </c>
      <c r="C901" s="20">
        <f>TEXT(B901,"aaa")</f>
        <v/>
      </c>
      <c r="D901" s="20" t="inlineStr">
        <is>
          <t>네이버 브랜드검색</t>
        </is>
      </c>
      <c r="K901" s="26">
        <f>5400000/90</f>
        <v/>
      </c>
    </row>
    <row r="902" ht="16.5" customHeight="1" s="17">
      <c r="B902" s="16">
        <f>B901+1</f>
        <v/>
      </c>
      <c r="C902" s="20">
        <f>TEXT(B902,"aaa")</f>
        <v/>
      </c>
      <c r="D902" s="20" t="inlineStr">
        <is>
          <t>네이버 브랜드검색</t>
        </is>
      </c>
      <c r="K902" s="26">
        <f>5400000/90</f>
        <v/>
      </c>
    </row>
    <row r="903" ht="16.5" customHeight="1" s="17">
      <c r="B903" s="16">
        <f>B902+1</f>
        <v/>
      </c>
      <c r="C903" s="20">
        <f>TEXT(B903,"aaa")</f>
        <v/>
      </c>
      <c r="D903" s="20" t="inlineStr">
        <is>
          <t>네이버 브랜드검색</t>
        </is>
      </c>
      <c r="K903" s="26">
        <f>5400000/90</f>
        <v/>
      </c>
    </row>
    <row r="904" ht="16.5" customHeight="1" s="17">
      <c r="B904" s="16">
        <f>B903+1</f>
        <v/>
      </c>
      <c r="C904" s="20">
        <f>TEXT(B904,"aaa")</f>
        <v/>
      </c>
      <c r="D904" s="20" t="inlineStr">
        <is>
          <t>네이버 브랜드검색</t>
        </is>
      </c>
      <c r="K904" s="26">
        <f>5400000/90</f>
        <v/>
      </c>
    </row>
    <row r="905" ht="16.5" customHeight="1" s="17">
      <c r="B905" s="16">
        <f>B904+1</f>
        <v/>
      </c>
      <c r="C905" s="20">
        <f>TEXT(B905,"aaa")</f>
        <v/>
      </c>
      <c r="D905" s="20" t="inlineStr">
        <is>
          <t>네이버 브랜드검색</t>
        </is>
      </c>
      <c r="K905" s="26">
        <f>5400000/90</f>
        <v/>
      </c>
    </row>
    <row r="906" ht="16.5" customHeight="1" s="17">
      <c r="B906" s="16">
        <f>B905+1</f>
        <v/>
      </c>
      <c r="C906" s="20">
        <f>TEXT(B906,"aaa")</f>
        <v/>
      </c>
      <c r="D906" s="20" t="inlineStr">
        <is>
          <t>네이버 브랜드검색</t>
        </is>
      </c>
      <c r="K906" s="26">
        <f>5400000/90</f>
        <v/>
      </c>
    </row>
    <row r="907" ht="16.5" customHeight="1" s="17">
      <c r="B907" s="16">
        <f>B906+1</f>
        <v/>
      </c>
      <c r="C907" s="20">
        <f>TEXT(B907,"aaa")</f>
        <v/>
      </c>
      <c r="D907" s="20" t="inlineStr">
        <is>
          <t>네이버 브랜드검색</t>
        </is>
      </c>
      <c r="K907" s="26">
        <f>5400000/90</f>
        <v/>
      </c>
    </row>
    <row r="908" ht="16.5" customHeight="1" s="17">
      <c r="B908" s="16">
        <f>B907+1</f>
        <v/>
      </c>
      <c r="C908" s="20">
        <f>TEXT(B908,"aaa")</f>
        <v/>
      </c>
      <c r="D908" s="20" t="inlineStr">
        <is>
          <t>네이버 브랜드검색</t>
        </is>
      </c>
      <c r="K908" s="26">
        <f>5400000/90</f>
        <v/>
      </c>
    </row>
    <row r="909" ht="16.5" customHeight="1" s="17">
      <c r="B909" s="16">
        <f>B908+1</f>
        <v/>
      </c>
      <c r="C909" s="20">
        <f>TEXT(B909,"aaa")</f>
        <v/>
      </c>
      <c r="D909" s="20" t="inlineStr">
        <is>
          <t>네이버 브랜드검색</t>
        </is>
      </c>
      <c r="K909" s="26">
        <f>5400000/90</f>
        <v/>
      </c>
    </row>
    <row r="910" ht="16.5" customHeight="1" s="17">
      <c r="B910" s="16">
        <f>B909+1</f>
        <v/>
      </c>
      <c r="C910" s="20">
        <f>TEXT(B910,"aaa")</f>
        <v/>
      </c>
      <c r="D910" s="20" t="inlineStr">
        <is>
          <t>네이버 브랜드검색</t>
        </is>
      </c>
      <c r="K910" s="26">
        <f>5400000/90</f>
        <v/>
      </c>
    </row>
    <row r="911" ht="16.5" customHeight="1" s="17">
      <c r="B911" s="16">
        <f>B910+1</f>
        <v/>
      </c>
      <c r="C911" s="20">
        <f>TEXT(B911,"aaa")</f>
        <v/>
      </c>
      <c r="D911" s="20" t="inlineStr">
        <is>
          <t>네이버 브랜드검색</t>
        </is>
      </c>
      <c r="K911" s="26">
        <f>5400000/90</f>
        <v/>
      </c>
    </row>
    <row r="912" ht="16.5" customHeight="1" s="17">
      <c r="B912" s="16">
        <f>B911+1</f>
        <v/>
      </c>
      <c r="C912" s="20">
        <f>TEXT(B912,"aaa")</f>
        <v/>
      </c>
      <c r="D912" s="20" t="inlineStr">
        <is>
          <t>네이버 브랜드검색</t>
        </is>
      </c>
      <c r="K912" s="26">
        <f>5400000/90</f>
        <v/>
      </c>
    </row>
    <row r="913" ht="16.5" customHeight="1" s="17">
      <c r="B913" s="16">
        <f>B912+1</f>
        <v/>
      </c>
      <c r="C913" s="20">
        <f>TEXT(B913,"aaa")</f>
        <v/>
      </c>
      <c r="D913" s="20" t="inlineStr">
        <is>
          <t>네이버 브랜드검색</t>
        </is>
      </c>
      <c r="K913" s="26">
        <f>5400000/90</f>
        <v/>
      </c>
    </row>
    <row r="914" ht="16.5" customHeight="1" s="17">
      <c r="B914" s="16">
        <f>B913+1</f>
        <v/>
      </c>
      <c r="C914" s="20">
        <f>TEXT(B914,"aaa")</f>
        <v/>
      </c>
      <c r="D914" s="20" t="inlineStr">
        <is>
          <t>네이버 브랜드검색</t>
        </is>
      </c>
      <c r="K914" s="26">
        <f>5400000/90</f>
        <v/>
      </c>
    </row>
    <row r="915" ht="16.5" customHeight="1" s="17">
      <c r="B915" s="16">
        <f>B914+1</f>
        <v/>
      </c>
      <c r="C915" s="20">
        <f>TEXT(B915,"aaa")</f>
        <v/>
      </c>
      <c r="D915" s="20" t="inlineStr">
        <is>
          <t>네이버 브랜드검색</t>
        </is>
      </c>
      <c r="K915" s="26">
        <f>5400000/90</f>
        <v/>
      </c>
    </row>
    <row r="916" ht="16.5" customHeight="1" s="17">
      <c r="B916" s="16">
        <f>B915+1</f>
        <v/>
      </c>
      <c r="C916" s="20">
        <f>TEXT(B916,"aaa")</f>
        <v/>
      </c>
      <c r="D916" s="20" t="inlineStr">
        <is>
          <t>네이버 브랜드검색</t>
        </is>
      </c>
      <c r="K916" s="26">
        <f>5400000/90</f>
        <v/>
      </c>
    </row>
    <row r="917" ht="16.5" customHeight="1" s="17">
      <c r="B917" s="16">
        <f>B916+1</f>
        <v/>
      </c>
      <c r="C917" s="20">
        <f>TEXT(B917,"aaa")</f>
        <v/>
      </c>
      <c r="D917" s="20" t="inlineStr">
        <is>
          <t>네이버 브랜드검색</t>
        </is>
      </c>
      <c r="K917" s="26">
        <f>5400000/90</f>
        <v/>
      </c>
    </row>
    <row r="918" ht="16.5" customHeight="1" s="17">
      <c r="B918" s="16">
        <f>B917+1</f>
        <v/>
      </c>
      <c r="C918" s="20">
        <f>TEXT(B918,"aaa")</f>
        <v/>
      </c>
      <c r="D918" s="20" t="inlineStr">
        <is>
          <t>네이버 브랜드검색</t>
        </is>
      </c>
      <c r="K918" s="26">
        <f>5400000/90</f>
        <v/>
      </c>
    </row>
    <row r="919" ht="16.5" customHeight="1" s="17">
      <c r="B919" s="16">
        <f>B918+1</f>
        <v/>
      </c>
      <c r="C919" s="20">
        <f>TEXT(B919,"aaa")</f>
        <v/>
      </c>
      <c r="D919" s="20" t="inlineStr">
        <is>
          <t>네이버 브랜드검색</t>
        </is>
      </c>
      <c r="K919" s="26">
        <f>5400000/90</f>
        <v/>
      </c>
    </row>
    <row r="920" ht="16.5" customHeight="1" s="17">
      <c r="B920" s="16">
        <f>B919+1</f>
        <v/>
      </c>
      <c r="C920" s="20">
        <f>TEXT(B920,"aaa")</f>
        <v/>
      </c>
      <c r="D920" s="20" t="inlineStr">
        <is>
          <t>네이버 브랜드검색</t>
        </is>
      </c>
      <c r="K920" s="26">
        <f>5400000/90</f>
        <v/>
      </c>
    </row>
    <row r="921" ht="16.5" customHeight="1" s="17">
      <c r="B921" s="16">
        <f>B920+1</f>
        <v/>
      </c>
      <c r="C921" s="20">
        <f>TEXT(B921,"aaa")</f>
        <v/>
      </c>
      <c r="D921" s="20" t="inlineStr">
        <is>
          <t>네이버 브랜드검색</t>
        </is>
      </c>
      <c r="K921" s="26">
        <f>5400000/90</f>
        <v/>
      </c>
    </row>
    <row r="922" ht="16.5" customHeight="1" s="17">
      <c r="B922" s="16">
        <f>B921+1</f>
        <v/>
      </c>
      <c r="C922" s="20">
        <f>TEXT(B922,"aaa")</f>
        <v/>
      </c>
      <c r="D922" s="20" t="inlineStr">
        <is>
          <t>네이버 브랜드검색</t>
        </is>
      </c>
      <c r="K922" s="26">
        <f>5400000/90</f>
        <v/>
      </c>
    </row>
    <row r="923" ht="16.5" customHeight="1" s="17">
      <c r="B923" s="16">
        <f>B922+1</f>
        <v/>
      </c>
      <c r="C923" s="20">
        <f>TEXT(B923,"aaa")</f>
        <v/>
      </c>
      <c r="D923" s="20" t="inlineStr">
        <is>
          <t>네이버 브랜드검색</t>
        </is>
      </c>
      <c r="K923" s="26">
        <f>5400000/90</f>
        <v/>
      </c>
    </row>
    <row r="924" ht="16.5" customHeight="1" s="17">
      <c r="B924" s="16">
        <f>B923+1</f>
        <v/>
      </c>
      <c r="C924" s="20">
        <f>TEXT(B924,"aaa")</f>
        <v/>
      </c>
      <c r="D924" s="20" t="inlineStr">
        <is>
          <t>네이버 브랜드검색</t>
        </is>
      </c>
      <c r="K924" s="26">
        <f>5400000/90</f>
        <v/>
      </c>
    </row>
    <row r="925" ht="16.5" customHeight="1" s="17">
      <c r="B925" s="16">
        <f>B924+1</f>
        <v/>
      </c>
      <c r="C925" s="20">
        <f>TEXT(B925,"aaa")</f>
        <v/>
      </c>
      <c r="D925" s="20" t="inlineStr">
        <is>
          <t>네이버 브랜드검색</t>
        </is>
      </c>
      <c r="K925" s="26">
        <f>5400000/90</f>
        <v/>
      </c>
    </row>
    <row r="926" ht="16.5" customHeight="1" s="17">
      <c r="B926" s="16">
        <f>B925+1</f>
        <v/>
      </c>
      <c r="C926" s="20">
        <f>TEXT(B926,"aaa")</f>
        <v/>
      </c>
      <c r="D926" s="20" t="inlineStr">
        <is>
          <t>네이버 브랜드검색</t>
        </is>
      </c>
      <c r="K926" s="26">
        <f>5400000/90</f>
        <v/>
      </c>
    </row>
    <row r="927" ht="16.5" customHeight="1" s="17">
      <c r="B927" s="16">
        <f>B926+1</f>
        <v/>
      </c>
      <c r="C927" s="20">
        <f>TEXT(B927,"aaa")</f>
        <v/>
      </c>
      <c r="D927" s="20" t="inlineStr">
        <is>
          <t>네이버 브랜드검색</t>
        </is>
      </c>
      <c r="K927" s="26">
        <f>5400000/90</f>
        <v/>
      </c>
    </row>
    <row r="928" ht="16.5" customHeight="1" s="17">
      <c r="B928" s="16">
        <f>B927+1</f>
        <v/>
      </c>
      <c r="C928" s="20">
        <f>TEXT(B928,"aaa")</f>
        <v/>
      </c>
      <c r="D928" s="20" t="inlineStr">
        <is>
          <t>네이버 브랜드검색</t>
        </is>
      </c>
      <c r="K928" s="26">
        <f>5400000/90</f>
        <v/>
      </c>
    </row>
    <row r="929" ht="16.5" customHeight="1" s="17">
      <c r="B929" s="16">
        <f>B928+1</f>
        <v/>
      </c>
      <c r="C929" s="20">
        <f>TEXT(B929,"aaa")</f>
        <v/>
      </c>
      <c r="D929" s="20" t="inlineStr">
        <is>
          <t>네이버 브랜드검색</t>
        </is>
      </c>
      <c r="K929" s="26">
        <f>5400000/90</f>
        <v/>
      </c>
    </row>
    <row r="930" ht="16.5" customHeight="1" s="17">
      <c r="B930" s="16">
        <f>B929+1</f>
        <v/>
      </c>
      <c r="C930" s="20">
        <f>TEXT(B930,"aaa")</f>
        <v/>
      </c>
      <c r="D930" s="20" t="inlineStr">
        <is>
          <t>네이버 브랜드검색</t>
        </is>
      </c>
      <c r="K930" s="26">
        <f>5400000/90</f>
        <v/>
      </c>
    </row>
    <row r="931" ht="16.5" customHeight="1" s="17">
      <c r="B931" s="16">
        <f>B930+1</f>
        <v/>
      </c>
      <c r="C931" s="20">
        <f>TEXT(B931,"aaa")</f>
        <v/>
      </c>
      <c r="D931" s="20" t="inlineStr">
        <is>
          <t>네이버 브랜드검색</t>
        </is>
      </c>
      <c r="K931" s="26">
        <f>5400000/90</f>
        <v/>
      </c>
    </row>
    <row r="932" ht="16.5" customHeight="1" s="17">
      <c r="B932" s="16">
        <f>B931+1</f>
        <v/>
      </c>
      <c r="C932" s="20">
        <f>TEXT(B932,"aaa")</f>
        <v/>
      </c>
      <c r="D932" s="20" t="inlineStr">
        <is>
          <t>네이버 브랜드검색</t>
        </is>
      </c>
      <c r="K932" s="26">
        <f>5400000/90</f>
        <v/>
      </c>
    </row>
    <row r="933" ht="16.5" customHeight="1" s="17">
      <c r="B933" s="16">
        <f>B932+1</f>
        <v/>
      </c>
      <c r="C933" s="20">
        <f>TEXT(B933,"aaa")</f>
        <v/>
      </c>
      <c r="D933" s="20" t="inlineStr">
        <is>
          <t>네이버 브랜드검색</t>
        </is>
      </c>
      <c r="K933" s="26" t="n">
        <v>140000</v>
      </c>
    </row>
    <row r="934" ht="16.5" customHeight="1" s="17">
      <c r="B934" s="16">
        <f>B933+1</f>
        <v/>
      </c>
      <c r="C934" s="20">
        <f>TEXT(B934,"aaa")</f>
        <v/>
      </c>
      <c r="D934" s="20" t="inlineStr">
        <is>
          <t>네이버 브랜드검색</t>
        </is>
      </c>
      <c r="K934" s="26" t="n">
        <v>140000</v>
      </c>
    </row>
    <row r="935" ht="16.5" customHeight="1" s="17">
      <c r="B935" s="16">
        <f>B934+1</f>
        <v/>
      </c>
      <c r="C935" s="20">
        <f>TEXT(B935,"aaa")</f>
        <v/>
      </c>
      <c r="D935" s="20" t="inlineStr">
        <is>
          <t>네이버 브랜드검색</t>
        </is>
      </c>
      <c r="K935" s="26" t="n">
        <v>140000</v>
      </c>
    </row>
    <row r="936" ht="16.5" customHeight="1" s="17">
      <c r="B936" s="16">
        <f>B935+1</f>
        <v/>
      </c>
      <c r="C936" s="20">
        <f>TEXT(B936,"aaa")</f>
        <v/>
      </c>
      <c r="D936" s="20" t="inlineStr">
        <is>
          <t>네이버 브랜드검색</t>
        </is>
      </c>
      <c r="K936" s="26" t="n">
        <v>140000</v>
      </c>
    </row>
    <row r="937" ht="16.5" customHeight="1" s="17">
      <c r="B937" s="16">
        <f>B936+1</f>
        <v/>
      </c>
      <c r="C937" s="20">
        <f>TEXT(B937,"aaa")</f>
        <v/>
      </c>
      <c r="D937" s="20" t="inlineStr">
        <is>
          <t>네이버 브랜드검색</t>
        </is>
      </c>
      <c r="K937" s="26" t="n">
        <v>140000</v>
      </c>
    </row>
    <row r="938" ht="16.5" customHeight="1" s="17">
      <c r="B938" s="16">
        <f>B937+1</f>
        <v/>
      </c>
      <c r="C938" s="20">
        <f>TEXT(B938,"aaa")</f>
        <v/>
      </c>
      <c r="D938" s="20" t="inlineStr">
        <is>
          <t>네이버 브랜드검색</t>
        </is>
      </c>
      <c r="K938" s="26" t="n">
        <v>140000</v>
      </c>
    </row>
    <row r="939" ht="16.5" customHeight="1" s="17">
      <c r="B939" s="16">
        <f>B938+1</f>
        <v/>
      </c>
      <c r="C939" s="20">
        <f>TEXT(B939,"aaa")</f>
        <v/>
      </c>
      <c r="D939" s="20" t="inlineStr">
        <is>
          <t>네이버 브랜드검색</t>
        </is>
      </c>
      <c r="K939" s="26" t="n">
        <v>140000</v>
      </c>
    </row>
    <row r="940" ht="16.5" customHeight="1" s="17">
      <c r="B940" s="16">
        <f>B939+1</f>
        <v/>
      </c>
      <c r="C940" s="20">
        <f>TEXT(B940,"aaa")</f>
        <v/>
      </c>
      <c r="D940" s="20" t="inlineStr">
        <is>
          <t>네이버 브랜드검색</t>
        </is>
      </c>
      <c r="K940" s="26" t="n">
        <v>140000</v>
      </c>
    </row>
    <row r="941" ht="16.5" customHeight="1" s="17">
      <c r="B941" s="16">
        <f>B940+1</f>
        <v/>
      </c>
      <c r="C941" s="20">
        <f>TEXT(B941,"aaa")</f>
        <v/>
      </c>
      <c r="D941" s="20" t="inlineStr">
        <is>
          <t>네이버 브랜드검색</t>
        </is>
      </c>
      <c r="K941" s="26" t="n">
        <v>140000</v>
      </c>
    </row>
    <row r="942" ht="16.5" customHeight="1" s="17">
      <c r="B942" s="16">
        <f>B941+1</f>
        <v/>
      </c>
      <c r="C942" s="20">
        <f>TEXT(B942,"aaa")</f>
        <v/>
      </c>
      <c r="D942" s="20" t="inlineStr">
        <is>
          <t>네이버 브랜드검색</t>
        </is>
      </c>
      <c r="K942" s="26" t="n">
        <v>140000</v>
      </c>
    </row>
    <row r="943" ht="16.5" customHeight="1" s="17">
      <c r="B943" s="16">
        <f>B942+1</f>
        <v/>
      </c>
      <c r="C943" s="20">
        <f>TEXT(B943,"aaa")</f>
        <v/>
      </c>
      <c r="D943" s="20" t="inlineStr">
        <is>
          <t>네이버 브랜드검색</t>
        </is>
      </c>
      <c r="K943" s="26" t="n">
        <v>140000</v>
      </c>
    </row>
    <row r="944" ht="16.5" customHeight="1" s="17">
      <c r="B944" s="16">
        <f>B943+1</f>
        <v/>
      </c>
      <c r="C944" s="20">
        <f>TEXT(B944,"aaa")</f>
        <v/>
      </c>
      <c r="D944" s="20" t="inlineStr">
        <is>
          <t>네이버 브랜드검색</t>
        </is>
      </c>
      <c r="K944" s="26" t="n">
        <v>140000</v>
      </c>
    </row>
    <row r="945" ht="16.5" customHeight="1" s="17">
      <c r="B945" s="16">
        <f>B944+1</f>
        <v/>
      </c>
      <c r="C945" s="20">
        <f>TEXT(B945,"aaa")</f>
        <v/>
      </c>
      <c r="D945" s="20" t="inlineStr">
        <is>
          <t>네이버 브랜드검색</t>
        </is>
      </c>
      <c r="K945" s="26" t="n">
        <v>140000</v>
      </c>
    </row>
    <row r="946" ht="16.5" customHeight="1" s="17">
      <c r="B946" s="16">
        <f>B945+1</f>
        <v/>
      </c>
      <c r="C946" s="20">
        <f>TEXT(B946,"aaa")</f>
        <v/>
      </c>
      <c r="D946" s="20" t="inlineStr">
        <is>
          <t>네이버 브랜드검색</t>
        </is>
      </c>
      <c r="K946" s="26" t="n">
        <v>140000</v>
      </c>
    </row>
    <row r="947" ht="16.5" customHeight="1" s="17">
      <c r="B947" s="16">
        <f>B946+1</f>
        <v/>
      </c>
      <c r="C947" s="20">
        <f>TEXT(B947,"aaa")</f>
        <v/>
      </c>
      <c r="D947" s="20" t="inlineStr">
        <is>
          <t>네이버 브랜드검색</t>
        </is>
      </c>
      <c r="K947" s="26" t="n">
        <v>140000</v>
      </c>
    </row>
    <row r="948" ht="16.5" customHeight="1" s="17">
      <c r="B948" s="16">
        <f>B947+1</f>
        <v/>
      </c>
      <c r="C948" s="20">
        <f>TEXT(B948,"aaa")</f>
        <v/>
      </c>
      <c r="D948" s="20" t="inlineStr">
        <is>
          <t>네이버 브랜드검색</t>
        </is>
      </c>
      <c r="K948" s="26" t="n">
        <v>140000</v>
      </c>
    </row>
    <row r="949" ht="16.5" customHeight="1" s="17">
      <c r="B949" s="16">
        <f>B948+1</f>
        <v/>
      </c>
      <c r="C949" s="20">
        <f>TEXT(B949,"aaa")</f>
        <v/>
      </c>
      <c r="D949" s="20" t="inlineStr">
        <is>
          <t>네이버 브랜드검색</t>
        </is>
      </c>
      <c r="K949" s="26" t="n">
        <v>140000</v>
      </c>
    </row>
    <row r="950" ht="16.5" customHeight="1" s="17">
      <c r="B950" s="16">
        <f>B949+1</f>
        <v/>
      </c>
      <c r="C950" s="20">
        <f>TEXT(B950,"aaa")</f>
        <v/>
      </c>
      <c r="D950" s="20" t="inlineStr">
        <is>
          <t>네이버 브랜드검색</t>
        </is>
      </c>
      <c r="K950" s="26" t="n">
        <v>140000</v>
      </c>
    </row>
    <row r="951" ht="16.5" customHeight="1" s="17">
      <c r="B951" s="16">
        <f>B950+1</f>
        <v/>
      </c>
      <c r="C951" s="20">
        <f>TEXT(B951,"aaa")</f>
        <v/>
      </c>
      <c r="D951" s="20" t="inlineStr">
        <is>
          <t>네이버 브랜드검색</t>
        </is>
      </c>
      <c r="K951" s="26" t="n">
        <v>140000</v>
      </c>
    </row>
    <row r="952" ht="16.35" customHeight="1" s="17">
      <c r="B952" s="16" t="n">
        <v>44126</v>
      </c>
      <c r="C952" s="20">
        <f>TEXT(B952,"aaa")</f>
        <v/>
      </c>
      <c r="D952" s="20" t="inlineStr">
        <is>
          <t>네이버 배너</t>
        </is>
      </c>
      <c r="K952" s="26">
        <f>50679/1.1</f>
        <v/>
      </c>
    </row>
    <row r="953" ht="16.5" customHeight="1" s="17">
      <c r="B953" s="16" t="n">
        <v>44127</v>
      </c>
      <c r="C953" s="20">
        <f>TEXT(B953,"aaa")</f>
        <v/>
      </c>
      <c r="D953" s="20" t="inlineStr">
        <is>
          <t>네이버 배너</t>
        </is>
      </c>
      <c r="K953" s="26">
        <f>136625/1.1</f>
        <v/>
      </c>
    </row>
    <row r="954" ht="16.5" customHeight="1" s="17">
      <c r="B954" s="16" t="n">
        <v>44128</v>
      </c>
      <c r="C954" s="20">
        <f>TEXT(B954,"aaa")</f>
        <v/>
      </c>
      <c r="D954" s="20" t="inlineStr">
        <is>
          <t>네이버 배너</t>
        </is>
      </c>
      <c r="K954" s="26">
        <f>148994/1.1</f>
        <v/>
      </c>
    </row>
    <row r="955" ht="16.5" customHeight="1" s="17">
      <c r="B955" s="16" t="n">
        <v>44129</v>
      </c>
      <c r="C955" s="20">
        <f>TEXT(B955,"aaa")</f>
        <v/>
      </c>
      <c r="D955" s="20" t="inlineStr">
        <is>
          <t>네이버 배너</t>
        </is>
      </c>
      <c r="K955" s="26">
        <f>148558/1.1</f>
        <v/>
      </c>
    </row>
    <row r="956" ht="16.5" customHeight="1" s="17">
      <c r="B956" s="16" t="n">
        <v>44130</v>
      </c>
      <c r="C956" s="20">
        <f>TEXT(B956,"aaa")</f>
        <v/>
      </c>
      <c r="D956" s="20" t="inlineStr">
        <is>
          <t>네이버 배너</t>
        </is>
      </c>
      <c r="K956" s="26">
        <f>514614/1.1</f>
        <v/>
      </c>
    </row>
    <row r="957" ht="16.5" customHeight="1" s="17">
      <c r="B957" s="16" t="n">
        <v>44131</v>
      </c>
      <c r="C957" s="20">
        <f>TEXT(B957,"aaa")</f>
        <v/>
      </c>
      <c r="D957" s="20" t="inlineStr">
        <is>
          <t>네이버 배너</t>
        </is>
      </c>
      <c r="K957" s="26">
        <f>371982/1.1</f>
        <v/>
      </c>
    </row>
    <row r="958" ht="16.5" customHeight="1" s="17">
      <c r="B958" s="16" t="n">
        <v>44132</v>
      </c>
      <c r="C958" s="20">
        <f>TEXT(B958,"aaa")</f>
        <v/>
      </c>
      <c r="D958" s="20" t="inlineStr">
        <is>
          <t>네이버 배너</t>
        </is>
      </c>
      <c r="K958" s="26">
        <f>1070074/1.1</f>
        <v/>
      </c>
    </row>
    <row r="959" ht="16.5" customHeight="1" s="17">
      <c r="B959" s="16" t="n">
        <v>44133</v>
      </c>
      <c r="C959" s="20">
        <f>TEXT(B959,"aaa")</f>
        <v/>
      </c>
      <c r="D959" s="20" t="inlineStr">
        <is>
          <t>네이버 배너</t>
        </is>
      </c>
      <c r="K959" s="26">
        <f>952015/1.1</f>
        <v/>
      </c>
    </row>
    <row r="960" ht="16.5" customHeight="1" s="17">
      <c r="B960" s="16" t="n">
        <v>44134</v>
      </c>
      <c r="C960" s="20">
        <f>TEXT(B960,"aaa")</f>
        <v/>
      </c>
      <c r="D960" s="20" t="inlineStr">
        <is>
          <t>네이버 배너</t>
        </is>
      </c>
      <c r="K960" s="26">
        <f>941500/1.1</f>
        <v/>
      </c>
    </row>
    <row r="961" ht="16.5" customHeight="1" s="17">
      <c r="B961" s="16" t="n">
        <v>44135</v>
      </c>
      <c r="C961" s="20">
        <f>TEXT(B961,"aaa")</f>
        <v/>
      </c>
      <c r="D961" s="20" t="inlineStr">
        <is>
          <t>네이버 배너</t>
        </is>
      </c>
      <c r="K961" s="26">
        <f>950576/1.1</f>
        <v/>
      </c>
    </row>
    <row r="962" ht="16.5" customHeight="1" s="17">
      <c r="B962" s="16" t="n">
        <v>44136</v>
      </c>
      <c r="C962" s="20">
        <f>TEXT(B962,"aaa")</f>
        <v/>
      </c>
      <c r="D962" s="20" t="inlineStr">
        <is>
          <t>네이버 배너</t>
        </is>
      </c>
      <c r="K962" s="26">
        <f>899756/1.1</f>
        <v/>
      </c>
    </row>
    <row r="963" ht="16.5" customHeight="1" s="17">
      <c r="B963" s="16" t="n">
        <v>44137</v>
      </c>
      <c r="C963" s="20">
        <f>TEXT(B963,"aaa")</f>
        <v/>
      </c>
      <c r="D963" s="20" t="inlineStr">
        <is>
          <t>네이버 배너</t>
        </is>
      </c>
      <c r="K963" s="26">
        <f>899831/1.1</f>
        <v/>
      </c>
    </row>
    <row r="964" ht="16.5" customHeight="1" s="17">
      <c r="B964" s="16" t="n">
        <v>44138</v>
      </c>
      <c r="C964" s="20">
        <f>TEXT(B964,"aaa")</f>
        <v/>
      </c>
      <c r="D964" s="20" t="inlineStr">
        <is>
          <t>네이버 배너</t>
        </is>
      </c>
      <c r="K964" s="26">
        <f>897846/1.1</f>
        <v/>
      </c>
    </row>
    <row r="965" ht="16.5" customHeight="1" s="17">
      <c r="B965" s="16" t="n">
        <v>44139</v>
      </c>
      <c r="C965" s="20">
        <f>TEXT(B965,"aaa")</f>
        <v/>
      </c>
      <c r="D965" s="20" t="inlineStr">
        <is>
          <t>네이버 배너</t>
        </is>
      </c>
      <c r="K965" s="26">
        <f>1492960/1.1</f>
        <v/>
      </c>
    </row>
    <row r="966" ht="16.5" customHeight="1" s="17">
      <c r="B966" s="16" t="n">
        <v>44140</v>
      </c>
      <c r="C966" s="20">
        <f>TEXT(B966,"aaa")</f>
        <v/>
      </c>
      <c r="D966" s="20" t="inlineStr">
        <is>
          <t>네이버 배너</t>
        </is>
      </c>
      <c r="K966" s="26">
        <f>1381885/1.1</f>
        <v/>
      </c>
    </row>
    <row r="967" ht="16.5" customHeight="1" s="17">
      <c r="B967" s="16" t="n">
        <v>44141</v>
      </c>
      <c r="C967" s="20">
        <f>TEXT(B967,"aaa")</f>
        <v/>
      </c>
      <c r="D967" s="20" t="inlineStr">
        <is>
          <t>네이버 배너</t>
        </is>
      </c>
      <c r="K967" s="26">
        <f>1378001/1.1</f>
        <v/>
      </c>
    </row>
    <row r="968" ht="16.5" customHeight="1" s="17">
      <c r="B968" s="16" t="n">
        <v>44142</v>
      </c>
      <c r="C968" s="20">
        <f>TEXT(B968,"aaa")</f>
        <v/>
      </c>
      <c r="D968" s="20" t="inlineStr">
        <is>
          <t>네이버 배너</t>
        </is>
      </c>
      <c r="K968" s="26">
        <f>1381843/1.1</f>
        <v/>
      </c>
    </row>
    <row r="969" ht="16.5" customHeight="1" s="17">
      <c r="B969" s="16" t="n">
        <v>44143</v>
      </c>
      <c r="C969" s="20">
        <f>TEXT(B969,"aaa")</f>
        <v/>
      </c>
      <c r="D969" s="20" t="inlineStr">
        <is>
          <t>네이버 배너</t>
        </is>
      </c>
      <c r="K969" s="26">
        <f>1382808/1.1</f>
        <v/>
      </c>
    </row>
    <row r="970" ht="16.5" customHeight="1" s="17">
      <c r="B970" s="16" t="n">
        <v>44144</v>
      </c>
      <c r="C970" s="20">
        <f>TEXT(B970,"aaa")</f>
        <v/>
      </c>
      <c r="D970" s="20" t="inlineStr">
        <is>
          <t>네이버 배너</t>
        </is>
      </c>
      <c r="K970" s="26">
        <f>1380236/1.1</f>
        <v/>
      </c>
    </row>
    <row r="971" ht="16.5" customHeight="1" s="17">
      <c r="B971" s="16" t="n">
        <v>44145</v>
      </c>
      <c r="C971" s="20">
        <f>TEXT(B971,"aaa")</f>
        <v/>
      </c>
      <c r="D971" s="20" t="inlineStr">
        <is>
          <t>네이버 배너</t>
        </is>
      </c>
      <c r="K971" s="26">
        <f>1383638/1.1</f>
        <v/>
      </c>
    </row>
    <row r="972" ht="16.5" customHeight="1" s="17">
      <c r="B972" s="16" t="n">
        <v>44146</v>
      </c>
      <c r="C972" s="20">
        <f>TEXT(B972,"aaa")</f>
        <v/>
      </c>
      <c r="D972" s="20" t="inlineStr">
        <is>
          <t>네이버 배너</t>
        </is>
      </c>
      <c r="K972" s="26">
        <f>1605584/1.1</f>
        <v/>
      </c>
    </row>
    <row r="973" ht="16.5" customHeight="1" s="17">
      <c r="B973" s="16" t="n">
        <v>44147</v>
      </c>
      <c r="C973" s="20">
        <f>TEXT(B973,"aaa")</f>
        <v/>
      </c>
      <c r="D973" s="20" t="inlineStr">
        <is>
          <t>네이버 배너</t>
        </is>
      </c>
      <c r="K973" s="26">
        <f>1339074/1.1</f>
        <v/>
      </c>
    </row>
    <row r="974" ht="16.5" customHeight="1" s="17">
      <c r="B974" s="16" t="n">
        <v>44148</v>
      </c>
      <c r="C974" s="20">
        <f>TEXT(B974,"aaa")</f>
        <v/>
      </c>
      <c r="D974" s="20" t="inlineStr">
        <is>
          <t>네이버 배너</t>
        </is>
      </c>
      <c r="K974" s="26">
        <f>1287855/1.1</f>
        <v/>
      </c>
    </row>
    <row r="975" ht="16.5" customHeight="1" s="17">
      <c r="B975" s="16" t="n">
        <v>44149</v>
      </c>
      <c r="C975" s="20">
        <f>TEXT(B975,"aaa")</f>
        <v/>
      </c>
      <c r="D975" s="20" t="inlineStr">
        <is>
          <t>네이버 배너</t>
        </is>
      </c>
      <c r="K975" s="26">
        <f>1326688/1.1</f>
        <v/>
      </c>
    </row>
    <row r="976" ht="16.5" customHeight="1" s="17">
      <c r="B976" s="16" t="n">
        <v>44150</v>
      </c>
      <c r="C976" s="20">
        <f>TEXT(B976,"aaa")</f>
        <v/>
      </c>
      <c r="D976" s="20" t="inlineStr">
        <is>
          <t>네이버 배너</t>
        </is>
      </c>
      <c r="K976" s="26">
        <f>1299162/1.1</f>
        <v/>
      </c>
    </row>
    <row r="977" ht="16.5" customHeight="1" s="17">
      <c r="B977" s="16" t="n">
        <v>44151</v>
      </c>
      <c r="C977" s="20">
        <f>TEXT(B977,"aaa")</f>
        <v/>
      </c>
      <c r="D977" s="20" t="inlineStr">
        <is>
          <t>네이버 배너</t>
        </is>
      </c>
      <c r="K977" s="26">
        <f>1430339/1.1</f>
        <v/>
      </c>
    </row>
    <row r="978" ht="16.5" customHeight="1" s="17">
      <c r="B978" s="16" t="n">
        <v>44152</v>
      </c>
      <c r="C978" s="20">
        <f>TEXT(B978,"aaa")</f>
        <v/>
      </c>
      <c r="D978" s="20" t="inlineStr">
        <is>
          <t>네이버 배너</t>
        </is>
      </c>
      <c r="K978" s="26">
        <f>1630227/1.1</f>
        <v/>
      </c>
    </row>
    <row r="979" ht="16.5" customHeight="1" s="17">
      <c r="B979" s="16" t="n">
        <v>44153</v>
      </c>
      <c r="C979" s="20">
        <f>TEXT(B979,"aaa")</f>
        <v/>
      </c>
      <c r="D979" s="20" t="inlineStr">
        <is>
          <t>네이버 배너</t>
        </is>
      </c>
      <c r="K979" s="26">
        <f>1648409/1.1</f>
        <v/>
      </c>
    </row>
    <row r="980" ht="16.5" customHeight="1" s="17">
      <c r="B980" s="16" t="n">
        <v>44154</v>
      </c>
      <c r="C980" s="20">
        <f>TEXT(B980,"aaa")</f>
        <v/>
      </c>
      <c r="D980" s="20" t="inlineStr">
        <is>
          <t>네이버 배너</t>
        </is>
      </c>
      <c r="K980" s="26">
        <f>1663535/1.1</f>
        <v/>
      </c>
    </row>
    <row r="981" ht="16.5" customHeight="1" s="17">
      <c r="B981" s="16" t="n">
        <v>44155</v>
      </c>
      <c r="C981" s="20">
        <f>TEXT(B981,"aaa")</f>
        <v/>
      </c>
      <c r="D981" s="20" t="inlineStr">
        <is>
          <t>네이버 배너</t>
        </is>
      </c>
      <c r="K981" s="26">
        <f>1656366/1.1</f>
        <v/>
      </c>
    </row>
    <row r="982" ht="16.5" customHeight="1" s="17">
      <c r="B982" s="16" t="n">
        <v>44156</v>
      </c>
      <c r="C982" s="20">
        <f>TEXT(B982,"aaa")</f>
        <v/>
      </c>
      <c r="D982" s="20" t="inlineStr">
        <is>
          <t>네이버 배너</t>
        </is>
      </c>
      <c r="K982" s="26">
        <f>1662082/1.1</f>
        <v/>
      </c>
    </row>
    <row r="983" ht="16.5" customHeight="1" s="17">
      <c r="B983" s="16" t="n">
        <v>44157</v>
      </c>
      <c r="C983" s="20">
        <f>TEXT(B983,"aaa")</f>
        <v/>
      </c>
      <c r="D983" s="20" t="inlineStr">
        <is>
          <t>네이버 배너</t>
        </is>
      </c>
      <c r="K983" s="26">
        <f>1650402/1.1</f>
        <v/>
      </c>
    </row>
    <row r="984" ht="16.5" customHeight="1" s="17">
      <c r="B984" s="16" t="n">
        <v>44158</v>
      </c>
      <c r="C984" s="20">
        <f>TEXT(B984,"aaa")</f>
        <v/>
      </c>
      <c r="D984" s="20" t="inlineStr">
        <is>
          <t>네이버 배너</t>
        </is>
      </c>
      <c r="K984" s="26">
        <f>1641046/1.1</f>
        <v/>
      </c>
    </row>
    <row r="985" ht="16.5" customHeight="1" s="17">
      <c r="B985" s="16" t="n">
        <v>44159</v>
      </c>
      <c r="C985" s="20">
        <f>TEXT(B985,"aaa")</f>
        <v/>
      </c>
      <c r="D985" s="20" t="inlineStr">
        <is>
          <t>네이버 배너</t>
        </is>
      </c>
      <c r="K985" s="26">
        <f>1610886/1.1</f>
        <v/>
      </c>
    </row>
    <row r="986" ht="16.5" customHeight="1" s="17">
      <c r="B986" s="16" t="n">
        <v>44160</v>
      </c>
      <c r="C986" s="20">
        <f>TEXT(B986,"aaa")</f>
        <v/>
      </c>
      <c r="D986" s="20" t="inlineStr">
        <is>
          <t>네이버 배너</t>
        </is>
      </c>
      <c r="K986" s="26">
        <f>1541666/1.1</f>
        <v/>
      </c>
    </row>
    <row r="987" ht="16.5" customHeight="1" s="17">
      <c r="B987" s="16" t="n">
        <v>44161</v>
      </c>
      <c r="C987" s="20">
        <f>TEXT(B987,"aaa")</f>
        <v/>
      </c>
      <c r="D987" s="20" t="inlineStr">
        <is>
          <t>네이버 배너</t>
        </is>
      </c>
      <c r="K987" s="26">
        <f>1514799/1.1</f>
        <v/>
      </c>
    </row>
    <row r="988" ht="16.5" customHeight="1" s="17">
      <c r="B988" s="16" t="n">
        <v>44162</v>
      </c>
      <c r="C988" s="20">
        <f>TEXT(B988,"aaa")</f>
        <v/>
      </c>
      <c r="D988" s="20" t="inlineStr">
        <is>
          <t>네이버 배너</t>
        </is>
      </c>
      <c r="K988" s="26">
        <f>1532458/1.1</f>
        <v/>
      </c>
    </row>
    <row r="989" ht="16.5" customHeight="1" s="17">
      <c r="B989" s="16" t="n">
        <v>44163</v>
      </c>
      <c r="C989" s="20">
        <f>TEXT(B989,"aaa")</f>
        <v/>
      </c>
      <c r="D989" s="20" t="inlineStr">
        <is>
          <t>네이버 배너</t>
        </is>
      </c>
      <c r="K989" s="26">
        <f>1519937/1.1</f>
        <v/>
      </c>
    </row>
    <row r="990" ht="16.5" customHeight="1" s="17">
      <c r="B990" s="16" t="n">
        <v>44164</v>
      </c>
      <c r="C990" s="20">
        <f>TEXT(B990,"aaa")</f>
        <v/>
      </c>
      <c r="D990" s="20" t="inlineStr">
        <is>
          <t>네이버 배너</t>
        </is>
      </c>
      <c r="K990" s="26">
        <f>1518461/1.1</f>
        <v/>
      </c>
    </row>
    <row r="991" ht="16.5" customHeight="1" s="17">
      <c r="B991" s="16" t="n">
        <v>44165</v>
      </c>
      <c r="C991" s="20">
        <f>TEXT(B991,"aaa")</f>
        <v/>
      </c>
      <c r="D991" s="20" t="inlineStr">
        <is>
          <t>네이버 배너</t>
        </is>
      </c>
      <c r="K991" s="26">
        <f>1556957/1.1</f>
        <v/>
      </c>
    </row>
    <row r="992" ht="16.5" customHeight="1" s="17">
      <c r="B992" s="16" t="n">
        <v>44166</v>
      </c>
      <c r="C992" s="20">
        <f>TEXT(B992,"aaa")</f>
        <v/>
      </c>
      <c r="D992" s="20" t="inlineStr">
        <is>
          <t>네이버 배너</t>
        </is>
      </c>
      <c r="K992" s="26">
        <f>1532006/1.1</f>
        <v/>
      </c>
    </row>
    <row r="993" ht="16.5" customHeight="1" s="17">
      <c r="B993" s="16" t="n">
        <v>44167</v>
      </c>
      <c r="C993" s="20">
        <f>TEXT(B993,"aaa")</f>
        <v/>
      </c>
      <c r="D993" s="20" t="inlineStr">
        <is>
          <t>네이버 배너</t>
        </is>
      </c>
      <c r="K993" s="26">
        <f>1504178/1.1</f>
        <v/>
      </c>
    </row>
    <row r="994" ht="16.5" customHeight="1" s="17">
      <c r="B994" s="16" t="n">
        <v>44168</v>
      </c>
      <c r="C994" s="20">
        <f>TEXT(B994,"aaa")</f>
        <v/>
      </c>
      <c r="D994" s="20" t="inlineStr">
        <is>
          <t>네이버 배너</t>
        </is>
      </c>
      <c r="K994" s="26">
        <f>1518460/1.1</f>
        <v/>
      </c>
    </row>
    <row r="995" ht="16.5" customHeight="1" s="17">
      <c r="B995" s="16" t="n">
        <v>44169</v>
      </c>
      <c r="C995" s="20">
        <f>TEXT(B995,"aaa")</f>
        <v/>
      </c>
      <c r="D995" s="20" t="inlineStr">
        <is>
          <t>네이버 배너</t>
        </is>
      </c>
      <c r="K995" s="26">
        <f>1520018/1.1</f>
        <v/>
      </c>
    </row>
    <row r="996" ht="16.5" customHeight="1" s="17">
      <c r="B996" s="16" t="n">
        <v>44170</v>
      </c>
      <c r="C996" s="20">
        <f>TEXT(B996,"aaa")</f>
        <v/>
      </c>
      <c r="D996" s="20" t="inlineStr">
        <is>
          <t>네이버 배너</t>
        </is>
      </c>
      <c r="K996" s="26">
        <f>1528516/1.1</f>
        <v/>
      </c>
    </row>
    <row r="997" ht="16.5" customHeight="1" s="17">
      <c r="B997" s="16" t="n">
        <v>44171</v>
      </c>
      <c r="C997" s="20">
        <f>TEXT(B997,"aaa")</f>
        <v/>
      </c>
      <c r="D997" s="20" t="inlineStr">
        <is>
          <t>네이버 배너</t>
        </is>
      </c>
      <c r="K997" s="26">
        <f>1516988/1.1</f>
        <v/>
      </c>
    </row>
    <row r="998" ht="16.5" customHeight="1" s="17">
      <c r="B998" s="16" t="n">
        <v>44172</v>
      </c>
      <c r="C998" s="20">
        <f>TEXT(B998,"aaa")</f>
        <v/>
      </c>
      <c r="D998" s="20" t="inlineStr">
        <is>
          <t>네이버 배너</t>
        </is>
      </c>
      <c r="K998" s="26">
        <f>1513266/1.1</f>
        <v/>
      </c>
    </row>
    <row r="999" ht="16.5" customHeight="1" s="17">
      <c r="B999" s="16" t="n">
        <v>44173</v>
      </c>
      <c r="C999" s="20">
        <f>TEXT(B999,"aaa")</f>
        <v/>
      </c>
      <c r="D999" s="20" t="inlineStr">
        <is>
          <t>네이버 배너</t>
        </is>
      </c>
      <c r="K999" s="26">
        <f>1529158/1.1</f>
        <v/>
      </c>
    </row>
    <row r="1000" ht="16.5" customHeight="1" s="17">
      <c r="B1000" s="16" t="n">
        <v>44174</v>
      </c>
      <c r="C1000" s="20">
        <f>TEXT(B1000,"aaa")</f>
        <v/>
      </c>
      <c r="D1000" s="20" t="inlineStr">
        <is>
          <t>네이버 배너</t>
        </is>
      </c>
      <c r="K1000" s="26">
        <f>1541253/1.1</f>
        <v/>
      </c>
    </row>
    <row r="1001" ht="16.5" customHeight="1" s="17">
      <c r="B1001" s="16" t="n">
        <v>44175</v>
      </c>
      <c r="C1001" s="20">
        <f>TEXT(B1001,"aaa")</f>
        <v/>
      </c>
      <c r="D1001" s="20" t="inlineStr">
        <is>
          <t>네이버 배너</t>
        </is>
      </c>
      <c r="K1001" s="26">
        <f>1494419/1.1</f>
        <v/>
      </c>
    </row>
    <row r="1002" ht="16.5" customHeight="1" s="17">
      <c r="B1002" s="16" t="n">
        <v>44176</v>
      </c>
      <c r="C1002" s="20">
        <f>TEXT(B1002,"aaa")</f>
        <v/>
      </c>
      <c r="D1002" s="20" t="inlineStr">
        <is>
          <t>네이버 배너</t>
        </is>
      </c>
      <c r="K1002" s="26">
        <f>1496385/1.1</f>
        <v/>
      </c>
    </row>
    <row r="1003" ht="16.5" customHeight="1" s="17">
      <c r="B1003" s="16" t="n">
        <v>44177</v>
      </c>
      <c r="C1003" s="20">
        <f>TEXT(B1003,"aaa")</f>
        <v/>
      </c>
      <c r="D1003" s="20" t="inlineStr">
        <is>
          <t>네이버 배너</t>
        </is>
      </c>
      <c r="K1003" s="26">
        <f>1500995/1.1</f>
        <v/>
      </c>
    </row>
    <row r="1004" ht="16.5" customHeight="1" s="17">
      <c r="B1004" s="16" t="n">
        <v>44178</v>
      </c>
      <c r="C1004" s="20">
        <f>TEXT(B1004,"aaa")</f>
        <v/>
      </c>
      <c r="D1004" s="20" t="inlineStr">
        <is>
          <t>네이버 배너</t>
        </is>
      </c>
      <c r="K1004" s="26">
        <f>1500618/1.1</f>
        <v/>
      </c>
    </row>
    <row r="1005" ht="16.5" customHeight="1" s="17">
      <c r="B1005" s="16" t="n">
        <v>44179</v>
      </c>
      <c r="C1005" s="20">
        <f>TEXT(B1005,"aaa")</f>
        <v/>
      </c>
      <c r="D1005" s="20" t="inlineStr">
        <is>
          <t>네이버 배너</t>
        </is>
      </c>
      <c r="K1005" s="26">
        <f>1503710/1.1</f>
        <v/>
      </c>
    </row>
    <row r="1006" ht="16.5" customHeight="1" s="17">
      <c r="B1006" s="16" t="n">
        <v>44180</v>
      </c>
      <c r="C1006" s="20">
        <f>TEXT(B1006,"aaa")</f>
        <v/>
      </c>
      <c r="D1006" s="20" t="inlineStr">
        <is>
          <t>네이버 배너</t>
        </is>
      </c>
      <c r="K1006" s="26">
        <f>1461776/1.1</f>
        <v/>
      </c>
    </row>
    <row r="1007" ht="16.5" customHeight="1" s="17">
      <c r="B1007" s="16" t="n">
        <v>44181</v>
      </c>
      <c r="C1007" s="20">
        <f>TEXT(B1007,"aaa")</f>
        <v/>
      </c>
      <c r="D1007" s="20" t="inlineStr">
        <is>
          <t>네이버 배너</t>
        </is>
      </c>
      <c r="K1007" s="26">
        <f>1333614/1.1</f>
        <v/>
      </c>
    </row>
    <row r="1008" ht="16.5" customHeight="1" s="17">
      <c r="B1008" s="16" t="n">
        <v>44182</v>
      </c>
      <c r="C1008" s="20">
        <f>TEXT(B1008,"aaa")</f>
        <v/>
      </c>
      <c r="D1008" s="20" t="inlineStr">
        <is>
          <t>네이버 배너</t>
        </is>
      </c>
      <c r="K1008" s="26">
        <f>1256119/1.1</f>
        <v/>
      </c>
    </row>
    <row r="1009" ht="16.5" customHeight="1" s="17">
      <c r="B1009" s="16" t="n">
        <v>44183</v>
      </c>
      <c r="C1009" s="20">
        <f>TEXT(B1009,"aaa")</f>
        <v/>
      </c>
      <c r="D1009" s="20" t="inlineStr">
        <is>
          <t>네이버 배너</t>
        </is>
      </c>
      <c r="K1009" s="26">
        <f>1252650/1.1</f>
        <v/>
      </c>
    </row>
    <row r="1010" ht="16.5" customHeight="1" s="17">
      <c r="B1010" s="16" t="n">
        <v>44184</v>
      </c>
      <c r="C1010" s="20">
        <f>TEXT(B1010,"aaa")</f>
        <v/>
      </c>
      <c r="D1010" s="20" t="inlineStr">
        <is>
          <t>네이버 배너</t>
        </is>
      </c>
      <c r="K1010" s="26">
        <f>1250021/1.1</f>
        <v/>
      </c>
    </row>
    <row r="1011" ht="16.5" customHeight="1" s="17">
      <c r="B1011" s="16" t="n">
        <v>44185</v>
      </c>
      <c r="C1011" s="20">
        <f>TEXT(B1011,"aaa")</f>
        <v/>
      </c>
      <c r="D1011" s="20" t="inlineStr">
        <is>
          <t>네이버 배너</t>
        </is>
      </c>
      <c r="K1011" s="26">
        <f>1254591/1.1</f>
        <v/>
      </c>
    </row>
    <row r="1012" ht="16.5" customHeight="1" s="17">
      <c r="B1012" s="16" t="n">
        <v>44186</v>
      </c>
      <c r="C1012" s="20">
        <f>TEXT(B1012,"aaa")</f>
        <v/>
      </c>
      <c r="D1012" s="20" t="inlineStr">
        <is>
          <t>네이버 배너</t>
        </is>
      </c>
      <c r="K1012" s="26">
        <f>1199685/1.1</f>
        <v/>
      </c>
    </row>
    <row r="1013" ht="16.5" customHeight="1" s="17">
      <c r="B1013" s="16" t="n">
        <v>44187</v>
      </c>
      <c r="C1013" s="20">
        <f>TEXT(B1013,"aaa")</f>
        <v/>
      </c>
      <c r="D1013" s="20" t="inlineStr">
        <is>
          <t>네이버 배너</t>
        </is>
      </c>
      <c r="K1013" s="26">
        <f>1248838/1.1</f>
        <v/>
      </c>
    </row>
    <row r="1014" ht="16.5" customHeight="1" s="17">
      <c r="B1014" s="16" t="n">
        <v>44188</v>
      </c>
      <c r="C1014" s="20">
        <f>TEXT(B1014,"aaa")</f>
        <v/>
      </c>
      <c r="D1014" s="20" t="inlineStr">
        <is>
          <t>네이버 배너</t>
        </is>
      </c>
      <c r="K1014" s="26">
        <f>4557511/1.1</f>
        <v/>
      </c>
    </row>
    <row r="1015" ht="16.5" customHeight="1" s="17">
      <c r="B1015" s="16" t="n">
        <v>44189</v>
      </c>
      <c r="C1015" s="20">
        <f>TEXT(B1015,"aaa")</f>
        <v/>
      </c>
      <c r="D1015" s="20" t="inlineStr">
        <is>
          <t>네이버 배너</t>
        </is>
      </c>
      <c r="K1015" s="26">
        <f>5142631/1.1</f>
        <v/>
      </c>
    </row>
    <row r="1016" ht="16.5" customHeight="1" s="17">
      <c r="B1016" s="16" t="n">
        <v>44190</v>
      </c>
      <c r="C1016" s="20">
        <f>TEXT(B1016,"aaa")</f>
        <v/>
      </c>
      <c r="D1016" s="20" t="inlineStr">
        <is>
          <t>네이버 배너</t>
        </is>
      </c>
      <c r="K1016" s="26">
        <f>7145657/1.1</f>
        <v/>
      </c>
    </row>
    <row r="1017" ht="16.5" customHeight="1" s="17">
      <c r="B1017" s="16" t="n">
        <v>44191</v>
      </c>
      <c r="C1017" s="20">
        <f>TEXT(B1017,"aaa")</f>
        <v/>
      </c>
      <c r="D1017" s="20" t="inlineStr">
        <is>
          <t>네이버 배너</t>
        </is>
      </c>
      <c r="K1017" s="26">
        <f>8883601/1.1</f>
        <v/>
      </c>
    </row>
    <row r="1018" ht="16.5" customHeight="1" s="17">
      <c r="B1018" s="16" t="n">
        <v>44192</v>
      </c>
      <c r="C1018" s="20">
        <f>TEXT(B1018,"aaa")</f>
        <v/>
      </c>
      <c r="D1018" s="20" t="inlineStr">
        <is>
          <t>네이버 배너</t>
        </is>
      </c>
      <c r="K1018" s="26">
        <f>6108033/1.1</f>
        <v/>
      </c>
    </row>
    <row r="1019" ht="16.5" customHeight="1" s="17">
      <c r="B1019" s="16" t="n">
        <v>44193</v>
      </c>
      <c r="C1019" s="20">
        <f>TEXT(B1019,"aaa")</f>
        <v/>
      </c>
      <c r="D1019" s="20" t="inlineStr">
        <is>
          <t>네이버 배너</t>
        </is>
      </c>
      <c r="K1019" s="26">
        <f>5001363/1.1</f>
        <v/>
      </c>
    </row>
    <row r="1020" ht="16.5" customHeight="1" s="17">
      <c r="B1020" s="16" t="n">
        <v>44194</v>
      </c>
      <c r="C1020" s="20">
        <f>TEXT(B1020,"aaa")</f>
        <v/>
      </c>
      <c r="D1020" s="20" t="inlineStr">
        <is>
          <t>네이버 배너</t>
        </is>
      </c>
      <c r="K1020" s="26">
        <f>4795575/1.1</f>
        <v/>
      </c>
    </row>
    <row r="1021" ht="16.5" customHeight="1" s="17">
      <c r="B1021" s="16" t="n">
        <v>44195</v>
      </c>
      <c r="C1021" s="20">
        <f>TEXT(B1021,"aaa")</f>
        <v/>
      </c>
      <c r="D1021" s="20" t="inlineStr">
        <is>
          <t>네이버 배너</t>
        </is>
      </c>
      <c r="K1021" s="26">
        <f>4226336/1.1</f>
        <v/>
      </c>
    </row>
    <row r="1022" ht="16.5" customHeight="1" s="17">
      <c r="B1022" s="16" t="n">
        <v>44196</v>
      </c>
      <c r="C1022" s="20">
        <f>TEXT(B1022,"aaa")</f>
        <v/>
      </c>
      <c r="D1022" s="20" t="inlineStr">
        <is>
          <t>네이버 배너</t>
        </is>
      </c>
      <c r="K1022" s="26">
        <f>3783143/1.1</f>
        <v/>
      </c>
    </row>
    <row r="1023" ht="16.5" customHeight="1" s="17">
      <c r="B1023" s="16" t="n">
        <v>44197</v>
      </c>
      <c r="C1023" s="20">
        <f>TEXT(B1023,"aaa")</f>
        <v/>
      </c>
      <c r="D1023" s="20" t="inlineStr">
        <is>
          <t>네이버 배너</t>
        </is>
      </c>
      <c r="K1023" s="26">
        <f>8172421/1.1</f>
        <v/>
      </c>
    </row>
    <row r="1024" ht="16.5" customHeight="1" s="17">
      <c r="B1024" s="16" t="n">
        <v>44198</v>
      </c>
      <c r="C1024" s="20">
        <f>TEXT(B1024,"aaa")</f>
        <v/>
      </c>
      <c r="D1024" s="20" t="inlineStr">
        <is>
          <t>네이버 배너</t>
        </is>
      </c>
      <c r="K1024" s="26">
        <f>9021504/1.1</f>
        <v/>
      </c>
    </row>
    <row r="1025" ht="16.5" customHeight="1" s="17">
      <c r="B1025" s="16" t="n">
        <v>44199</v>
      </c>
      <c r="C1025" s="20">
        <f>TEXT(B1025,"aaa")</f>
        <v/>
      </c>
      <c r="D1025" s="20" t="inlineStr">
        <is>
          <t>네이버 배너</t>
        </is>
      </c>
      <c r="K1025" s="26">
        <f>9026476/1.1</f>
        <v/>
      </c>
    </row>
    <row r="1026" ht="16.5" customHeight="1" s="17">
      <c r="B1026" s="16" t="n">
        <v>44200</v>
      </c>
      <c r="C1026" s="20">
        <f>TEXT(B1026,"aaa")</f>
        <v/>
      </c>
      <c r="D1026" s="20" t="inlineStr">
        <is>
          <t>네이버 배너</t>
        </is>
      </c>
      <c r="K1026" s="26">
        <f>6627986/1.1</f>
        <v/>
      </c>
    </row>
    <row r="1027" ht="16.5" customHeight="1" s="17">
      <c r="B1027" s="16" t="n">
        <v>44201</v>
      </c>
      <c r="C1027" s="20">
        <f>TEXT(B1027,"aaa")</f>
        <v/>
      </c>
      <c r="D1027" s="20" t="inlineStr">
        <is>
          <t>네이버 배너</t>
        </is>
      </c>
      <c r="K1027" s="26">
        <f>6744086/1.1</f>
        <v/>
      </c>
    </row>
    <row r="1028" ht="16.5" customHeight="1" s="17">
      <c r="B1028" s="16" t="n">
        <v>44202</v>
      </c>
      <c r="C1028" s="20">
        <f>TEXT(B1028,"aaa")</f>
        <v/>
      </c>
      <c r="D1028" s="20" t="inlineStr">
        <is>
          <t>네이버 배너</t>
        </is>
      </c>
      <c r="K1028" s="26">
        <f>5838849/1.1</f>
        <v/>
      </c>
    </row>
    <row r="1029" ht="16.5" customHeight="1" s="17">
      <c r="B1029" s="16" t="n">
        <v>44203</v>
      </c>
      <c r="C1029" s="20">
        <f>TEXT(B1029,"aaa")</f>
        <v/>
      </c>
      <c r="D1029" s="20" t="inlineStr">
        <is>
          <t>네이버 배너</t>
        </is>
      </c>
      <c r="K1029" s="26">
        <f>6495565/1.1</f>
        <v/>
      </c>
    </row>
    <row r="1030" ht="16.5" customHeight="1" s="17">
      <c r="B1030" s="16" t="n">
        <v>44204</v>
      </c>
      <c r="C1030" s="20">
        <f>TEXT(B1030,"aaa")</f>
        <v/>
      </c>
      <c r="D1030" s="20" t="inlineStr">
        <is>
          <t>네이버 배너</t>
        </is>
      </c>
      <c r="K1030" s="26">
        <f>5387530/1.1</f>
        <v/>
      </c>
    </row>
    <row r="1031" ht="16.5" customHeight="1" s="17">
      <c r="B1031" s="16" t="n">
        <v>44205</v>
      </c>
      <c r="C1031" s="20">
        <f>TEXT(B1031,"aaa")</f>
        <v/>
      </c>
      <c r="D1031" s="20" t="inlineStr">
        <is>
          <t>네이버 배너</t>
        </is>
      </c>
      <c r="K1031" s="26">
        <f>5933341/1.1</f>
        <v/>
      </c>
    </row>
    <row r="1032" ht="16.5" customHeight="1" s="17">
      <c r="B1032" s="16" t="n">
        <v>44206</v>
      </c>
      <c r="C1032" s="20">
        <f>TEXT(B1032,"aaa")</f>
        <v/>
      </c>
      <c r="D1032" s="20" t="inlineStr">
        <is>
          <t>네이버 배너</t>
        </is>
      </c>
      <c r="K1032" s="26">
        <f>6650468/1.1</f>
        <v/>
      </c>
    </row>
    <row r="1033" ht="16.5" customHeight="1" s="17">
      <c r="B1033" s="16" t="n">
        <v>44207</v>
      </c>
      <c r="C1033" s="20">
        <f>TEXT(B1033,"aaa")</f>
        <v/>
      </c>
      <c r="D1033" s="20" t="inlineStr">
        <is>
          <t>네이버 배너</t>
        </is>
      </c>
      <c r="K1033" s="26">
        <f>5529487/1.1</f>
        <v/>
      </c>
    </row>
    <row r="1034" ht="16.5" customHeight="1" s="17">
      <c r="B1034" s="16" t="n">
        <v>44208</v>
      </c>
      <c r="C1034" s="20">
        <f>TEXT(B1034,"aaa")</f>
        <v/>
      </c>
      <c r="D1034" s="20" t="inlineStr">
        <is>
          <t>네이버 배너</t>
        </is>
      </c>
      <c r="K1034" s="26">
        <f>4702773/1.1</f>
        <v/>
      </c>
    </row>
    <row r="1035" ht="16.5" customHeight="1" s="17">
      <c r="B1035" s="16" t="n">
        <v>44209</v>
      </c>
      <c r="C1035" s="20">
        <f>TEXT(B1035,"aaa")</f>
        <v/>
      </c>
      <c r="D1035" s="20" t="inlineStr">
        <is>
          <t>네이버 배너</t>
        </is>
      </c>
      <c r="K1035" s="26">
        <f>4989785/1.1</f>
        <v/>
      </c>
    </row>
    <row r="1036" ht="16.5" customHeight="1" s="17">
      <c r="B1036" s="16" t="n">
        <v>44210</v>
      </c>
      <c r="C1036" s="20">
        <f>TEXT(B1036,"aaa")</f>
        <v/>
      </c>
      <c r="D1036" s="20" t="inlineStr">
        <is>
          <t>네이버 배너</t>
        </is>
      </c>
      <c r="K1036" s="26">
        <f>4355308/1.1</f>
        <v/>
      </c>
    </row>
    <row r="1037" ht="16.5" customHeight="1" s="17">
      <c r="B1037" s="16" t="n">
        <v>44211</v>
      </c>
      <c r="C1037" s="20">
        <f>TEXT(B1037,"aaa")</f>
        <v/>
      </c>
      <c r="D1037" s="20" t="inlineStr">
        <is>
          <t>네이버 배너</t>
        </is>
      </c>
      <c r="K1037" s="26">
        <f>4222902/1.1</f>
        <v/>
      </c>
    </row>
    <row r="1038" ht="16.5" customHeight="1" s="17">
      <c r="B1038" s="16" t="n">
        <v>44212</v>
      </c>
      <c r="C1038" s="20">
        <f>TEXT(B1038,"aaa")</f>
        <v/>
      </c>
      <c r="D1038" s="20" t="inlineStr">
        <is>
          <t>네이버 배너</t>
        </is>
      </c>
      <c r="K1038" s="26">
        <f>4796313/1.1</f>
        <v/>
      </c>
    </row>
    <row r="1039" ht="16.5" customHeight="1" s="17">
      <c r="B1039" s="16" t="n">
        <v>44213</v>
      </c>
      <c r="C1039" s="20">
        <f>TEXT(B1039,"aaa")</f>
        <v/>
      </c>
      <c r="D1039" s="20" t="inlineStr">
        <is>
          <t>네이버 배너</t>
        </is>
      </c>
      <c r="K1039" s="26">
        <f>5630843/1.1</f>
        <v/>
      </c>
    </row>
    <row r="1040" ht="16.5" customHeight="1" s="17">
      <c r="B1040" s="16" t="n">
        <v>44214</v>
      </c>
      <c r="C1040" s="20">
        <f>TEXT(B1040,"aaa")</f>
        <v/>
      </c>
      <c r="D1040" s="20" t="inlineStr">
        <is>
          <t>네이버 배너</t>
        </is>
      </c>
      <c r="K1040" s="26">
        <f>4245458/1.1</f>
        <v/>
      </c>
    </row>
    <row r="1041" ht="16.5" customHeight="1" s="17">
      <c r="B1041" s="16" t="n">
        <v>44215</v>
      </c>
      <c r="C1041" s="20">
        <f>TEXT(B1041,"aaa")</f>
        <v/>
      </c>
      <c r="D1041" s="20" t="inlineStr">
        <is>
          <t>네이버 배너</t>
        </is>
      </c>
      <c r="K1041" s="26">
        <f>3381126/1.1</f>
        <v/>
      </c>
    </row>
    <row r="1042" ht="16.5" customHeight="1" s="17">
      <c r="B1042" s="16" t="n">
        <v>44216</v>
      </c>
      <c r="C1042" s="20">
        <f>TEXT(B1042,"aaa")</f>
        <v/>
      </c>
      <c r="D1042" s="20" t="inlineStr">
        <is>
          <t>네이버 배너</t>
        </is>
      </c>
      <c r="K1042" s="26" t="n">
        <v>3501659</v>
      </c>
    </row>
    <row r="1043" ht="16.5" customHeight="1" s="17">
      <c r="B1043" s="16" t="n">
        <v>44217</v>
      </c>
      <c r="C1043" s="20">
        <f>TEXT(B1043,"aaa")</f>
        <v/>
      </c>
      <c r="D1043" s="20" t="inlineStr">
        <is>
          <t>네이버 배너</t>
        </is>
      </c>
      <c r="K1043" s="26">
        <f>3372287/1.1</f>
        <v/>
      </c>
    </row>
    <row r="1044" ht="16.5" customHeight="1" s="17">
      <c r="B1044" s="16" t="n">
        <v>44218</v>
      </c>
      <c r="C1044" s="20">
        <f>TEXT(B1044,"aaa")</f>
        <v/>
      </c>
      <c r="D1044" s="20" t="inlineStr">
        <is>
          <t>네이버 배너</t>
        </is>
      </c>
      <c r="K1044" s="26">
        <f>3699340/1.1</f>
        <v/>
      </c>
    </row>
    <row r="1045" ht="16.5" customHeight="1" s="17">
      <c r="B1045" s="16" t="n">
        <v>44219</v>
      </c>
      <c r="C1045" s="20">
        <f>TEXT(B1045,"aaa")</f>
        <v/>
      </c>
      <c r="D1045" s="20" t="inlineStr">
        <is>
          <t>네이버 배너</t>
        </is>
      </c>
      <c r="K1045" s="26">
        <f>3676195/1.1</f>
        <v/>
      </c>
    </row>
    <row r="1046" ht="16.5" customHeight="1" s="17">
      <c r="B1046" s="16" t="n">
        <v>44220</v>
      </c>
      <c r="C1046" s="20">
        <f>TEXT(B1046,"aaa")</f>
        <v/>
      </c>
      <c r="D1046" s="20" t="inlineStr">
        <is>
          <t>네이버 배너</t>
        </is>
      </c>
      <c r="K1046" s="26">
        <f>4081644/1.1</f>
        <v/>
      </c>
    </row>
    <row r="1047" ht="16.5" customHeight="1" s="17">
      <c r="B1047" s="16" t="n">
        <v>44221</v>
      </c>
      <c r="C1047" s="20">
        <f>TEXT(B1047,"aaa")</f>
        <v/>
      </c>
      <c r="D1047" s="20" t="inlineStr">
        <is>
          <t>네이버 배너</t>
        </is>
      </c>
      <c r="K1047" s="26">
        <f>3570439/1.1</f>
        <v/>
      </c>
    </row>
    <row r="1048" ht="16.5" customHeight="1" s="17">
      <c r="B1048" s="16" t="n">
        <v>44222</v>
      </c>
      <c r="C1048" s="20">
        <f>TEXT(B1048,"aaa")</f>
        <v/>
      </c>
      <c r="D1048" s="20" t="inlineStr">
        <is>
          <t>네이버 배너</t>
        </is>
      </c>
      <c r="K1048" s="26">
        <f>2964118/1.1</f>
        <v/>
      </c>
    </row>
    <row r="1049" ht="16.5" customHeight="1" s="17">
      <c r="B1049" s="16" t="n">
        <v>44223</v>
      </c>
      <c r="C1049" s="20">
        <f>TEXT(B1049,"aaa")</f>
        <v/>
      </c>
      <c r="D1049" s="20" t="inlineStr">
        <is>
          <t>네이버 배너</t>
        </is>
      </c>
      <c r="K1049" s="26">
        <f>2596047/1.1</f>
        <v/>
      </c>
    </row>
    <row r="1050" ht="16.5" customHeight="1" s="17">
      <c r="B1050" s="16" t="n">
        <v>44224</v>
      </c>
      <c r="C1050" s="20">
        <f>TEXT(B1050,"aaa")</f>
        <v/>
      </c>
      <c r="D1050" s="20" t="inlineStr">
        <is>
          <t>네이버 배너</t>
        </is>
      </c>
      <c r="K1050" s="26">
        <f>2425219/1.1</f>
        <v/>
      </c>
    </row>
    <row r="1051" ht="16.5" customHeight="1" s="17">
      <c r="B1051" s="16" t="n">
        <v>44225</v>
      </c>
      <c r="C1051" s="20">
        <f>TEXT(B1051,"aaa")</f>
        <v/>
      </c>
      <c r="D1051" s="20" t="inlineStr">
        <is>
          <t>네이버 배너</t>
        </is>
      </c>
      <c r="K1051" s="26">
        <f>2407144/1.1</f>
        <v/>
      </c>
    </row>
    <row r="1052" ht="16.5" customHeight="1" s="17">
      <c r="B1052" s="16" t="n">
        <v>44226</v>
      </c>
      <c r="C1052" s="20">
        <f>TEXT(B1052,"aaa")</f>
        <v/>
      </c>
      <c r="D1052" s="20" t="inlineStr">
        <is>
          <t>네이버 배너</t>
        </is>
      </c>
      <c r="K1052" s="26">
        <f>2405925/1.1</f>
        <v/>
      </c>
    </row>
    <row r="1053" ht="16.5" customHeight="1" s="17">
      <c r="B1053" s="16" t="n">
        <v>44227</v>
      </c>
      <c r="C1053" s="20">
        <f>TEXT(B1053,"aaa")</f>
        <v/>
      </c>
      <c r="D1053" s="20" t="inlineStr">
        <is>
          <t>네이버 배너</t>
        </is>
      </c>
      <c r="K1053" s="26">
        <f>2433522/1.1</f>
        <v/>
      </c>
    </row>
    <row r="1054" ht="16.5" customHeight="1" s="17">
      <c r="B1054" s="16" t="n">
        <v>44228</v>
      </c>
      <c r="C1054" s="20">
        <f>TEXT(B1054,"aaa")</f>
        <v/>
      </c>
      <c r="D1054" s="20" t="inlineStr">
        <is>
          <t>네이버 배너</t>
        </is>
      </c>
      <c r="K1054" s="26">
        <f>2418036/1.1</f>
        <v/>
      </c>
    </row>
    <row r="1055" ht="16.5" customHeight="1" s="17">
      <c r="B1055" s="16" t="n">
        <v>44229</v>
      </c>
      <c r="C1055" s="20">
        <f>TEXT(B1055,"aaa")</f>
        <v/>
      </c>
      <c r="D1055" s="20" t="inlineStr">
        <is>
          <t>네이버 배너</t>
        </is>
      </c>
      <c r="K1055" s="26">
        <f>2365341/1.1</f>
        <v/>
      </c>
    </row>
    <row r="1056" ht="16.5" customHeight="1" s="17">
      <c r="B1056" s="16" t="n">
        <v>44230</v>
      </c>
      <c r="C1056" s="20">
        <f>TEXT(B1056,"aaa")</f>
        <v/>
      </c>
      <c r="D1056" s="20" t="inlineStr">
        <is>
          <t>네이버 배너</t>
        </is>
      </c>
      <c r="K1056" s="26">
        <f>2287550/1.1</f>
        <v/>
      </c>
    </row>
    <row r="1057" ht="16.5" customHeight="1" s="17">
      <c r="B1057" s="16" t="n">
        <v>44231</v>
      </c>
      <c r="C1057" s="20">
        <f>TEXT(B1057,"aaa")</f>
        <v/>
      </c>
      <c r="D1057" s="20" t="inlineStr">
        <is>
          <t>네이버 배너</t>
        </is>
      </c>
      <c r="K1057" s="26">
        <f>1240363/1.1</f>
        <v/>
      </c>
    </row>
    <row r="1058" ht="16.5" customHeight="1" s="17">
      <c r="B1058" s="16" t="n">
        <v>44232</v>
      </c>
      <c r="C1058" s="20">
        <f>TEXT(B1058,"aaa")</f>
        <v/>
      </c>
      <c r="D1058" s="20" t="inlineStr">
        <is>
          <t>네이버 배너</t>
        </is>
      </c>
      <c r="K1058" s="26">
        <f>1192875/1.1</f>
        <v/>
      </c>
    </row>
    <row r="1059" ht="16.5" customHeight="1" s="17">
      <c r="B1059" s="16" t="n">
        <v>44233</v>
      </c>
      <c r="C1059" s="20">
        <f>TEXT(B1059,"aaa")</f>
        <v/>
      </c>
      <c r="D1059" s="20" t="inlineStr">
        <is>
          <t>네이버 배너</t>
        </is>
      </c>
      <c r="K1059" s="26">
        <f>1240262/1.1</f>
        <v/>
      </c>
    </row>
    <row r="1060" ht="16.5" customHeight="1" s="17">
      <c r="B1060" s="16" t="n">
        <v>44234</v>
      </c>
      <c r="C1060" s="20">
        <f>TEXT(B1060,"aaa")</f>
        <v/>
      </c>
      <c r="D1060" s="20" t="inlineStr">
        <is>
          <t>네이버 배너</t>
        </is>
      </c>
      <c r="K1060" s="26">
        <f>1232569/1.1</f>
        <v/>
      </c>
    </row>
    <row r="1061" ht="16.5" customHeight="1" s="17">
      <c r="B1061" s="16" t="n">
        <v>44235</v>
      </c>
      <c r="C1061" s="20">
        <f>TEXT(B1061,"aaa")</f>
        <v/>
      </c>
      <c r="D1061" s="20" t="inlineStr">
        <is>
          <t>네이버 배너</t>
        </is>
      </c>
      <c r="K1061" s="26">
        <f>1185807/1.1</f>
        <v/>
      </c>
    </row>
    <row r="1062" ht="16.5" customHeight="1" s="17">
      <c r="B1062" s="16" t="n">
        <v>44236</v>
      </c>
      <c r="C1062" s="20">
        <f>TEXT(B1062,"aaa")</f>
        <v/>
      </c>
      <c r="D1062" s="20" t="inlineStr">
        <is>
          <t>네이버 배너</t>
        </is>
      </c>
      <c r="K1062" s="26">
        <f>1200605/1.1</f>
        <v/>
      </c>
    </row>
    <row r="1063" ht="16.5" customHeight="1" s="17">
      <c r="B1063" s="16" t="n">
        <v>44140</v>
      </c>
      <c r="C1063" s="20">
        <f>TEXT(B1063,"aaa")</f>
        <v/>
      </c>
      <c r="D1063" s="20" t="inlineStr">
        <is>
          <t>카카오 배너</t>
        </is>
      </c>
      <c r="K1063" s="26">
        <f>251273/1.1</f>
        <v/>
      </c>
    </row>
    <row r="1064" ht="16.5" customHeight="1" s="17">
      <c r="B1064" s="16" t="n">
        <v>44141</v>
      </c>
      <c r="C1064" s="20">
        <f>TEXT(B1064,"aaa")</f>
        <v/>
      </c>
      <c r="D1064" s="20" t="inlineStr">
        <is>
          <t>카카오 배너</t>
        </is>
      </c>
      <c r="K1064" s="26">
        <f>431915/1.1</f>
        <v/>
      </c>
    </row>
    <row r="1065" ht="16.5" customHeight="1" s="17">
      <c r="B1065" s="16" t="n">
        <v>44142</v>
      </c>
      <c r="C1065" s="20">
        <f>TEXT(B1065,"aaa")</f>
        <v/>
      </c>
      <c r="D1065" s="20" t="inlineStr">
        <is>
          <t>카카오 배너</t>
        </is>
      </c>
      <c r="K1065" s="26">
        <f>47498/1.1</f>
        <v/>
      </c>
    </row>
    <row r="1066" ht="16.5" customHeight="1" s="17">
      <c r="B1066" s="16" t="n">
        <v>44143</v>
      </c>
      <c r="C1066" s="20">
        <f>TEXT(B1066,"aaa")</f>
        <v/>
      </c>
      <c r="D1066" s="20" t="inlineStr">
        <is>
          <t>카카오 배너</t>
        </is>
      </c>
      <c r="K1066" s="26" t="n">
        <v>0</v>
      </c>
    </row>
    <row r="1067" ht="16.5" customHeight="1" s="17">
      <c r="B1067" s="16" t="n">
        <v>44144</v>
      </c>
      <c r="C1067" s="20">
        <f>TEXT(B1067,"aaa")</f>
        <v/>
      </c>
      <c r="D1067" s="20" t="inlineStr">
        <is>
          <t>카카오 배너</t>
        </is>
      </c>
      <c r="K1067" s="26">
        <f>431420/1.1</f>
        <v/>
      </c>
    </row>
    <row r="1068" ht="16.5" customHeight="1" s="17">
      <c r="B1068" s="16" t="n">
        <v>44145</v>
      </c>
      <c r="C1068" s="20">
        <f>TEXT(B1068,"aaa")</f>
        <v/>
      </c>
      <c r="D1068" s="20" t="inlineStr">
        <is>
          <t>카카오 배너</t>
        </is>
      </c>
      <c r="K1068" s="26">
        <f>430441/1.1</f>
        <v/>
      </c>
    </row>
    <row r="1069" ht="16.5" customHeight="1" s="17">
      <c r="B1069" s="16" t="n">
        <v>44146</v>
      </c>
      <c r="C1069" s="20">
        <f>TEXT(B1069,"aaa")</f>
        <v/>
      </c>
      <c r="D1069" s="20" t="inlineStr">
        <is>
          <t>카카오 배너</t>
        </is>
      </c>
      <c r="K1069" s="26">
        <f>634524/1.1</f>
        <v/>
      </c>
    </row>
    <row r="1070" ht="16.5" customHeight="1" s="17">
      <c r="B1070" s="16" t="n">
        <v>44147</v>
      </c>
      <c r="C1070" s="20">
        <f>TEXT(B1070,"aaa")</f>
        <v/>
      </c>
      <c r="D1070" s="20" t="inlineStr">
        <is>
          <t>카카오 배너</t>
        </is>
      </c>
      <c r="K1070" s="26">
        <f>1011582/1.1</f>
        <v/>
      </c>
    </row>
    <row r="1071" ht="16.5" customHeight="1" s="17">
      <c r="B1071" s="16" t="n">
        <v>44148</v>
      </c>
      <c r="C1071" s="20">
        <f>TEXT(B1071,"aaa")</f>
        <v/>
      </c>
      <c r="D1071" s="20" t="inlineStr">
        <is>
          <t>카카오 배너</t>
        </is>
      </c>
      <c r="K1071" s="26">
        <f>1001968/1.1</f>
        <v/>
      </c>
    </row>
    <row r="1072" ht="16.5" customHeight="1" s="17">
      <c r="B1072" s="16" t="n">
        <v>44149</v>
      </c>
      <c r="C1072" s="20">
        <f>TEXT(B1072,"aaa")</f>
        <v/>
      </c>
      <c r="D1072" s="20" t="inlineStr">
        <is>
          <t>카카오 배너</t>
        </is>
      </c>
      <c r="K1072" s="26">
        <f>1002232/1.1</f>
        <v/>
      </c>
    </row>
    <row r="1073" ht="16.5" customHeight="1" s="17">
      <c r="B1073" s="16" t="n">
        <v>44150</v>
      </c>
      <c r="C1073" s="20">
        <f>TEXT(B1073,"aaa")</f>
        <v/>
      </c>
      <c r="D1073" s="20" t="inlineStr">
        <is>
          <t>카카오 배너</t>
        </is>
      </c>
      <c r="K1073" s="26">
        <f>1001957/1.1</f>
        <v/>
      </c>
    </row>
    <row r="1074" ht="16.5" customHeight="1" s="17">
      <c r="B1074" s="16" t="n">
        <v>44151</v>
      </c>
      <c r="C1074" s="20">
        <f>TEXT(B1074,"aaa")</f>
        <v/>
      </c>
      <c r="D1074" s="20" t="inlineStr">
        <is>
          <t>카카오 배너</t>
        </is>
      </c>
      <c r="K1074" s="26">
        <f>2325521/1.1</f>
        <v/>
      </c>
    </row>
    <row r="1075" ht="16.5" customHeight="1" s="17">
      <c r="B1075" s="16" t="n">
        <v>44152</v>
      </c>
      <c r="C1075" s="20">
        <f>TEXT(B1075,"aaa")</f>
        <v/>
      </c>
      <c r="D1075" s="20" t="inlineStr">
        <is>
          <t>카카오 배너</t>
        </is>
      </c>
      <c r="K1075" s="26">
        <f>2451999/1.1</f>
        <v/>
      </c>
    </row>
    <row r="1076" ht="16.5" customHeight="1" s="17">
      <c r="B1076" s="16" t="n">
        <v>44153</v>
      </c>
      <c r="C1076" s="20">
        <f>TEXT(B1076,"aaa")</f>
        <v/>
      </c>
      <c r="D1076" s="20" t="inlineStr">
        <is>
          <t>카카오 배너</t>
        </is>
      </c>
      <c r="K1076" s="26">
        <f>2151754/1.1</f>
        <v/>
      </c>
    </row>
    <row r="1077" ht="16.5" customHeight="1" s="17">
      <c r="B1077" s="16" t="n">
        <v>44154</v>
      </c>
      <c r="C1077" s="20">
        <f>TEXT(B1077,"aaa")</f>
        <v/>
      </c>
      <c r="D1077" s="20" t="inlineStr">
        <is>
          <t>카카오 배너</t>
        </is>
      </c>
      <c r="K1077" s="26">
        <f>2257563/1.1</f>
        <v/>
      </c>
    </row>
    <row r="1078" ht="16.5" customHeight="1" s="17">
      <c r="B1078" s="16" t="n">
        <v>44155</v>
      </c>
      <c r="C1078" s="20">
        <f>TEXT(B1078,"aaa")</f>
        <v/>
      </c>
      <c r="D1078" s="20" t="inlineStr">
        <is>
          <t>카카오 배너</t>
        </is>
      </c>
      <c r="K1078" s="26">
        <f>2454309/1.1</f>
        <v/>
      </c>
    </row>
    <row r="1079" ht="16.5" customHeight="1" s="17">
      <c r="B1079" s="16" t="n">
        <v>44156</v>
      </c>
      <c r="C1079" s="20">
        <f>TEXT(B1079,"aaa")</f>
        <v/>
      </c>
      <c r="D1079" s="20" t="inlineStr">
        <is>
          <t>카카오 배너</t>
        </is>
      </c>
      <c r="K1079" s="26">
        <f>2466915/1.1</f>
        <v/>
      </c>
    </row>
    <row r="1080" ht="16.5" customHeight="1" s="17">
      <c r="B1080" s="16" t="n">
        <v>44157</v>
      </c>
      <c r="C1080" s="20">
        <f>TEXT(B1080,"aaa")</f>
        <v/>
      </c>
      <c r="D1080" s="20" t="inlineStr">
        <is>
          <t>카카오 배너</t>
        </is>
      </c>
      <c r="K1080" s="26">
        <f>2462350/1.1</f>
        <v/>
      </c>
    </row>
    <row r="1081" ht="16.5" customHeight="1" s="17">
      <c r="B1081" s="16" t="n">
        <v>44158</v>
      </c>
      <c r="C1081" s="20">
        <f>TEXT(B1081,"aaa")</f>
        <v/>
      </c>
      <c r="D1081" s="20" t="inlineStr">
        <is>
          <t>카카오 배너</t>
        </is>
      </c>
      <c r="K1081" s="26">
        <f>2268761/1.1</f>
        <v/>
      </c>
    </row>
    <row r="1082" ht="16.5" customHeight="1" s="17">
      <c r="B1082" s="16" t="n">
        <v>44159</v>
      </c>
      <c r="C1082" s="20">
        <f>TEXT(B1082,"aaa")</f>
        <v/>
      </c>
      <c r="D1082" s="20" t="inlineStr">
        <is>
          <t>카카오 배너</t>
        </is>
      </c>
      <c r="K1082" s="26">
        <f>2119359/1.1</f>
        <v/>
      </c>
    </row>
    <row r="1083" ht="16.5" customHeight="1" s="17">
      <c r="B1083" s="16" t="n">
        <v>44160</v>
      </c>
      <c r="C1083" s="20">
        <f>TEXT(B1083,"aaa")</f>
        <v/>
      </c>
      <c r="D1083" s="20" t="inlineStr">
        <is>
          <t>카카오 배너</t>
        </is>
      </c>
      <c r="K1083" s="26">
        <f>1616769/1.1</f>
        <v/>
      </c>
    </row>
    <row r="1084" ht="16.5" customHeight="1" s="17">
      <c r="B1084" s="16" t="n">
        <v>44161</v>
      </c>
      <c r="C1084" s="20">
        <f>TEXT(B1084,"aaa")</f>
        <v/>
      </c>
      <c r="D1084" s="20" t="inlineStr">
        <is>
          <t>카카오 배너</t>
        </is>
      </c>
      <c r="K1084" s="26">
        <f>2155109/1.1</f>
        <v/>
      </c>
    </row>
    <row r="1085" ht="16.5" customHeight="1" s="17">
      <c r="B1085" s="16" t="n">
        <v>44162</v>
      </c>
      <c r="C1085" s="20">
        <f>TEXT(B1085,"aaa")</f>
        <v/>
      </c>
      <c r="D1085" s="20" t="inlineStr">
        <is>
          <t>카카오 배너</t>
        </is>
      </c>
      <c r="K1085" s="26">
        <f>2144494/1.1</f>
        <v/>
      </c>
    </row>
    <row r="1086" ht="16.5" customHeight="1" s="17">
      <c r="B1086" s="16" t="n">
        <v>44163</v>
      </c>
      <c r="C1086" s="20">
        <f>TEXT(B1086,"aaa")</f>
        <v/>
      </c>
      <c r="D1086" s="20" t="inlineStr">
        <is>
          <t>카카오 배너</t>
        </is>
      </c>
      <c r="K1086" s="26">
        <f>2245485/1.1</f>
        <v/>
      </c>
    </row>
    <row r="1087" ht="16.5" customHeight="1" s="17">
      <c r="B1087" s="16" t="n">
        <v>44164</v>
      </c>
      <c r="C1087" s="20">
        <f>TEXT(B1087,"aaa")</f>
        <v/>
      </c>
      <c r="D1087" s="20" t="inlineStr">
        <is>
          <t>카카오 배너</t>
        </is>
      </c>
      <c r="K1087" s="26">
        <f>2243604/1.1</f>
        <v/>
      </c>
    </row>
    <row r="1088" ht="16.5" customHeight="1" s="17">
      <c r="B1088" s="16" t="n">
        <v>44165</v>
      </c>
      <c r="C1088" s="20">
        <f>TEXT(B1088,"aaa")</f>
        <v/>
      </c>
      <c r="D1088" s="20" t="inlineStr">
        <is>
          <t>카카오 배너</t>
        </is>
      </c>
      <c r="K1088" s="26">
        <f>1738396/1.1</f>
        <v/>
      </c>
    </row>
    <row r="1089" ht="16.5" customHeight="1" s="17">
      <c r="B1089" s="16" t="n">
        <v>44166</v>
      </c>
      <c r="C1089" s="20">
        <f>TEXT(B1089,"aaa")</f>
        <v/>
      </c>
      <c r="D1089" s="20" t="inlineStr">
        <is>
          <t>카카오 배너</t>
        </is>
      </c>
      <c r="K1089" s="26">
        <f>1757558/1.1</f>
        <v/>
      </c>
    </row>
    <row r="1090" ht="16.5" customHeight="1" s="17">
      <c r="B1090" s="16" t="n">
        <v>44167</v>
      </c>
      <c r="C1090" s="20">
        <f>TEXT(B1090,"aaa")</f>
        <v/>
      </c>
      <c r="D1090" s="20" t="inlineStr">
        <is>
          <t>카카오 배너</t>
        </is>
      </c>
      <c r="K1090" s="26">
        <f>2244671/1.1</f>
        <v/>
      </c>
    </row>
    <row r="1091" ht="16.5" customHeight="1" s="17">
      <c r="B1091" s="16" t="n">
        <v>44168</v>
      </c>
      <c r="C1091" s="20">
        <f>TEXT(B1091,"aaa")</f>
        <v/>
      </c>
      <c r="D1091" s="20" t="inlineStr">
        <is>
          <t>카카오 배너</t>
        </is>
      </c>
      <c r="K1091" s="26">
        <f>2241448/1.1</f>
        <v/>
      </c>
    </row>
    <row r="1092" ht="16.5" customHeight="1" s="17">
      <c r="B1092" s="16" t="n">
        <v>44169</v>
      </c>
      <c r="C1092" s="20">
        <f>TEXT(B1092,"aaa")</f>
        <v/>
      </c>
      <c r="D1092" s="20" t="inlineStr">
        <is>
          <t>카카오 배너</t>
        </is>
      </c>
      <c r="K1092" s="26">
        <f>2243912/1.1</f>
        <v/>
      </c>
    </row>
    <row r="1093" ht="16.5" customHeight="1" s="17">
      <c r="B1093" s="16" t="n">
        <v>44170</v>
      </c>
      <c r="C1093" s="20">
        <f>TEXT(B1093,"aaa")</f>
        <v/>
      </c>
      <c r="D1093" s="20" t="inlineStr">
        <is>
          <t>카카오 배너</t>
        </is>
      </c>
      <c r="K1093" s="26">
        <f>2245606/1.1</f>
        <v/>
      </c>
    </row>
    <row r="1094" ht="16.5" customHeight="1" s="17">
      <c r="B1094" s="16" t="n">
        <v>44171</v>
      </c>
      <c r="C1094" s="20">
        <f>TEXT(B1094,"aaa")</f>
        <v/>
      </c>
      <c r="D1094" s="20" t="inlineStr">
        <is>
          <t>카카오 배너</t>
        </is>
      </c>
      <c r="K1094" s="26">
        <f>2244528/1.1</f>
        <v/>
      </c>
    </row>
    <row r="1095" ht="16.5" customHeight="1" s="17">
      <c r="B1095" s="16" t="n">
        <v>44172</v>
      </c>
      <c r="C1095" s="20">
        <f>TEXT(B1095,"aaa")</f>
        <v/>
      </c>
      <c r="D1095" s="20" t="inlineStr">
        <is>
          <t>카카오 배너</t>
        </is>
      </c>
      <c r="K1095" s="26">
        <f>2244352/1.1</f>
        <v/>
      </c>
    </row>
    <row r="1096" ht="16.5" customHeight="1" s="17">
      <c r="B1096" s="16" t="n">
        <v>44173</v>
      </c>
      <c r="C1096" s="20">
        <f>TEXT(B1096,"aaa")</f>
        <v/>
      </c>
      <c r="D1096" s="20" t="inlineStr">
        <is>
          <t>카카오 배너</t>
        </is>
      </c>
      <c r="K1096" s="26">
        <f>2252448/1.1</f>
        <v/>
      </c>
    </row>
    <row r="1097" ht="16.5" customHeight="1" s="17">
      <c r="B1097" s="16" t="n">
        <v>44174</v>
      </c>
      <c r="C1097" s="20">
        <f>TEXT(B1097,"aaa")</f>
        <v/>
      </c>
      <c r="D1097" s="20" t="inlineStr">
        <is>
          <t>카카오 배너</t>
        </is>
      </c>
      <c r="K1097" s="26">
        <f>2246431/1.1</f>
        <v/>
      </c>
    </row>
    <row r="1098" ht="16.5" customHeight="1" s="17">
      <c r="B1098" s="16" t="n">
        <v>44175</v>
      </c>
      <c r="C1098" s="20">
        <f>TEXT(B1098,"aaa")</f>
        <v/>
      </c>
      <c r="D1098" s="20" t="inlineStr">
        <is>
          <t>카카오 배너</t>
        </is>
      </c>
      <c r="K1098" s="26">
        <f>2205687/1.1</f>
        <v/>
      </c>
    </row>
    <row r="1099" ht="16.5" customHeight="1" s="17">
      <c r="B1099" s="16" t="n">
        <v>44176</v>
      </c>
      <c r="C1099" s="20">
        <f>TEXT(B1099,"aaa")</f>
        <v/>
      </c>
      <c r="D1099" s="20" t="inlineStr">
        <is>
          <t>카카오 배너</t>
        </is>
      </c>
      <c r="K1099" s="26">
        <f>2295018/1.1</f>
        <v/>
      </c>
    </row>
    <row r="1100" ht="16.5" customHeight="1" s="17">
      <c r="B1100" s="16" t="n">
        <v>44177</v>
      </c>
      <c r="C1100" s="20">
        <f>TEXT(B1100,"aaa")</f>
        <v/>
      </c>
      <c r="D1100" s="20" t="inlineStr">
        <is>
          <t>카카오 배너</t>
        </is>
      </c>
      <c r="K1100" s="26">
        <f>2291729/1.1</f>
        <v/>
      </c>
    </row>
    <row r="1101" ht="16.5" customHeight="1" s="17">
      <c r="B1101" s="16" t="n">
        <v>44178</v>
      </c>
      <c r="C1101" s="20">
        <f>TEXT(B1101,"aaa")</f>
        <v/>
      </c>
      <c r="D1101" s="20" t="inlineStr">
        <is>
          <t>카카오 배너</t>
        </is>
      </c>
      <c r="K1101" s="26">
        <f>2295458/1.1</f>
        <v/>
      </c>
    </row>
    <row r="1102" ht="16.5" customHeight="1" s="17">
      <c r="B1102" s="16" t="n">
        <v>44179</v>
      </c>
      <c r="C1102" s="20">
        <f>TEXT(B1102,"aaa")</f>
        <v/>
      </c>
      <c r="D1102" s="20" t="inlineStr">
        <is>
          <t>카카오 배너</t>
        </is>
      </c>
      <c r="K1102" s="26">
        <f>2392632/1.1</f>
        <v/>
      </c>
    </row>
    <row r="1103" ht="16.5" customHeight="1" s="17">
      <c r="B1103" s="16" t="n">
        <v>44180</v>
      </c>
      <c r="C1103" s="20">
        <f>TEXT(B1103,"aaa")</f>
        <v/>
      </c>
      <c r="D1103" s="20" t="inlineStr">
        <is>
          <t>카카오 배너</t>
        </is>
      </c>
      <c r="K1103" s="26">
        <f>2393545/1.1</f>
        <v/>
      </c>
    </row>
    <row r="1104" ht="16.5" customHeight="1" s="17">
      <c r="B1104" s="16" t="n">
        <v>44181</v>
      </c>
      <c r="C1104" s="20">
        <f>TEXT(B1104,"aaa")</f>
        <v/>
      </c>
      <c r="D1104" s="20" t="inlineStr">
        <is>
          <t>카카오 배너</t>
        </is>
      </c>
      <c r="K1104" s="26">
        <f>2291806/1.1</f>
        <v/>
      </c>
    </row>
    <row r="1105" ht="16.5" customHeight="1" s="17">
      <c r="B1105" s="16" t="n">
        <v>44182</v>
      </c>
      <c r="C1105" s="20">
        <f>TEXT(B1105,"aaa")</f>
        <v/>
      </c>
      <c r="D1105" s="20" t="inlineStr">
        <is>
          <t>카카오 배너</t>
        </is>
      </c>
      <c r="K1105" s="26">
        <f>4529866/1.1</f>
        <v/>
      </c>
    </row>
    <row r="1106" ht="16.5" customHeight="1" s="17">
      <c r="B1106" s="16" t="n">
        <v>44183</v>
      </c>
      <c r="C1106" s="20">
        <f>TEXT(B1106,"aaa")</f>
        <v/>
      </c>
      <c r="D1106" s="20" t="inlineStr">
        <is>
          <t>카카오 배너</t>
        </is>
      </c>
      <c r="K1106" s="26">
        <f>4580169/1.1</f>
        <v/>
      </c>
    </row>
    <row r="1107" ht="16.5" customHeight="1" s="17">
      <c r="B1107" s="16" t="n">
        <v>44184</v>
      </c>
      <c r="C1107" s="20">
        <f>TEXT(B1107,"aaa")</f>
        <v/>
      </c>
      <c r="D1107" s="20" t="inlineStr">
        <is>
          <t>카카오 배너</t>
        </is>
      </c>
      <c r="K1107" s="26">
        <f>4609108/1.1</f>
        <v/>
      </c>
    </row>
    <row r="1108" ht="16.5" customHeight="1" s="17">
      <c r="B1108" s="16" t="n">
        <v>44185</v>
      </c>
      <c r="C1108" s="20">
        <f>TEXT(B1108,"aaa")</f>
        <v/>
      </c>
      <c r="D1108" s="20" t="inlineStr">
        <is>
          <t>카카오 배너</t>
        </is>
      </c>
      <c r="K1108" s="26">
        <f>4515621/1.1</f>
        <v/>
      </c>
    </row>
    <row r="1109" ht="16.5" customHeight="1" s="17">
      <c r="B1109" s="16" t="n">
        <v>44186</v>
      </c>
      <c r="C1109" s="20">
        <f>TEXT(B1109,"aaa")</f>
        <v/>
      </c>
      <c r="D1109" s="20" t="inlineStr">
        <is>
          <t>카카오 배너</t>
        </is>
      </c>
      <c r="K1109" s="26">
        <f>3822181/1.1</f>
        <v/>
      </c>
    </row>
    <row r="1110" ht="16.5" customHeight="1" s="17">
      <c r="B1110" s="16" t="n">
        <v>44187</v>
      </c>
      <c r="C1110" s="20">
        <f>TEXT(B1110,"aaa")</f>
        <v/>
      </c>
      <c r="D1110" s="20" t="inlineStr">
        <is>
          <t>카카오 배너</t>
        </is>
      </c>
      <c r="K1110" s="26">
        <f>3074159/1.1</f>
        <v/>
      </c>
    </row>
    <row r="1111" ht="16.5" customHeight="1" s="17">
      <c r="B1111" s="16" t="n">
        <v>44188</v>
      </c>
      <c r="C1111" s="20">
        <f>TEXT(B1111,"aaa")</f>
        <v/>
      </c>
      <c r="D1111" s="20" t="inlineStr">
        <is>
          <t>카카오 배너</t>
        </is>
      </c>
      <c r="K1111" s="26">
        <f>1780020/1.1</f>
        <v/>
      </c>
    </row>
    <row r="1112" ht="16.5" customHeight="1" s="17">
      <c r="B1112" s="16" t="n">
        <v>44189</v>
      </c>
      <c r="C1112" s="20">
        <f>TEXT(B1112,"aaa")</f>
        <v/>
      </c>
      <c r="D1112" s="20" t="inlineStr">
        <is>
          <t>카카오 배너</t>
        </is>
      </c>
      <c r="K1112" s="26">
        <f>2994585/1.1</f>
        <v/>
      </c>
    </row>
    <row r="1113" ht="16.5" customHeight="1" s="17">
      <c r="B1113" s="16" t="n">
        <v>44190</v>
      </c>
      <c r="C1113" s="20">
        <f>TEXT(B1113,"aaa")</f>
        <v/>
      </c>
      <c r="D1113" s="20" t="inlineStr">
        <is>
          <t>카카오 배너</t>
        </is>
      </c>
      <c r="K1113" s="26">
        <f>4236210/1.1</f>
        <v/>
      </c>
    </row>
    <row r="1114" ht="16.5" customHeight="1" s="17">
      <c r="B1114" s="16" t="n">
        <v>44191</v>
      </c>
      <c r="C1114" s="20">
        <f>TEXT(B1114,"aaa")</f>
        <v/>
      </c>
      <c r="D1114" s="20" t="inlineStr">
        <is>
          <t>카카오 배너</t>
        </is>
      </c>
      <c r="K1114" s="26">
        <f>4422649/1.1</f>
        <v/>
      </c>
    </row>
    <row r="1115" ht="16.5" customHeight="1" s="17">
      <c r="B1115" s="16" t="n">
        <v>44192</v>
      </c>
      <c r="C1115" s="20">
        <f>TEXT(B1115,"aaa")</f>
        <v/>
      </c>
      <c r="D1115" s="20" t="inlineStr">
        <is>
          <t>카카오 배너</t>
        </is>
      </c>
      <c r="K1115" s="26">
        <f>4219413/1.1</f>
        <v/>
      </c>
    </row>
    <row r="1116" ht="16.5" customHeight="1" s="17">
      <c r="B1116" s="16" t="n">
        <v>44193</v>
      </c>
      <c r="C1116" s="20">
        <f>TEXT(B1116,"aaa")</f>
        <v/>
      </c>
      <c r="D1116" s="20" t="inlineStr">
        <is>
          <t>카카오 배너</t>
        </is>
      </c>
      <c r="K1116" s="26">
        <f>2163458/1.1</f>
        <v/>
      </c>
    </row>
    <row r="1117" ht="16.5" customHeight="1" s="17">
      <c r="B1117" s="16" t="n">
        <v>44194</v>
      </c>
      <c r="C1117" s="20">
        <f>TEXT(B1117,"aaa")</f>
        <v/>
      </c>
      <c r="D1117" s="20" t="inlineStr">
        <is>
          <t>카카오 배너</t>
        </is>
      </c>
      <c r="K1117" s="26">
        <f>2086502/1.1</f>
        <v/>
      </c>
    </row>
    <row r="1118" ht="16.5" customHeight="1" s="17">
      <c r="B1118" s="16" t="n">
        <v>44195</v>
      </c>
      <c r="C1118" s="20">
        <f>TEXT(B1118,"aaa")</f>
        <v/>
      </c>
      <c r="D1118" s="20" t="inlineStr">
        <is>
          <t>카카오 배너</t>
        </is>
      </c>
      <c r="K1118" s="26">
        <f>1985610/1.1</f>
        <v/>
      </c>
    </row>
    <row r="1119" ht="16.5" customHeight="1" s="17">
      <c r="B1119" s="16" t="n">
        <v>44196</v>
      </c>
      <c r="C1119" s="20">
        <f>TEXT(B1119,"aaa")</f>
        <v/>
      </c>
      <c r="D1119" s="20" t="inlineStr">
        <is>
          <t>카카오 배너</t>
        </is>
      </c>
      <c r="K1119" s="26">
        <f>2238357/1.1</f>
        <v/>
      </c>
    </row>
    <row r="1120" ht="16.5" customHeight="1" s="17">
      <c r="B1120" s="16" t="n">
        <v>44197</v>
      </c>
      <c r="C1120" s="20">
        <f>TEXT(B1120,"aaa")</f>
        <v/>
      </c>
      <c r="D1120" s="20" t="inlineStr">
        <is>
          <t>카카오 배너</t>
        </is>
      </c>
      <c r="K1120" s="26">
        <f>5338465/1.1</f>
        <v/>
      </c>
    </row>
    <row r="1121" ht="16.5" customHeight="1" s="17">
      <c r="B1121" s="16" t="n">
        <v>44198</v>
      </c>
      <c r="C1121" s="20">
        <f>TEXT(B1121,"aaa")</f>
        <v/>
      </c>
      <c r="D1121" s="20" t="inlineStr">
        <is>
          <t>카카오 배너</t>
        </is>
      </c>
      <c r="K1121" s="26">
        <f>4880821/1.1</f>
        <v/>
      </c>
    </row>
    <row r="1122" ht="16.5" customHeight="1" s="17">
      <c r="B1122" s="16" t="n">
        <v>44199</v>
      </c>
      <c r="C1122" s="20">
        <f>TEXT(B1122,"aaa")</f>
        <v/>
      </c>
      <c r="D1122" s="20" t="inlineStr">
        <is>
          <t>카카오 배너</t>
        </is>
      </c>
      <c r="K1122" s="26">
        <f>4507107/1.1</f>
        <v/>
      </c>
    </row>
    <row r="1123" ht="16.5" customHeight="1" s="17">
      <c r="B1123" s="16" t="n">
        <v>44200</v>
      </c>
      <c r="C1123" s="20">
        <f>TEXT(B1123,"aaa")</f>
        <v/>
      </c>
      <c r="D1123" s="20" t="inlineStr">
        <is>
          <t>카카오 배너</t>
        </is>
      </c>
      <c r="K1123" s="26">
        <f>2617032/1.1</f>
        <v/>
      </c>
    </row>
    <row r="1124" ht="16.5" customHeight="1" s="17">
      <c r="B1124" s="16" t="n">
        <v>44201</v>
      </c>
      <c r="C1124" s="20">
        <f>TEXT(B1124,"aaa")</f>
        <v/>
      </c>
      <c r="D1124" s="20" t="inlineStr">
        <is>
          <t>카카오 배너</t>
        </is>
      </c>
      <c r="K1124" s="26">
        <f>2349226/1.1</f>
        <v/>
      </c>
    </row>
    <row r="1125" ht="16.5" customHeight="1" s="17">
      <c r="B1125" s="16" t="n">
        <v>44202</v>
      </c>
      <c r="C1125" s="20">
        <f>TEXT(B1125,"aaa")</f>
        <v/>
      </c>
      <c r="D1125" s="20" t="inlineStr">
        <is>
          <t>카카오 배너</t>
        </is>
      </c>
      <c r="K1125" s="26">
        <f>1960024/1.1</f>
        <v/>
      </c>
    </row>
    <row r="1126" ht="16.5" customHeight="1" s="17">
      <c r="B1126" s="16" t="n">
        <v>44203</v>
      </c>
      <c r="C1126" s="20">
        <f>TEXT(B1126,"aaa")</f>
        <v/>
      </c>
      <c r="D1126" s="20" t="inlineStr">
        <is>
          <t>카카오 배너</t>
        </is>
      </c>
      <c r="K1126" s="26">
        <f>1665785/1.1</f>
        <v/>
      </c>
    </row>
    <row r="1127" ht="16.5" customHeight="1" s="17">
      <c r="B1127" s="16" t="n">
        <v>44204</v>
      </c>
      <c r="C1127" s="20">
        <f>TEXT(B1127,"aaa")</f>
        <v/>
      </c>
      <c r="D1127" s="20" t="inlineStr">
        <is>
          <t>카카오 배너</t>
        </is>
      </c>
      <c r="K1127" s="26">
        <f>1684265/1.1</f>
        <v/>
      </c>
    </row>
    <row r="1128" ht="16.5" customHeight="1" s="17">
      <c r="B1128" s="16" t="n">
        <v>44205</v>
      </c>
      <c r="C1128" s="20">
        <f>TEXT(B1128,"aaa")</f>
        <v/>
      </c>
      <c r="D1128" s="20" t="inlineStr">
        <is>
          <t>카카오 배너</t>
        </is>
      </c>
      <c r="K1128" s="26">
        <f>2153426/1.1</f>
        <v/>
      </c>
    </row>
    <row r="1129" ht="16.5" customHeight="1" s="17">
      <c r="B1129" s="16" t="n">
        <v>44206</v>
      </c>
      <c r="C1129" s="20">
        <f>TEXT(B1129,"aaa")</f>
        <v/>
      </c>
      <c r="D1129" s="20" t="inlineStr">
        <is>
          <t>카카오 배너</t>
        </is>
      </c>
      <c r="K1129" s="26">
        <f>2163645/1.1</f>
        <v/>
      </c>
    </row>
    <row r="1130" ht="16.5" customHeight="1" s="17">
      <c r="B1130" s="16" t="n">
        <v>44207</v>
      </c>
      <c r="C1130" s="20">
        <f>TEXT(B1130,"aaa")</f>
        <v/>
      </c>
      <c r="D1130" s="20" t="inlineStr">
        <is>
          <t>카카오 배너</t>
        </is>
      </c>
      <c r="K1130" s="26">
        <f>1737219/1.1</f>
        <v/>
      </c>
    </row>
    <row r="1131" ht="16.5" customHeight="1" s="17">
      <c r="B1131" s="16" t="n">
        <v>44208</v>
      </c>
      <c r="C1131" s="20">
        <f>TEXT(B1131,"aaa")</f>
        <v/>
      </c>
      <c r="D1131" s="20" t="inlineStr">
        <is>
          <t>카카오 배너</t>
        </is>
      </c>
      <c r="K1131" s="26">
        <f>1303467/1.1</f>
        <v/>
      </c>
    </row>
    <row r="1132" ht="16.5" customHeight="1" s="17">
      <c r="B1132" s="16" t="n">
        <v>44209</v>
      </c>
      <c r="C1132" s="20">
        <f>TEXT(B1132,"aaa")</f>
        <v/>
      </c>
      <c r="D1132" s="20" t="inlineStr">
        <is>
          <t>카카오 배너</t>
        </is>
      </c>
      <c r="K1132" s="26">
        <f>2734809/1.1</f>
        <v/>
      </c>
    </row>
    <row r="1133" ht="16.5" customHeight="1" s="17">
      <c r="B1133" s="16" t="n">
        <v>44210</v>
      </c>
      <c r="C1133" s="20">
        <f>TEXT(B1133,"aaa")</f>
        <v/>
      </c>
      <c r="D1133" s="20" t="inlineStr">
        <is>
          <t>카카오 배너</t>
        </is>
      </c>
      <c r="K1133" s="26">
        <f>1971475/1.1</f>
        <v/>
      </c>
    </row>
    <row r="1134" ht="16.5" customHeight="1" s="17">
      <c r="B1134" s="16" t="n">
        <v>44211</v>
      </c>
      <c r="C1134" s="20">
        <f>TEXT(B1134,"aaa")</f>
        <v/>
      </c>
      <c r="D1134" s="20" t="inlineStr">
        <is>
          <t>카카오 배너</t>
        </is>
      </c>
      <c r="K1134" s="26">
        <f>1954865/1.1</f>
        <v/>
      </c>
    </row>
    <row r="1135" ht="16.5" customHeight="1" s="17">
      <c r="B1135" s="16" t="n">
        <v>44212</v>
      </c>
      <c r="C1135" s="20">
        <f>TEXT(B1135,"aaa")</f>
        <v/>
      </c>
      <c r="D1135" s="20" t="inlineStr">
        <is>
          <t>카카오 배너</t>
        </is>
      </c>
      <c r="K1135" s="26">
        <f>1834261/1.1</f>
        <v/>
      </c>
    </row>
    <row r="1136" ht="16.5" customHeight="1" s="17">
      <c r="B1136" s="16" t="n">
        <v>44213</v>
      </c>
      <c r="C1136" s="20">
        <f>TEXT(B1136,"aaa")</f>
        <v/>
      </c>
      <c r="D1136" s="20" t="inlineStr">
        <is>
          <t>카카오 배너</t>
        </is>
      </c>
      <c r="K1136" s="26">
        <f>2528977/1.1</f>
        <v/>
      </c>
    </row>
    <row r="1137" ht="16.5" customHeight="1" s="17">
      <c r="B1137" s="16" t="n">
        <v>44214</v>
      </c>
      <c r="C1137" s="20">
        <f>TEXT(B1137,"aaa")</f>
        <v/>
      </c>
      <c r="D1137" s="20" t="inlineStr">
        <is>
          <t>카카오 배너</t>
        </is>
      </c>
      <c r="K1137" s="26">
        <f>1627186/1.1</f>
        <v/>
      </c>
    </row>
    <row r="1138" ht="16.5" customHeight="1" s="17">
      <c r="B1138" s="16" t="n">
        <v>44215</v>
      </c>
      <c r="C1138" s="20">
        <f>TEXT(B1138,"aaa")</f>
        <v/>
      </c>
      <c r="D1138" s="20" t="inlineStr">
        <is>
          <t>카카오 배너</t>
        </is>
      </c>
      <c r="K1138" s="26">
        <f>1384944/1.1</f>
        <v/>
      </c>
    </row>
    <row r="1139" ht="16.5" customHeight="1" s="17">
      <c r="B1139" s="16" t="n">
        <v>44216</v>
      </c>
      <c r="C1139" s="20">
        <f>TEXT(B1139,"aaa")</f>
        <v/>
      </c>
      <c r="D1139" s="20" t="inlineStr">
        <is>
          <t>카카오 배너</t>
        </is>
      </c>
      <c r="K1139" s="26" t="n">
        <v>1384460</v>
      </c>
    </row>
    <row r="1140" ht="16.5" customHeight="1" s="17">
      <c r="B1140" s="16" t="n">
        <v>44217</v>
      </c>
      <c r="C1140" s="20">
        <f>TEXT(B1140,"aaa")</f>
        <v/>
      </c>
      <c r="D1140" s="20" t="inlineStr">
        <is>
          <t>카카오 배너</t>
        </is>
      </c>
      <c r="K1140" s="26">
        <f>1756843/1.1</f>
        <v/>
      </c>
    </row>
    <row r="1141" ht="16.5" customHeight="1" s="17">
      <c r="B1141" s="16" t="n">
        <v>44218</v>
      </c>
      <c r="C1141" s="20">
        <f>TEXT(B1141,"aaa")</f>
        <v/>
      </c>
      <c r="D1141" s="20" t="inlineStr">
        <is>
          <t>카카오 배너</t>
        </is>
      </c>
      <c r="K1141" s="26">
        <f>1361822/1.1</f>
        <v/>
      </c>
    </row>
    <row r="1142" ht="16.5" customHeight="1" s="17">
      <c r="B1142" s="16" t="n">
        <v>44219</v>
      </c>
      <c r="C1142" s="20">
        <f>TEXT(B1142,"aaa")</f>
        <v/>
      </c>
      <c r="D1142" s="20" t="inlineStr">
        <is>
          <t>카카오 배너</t>
        </is>
      </c>
      <c r="K1142" s="26">
        <f>1752300/1.1</f>
        <v/>
      </c>
    </row>
    <row r="1143" ht="16.5" customHeight="1" s="17">
      <c r="B1143" s="16" t="n">
        <v>44220</v>
      </c>
      <c r="C1143" s="20">
        <f>TEXT(B1143,"aaa")</f>
        <v/>
      </c>
      <c r="D1143" s="20" t="inlineStr">
        <is>
          <t>카카오 배너</t>
        </is>
      </c>
      <c r="K1143" s="26">
        <f>1800612/1.1</f>
        <v/>
      </c>
    </row>
    <row r="1144" ht="16.5" customHeight="1" s="17">
      <c r="B1144" s="16" t="n">
        <v>44221</v>
      </c>
      <c r="C1144" s="20">
        <f>TEXT(B1144,"aaa")</f>
        <v/>
      </c>
      <c r="D1144" s="20" t="inlineStr">
        <is>
          <t>카카오 배너</t>
        </is>
      </c>
      <c r="K1144" s="26">
        <f>970849/1.1</f>
        <v/>
      </c>
    </row>
    <row r="1145" ht="16.5" customHeight="1" s="17">
      <c r="B1145" s="16" t="n">
        <v>44222</v>
      </c>
      <c r="C1145" s="20">
        <f>TEXT(B1145,"aaa")</f>
        <v/>
      </c>
      <c r="D1145" s="20" t="inlineStr">
        <is>
          <t>카카오 배너</t>
        </is>
      </c>
      <c r="K1145" s="26">
        <f>968187/1.1</f>
        <v/>
      </c>
    </row>
    <row r="1146" ht="16.5" customHeight="1" s="17">
      <c r="B1146" s="16" t="n">
        <v>44223</v>
      </c>
      <c r="C1146" s="20">
        <f>TEXT(B1146,"aaa")</f>
        <v/>
      </c>
      <c r="D1146" s="20" t="inlineStr">
        <is>
          <t>카카오 배너</t>
        </is>
      </c>
      <c r="K1146" s="26">
        <f>1073930/1.1</f>
        <v/>
      </c>
    </row>
    <row r="1147" ht="16.5" customHeight="1" s="17">
      <c r="B1147" s="16" t="n">
        <v>44224</v>
      </c>
      <c r="C1147" s="20">
        <f>TEXT(B1147,"aaa")</f>
        <v/>
      </c>
      <c r="D1147" s="20" t="inlineStr">
        <is>
          <t>카카오 배너</t>
        </is>
      </c>
      <c r="K1147" s="26">
        <f>1130646/1.1</f>
        <v/>
      </c>
    </row>
    <row r="1148" ht="16.5" customHeight="1" s="17">
      <c r="B1148" s="16" t="n">
        <v>44225</v>
      </c>
      <c r="C1148" s="20">
        <f>TEXT(B1148,"aaa")</f>
        <v/>
      </c>
      <c r="D1148" s="20" t="inlineStr">
        <is>
          <t>카카오 배너</t>
        </is>
      </c>
      <c r="K1148" s="26">
        <f>855602/1.1</f>
        <v/>
      </c>
    </row>
    <row r="1149" ht="16.5" customHeight="1" s="17">
      <c r="B1149" s="16" t="n">
        <v>44226</v>
      </c>
      <c r="C1149" s="20">
        <f>TEXT(B1149,"aaa")</f>
        <v/>
      </c>
      <c r="D1149" s="20" t="inlineStr">
        <is>
          <t>카카오 배너</t>
        </is>
      </c>
      <c r="K1149" s="26">
        <f>913308/1.1</f>
        <v/>
      </c>
    </row>
    <row r="1150" ht="16.5" customHeight="1" s="17">
      <c r="B1150" s="16" t="n">
        <v>44227</v>
      </c>
      <c r="C1150" s="20">
        <f>TEXT(B1150,"aaa")</f>
        <v/>
      </c>
      <c r="D1150" s="20" t="inlineStr">
        <is>
          <t>카카오 배너</t>
        </is>
      </c>
      <c r="K1150" s="26">
        <f>1193852/1.1</f>
        <v/>
      </c>
    </row>
    <row r="1151" ht="16.5" customHeight="1" s="17">
      <c r="B1151" s="16" t="n">
        <v>44228</v>
      </c>
      <c r="C1151" s="20">
        <f>TEXT(B1151,"aaa")</f>
        <v/>
      </c>
      <c r="D1151" s="20" t="inlineStr">
        <is>
          <t>카카오 배너</t>
        </is>
      </c>
      <c r="K1151" s="26">
        <f>971014/1.1</f>
        <v/>
      </c>
    </row>
    <row r="1152" ht="16.5" customHeight="1" s="17">
      <c r="B1152" s="16" t="n">
        <v>44229</v>
      </c>
      <c r="C1152" s="20">
        <f>TEXT(B1152,"aaa")</f>
        <v/>
      </c>
      <c r="D1152" s="20" t="inlineStr">
        <is>
          <t>카카오 배너</t>
        </is>
      </c>
      <c r="K1152" s="26">
        <f>1028896/1.1</f>
        <v/>
      </c>
    </row>
    <row r="1153" ht="16.5" customHeight="1" s="17">
      <c r="B1153" s="16" t="n">
        <v>44230</v>
      </c>
      <c r="C1153" s="20">
        <f>TEXT(B1153,"aaa")</f>
        <v/>
      </c>
      <c r="D1153" s="20" t="inlineStr">
        <is>
          <t>카카오 배너</t>
        </is>
      </c>
      <c r="K1153" s="26">
        <f>717618/1.1</f>
        <v/>
      </c>
    </row>
    <row r="1154" ht="16.5" customHeight="1" s="17">
      <c r="B1154" s="16" t="n">
        <v>44231</v>
      </c>
      <c r="C1154" s="20">
        <f>TEXT(B1154,"aaa")</f>
        <v/>
      </c>
      <c r="D1154" s="20" t="inlineStr">
        <is>
          <t>카카오 배너</t>
        </is>
      </c>
      <c r="K1154" s="26">
        <f>867867/1.1</f>
        <v/>
      </c>
    </row>
    <row r="1155" ht="16.5" customHeight="1" s="17">
      <c r="B1155" s="16" t="n">
        <v>44232</v>
      </c>
      <c r="C1155" s="20">
        <f>TEXT(B1155,"aaa")</f>
        <v/>
      </c>
      <c r="D1155" s="20" t="inlineStr">
        <is>
          <t>카카오 배너</t>
        </is>
      </c>
      <c r="K1155" s="26">
        <f>726154/1.1</f>
        <v/>
      </c>
    </row>
    <row r="1156" ht="16.5" customHeight="1" s="17">
      <c r="B1156" s="16" t="n">
        <v>44233</v>
      </c>
      <c r="C1156" s="20">
        <f>TEXT(B1156,"aaa")</f>
        <v/>
      </c>
      <c r="D1156" s="20" t="inlineStr">
        <is>
          <t>카카오 배너</t>
        </is>
      </c>
      <c r="K1156" s="26">
        <f>1100341/1.1</f>
        <v/>
      </c>
    </row>
    <row r="1157" ht="16.5" customHeight="1" s="17">
      <c r="B1157" s="16" t="n">
        <v>44234</v>
      </c>
      <c r="C1157" s="20">
        <f>TEXT(B1157,"aaa")</f>
        <v/>
      </c>
      <c r="D1157" s="20" t="inlineStr">
        <is>
          <t>카카오 배너</t>
        </is>
      </c>
      <c r="K1157" s="26">
        <f>1220120/1.1</f>
        <v/>
      </c>
    </row>
    <row r="1158" ht="16.5" customHeight="1" s="17">
      <c r="B1158" s="16" t="n">
        <v>44235</v>
      </c>
      <c r="C1158" s="20">
        <f>TEXT(B1158,"aaa")</f>
        <v/>
      </c>
      <c r="D1158" s="20" t="inlineStr">
        <is>
          <t>카카오 배너</t>
        </is>
      </c>
      <c r="K1158" s="26">
        <f>672749/1.1</f>
        <v/>
      </c>
    </row>
    <row r="1159" ht="16.5" customHeight="1" s="17">
      <c r="B1159" s="16" t="n">
        <v>44236</v>
      </c>
      <c r="C1159" s="20">
        <f>TEXT(B1159,"aaa")</f>
        <v/>
      </c>
      <c r="D1159" s="20" t="inlineStr">
        <is>
          <t>카카오 배너</t>
        </is>
      </c>
      <c r="K1159" s="26">
        <f>791560/1.1</f>
        <v/>
      </c>
    </row>
    <row r="1160" ht="17.85" customHeight="1" s="17">
      <c r="B1160" s="16" t="n">
        <v>44180</v>
      </c>
      <c r="C1160" s="20">
        <f>TEXT(B1160,"aaa")</f>
        <v/>
      </c>
      <c r="D1160" s="20" t="inlineStr">
        <is>
          <t>카카오 메시지</t>
        </is>
      </c>
      <c r="K1160" s="26">
        <f>408507/1.1</f>
        <v/>
      </c>
    </row>
    <row r="1161" ht="16.5" customHeight="1" s="17">
      <c r="B1161" s="16" t="n">
        <v>44181</v>
      </c>
      <c r="C1161" s="20">
        <f>TEXT(B1161,"aaa")</f>
        <v/>
      </c>
      <c r="D1161" s="20" t="inlineStr">
        <is>
          <t>카카오 메시지</t>
        </is>
      </c>
      <c r="K1161" s="26">
        <f>612348/1.1</f>
        <v/>
      </c>
    </row>
    <row r="1162" ht="16.5" customHeight="1" s="17">
      <c r="B1162" s="16" t="n">
        <v>44230</v>
      </c>
      <c r="C1162" s="20">
        <f>TEXT(B1162,"aaa")</f>
        <v/>
      </c>
      <c r="D1162" s="20" t="inlineStr">
        <is>
          <t>카카오 메시지</t>
        </is>
      </c>
      <c r="K1162" s="26">
        <f>724746/1.1</f>
        <v/>
      </c>
    </row>
    <row r="1163" ht="16.5" customHeight="1" s="17">
      <c r="B1163" s="16" t="n">
        <v>44202</v>
      </c>
      <c r="C1163" s="20">
        <f>TEXT(B1163,"aaa")</f>
        <v/>
      </c>
      <c r="D1163" s="20" t="inlineStr">
        <is>
          <t>유튜브 광고</t>
        </is>
      </c>
      <c r="K1163" s="26" t="n">
        <v>103000</v>
      </c>
    </row>
    <row r="1164" ht="16.5" customHeight="1" s="17">
      <c r="B1164" s="16" t="n">
        <v>44203</v>
      </c>
      <c r="C1164" s="20">
        <f>TEXT(B1164,"aaa")</f>
        <v/>
      </c>
      <c r="D1164" s="20" t="inlineStr">
        <is>
          <t>유튜브 광고</t>
        </is>
      </c>
      <c r="K1164" s="26" t="n">
        <v>153214</v>
      </c>
    </row>
    <row r="1165" ht="16.5" customHeight="1" s="17">
      <c r="B1165" s="16" t="n">
        <v>44204</v>
      </c>
      <c r="C1165" s="20">
        <f>TEXT(B1165,"aaa")</f>
        <v/>
      </c>
      <c r="D1165" s="20" t="inlineStr">
        <is>
          <t>유튜브 광고</t>
        </is>
      </c>
      <c r="K1165" s="26" t="n">
        <v>176357</v>
      </c>
    </row>
    <row r="1166" ht="16.5" customHeight="1" s="17">
      <c r="B1166" s="16" t="n">
        <v>44205</v>
      </c>
      <c r="C1166" s="20">
        <f>TEXT(B1166,"aaa")</f>
        <v/>
      </c>
      <c r="D1166" s="20" t="inlineStr">
        <is>
          <t>유튜브 광고</t>
        </is>
      </c>
      <c r="K1166" s="26" t="n">
        <v>391660</v>
      </c>
    </row>
    <row r="1167" ht="16.5" customHeight="1" s="17">
      <c r="B1167" s="16" t="n">
        <v>44206</v>
      </c>
      <c r="C1167" s="20">
        <f>TEXT(B1167,"aaa")</f>
        <v/>
      </c>
      <c r="D1167" s="20" t="inlineStr">
        <is>
          <t>유튜브 광고</t>
        </is>
      </c>
      <c r="K1167" s="26" t="n">
        <v>254181</v>
      </c>
    </row>
    <row r="1168" ht="16.5" customHeight="1" s="17">
      <c r="B1168" s="16" t="n">
        <v>44207</v>
      </c>
      <c r="C1168" s="20">
        <f>TEXT(B1168,"aaa")</f>
        <v/>
      </c>
      <c r="D1168" s="20" t="inlineStr">
        <is>
          <t>유튜브 광고</t>
        </is>
      </c>
      <c r="K1168" s="26" t="n">
        <v>425895</v>
      </c>
    </row>
    <row r="1169" ht="16.5" customHeight="1" s="17">
      <c r="B1169" s="16" t="n">
        <v>44208</v>
      </c>
      <c r="C1169" s="20">
        <f>TEXT(B1169,"aaa")</f>
        <v/>
      </c>
      <c r="D1169" s="20" t="inlineStr">
        <is>
          <t>유튜브 광고</t>
        </is>
      </c>
      <c r="K1169" s="26" t="n">
        <v>241159</v>
      </c>
    </row>
    <row r="1170" ht="16.5" customHeight="1" s="17">
      <c r="B1170" s="16" t="n">
        <v>44209</v>
      </c>
      <c r="C1170" s="20">
        <f>TEXT(B1170,"aaa")</f>
        <v/>
      </c>
      <c r="D1170" s="20" t="inlineStr">
        <is>
          <t>유튜브 광고</t>
        </is>
      </c>
      <c r="K1170" s="26" t="n">
        <v>2250454</v>
      </c>
    </row>
    <row r="1171" ht="16.5" customHeight="1" s="17">
      <c r="B1171" s="16" t="n">
        <v>44210</v>
      </c>
      <c r="C1171" s="20">
        <f>TEXT(B1171,"aaa")</f>
        <v/>
      </c>
      <c r="D1171" s="20" t="inlineStr">
        <is>
          <t>유튜브 광고</t>
        </is>
      </c>
      <c r="K1171" s="26" t="n">
        <v>634289</v>
      </c>
    </row>
    <row r="1172" ht="16.5" customHeight="1" s="17">
      <c r="B1172" s="16" t="n">
        <v>44211</v>
      </c>
      <c r="C1172" s="20">
        <f>TEXT(B1172,"aaa")</f>
        <v/>
      </c>
      <c r="D1172" s="20" t="inlineStr">
        <is>
          <t>유튜브 광고</t>
        </is>
      </c>
      <c r="K1172" s="26" t="n">
        <v>711620</v>
      </c>
    </row>
    <row r="1173" ht="16.5" customHeight="1" s="17">
      <c r="B1173" s="16" t="n">
        <v>44212</v>
      </c>
      <c r="C1173" s="20">
        <f>TEXT(B1173,"aaa")</f>
        <v/>
      </c>
      <c r="D1173" s="20" t="inlineStr">
        <is>
          <t>유튜브 광고</t>
        </is>
      </c>
      <c r="K1173" s="26" t="n">
        <v>1040116</v>
      </c>
    </row>
    <row r="1174" ht="16.5" customHeight="1" s="17">
      <c r="B1174" s="16" t="n">
        <v>44213</v>
      </c>
      <c r="C1174" s="20">
        <f>TEXT(B1174,"aaa")</f>
        <v/>
      </c>
      <c r="D1174" s="20" t="inlineStr">
        <is>
          <t>유튜브 광고</t>
        </is>
      </c>
      <c r="K1174" s="14" t="n">
        <v>1039757</v>
      </c>
    </row>
    <row r="1175" ht="16.5" customHeight="1" s="17">
      <c r="B1175" s="16" t="n">
        <v>44214</v>
      </c>
      <c r="C1175" s="20">
        <f>TEXT(B1175,"aaa")</f>
        <v/>
      </c>
      <c r="D1175" s="20" t="inlineStr">
        <is>
          <t>유튜브 광고</t>
        </is>
      </c>
      <c r="K1175" s="26" t="n">
        <v>995070</v>
      </c>
    </row>
    <row r="1176" ht="16.5" customHeight="1" s="17">
      <c r="B1176" s="16" t="n">
        <v>44215</v>
      </c>
      <c r="C1176" s="20">
        <f>TEXT(B1176,"aaa")</f>
        <v/>
      </c>
      <c r="D1176" s="20" t="inlineStr">
        <is>
          <t>유튜브 광고</t>
        </is>
      </c>
      <c r="K1176" s="26" t="n">
        <v>1184823</v>
      </c>
    </row>
    <row r="1177" ht="16.5" customHeight="1" s="17">
      <c r="B1177" s="16" t="n">
        <v>44216</v>
      </c>
      <c r="C1177" s="20">
        <f>TEXT(B1177,"aaa")</f>
        <v/>
      </c>
      <c r="D1177" s="20" t="inlineStr">
        <is>
          <t>유튜브 광고</t>
        </is>
      </c>
      <c r="K1177" s="26" t="n">
        <v>1124987</v>
      </c>
    </row>
    <row r="1178" ht="16.5" customHeight="1" s="17">
      <c r="B1178" s="16" t="n">
        <v>44217</v>
      </c>
      <c r="C1178" s="20">
        <f>TEXT(B1178,"aaa")</f>
        <v/>
      </c>
      <c r="D1178" s="20" t="inlineStr">
        <is>
          <t>유튜브 광고</t>
        </is>
      </c>
      <c r="K1178" s="26" t="n">
        <v>998487</v>
      </c>
    </row>
    <row r="1179" ht="16.5" customHeight="1" s="17">
      <c r="B1179" s="16" t="n">
        <v>44218</v>
      </c>
      <c r="C1179" s="20">
        <f>TEXT(B1179,"aaa")</f>
        <v/>
      </c>
      <c r="D1179" s="20" t="inlineStr">
        <is>
          <t>유튜브 광고</t>
        </is>
      </c>
      <c r="K1179" s="26" t="n">
        <v>1090925</v>
      </c>
    </row>
    <row r="1180" ht="16.5" customHeight="1" s="17">
      <c r="B1180" s="16" t="n">
        <v>44219</v>
      </c>
      <c r="C1180" s="20">
        <f>TEXT(B1180,"aaa")</f>
        <v/>
      </c>
      <c r="D1180" s="20" t="inlineStr">
        <is>
          <t>유튜브 광고</t>
        </is>
      </c>
      <c r="K1180" s="26" t="n">
        <v>2721234</v>
      </c>
    </row>
    <row r="1181" ht="16.5" customHeight="1" s="17">
      <c r="B1181" s="16" t="n">
        <v>44220</v>
      </c>
      <c r="C1181" s="20">
        <f>TEXT(B1181,"aaa")</f>
        <v/>
      </c>
      <c r="D1181" s="20" t="inlineStr">
        <is>
          <t>유튜브 광고</t>
        </is>
      </c>
      <c r="K1181" s="26" t="n">
        <v>2278917</v>
      </c>
    </row>
    <row r="1182" ht="16.5" customHeight="1" s="17">
      <c r="B1182" s="16" t="n">
        <v>44221</v>
      </c>
      <c r="C1182" s="20">
        <f>TEXT(B1182,"aaa")</f>
        <v/>
      </c>
      <c r="D1182" s="20" t="inlineStr">
        <is>
          <t>유튜브 광고</t>
        </is>
      </c>
      <c r="K1182" s="26" t="n">
        <v>1545447</v>
      </c>
    </row>
    <row r="1183" ht="16.5" customHeight="1" s="17">
      <c r="B1183" s="16" t="n">
        <v>44222</v>
      </c>
      <c r="C1183" s="20">
        <f>TEXT(B1183,"aaa")</f>
        <v/>
      </c>
      <c r="D1183" s="20" t="inlineStr">
        <is>
          <t>유튜브 광고</t>
        </is>
      </c>
      <c r="K1183" s="26" t="n">
        <v>1490986</v>
      </c>
    </row>
    <row r="1184" ht="16.5" customHeight="1" s="17">
      <c r="B1184" s="16" t="n">
        <v>44223</v>
      </c>
      <c r="C1184" s="20">
        <f>TEXT(B1184,"aaa")</f>
        <v/>
      </c>
      <c r="D1184" s="20" t="inlineStr">
        <is>
          <t>유튜브 광고</t>
        </is>
      </c>
      <c r="K1184" s="26" t="n">
        <v>1554382</v>
      </c>
    </row>
    <row r="1185" ht="16.5" customHeight="1" s="17">
      <c r="B1185" s="16" t="n">
        <v>44224</v>
      </c>
      <c r="C1185" s="20">
        <f>TEXT(B1185,"aaa")</f>
        <v/>
      </c>
      <c r="D1185" s="20" t="inlineStr">
        <is>
          <t>유튜브 광고</t>
        </is>
      </c>
      <c r="K1185" s="26" t="n">
        <v>1611620</v>
      </c>
    </row>
    <row r="1186" ht="16.5" customHeight="1" s="17">
      <c r="B1186" s="16" t="n">
        <v>44225</v>
      </c>
      <c r="C1186" s="20">
        <f>TEXT(B1186,"aaa")</f>
        <v/>
      </c>
      <c r="D1186" s="20" t="inlineStr">
        <is>
          <t>유튜브 광고</t>
        </is>
      </c>
      <c r="K1186" s="26" t="n">
        <v>1517415</v>
      </c>
    </row>
    <row r="1187" ht="16.5" customHeight="1" s="17">
      <c r="B1187" s="16" t="n">
        <v>44226</v>
      </c>
      <c r="C1187" s="20">
        <f>TEXT(B1187,"aaa")</f>
        <v/>
      </c>
      <c r="D1187" s="20" t="inlineStr">
        <is>
          <t>유튜브 광고</t>
        </is>
      </c>
      <c r="K1187" s="26" t="n">
        <v>2105413</v>
      </c>
    </row>
    <row r="1188" ht="16.5" customHeight="1" s="17">
      <c r="B1188" s="16" t="n">
        <v>44227</v>
      </c>
      <c r="C1188" s="20">
        <f>TEXT(B1188,"aaa")</f>
        <v/>
      </c>
      <c r="D1188" s="20" t="inlineStr">
        <is>
          <t>유튜브 광고</t>
        </is>
      </c>
      <c r="K1188" s="26" t="n">
        <v>2267119</v>
      </c>
    </row>
    <row r="1189" ht="16.5" customHeight="1" s="17">
      <c r="B1189" s="16" t="n">
        <v>44228</v>
      </c>
      <c r="C1189" s="20">
        <f>TEXT(B1189,"aaa")</f>
        <v/>
      </c>
      <c r="D1189" s="20" t="inlineStr">
        <is>
          <t>유튜브 광고</t>
        </is>
      </c>
      <c r="K1189" s="26" t="n">
        <v>1839049</v>
      </c>
    </row>
    <row r="1190" ht="16.5" customHeight="1" s="17">
      <c r="B1190" s="16" t="n">
        <v>44229</v>
      </c>
      <c r="C1190" s="20">
        <f>TEXT(B1190,"aaa")</f>
        <v/>
      </c>
      <c r="D1190" s="20" t="inlineStr">
        <is>
          <t>유튜브 광고</t>
        </is>
      </c>
      <c r="K1190" s="26" t="n">
        <v>2112342</v>
      </c>
    </row>
    <row r="1191" ht="16.5" customHeight="1" s="17">
      <c r="B1191" s="16" t="n">
        <v>44230</v>
      </c>
      <c r="C1191" s="20">
        <f>TEXT(B1191,"aaa")</f>
        <v/>
      </c>
      <c r="D1191" s="20" t="inlineStr">
        <is>
          <t>유튜브 광고</t>
        </is>
      </c>
      <c r="K1191" s="26" t="n">
        <v>2251847</v>
      </c>
    </row>
    <row r="1192" ht="16.5" customHeight="1" s="17">
      <c r="B1192" s="16" t="n">
        <v>44231</v>
      </c>
      <c r="C1192" s="20">
        <f>TEXT(B1192,"aaa")</f>
        <v/>
      </c>
      <c r="D1192" s="20" t="inlineStr">
        <is>
          <t>유튜브 광고</t>
        </is>
      </c>
      <c r="K1192" s="26" t="n">
        <v>2137117</v>
      </c>
    </row>
    <row r="1193" ht="16.5" customHeight="1" s="17">
      <c r="B1193" s="16" t="n">
        <v>44232</v>
      </c>
      <c r="C1193" s="20">
        <f>TEXT(B1193,"aaa")</f>
        <v/>
      </c>
      <c r="D1193" s="20" t="inlineStr">
        <is>
          <t>유튜브 광고</t>
        </is>
      </c>
      <c r="K1193" s="26" t="n">
        <v>1917100</v>
      </c>
    </row>
    <row r="1194" ht="16.5" customHeight="1" s="17">
      <c r="B1194" s="16" t="n">
        <v>44233</v>
      </c>
      <c r="C1194" s="20">
        <f>TEXT(B1194,"aaa")</f>
        <v/>
      </c>
      <c r="D1194" s="20" t="inlineStr">
        <is>
          <t>유튜브 광고</t>
        </is>
      </c>
      <c r="K1194" s="26" t="n">
        <v>1957793</v>
      </c>
    </row>
    <row r="1195" ht="16.5" customHeight="1" s="17">
      <c r="B1195" s="16" t="n">
        <v>44234</v>
      </c>
      <c r="C1195" s="20">
        <f>TEXT(B1195,"aaa")</f>
        <v/>
      </c>
      <c r="D1195" s="20" t="inlineStr">
        <is>
          <t>유튜브 광고</t>
        </is>
      </c>
      <c r="K1195" s="26" t="n">
        <v>2237102</v>
      </c>
    </row>
    <row r="1196" ht="16.5" customHeight="1" s="17">
      <c r="B1196" s="16" t="n">
        <v>44235</v>
      </c>
      <c r="C1196" s="20">
        <f>TEXT(B1196,"aaa")</f>
        <v/>
      </c>
      <c r="D1196" s="20" t="inlineStr">
        <is>
          <t>유튜브 광고</t>
        </is>
      </c>
      <c r="K1196" s="26" t="n">
        <v>2052221</v>
      </c>
    </row>
    <row r="1197" ht="16.5" customHeight="1" s="17">
      <c r="B1197" s="16" t="n">
        <v>44236</v>
      </c>
      <c r="C1197" s="20">
        <f>TEXT(B1197,"aaa")</f>
        <v/>
      </c>
      <c r="D1197" s="20" t="inlineStr">
        <is>
          <t>유튜브 광고</t>
        </is>
      </c>
      <c r="K1197" s="26" t="n">
        <v>2208020</v>
      </c>
    </row>
    <row r="1198" ht="16.5" customHeight="1" s="17">
      <c r="K1198" s="26" t="n"/>
    </row>
    <row r="1199" ht="16.5" customHeight="1" s="17">
      <c r="K1199" s="26" t="n"/>
    </row>
    <row r="1200" ht="16.5" customHeight="1" s="17">
      <c r="K1200" s="26" t="n"/>
    </row>
    <row r="1201" ht="16.5" customHeight="1" s="17">
      <c r="K1201" s="26" t="n"/>
    </row>
    <row r="1202" ht="16.5" customHeight="1" s="17">
      <c r="K1202" s="26" t="n"/>
    </row>
    <row r="1203" ht="16.5" customHeight="1" s="17">
      <c r="K1203" s="26" t="n"/>
    </row>
    <row r="1204" ht="16.5" customHeight="1" s="17">
      <c r="K1204" s="26" t="n"/>
    </row>
    <row r="1205" ht="16.5" customHeight="1" s="17">
      <c r="K1205" s="26" t="n"/>
    </row>
    <row r="1206" ht="16.5" customHeight="1" s="17">
      <c r="K1206" s="26" t="n"/>
    </row>
    <row r="1207" ht="16.5" customHeight="1" s="17">
      <c r="K1207" s="26" t="n"/>
    </row>
    <row r="1208" ht="16.5" customHeight="1" s="17">
      <c r="K1208" s="26" t="n"/>
    </row>
    <row r="1209" ht="16.5" customHeight="1" s="17">
      <c r="K1209" s="26" t="n"/>
    </row>
    <row r="1210" ht="16.5" customHeight="1" s="17">
      <c r="K1210" s="26" t="n"/>
    </row>
    <row r="1211" ht="16.5" customHeight="1" s="17">
      <c r="K1211" s="26" t="n"/>
    </row>
    <row r="1212" ht="16.5" customHeight="1" s="17">
      <c r="K1212" s="26" t="n"/>
    </row>
    <row r="1213" ht="15.6" customHeight="1" s="17">
      <c r="B1213" s="16" t="n">
        <v>43973</v>
      </c>
      <c r="C1213" s="20" t="inlineStr">
        <is>
          <t>금</t>
        </is>
      </c>
      <c r="E1213" s="20" t="inlineStr">
        <is>
          <t>고체향수</t>
        </is>
      </c>
      <c r="F1213" s="20" t="inlineStr">
        <is>
          <t>카페24</t>
        </is>
      </c>
      <c r="H1213" s="20" t="n">
        <v>2</v>
      </c>
      <c r="I1213" s="20" t="inlineStr">
        <is>
          <t>이그나이트</t>
        </is>
      </c>
      <c r="J1213" s="20" t="n">
        <v>200520</v>
      </c>
      <c r="L1213" s="20">
        <f>VLOOKUP($O1213,매칭테이블!$G:$J,2,0)*H1213</f>
        <v/>
      </c>
      <c r="M1213" s="20">
        <f>L1213-L1213*VLOOKUP($O1213,매칭테이블!$G:$J,3,0)</f>
        <v/>
      </c>
      <c r="N1213" s="20">
        <f>VLOOKUP($O1213,매칭테이블!$G:$J,4,0)*H1213</f>
        <v/>
      </c>
      <c r="O1213" s="20">
        <f>F1213&amp;E1213&amp;I1213&amp;J1213</f>
        <v/>
      </c>
    </row>
    <row r="1214" ht="16.5" customHeight="1" s="17">
      <c r="B1214" s="16" t="n">
        <v>43974</v>
      </c>
      <c r="C1214" s="20" t="inlineStr">
        <is>
          <t>토</t>
        </is>
      </c>
      <c r="E1214" s="20" t="inlineStr">
        <is>
          <t>고체향수</t>
        </is>
      </c>
      <c r="F1214" s="20" t="inlineStr">
        <is>
          <t>카페24</t>
        </is>
      </c>
      <c r="H1214" s="20" t="n">
        <v>1</v>
      </c>
      <c r="I1214" s="20" t="inlineStr">
        <is>
          <t>스테이포에버</t>
        </is>
      </c>
      <c r="J1214" s="20" t="n">
        <v>200520</v>
      </c>
      <c r="L1214" s="20">
        <f>VLOOKUP($O1214,매칭테이블!$G:$J,2,0)*H1214</f>
        <v/>
      </c>
      <c r="M1214" s="20">
        <f>L1214-L1214*VLOOKUP($O1214,매칭테이블!$G:$J,3,0)</f>
        <v/>
      </c>
      <c r="N1214" s="20">
        <f>VLOOKUP($O1214,매칭테이블!$G:$J,4,0)*H1214</f>
        <v/>
      </c>
      <c r="O1214" s="20">
        <f>F1214&amp;E1214&amp;I1214&amp;J1214</f>
        <v/>
      </c>
    </row>
    <row r="1215" ht="16.5" customHeight="1" s="17">
      <c r="B1215" s="16" t="n">
        <v>43977</v>
      </c>
      <c r="C1215" s="20" t="inlineStr">
        <is>
          <t>화</t>
        </is>
      </c>
      <c r="E1215" s="20" t="inlineStr">
        <is>
          <t>고체향수</t>
        </is>
      </c>
      <c r="F1215" s="20" t="inlineStr">
        <is>
          <t>카페24</t>
        </is>
      </c>
      <c r="H1215" s="20" t="n">
        <v>1</v>
      </c>
      <c r="I1215" s="20" t="inlineStr">
        <is>
          <t>이그나이트</t>
        </is>
      </c>
      <c r="J1215" s="20" t="n">
        <v>200520</v>
      </c>
      <c r="L1215" s="20">
        <f>VLOOKUP($O1215,매칭테이블!$G:$J,2,0)*H1215</f>
        <v/>
      </c>
      <c r="M1215" s="20">
        <f>L1215-L1215*VLOOKUP($O1215,매칭테이블!$G:$J,3,0)</f>
        <v/>
      </c>
      <c r="N1215" s="20">
        <f>VLOOKUP($O1215,매칭테이블!$G:$J,4,0)*H1215</f>
        <v/>
      </c>
      <c r="O1215" s="20">
        <f>F1215&amp;E1215&amp;I1215&amp;J1215</f>
        <v/>
      </c>
    </row>
    <row r="1216" ht="16.5" customHeight="1" s="17">
      <c r="B1216" s="16" t="n">
        <v>43977</v>
      </c>
      <c r="C1216" s="20" t="inlineStr">
        <is>
          <t>화</t>
        </is>
      </c>
      <c r="E1216" s="20" t="inlineStr">
        <is>
          <t>고체향수</t>
        </is>
      </c>
      <c r="F1216" s="20" t="inlineStr">
        <is>
          <t>카페24</t>
        </is>
      </c>
      <c r="H1216" s="20" t="n">
        <v>4</v>
      </c>
      <c r="I1216" s="20" t="inlineStr">
        <is>
          <t>스테이포에버</t>
        </is>
      </c>
      <c r="J1216" s="20" t="n">
        <v>200520</v>
      </c>
      <c r="L1216" s="20">
        <f>VLOOKUP($O1216,매칭테이블!$G:$J,2,0)*H1216</f>
        <v/>
      </c>
      <c r="M1216" s="20">
        <f>L1216-L1216*VLOOKUP($O1216,매칭테이블!$G:$J,3,0)</f>
        <v/>
      </c>
      <c r="N1216" s="20">
        <f>VLOOKUP($O1216,매칭테이블!$G:$J,4,0)*H1216</f>
        <v/>
      </c>
      <c r="O1216" s="20">
        <f>F1216&amp;E1216&amp;I1216&amp;J1216</f>
        <v/>
      </c>
    </row>
    <row r="1217" ht="16.5" customHeight="1" s="17">
      <c r="B1217" s="16" t="n">
        <v>43977</v>
      </c>
      <c r="C1217" s="20" t="inlineStr">
        <is>
          <t>화</t>
        </is>
      </c>
      <c r="E1217" s="20" t="inlineStr">
        <is>
          <t>고체향수</t>
        </is>
      </c>
      <c r="F1217" s="20" t="inlineStr">
        <is>
          <t>카페24</t>
        </is>
      </c>
      <c r="H1217" s="20" t="n">
        <v>1</v>
      </c>
      <c r="I1217" s="20" t="inlineStr">
        <is>
          <t>이그나이트 + 스테이포에버</t>
        </is>
      </c>
      <c r="J1217" s="20" t="n">
        <v>200520</v>
      </c>
      <c r="L1217" s="20">
        <f>VLOOKUP($O1217,매칭테이블!$G:$J,2,0)*H1217</f>
        <v/>
      </c>
      <c r="M1217" s="20">
        <f>L1217-L1217*VLOOKUP($O1217,매칭테이블!$G:$J,3,0)</f>
        <v/>
      </c>
      <c r="N1217" s="20">
        <f>VLOOKUP($O1217,매칭테이블!$G:$J,4,0)*H1217</f>
        <v/>
      </c>
      <c r="O1217" s="20">
        <f>F1217&amp;E1217&amp;I1217&amp;J1217</f>
        <v/>
      </c>
    </row>
    <row r="1218" ht="16.5" customHeight="1" s="17">
      <c r="B1218" s="16" t="n">
        <v>43978</v>
      </c>
      <c r="C1218" s="20" t="inlineStr">
        <is>
          <t>수</t>
        </is>
      </c>
      <c r="E1218" s="20" t="inlineStr">
        <is>
          <t>고체향수</t>
        </is>
      </c>
      <c r="F1218" s="20" t="inlineStr">
        <is>
          <t>카페24</t>
        </is>
      </c>
      <c r="H1218" s="20" t="n">
        <v>2</v>
      </c>
      <c r="I1218" s="20" t="inlineStr">
        <is>
          <t>이그나이트 + 스테이포에버</t>
        </is>
      </c>
      <c r="J1218" s="20" t="n">
        <v>200520</v>
      </c>
      <c r="L1218" s="20">
        <f>VLOOKUP($O1218,매칭테이블!$G:$J,2,0)*H1218</f>
        <v/>
      </c>
      <c r="M1218" s="20">
        <f>L1218-L1218*VLOOKUP($O1218,매칭테이블!$G:$J,3,0)</f>
        <v/>
      </c>
      <c r="N1218" s="20">
        <f>VLOOKUP($O1218,매칭테이블!$G:$J,4,0)*H1218</f>
        <v/>
      </c>
      <c r="O1218" s="20">
        <f>F1218&amp;E1218&amp;I1218&amp;J1218</f>
        <v/>
      </c>
    </row>
    <row r="1219" ht="16.5" customHeight="1" s="17">
      <c r="B1219" s="16" t="n">
        <v>43978</v>
      </c>
      <c r="C1219" s="20" t="inlineStr">
        <is>
          <t>수</t>
        </is>
      </c>
      <c r="E1219" s="20" t="inlineStr">
        <is>
          <t>고체향수</t>
        </is>
      </c>
      <c r="F1219" s="20" t="inlineStr">
        <is>
          <t>카페24</t>
        </is>
      </c>
      <c r="H1219" s="20" t="n">
        <v>2</v>
      </c>
      <c r="I1219" s="20" t="inlineStr">
        <is>
          <t>이그나이트</t>
        </is>
      </c>
      <c r="J1219" s="20" t="n">
        <v>200520</v>
      </c>
      <c r="L1219" s="20">
        <f>VLOOKUP($O1219,매칭테이블!$G:$J,2,0)*H1219</f>
        <v/>
      </c>
      <c r="M1219" s="20">
        <f>L1219-L1219*VLOOKUP($O1219,매칭테이블!$G:$J,3,0)</f>
        <v/>
      </c>
      <c r="N1219" s="20">
        <f>VLOOKUP($O1219,매칭테이블!$G:$J,4,0)*H1219</f>
        <v/>
      </c>
      <c r="O1219" s="20">
        <f>F1219&amp;E1219&amp;I1219&amp;J1219</f>
        <v/>
      </c>
    </row>
    <row r="1220" ht="16.5" customHeight="1" s="17">
      <c r="B1220" s="16" t="n">
        <v>43978</v>
      </c>
      <c r="C1220" s="20" t="inlineStr">
        <is>
          <t>수</t>
        </is>
      </c>
      <c r="E1220" s="20" t="inlineStr">
        <is>
          <t>고체향수</t>
        </is>
      </c>
      <c r="F1220" s="20" t="inlineStr">
        <is>
          <t>카페24</t>
        </is>
      </c>
      <c r="H1220" s="20" t="n">
        <v>7</v>
      </c>
      <c r="I1220" s="20" t="inlineStr">
        <is>
          <t>스테이포에버</t>
        </is>
      </c>
      <c r="J1220" s="20" t="n">
        <v>200520</v>
      </c>
      <c r="L1220" s="20">
        <f>VLOOKUP($O1220,매칭테이블!$G:$J,2,0)*H1220</f>
        <v/>
      </c>
      <c r="M1220" s="20">
        <f>L1220-L1220*VLOOKUP($O1220,매칭테이블!$G:$J,3,0)</f>
        <v/>
      </c>
      <c r="N1220" s="20">
        <f>VLOOKUP($O1220,매칭테이블!$G:$J,4,0)*H1220</f>
        <v/>
      </c>
      <c r="O1220" s="20">
        <f>F1220&amp;E1220&amp;I1220&amp;J1220</f>
        <v/>
      </c>
    </row>
    <row r="1221" ht="16.5" customHeight="1" s="17">
      <c r="B1221" s="16" t="n">
        <v>43979</v>
      </c>
      <c r="C1221" s="20" t="inlineStr">
        <is>
          <t>목</t>
        </is>
      </c>
      <c r="E1221" s="20" t="inlineStr">
        <is>
          <t>고체향수</t>
        </is>
      </c>
      <c r="F1221" s="20" t="inlineStr">
        <is>
          <t>카페24</t>
        </is>
      </c>
      <c r="H1221" s="20" t="n">
        <v>1</v>
      </c>
      <c r="I1221" s="20" t="inlineStr">
        <is>
          <t>이그나이트</t>
        </is>
      </c>
      <c r="J1221" s="20" t="n">
        <v>200520</v>
      </c>
      <c r="L1221" s="20">
        <f>VLOOKUP($O1221,매칭테이블!$G:$J,2,0)*H1221</f>
        <v/>
      </c>
      <c r="M1221" s="20">
        <f>L1221-L1221*VLOOKUP($O1221,매칭테이블!$G:$J,3,0)</f>
        <v/>
      </c>
      <c r="N1221" s="20">
        <f>VLOOKUP($O1221,매칭테이블!$G:$J,4,0)*H1221</f>
        <v/>
      </c>
      <c r="O1221" s="20">
        <f>F1221&amp;E1221&amp;I1221&amp;J1221</f>
        <v/>
      </c>
    </row>
    <row r="1222" ht="16.5" customHeight="1" s="17">
      <c r="B1222" s="16" t="n">
        <v>43979</v>
      </c>
      <c r="C1222" s="20" t="inlineStr">
        <is>
          <t>목</t>
        </is>
      </c>
      <c r="E1222" s="20" t="inlineStr">
        <is>
          <t>고체향수</t>
        </is>
      </c>
      <c r="F1222" s="20" t="inlineStr">
        <is>
          <t>카페24</t>
        </is>
      </c>
      <c r="H1222" s="20" t="n">
        <v>5</v>
      </c>
      <c r="I1222" s="20" t="inlineStr">
        <is>
          <t>스테이포에버</t>
        </is>
      </c>
      <c r="J1222" s="20" t="n">
        <v>200520</v>
      </c>
      <c r="L1222" s="20">
        <f>VLOOKUP($O1222,매칭테이블!$G:$J,2,0)*H1222</f>
        <v/>
      </c>
      <c r="M1222" s="20">
        <f>L1222-L1222*VLOOKUP($O1222,매칭테이블!$G:$J,3,0)</f>
        <v/>
      </c>
      <c r="N1222" s="20">
        <f>VLOOKUP($O1222,매칭테이블!$G:$J,4,0)*H1222</f>
        <v/>
      </c>
      <c r="O1222" s="20">
        <f>F1222&amp;E1222&amp;I1222&amp;J1222</f>
        <v/>
      </c>
    </row>
    <row r="1223" ht="16.5" customHeight="1" s="17">
      <c r="B1223" s="16" t="n">
        <v>43980</v>
      </c>
      <c r="C1223" s="20" t="inlineStr">
        <is>
          <t>금</t>
        </is>
      </c>
      <c r="E1223" s="20" t="inlineStr">
        <is>
          <t>고체향수</t>
        </is>
      </c>
      <c r="F1223" s="20" t="inlineStr">
        <is>
          <t>카페24</t>
        </is>
      </c>
      <c r="H1223" s="20" t="n">
        <v>1</v>
      </c>
      <c r="I1223" s="20" t="inlineStr">
        <is>
          <t>이그나이트 + 스테이포에버</t>
        </is>
      </c>
      <c r="J1223" s="20" t="n">
        <v>200520</v>
      </c>
      <c r="L1223" s="20">
        <f>VLOOKUP($O1223,매칭테이블!$G:$J,2,0)*H1223</f>
        <v/>
      </c>
      <c r="M1223" s="20">
        <f>L1223-L1223*VLOOKUP($O1223,매칭테이블!$G:$J,3,0)</f>
        <v/>
      </c>
      <c r="N1223" s="20">
        <f>VLOOKUP($O1223,매칭테이블!$G:$J,4,0)*H1223</f>
        <v/>
      </c>
      <c r="O1223" s="20">
        <f>F1223&amp;E1223&amp;I1223&amp;J1223</f>
        <v/>
      </c>
    </row>
    <row r="1224" ht="16.5" customHeight="1" s="17">
      <c r="B1224" s="16" t="n">
        <v>43980</v>
      </c>
      <c r="C1224" s="20" t="inlineStr">
        <is>
          <t>금</t>
        </is>
      </c>
      <c r="E1224" s="20" t="inlineStr">
        <is>
          <t>고체향수</t>
        </is>
      </c>
      <c r="F1224" s="20" t="inlineStr">
        <is>
          <t>카페24</t>
        </is>
      </c>
      <c r="H1224" s="20" t="n">
        <v>1</v>
      </c>
      <c r="I1224" s="20" t="inlineStr">
        <is>
          <t>스테이포에버</t>
        </is>
      </c>
      <c r="J1224" s="20" t="n">
        <v>200520</v>
      </c>
      <c r="L1224" s="20">
        <f>VLOOKUP($O1224,매칭테이블!$G:$J,2,0)*H1224</f>
        <v/>
      </c>
      <c r="M1224" s="20">
        <f>L1224-L1224*VLOOKUP($O1224,매칭테이블!$G:$J,3,0)</f>
        <v/>
      </c>
      <c r="N1224" s="20">
        <f>VLOOKUP($O1224,매칭테이블!$G:$J,4,0)*H1224</f>
        <v/>
      </c>
      <c r="O1224" s="20">
        <f>F1224&amp;E1224&amp;I1224&amp;J1224</f>
        <v/>
      </c>
    </row>
    <row r="1225" ht="16.5" customHeight="1" s="17">
      <c r="B1225" s="16" t="n">
        <v>43981</v>
      </c>
      <c r="C1225" s="20" t="inlineStr">
        <is>
          <t>토</t>
        </is>
      </c>
      <c r="E1225" s="20" t="inlineStr">
        <is>
          <t>고체향수</t>
        </is>
      </c>
      <c r="F1225" s="20" t="inlineStr">
        <is>
          <t>카페24</t>
        </is>
      </c>
      <c r="H1225" s="20" t="n">
        <v>1</v>
      </c>
      <c r="I1225" s="20" t="inlineStr">
        <is>
          <t>이그나이트</t>
        </is>
      </c>
      <c r="J1225" s="20" t="n">
        <v>200520</v>
      </c>
      <c r="L1225" s="20">
        <f>VLOOKUP($O1225,매칭테이블!$G:$J,2,0)*H1225</f>
        <v/>
      </c>
      <c r="M1225" s="20">
        <f>L1225-L1225*VLOOKUP($O1225,매칭테이블!$G:$J,3,0)</f>
        <v/>
      </c>
      <c r="N1225" s="20">
        <f>VLOOKUP($O1225,매칭테이블!$G:$J,4,0)*H1225</f>
        <v/>
      </c>
      <c r="O1225" s="20">
        <f>F1225&amp;E1225&amp;I1225&amp;J1225</f>
        <v/>
      </c>
    </row>
    <row r="1226" ht="16.5" customHeight="1" s="17">
      <c r="B1226" s="16" t="n">
        <v>43981</v>
      </c>
      <c r="C1226" s="20" t="inlineStr">
        <is>
          <t>토</t>
        </is>
      </c>
      <c r="E1226" s="20" t="inlineStr">
        <is>
          <t>고체향수</t>
        </is>
      </c>
      <c r="F1226" s="20" t="inlineStr">
        <is>
          <t>카페24</t>
        </is>
      </c>
      <c r="H1226" s="20" t="n">
        <v>4</v>
      </c>
      <c r="I1226" s="20" t="inlineStr">
        <is>
          <t>스테이포에버</t>
        </is>
      </c>
      <c r="J1226" s="20" t="n">
        <v>200520</v>
      </c>
      <c r="L1226" s="20">
        <f>VLOOKUP($O1226,매칭테이블!$G:$J,2,0)*H1226</f>
        <v/>
      </c>
      <c r="M1226" s="20">
        <f>L1226-L1226*VLOOKUP($O1226,매칭테이블!$G:$J,3,0)</f>
        <v/>
      </c>
      <c r="N1226" s="20">
        <f>VLOOKUP($O1226,매칭테이블!$G:$J,4,0)*H1226</f>
        <v/>
      </c>
      <c r="O1226" s="20">
        <f>F1226&amp;E1226&amp;I1226&amp;J1226</f>
        <v/>
      </c>
    </row>
    <row r="1227" ht="16.5" customHeight="1" s="17">
      <c r="B1227" s="16" t="n">
        <v>43982</v>
      </c>
      <c r="C1227" s="20" t="inlineStr">
        <is>
          <t>일</t>
        </is>
      </c>
      <c r="E1227" s="20" t="inlineStr">
        <is>
          <t>고체향수</t>
        </is>
      </c>
      <c r="F1227" s="20" t="inlineStr">
        <is>
          <t>카페24</t>
        </is>
      </c>
      <c r="H1227" s="20" t="n">
        <v>1</v>
      </c>
      <c r="I1227" s="20" t="inlineStr">
        <is>
          <t>이그나이트 + 스테이포에버</t>
        </is>
      </c>
      <c r="J1227" s="20" t="n">
        <v>200520</v>
      </c>
      <c r="L1227" s="20">
        <f>VLOOKUP($O1227,매칭테이블!$G:$J,2,0)*H1227</f>
        <v/>
      </c>
      <c r="M1227" s="20">
        <f>L1227-L1227*VLOOKUP($O1227,매칭테이블!$G:$J,3,0)</f>
        <v/>
      </c>
      <c r="N1227" s="20">
        <f>VLOOKUP($O1227,매칭테이블!$G:$J,4,0)*H1227</f>
        <v/>
      </c>
      <c r="O1227" s="20">
        <f>F1227&amp;E1227&amp;I1227&amp;J1227</f>
        <v/>
      </c>
    </row>
    <row r="1228" ht="16.5" customHeight="1" s="17">
      <c r="B1228" s="16" t="n">
        <v>43982</v>
      </c>
      <c r="C1228" s="20" t="inlineStr">
        <is>
          <t>일</t>
        </is>
      </c>
      <c r="E1228" s="20" t="inlineStr">
        <is>
          <t>고체향수</t>
        </is>
      </c>
      <c r="F1228" s="20" t="inlineStr">
        <is>
          <t>카페24</t>
        </is>
      </c>
      <c r="H1228" s="20" t="n">
        <v>2</v>
      </c>
      <c r="I1228" s="20" t="inlineStr">
        <is>
          <t>이그나이트</t>
        </is>
      </c>
      <c r="J1228" s="20" t="n">
        <v>200520</v>
      </c>
      <c r="L1228" s="20">
        <f>VLOOKUP($O1228,매칭테이블!$G:$J,2,0)*H1228</f>
        <v/>
      </c>
      <c r="M1228" s="20">
        <f>L1228-L1228*VLOOKUP($O1228,매칭테이블!$G:$J,3,0)</f>
        <v/>
      </c>
      <c r="N1228" s="20">
        <f>VLOOKUP($O1228,매칭테이블!$G:$J,4,0)*H1228</f>
        <v/>
      </c>
      <c r="O1228" s="20">
        <f>F1228&amp;E1228&amp;I1228&amp;J1228</f>
        <v/>
      </c>
    </row>
    <row r="1229" ht="16.5" customHeight="1" s="17">
      <c r="B1229" s="16" t="n">
        <v>43982</v>
      </c>
      <c r="C1229" s="20" t="inlineStr">
        <is>
          <t>일</t>
        </is>
      </c>
      <c r="E1229" s="20" t="inlineStr">
        <is>
          <t>고체향수</t>
        </is>
      </c>
      <c r="F1229" s="20" t="inlineStr">
        <is>
          <t>카페24</t>
        </is>
      </c>
      <c r="H1229" s="20" t="n">
        <v>1</v>
      </c>
      <c r="I1229" s="20" t="inlineStr">
        <is>
          <t>스테이포에버</t>
        </is>
      </c>
      <c r="J1229" s="20" t="n">
        <v>200520</v>
      </c>
      <c r="L1229" s="20">
        <f>VLOOKUP($O1229,매칭테이블!$G:$J,2,0)*H1229</f>
        <v/>
      </c>
      <c r="M1229" s="20">
        <f>L1229-L1229*VLOOKUP($O1229,매칭테이블!$G:$J,3,0)</f>
        <v/>
      </c>
      <c r="N1229" s="20">
        <f>VLOOKUP($O1229,매칭테이블!$G:$J,4,0)*H1229</f>
        <v/>
      </c>
      <c r="O1229" s="20">
        <f>F1229&amp;E1229&amp;I1229&amp;J1229</f>
        <v/>
      </c>
    </row>
    <row r="1230" ht="16.5" customHeight="1" s="17">
      <c r="B1230" s="16" t="n">
        <v>43983</v>
      </c>
      <c r="C1230" s="20" t="inlineStr">
        <is>
          <t>월</t>
        </is>
      </c>
      <c r="E1230" s="20" t="inlineStr">
        <is>
          <t>고체향수</t>
        </is>
      </c>
      <c r="F1230" s="20" t="inlineStr">
        <is>
          <t>카페24</t>
        </is>
      </c>
      <c r="H1230" s="20" t="n">
        <v>2</v>
      </c>
      <c r="I1230" s="20" t="inlineStr">
        <is>
          <t>스테이포에버</t>
        </is>
      </c>
      <c r="J1230" s="20" t="n">
        <v>200520</v>
      </c>
      <c r="L1230" s="20">
        <f>VLOOKUP($O1230,매칭테이블!$G:$J,2,0)*H1230</f>
        <v/>
      </c>
      <c r="M1230" s="20">
        <f>L1230-L1230*VLOOKUP($O1230,매칭테이블!$G:$J,3,0)</f>
        <v/>
      </c>
      <c r="N1230" s="20">
        <f>VLOOKUP($O1230,매칭테이블!$G:$J,4,0)*H1230</f>
        <v/>
      </c>
      <c r="O1230" s="20">
        <f>F1230&amp;E1230&amp;I1230&amp;J1230</f>
        <v/>
      </c>
    </row>
    <row r="1231" ht="16.5" customHeight="1" s="17">
      <c r="B1231" s="16" t="n">
        <v>43984</v>
      </c>
      <c r="C1231" s="20" t="inlineStr">
        <is>
          <t>화</t>
        </is>
      </c>
      <c r="E1231" s="20" t="inlineStr">
        <is>
          <t>고체향수</t>
        </is>
      </c>
      <c r="F1231" s="20" t="inlineStr">
        <is>
          <t>카페24</t>
        </is>
      </c>
      <c r="H1231" s="20" t="n">
        <v>1</v>
      </c>
      <c r="I1231" s="20" t="inlineStr">
        <is>
          <t>이그나이트 + 스테이포에버</t>
        </is>
      </c>
      <c r="J1231" s="20" t="n">
        <v>200520</v>
      </c>
      <c r="L1231" s="20">
        <f>VLOOKUP($O1231,매칭테이블!$G:$J,2,0)*H1231</f>
        <v/>
      </c>
      <c r="M1231" s="20">
        <f>L1231-L1231*VLOOKUP($O1231,매칭테이블!$G:$J,3,0)</f>
        <v/>
      </c>
      <c r="N1231" s="20">
        <f>VLOOKUP($O1231,매칭테이블!$G:$J,4,0)*H1231</f>
        <v/>
      </c>
      <c r="O1231" s="20">
        <f>F1231&amp;E1231&amp;I1231&amp;J1231</f>
        <v/>
      </c>
    </row>
    <row r="1232" ht="16.5" customHeight="1" s="17">
      <c r="B1232" s="16" t="n">
        <v>43984</v>
      </c>
      <c r="C1232" s="20" t="inlineStr">
        <is>
          <t>화</t>
        </is>
      </c>
      <c r="E1232" s="20" t="inlineStr">
        <is>
          <t>고체향수</t>
        </is>
      </c>
      <c r="F1232" s="20" t="inlineStr">
        <is>
          <t>카페24</t>
        </is>
      </c>
      <c r="H1232" s="20" t="n">
        <v>2</v>
      </c>
      <c r="I1232" s="20" t="inlineStr">
        <is>
          <t>스테이포에버</t>
        </is>
      </c>
      <c r="J1232" s="20" t="n">
        <v>200520</v>
      </c>
      <c r="L1232" s="20">
        <f>VLOOKUP($O1232,매칭테이블!$G:$J,2,0)*H1232</f>
        <v/>
      </c>
      <c r="M1232" s="20">
        <f>L1232-L1232*VLOOKUP($O1232,매칭테이블!$G:$J,3,0)</f>
        <v/>
      </c>
      <c r="N1232" s="20">
        <f>VLOOKUP($O1232,매칭테이블!$G:$J,4,0)*H1232</f>
        <v/>
      </c>
      <c r="O1232" s="20">
        <f>F1232&amp;E1232&amp;I1232&amp;J1232</f>
        <v/>
      </c>
    </row>
    <row r="1233" ht="16.5" customHeight="1" s="17">
      <c r="B1233" s="16" t="n">
        <v>43984</v>
      </c>
      <c r="C1233" s="20" t="inlineStr">
        <is>
          <t>화</t>
        </is>
      </c>
      <c r="E1233" s="20" t="inlineStr">
        <is>
          <t>쇼핑백</t>
        </is>
      </c>
      <c r="F1233" s="20" t="inlineStr">
        <is>
          <t>카페24</t>
        </is>
      </c>
      <c r="H1233" s="20" t="n">
        <v>1</v>
      </c>
      <c r="I1233" s="20" t="inlineStr">
        <is>
          <t>유즈쇼핑백</t>
        </is>
      </c>
      <c r="J1233" s="20" t="n">
        <v>200520</v>
      </c>
      <c r="L1233" s="20">
        <f>VLOOKUP($O1233,매칭테이블!$G:$J,2,0)*H1233</f>
        <v/>
      </c>
      <c r="M1233" s="20">
        <f>L1233-L1233*VLOOKUP($O1233,매칭테이블!$G:$J,3,0)</f>
        <v/>
      </c>
      <c r="N1233" s="20">
        <f>VLOOKUP($O1233,매칭테이블!$G:$J,4,0)*H1233</f>
        <v/>
      </c>
      <c r="O1233" s="20">
        <f>F1233&amp;E1233&amp;I1233&amp;J1233</f>
        <v/>
      </c>
    </row>
    <row r="1234" ht="16.5" customHeight="1" s="17">
      <c r="B1234" s="16" t="n">
        <v>43985</v>
      </c>
      <c r="C1234" s="20" t="inlineStr">
        <is>
          <t>수</t>
        </is>
      </c>
      <c r="E1234" s="20" t="inlineStr">
        <is>
          <t>고체향수</t>
        </is>
      </c>
      <c r="F1234" s="20" t="inlineStr">
        <is>
          <t>유즈 CS</t>
        </is>
      </c>
      <c r="H1234" s="20" t="n">
        <v>1</v>
      </c>
      <c r="I1234" s="20" t="inlineStr">
        <is>
          <t>이그나이트 + 스테이포에버</t>
        </is>
      </c>
      <c r="J1234" s="20" t="n">
        <v>200520</v>
      </c>
      <c r="L1234" s="20">
        <f>VLOOKUP($O1234,매칭테이블!$G:$J,2,0)*H1234</f>
        <v/>
      </c>
      <c r="M1234" s="20">
        <f>L1234-L1234*VLOOKUP($O1234,매칭테이블!$G:$J,3,0)</f>
        <v/>
      </c>
      <c r="N1234" s="20">
        <f>VLOOKUP($O1234,매칭테이블!$G:$J,4,0)*H1234</f>
        <v/>
      </c>
      <c r="O1234" s="20">
        <f>F1234&amp;E1234&amp;I1234&amp;J1234</f>
        <v/>
      </c>
    </row>
    <row r="1235" ht="16.5" customHeight="1" s="17">
      <c r="B1235" s="16" t="n">
        <v>43985</v>
      </c>
      <c r="C1235" s="20" t="inlineStr">
        <is>
          <t>수</t>
        </is>
      </c>
      <c r="E1235" s="20" t="inlineStr">
        <is>
          <t>고체향수</t>
        </is>
      </c>
      <c r="F1235" s="20" t="inlineStr">
        <is>
          <t>카페24</t>
        </is>
      </c>
      <c r="H1235" s="20" t="n">
        <v>2</v>
      </c>
      <c r="I1235" s="20" t="inlineStr">
        <is>
          <t>스테이포에버</t>
        </is>
      </c>
      <c r="J1235" s="20" t="n">
        <v>200520</v>
      </c>
      <c r="L1235" s="20">
        <f>VLOOKUP($O1235,매칭테이블!$G:$J,2,0)*H1235</f>
        <v/>
      </c>
      <c r="M1235" s="20">
        <f>L1235-L1235*VLOOKUP($O1235,매칭테이블!$G:$J,3,0)</f>
        <v/>
      </c>
      <c r="N1235" s="20">
        <f>VLOOKUP($O1235,매칭테이블!$G:$J,4,0)*H1235</f>
        <v/>
      </c>
      <c r="O1235" s="20">
        <f>F1235&amp;E1235&amp;I1235&amp;J1235</f>
        <v/>
      </c>
    </row>
    <row r="1236" ht="16.5" customHeight="1" s="17">
      <c r="B1236" s="16" t="n">
        <v>43985</v>
      </c>
      <c r="C1236" s="20" t="inlineStr">
        <is>
          <t>수</t>
        </is>
      </c>
      <c r="E1236" s="20" t="inlineStr">
        <is>
          <t>고체향수</t>
        </is>
      </c>
      <c r="F1236" s="20" t="inlineStr">
        <is>
          <t>카페24</t>
        </is>
      </c>
      <c r="H1236" s="20" t="n">
        <v>1</v>
      </c>
      <c r="I1236" s="20" t="inlineStr">
        <is>
          <t>이그나이트</t>
        </is>
      </c>
      <c r="J1236" s="20" t="n">
        <v>200520</v>
      </c>
      <c r="L1236" s="20">
        <f>VLOOKUP($O1236,매칭테이블!$G:$J,2,0)*H1236</f>
        <v/>
      </c>
      <c r="M1236" s="20">
        <f>L1236-L1236*VLOOKUP($O1236,매칭테이블!$G:$J,3,0)</f>
        <v/>
      </c>
      <c r="N1236" s="20">
        <f>VLOOKUP($O1236,매칭테이블!$G:$J,4,0)*H1236</f>
        <v/>
      </c>
      <c r="O1236" s="20">
        <f>F1236&amp;E1236&amp;I1236&amp;J1236</f>
        <v/>
      </c>
    </row>
    <row r="1237" ht="16.5" customHeight="1" s="17">
      <c r="B1237" s="16" t="n">
        <v>43986</v>
      </c>
      <c r="C1237" s="20" t="inlineStr">
        <is>
          <t>목</t>
        </is>
      </c>
      <c r="E1237" s="20" t="inlineStr">
        <is>
          <t>고체향수</t>
        </is>
      </c>
      <c r="F1237" s="20" t="inlineStr">
        <is>
          <t>카페24</t>
        </is>
      </c>
      <c r="H1237" s="20" t="n">
        <v>1</v>
      </c>
      <c r="I1237" s="20" t="inlineStr">
        <is>
          <t>이그나이트 + 스테이포에버</t>
        </is>
      </c>
      <c r="J1237" s="20" t="n">
        <v>200520</v>
      </c>
      <c r="L1237" s="20">
        <f>VLOOKUP($O1237,매칭테이블!$G:$J,2,0)*H1237</f>
        <v/>
      </c>
      <c r="M1237" s="20">
        <f>L1237-L1237*VLOOKUP($O1237,매칭테이블!$G:$J,3,0)</f>
        <v/>
      </c>
      <c r="N1237" s="20">
        <f>VLOOKUP($O1237,매칭테이블!$G:$J,4,0)*H1237</f>
        <v/>
      </c>
      <c r="O1237" s="20">
        <f>F1237&amp;E1237&amp;I1237&amp;J1237</f>
        <v/>
      </c>
    </row>
    <row r="1238" ht="16.5" customHeight="1" s="17">
      <c r="B1238" s="16" t="n">
        <v>43986</v>
      </c>
      <c r="C1238" s="20" t="inlineStr">
        <is>
          <t>목</t>
        </is>
      </c>
      <c r="E1238" s="20" t="inlineStr">
        <is>
          <t>고체향수</t>
        </is>
      </c>
      <c r="F1238" s="20" t="inlineStr">
        <is>
          <t>카페24</t>
        </is>
      </c>
      <c r="H1238" s="20" t="n">
        <v>25</v>
      </c>
      <c r="I1238" s="20" t="inlineStr">
        <is>
          <t>스테이포에버</t>
        </is>
      </c>
      <c r="J1238" s="20" t="n">
        <v>200520</v>
      </c>
      <c r="L1238" s="20">
        <f>VLOOKUP($O1238,매칭테이블!$G:$J,2,0)*H1238</f>
        <v/>
      </c>
      <c r="M1238" s="20">
        <f>L1238-L1238*VLOOKUP($O1238,매칭테이블!$G:$J,3,0)</f>
        <v/>
      </c>
      <c r="N1238" s="20">
        <f>VLOOKUP($O1238,매칭테이블!$G:$J,4,0)*H1238</f>
        <v/>
      </c>
      <c r="O1238" s="20">
        <f>F1238&amp;E1238&amp;I1238&amp;J1238</f>
        <v/>
      </c>
    </row>
    <row r="1239" ht="16.5" customHeight="1" s="17">
      <c r="B1239" s="16" t="n">
        <v>43987</v>
      </c>
      <c r="C1239" s="20" t="inlineStr">
        <is>
          <t>금</t>
        </is>
      </c>
      <c r="E1239" s="20" t="inlineStr">
        <is>
          <t>고체향수</t>
        </is>
      </c>
      <c r="F1239" s="20" t="inlineStr">
        <is>
          <t>카페24</t>
        </is>
      </c>
      <c r="H1239" s="20" t="n">
        <v>12</v>
      </c>
      <c r="I1239" s="20" t="inlineStr">
        <is>
          <t>스테이포에버</t>
        </is>
      </c>
      <c r="J1239" s="20" t="n">
        <v>200520</v>
      </c>
      <c r="L1239" s="20">
        <f>VLOOKUP($O1239,매칭테이블!$G:$J,2,0)*H1239</f>
        <v/>
      </c>
      <c r="M1239" s="20">
        <f>L1239-L1239*VLOOKUP($O1239,매칭테이블!$G:$J,3,0)</f>
        <v/>
      </c>
      <c r="N1239" s="20">
        <f>VLOOKUP($O1239,매칭테이블!$G:$J,4,0)*H1239</f>
        <v/>
      </c>
      <c r="O1239" s="20">
        <f>F1239&amp;E1239&amp;I1239&amp;J1239</f>
        <v/>
      </c>
    </row>
    <row r="1240" ht="16.5" customHeight="1" s="17">
      <c r="B1240" s="16" t="n">
        <v>43987</v>
      </c>
      <c r="C1240" s="20" t="inlineStr">
        <is>
          <t>금</t>
        </is>
      </c>
      <c r="E1240" s="20" t="inlineStr">
        <is>
          <t>고체향수</t>
        </is>
      </c>
      <c r="F1240" s="20" t="inlineStr">
        <is>
          <t>유즈 CS</t>
        </is>
      </c>
      <c r="H1240" s="20" t="n">
        <v>12</v>
      </c>
      <c r="I1240" s="20" t="inlineStr">
        <is>
          <t>스테이포에버</t>
        </is>
      </c>
      <c r="J1240" s="20" t="n">
        <v>200520</v>
      </c>
      <c r="L1240" s="20">
        <f>VLOOKUP($O1240,매칭테이블!$G:$J,2,0)*H1240</f>
        <v/>
      </c>
      <c r="M1240" s="20">
        <f>L1240-L1240*VLOOKUP($O1240,매칭테이블!$G:$J,3,0)</f>
        <v/>
      </c>
      <c r="N1240" s="20">
        <f>VLOOKUP($O1240,매칭테이블!$G:$J,4,0)*H1240</f>
        <v/>
      </c>
      <c r="O1240" s="20">
        <f>F1240&amp;E1240&amp;I1240&amp;J1240</f>
        <v/>
      </c>
    </row>
    <row r="1241" ht="16.5" customHeight="1" s="17">
      <c r="B1241" s="16" t="n">
        <v>43987</v>
      </c>
      <c r="C1241" s="20" t="inlineStr">
        <is>
          <t>금</t>
        </is>
      </c>
      <c r="E1241" s="20" t="inlineStr">
        <is>
          <t>고체향수</t>
        </is>
      </c>
      <c r="F1241" s="20" t="inlineStr">
        <is>
          <t>유즈 CS</t>
        </is>
      </c>
      <c r="H1241" s="20" t="n">
        <v>11</v>
      </c>
      <c r="I1241" s="20" t="inlineStr">
        <is>
          <t>이그나이트</t>
        </is>
      </c>
      <c r="J1241" s="20" t="n">
        <v>200520</v>
      </c>
      <c r="L1241" s="20">
        <f>VLOOKUP($O1241,매칭테이블!$G:$J,2,0)*H1241</f>
        <v/>
      </c>
      <c r="M1241" s="20">
        <f>L1241-L1241*VLOOKUP($O1241,매칭테이블!$G:$J,3,0)</f>
        <v/>
      </c>
      <c r="N1241" s="20">
        <f>VLOOKUP($O1241,매칭테이블!$G:$J,4,0)*H1241</f>
        <v/>
      </c>
      <c r="O1241" s="20">
        <f>F1241&amp;E1241&amp;I1241&amp;J1241</f>
        <v/>
      </c>
    </row>
    <row r="1242" ht="16.5" customHeight="1" s="17">
      <c r="B1242" s="16" t="n">
        <v>43987</v>
      </c>
      <c r="C1242" s="20" t="inlineStr">
        <is>
          <t>금</t>
        </is>
      </c>
      <c r="E1242" s="20" t="inlineStr">
        <is>
          <t>쇼핑백</t>
        </is>
      </c>
      <c r="F1242" s="20" t="inlineStr">
        <is>
          <t>유즈 CS</t>
        </is>
      </c>
      <c r="H1242" s="20" t="n">
        <v>1</v>
      </c>
      <c r="I1242" s="20" t="inlineStr">
        <is>
          <t>유즈쇼핑백</t>
        </is>
      </c>
      <c r="J1242" s="20" t="n">
        <v>200520</v>
      </c>
      <c r="L1242" s="20">
        <f>VLOOKUP($O1242,매칭테이블!$G:$J,2,0)*H1242</f>
        <v/>
      </c>
      <c r="M1242" s="20">
        <f>L1242-L1242*VLOOKUP($O1242,매칭테이블!$G:$J,3,0)</f>
        <v/>
      </c>
      <c r="N1242" s="20">
        <f>VLOOKUP($O1242,매칭테이블!$G:$J,4,0)*H1242</f>
        <v/>
      </c>
      <c r="O1242" s="20">
        <f>F1242&amp;E1242&amp;I1242&amp;J1242</f>
        <v/>
      </c>
    </row>
    <row r="1243" ht="16.5" customHeight="1" s="17">
      <c r="B1243" s="16" t="n">
        <v>43988</v>
      </c>
      <c r="C1243" s="20" t="inlineStr">
        <is>
          <t>토</t>
        </is>
      </c>
      <c r="E1243" s="20" t="inlineStr">
        <is>
          <t>고체향수</t>
        </is>
      </c>
      <c r="F1243" s="20" t="inlineStr">
        <is>
          <t>카페24</t>
        </is>
      </c>
      <c r="H1243" s="20" t="n">
        <v>1</v>
      </c>
      <c r="I1243" s="20" t="inlineStr">
        <is>
          <t>이그나이트 + 스테이포에버</t>
        </is>
      </c>
      <c r="J1243" s="20" t="n">
        <v>200520</v>
      </c>
      <c r="L1243" s="20">
        <f>VLOOKUP($O1243,매칭테이블!$G:$J,2,0)*H1243</f>
        <v/>
      </c>
      <c r="M1243" s="20">
        <f>L1243-L1243*VLOOKUP($O1243,매칭테이블!$G:$J,3,0)</f>
        <v/>
      </c>
      <c r="N1243" s="20">
        <f>VLOOKUP($O1243,매칭테이블!$G:$J,4,0)*H1243</f>
        <v/>
      </c>
      <c r="O1243" s="20">
        <f>F1243&amp;E1243&amp;I1243&amp;J1243</f>
        <v/>
      </c>
    </row>
    <row r="1244" ht="16.5" customHeight="1" s="17">
      <c r="B1244" s="16" t="n">
        <v>43988</v>
      </c>
      <c r="C1244" s="20" t="inlineStr">
        <is>
          <t>토</t>
        </is>
      </c>
      <c r="E1244" s="20" t="inlineStr">
        <is>
          <t>고체향수</t>
        </is>
      </c>
      <c r="F1244" s="20" t="inlineStr">
        <is>
          <t>카페24</t>
        </is>
      </c>
      <c r="H1244" s="20" t="n">
        <v>9</v>
      </c>
      <c r="I1244" s="20" t="inlineStr">
        <is>
          <t>스테이포에버</t>
        </is>
      </c>
      <c r="J1244" s="20" t="n">
        <v>200520</v>
      </c>
      <c r="L1244" s="20">
        <f>VLOOKUP($O1244,매칭테이블!$G:$J,2,0)*H1244</f>
        <v/>
      </c>
      <c r="M1244" s="20">
        <f>L1244-L1244*VLOOKUP($O1244,매칭테이블!$G:$J,3,0)</f>
        <v/>
      </c>
      <c r="N1244" s="20">
        <f>VLOOKUP($O1244,매칭테이블!$G:$J,4,0)*H1244</f>
        <v/>
      </c>
      <c r="O1244" s="20">
        <f>F1244&amp;E1244&amp;I1244&amp;J1244</f>
        <v/>
      </c>
    </row>
    <row r="1245" ht="16.5" customHeight="1" s="17">
      <c r="B1245" s="16" t="n">
        <v>43989</v>
      </c>
      <c r="C1245" s="20" t="inlineStr">
        <is>
          <t>일</t>
        </is>
      </c>
      <c r="E1245" s="20" t="inlineStr">
        <is>
          <t>고체향수</t>
        </is>
      </c>
      <c r="F1245" s="20" t="inlineStr">
        <is>
          <t>카페24</t>
        </is>
      </c>
      <c r="H1245" s="20" t="n">
        <v>12</v>
      </c>
      <c r="I1245" s="20" t="inlineStr">
        <is>
          <t>스테이포에버</t>
        </is>
      </c>
      <c r="J1245" s="20" t="n">
        <v>200520</v>
      </c>
      <c r="L1245" s="20">
        <f>VLOOKUP($O1245,매칭테이블!$G:$J,2,0)*H1245</f>
        <v/>
      </c>
      <c r="M1245" s="20">
        <f>L1245-L1245*VLOOKUP($O1245,매칭테이블!$G:$J,3,0)</f>
        <v/>
      </c>
      <c r="N1245" s="20">
        <f>VLOOKUP($O1245,매칭테이블!$G:$J,4,0)*H1245</f>
        <v/>
      </c>
      <c r="O1245" s="20">
        <f>F1245&amp;E1245&amp;I1245&amp;J1245</f>
        <v/>
      </c>
    </row>
    <row r="1246" ht="16.5" customHeight="1" s="17">
      <c r="B1246" s="16" t="n">
        <v>43989</v>
      </c>
      <c r="C1246" s="20" t="inlineStr">
        <is>
          <t>일</t>
        </is>
      </c>
      <c r="E1246" s="20" t="inlineStr">
        <is>
          <t>고체향수</t>
        </is>
      </c>
      <c r="F1246" s="20" t="inlineStr">
        <is>
          <t>카페24</t>
        </is>
      </c>
      <c r="H1246" s="20" t="n">
        <v>1</v>
      </c>
      <c r="I1246" s="20" t="inlineStr">
        <is>
          <t>이그나이트</t>
        </is>
      </c>
      <c r="J1246" s="20" t="n">
        <v>200520</v>
      </c>
      <c r="L1246" s="20">
        <f>VLOOKUP($O1246,매칭테이블!$G:$J,2,0)*H1246</f>
        <v/>
      </c>
      <c r="M1246" s="20">
        <f>L1246-L1246*VLOOKUP($O1246,매칭테이블!$G:$J,3,0)</f>
        <v/>
      </c>
      <c r="N1246" s="20">
        <f>VLOOKUP($O1246,매칭테이블!$G:$J,4,0)*H1246</f>
        <v/>
      </c>
      <c r="O1246" s="20">
        <f>F1246&amp;E1246&amp;I1246&amp;J1246</f>
        <v/>
      </c>
    </row>
    <row r="1247" ht="16.5" customHeight="1" s="17">
      <c r="B1247" s="16" t="n">
        <v>43990</v>
      </c>
      <c r="C1247" s="20" t="inlineStr">
        <is>
          <t>월</t>
        </is>
      </c>
      <c r="E1247" s="20" t="inlineStr">
        <is>
          <t>고체향수</t>
        </is>
      </c>
      <c r="F1247" s="20" t="inlineStr">
        <is>
          <t>카페24</t>
        </is>
      </c>
      <c r="H1247" s="20" t="n">
        <v>22</v>
      </c>
      <c r="I1247" s="20" t="inlineStr">
        <is>
          <t>스테이포에버</t>
        </is>
      </c>
      <c r="J1247" s="20" t="n">
        <v>200520</v>
      </c>
      <c r="L1247" s="20">
        <f>VLOOKUP($O1247,매칭테이블!$G:$J,2,0)*H1247</f>
        <v/>
      </c>
      <c r="M1247" s="20">
        <f>L1247-L1247*VLOOKUP($O1247,매칭테이블!$G:$J,3,0)</f>
        <v/>
      </c>
      <c r="N1247" s="20">
        <f>VLOOKUP($O1247,매칭테이블!$G:$J,4,0)*H1247</f>
        <v/>
      </c>
      <c r="O1247" s="20">
        <f>F1247&amp;E1247&amp;I1247&amp;J1247</f>
        <v/>
      </c>
    </row>
    <row r="1248" ht="16.5" customHeight="1" s="17">
      <c r="B1248" s="16" t="n">
        <v>43990</v>
      </c>
      <c r="C1248" s="20" t="inlineStr">
        <is>
          <t>월</t>
        </is>
      </c>
      <c r="E1248" s="20" t="inlineStr">
        <is>
          <t>고체향수</t>
        </is>
      </c>
      <c r="F1248" s="20" t="inlineStr">
        <is>
          <t>카페24</t>
        </is>
      </c>
      <c r="H1248" s="20" t="n">
        <v>1</v>
      </c>
      <c r="I1248" s="20" t="inlineStr">
        <is>
          <t>이그나이트</t>
        </is>
      </c>
      <c r="J1248" s="20" t="n">
        <v>200520</v>
      </c>
      <c r="L1248" s="20">
        <f>VLOOKUP($O1248,매칭테이블!$G:$J,2,0)*H1248</f>
        <v/>
      </c>
      <c r="M1248" s="20">
        <f>L1248-L1248*VLOOKUP($O1248,매칭테이블!$G:$J,3,0)</f>
        <v/>
      </c>
      <c r="N1248" s="20">
        <f>VLOOKUP($O1248,매칭테이블!$G:$J,4,0)*H1248</f>
        <v/>
      </c>
      <c r="O1248" s="20">
        <f>F1248&amp;E1248&amp;I1248&amp;J1248</f>
        <v/>
      </c>
    </row>
    <row r="1249" ht="16.5" customHeight="1" s="17">
      <c r="B1249" s="16" t="n">
        <v>43991</v>
      </c>
      <c r="C1249" s="20" t="inlineStr">
        <is>
          <t>화</t>
        </is>
      </c>
      <c r="E1249" s="20" t="inlineStr">
        <is>
          <t>고체향수</t>
        </is>
      </c>
      <c r="F1249" s="20" t="inlineStr">
        <is>
          <t>카페24</t>
        </is>
      </c>
      <c r="H1249" s="20" t="n">
        <v>1</v>
      </c>
      <c r="I1249" s="20" t="inlineStr">
        <is>
          <t>이그나이트</t>
        </is>
      </c>
      <c r="J1249" s="20" t="n">
        <v>200520</v>
      </c>
      <c r="L1249" s="20">
        <f>VLOOKUP($O1249,매칭테이블!$G:$J,2,0)*H1249</f>
        <v/>
      </c>
      <c r="M1249" s="20">
        <f>L1249-L1249*VLOOKUP($O1249,매칭테이블!$G:$J,3,0)</f>
        <v/>
      </c>
      <c r="N1249" s="20">
        <f>VLOOKUP($O1249,매칭테이블!$G:$J,4,0)*H1249</f>
        <v/>
      </c>
      <c r="O1249" s="20">
        <f>F1249&amp;E1249&amp;I1249&amp;J1249</f>
        <v/>
      </c>
    </row>
    <row r="1250" ht="16.5" customHeight="1" s="17">
      <c r="B1250" s="16" t="n">
        <v>43991</v>
      </c>
      <c r="C1250" s="20" t="inlineStr">
        <is>
          <t>화</t>
        </is>
      </c>
      <c r="E1250" s="20" t="inlineStr">
        <is>
          <t>고체향수</t>
        </is>
      </c>
      <c r="F1250" s="20" t="inlineStr">
        <is>
          <t>카페24</t>
        </is>
      </c>
      <c r="H1250" s="20" t="n">
        <v>20</v>
      </c>
      <c r="I1250" s="20" t="inlineStr">
        <is>
          <t>스테이포에버</t>
        </is>
      </c>
      <c r="J1250" s="20" t="n">
        <v>200520</v>
      </c>
      <c r="L1250" s="20">
        <f>VLOOKUP($O1250,매칭테이블!$G:$J,2,0)*H1250</f>
        <v/>
      </c>
      <c r="M1250" s="20">
        <f>L1250-L1250*VLOOKUP($O1250,매칭테이블!$G:$J,3,0)</f>
        <v/>
      </c>
      <c r="N1250" s="20">
        <f>VLOOKUP($O1250,매칭테이블!$G:$J,4,0)*H1250</f>
        <v/>
      </c>
      <c r="O1250" s="20">
        <f>F1250&amp;E1250&amp;I1250&amp;J1250</f>
        <v/>
      </c>
    </row>
    <row r="1251" ht="16.5" customHeight="1" s="17">
      <c r="B1251" s="16" t="n">
        <v>43992</v>
      </c>
      <c r="C1251" s="20" t="inlineStr">
        <is>
          <t>수</t>
        </is>
      </c>
      <c r="E1251" s="20" t="inlineStr">
        <is>
          <t>고체향수</t>
        </is>
      </c>
      <c r="F1251" s="20" t="inlineStr">
        <is>
          <t>카페24</t>
        </is>
      </c>
      <c r="H1251" s="20" t="n">
        <v>1</v>
      </c>
      <c r="I1251" s="20" t="inlineStr">
        <is>
          <t>이그나이트 + 스테이포에버 + 쇼핑백2개</t>
        </is>
      </c>
      <c r="J1251" s="20" t="n">
        <v>200520</v>
      </c>
      <c r="L1251" s="20">
        <f>VLOOKUP($O1251,매칭테이블!$G:$J,2,0)*H1251</f>
        <v/>
      </c>
      <c r="M1251" s="20">
        <f>L1251-L1251*VLOOKUP($O1251,매칭테이블!$G:$J,3,0)</f>
        <v/>
      </c>
      <c r="N1251" s="20">
        <f>VLOOKUP($O1251,매칭테이블!$G:$J,4,0)*H1251</f>
        <v/>
      </c>
      <c r="O1251" s="20">
        <f>F1251&amp;E1251&amp;I1251&amp;J1251</f>
        <v/>
      </c>
    </row>
    <row r="1252" ht="16.5" customHeight="1" s="17">
      <c r="B1252" s="16" t="n">
        <v>43992</v>
      </c>
      <c r="C1252" s="20" t="inlineStr">
        <is>
          <t>수</t>
        </is>
      </c>
      <c r="E1252" s="20" t="inlineStr">
        <is>
          <t>고체향수</t>
        </is>
      </c>
      <c r="F1252" s="20" t="inlineStr">
        <is>
          <t>카페24</t>
        </is>
      </c>
      <c r="H1252" s="20" t="n">
        <v>1</v>
      </c>
      <c r="I1252" s="20" t="inlineStr">
        <is>
          <t>이그나이트 + 쇼핑백</t>
        </is>
      </c>
      <c r="J1252" s="20" t="n">
        <v>200520</v>
      </c>
      <c r="L1252" s="20">
        <f>VLOOKUP($O1252,매칭테이블!$G:$J,2,0)*H1252</f>
        <v/>
      </c>
      <c r="M1252" s="20">
        <f>L1252-L1252*VLOOKUP($O1252,매칭테이블!$G:$J,3,0)</f>
        <v/>
      </c>
      <c r="N1252" s="20">
        <f>VLOOKUP($O1252,매칭테이블!$G:$J,4,0)*H1252</f>
        <v/>
      </c>
      <c r="O1252" s="20">
        <f>F1252&amp;E1252&amp;I1252&amp;J1252</f>
        <v/>
      </c>
    </row>
    <row r="1253" ht="16.5" customHeight="1" s="17">
      <c r="B1253" s="16" t="n">
        <v>43992</v>
      </c>
      <c r="C1253" s="20" t="inlineStr">
        <is>
          <t>수</t>
        </is>
      </c>
      <c r="E1253" s="20" t="inlineStr">
        <is>
          <t>고체향수</t>
        </is>
      </c>
      <c r="F1253" s="20" t="inlineStr">
        <is>
          <t>카페24</t>
        </is>
      </c>
      <c r="H1253" s="20" t="n">
        <v>24</v>
      </c>
      <c r="I1253" s="20" t="inlineStr">
        <is>
          <t>스테이포에버 + 쇼핑백</t>
        </is>
      </c>
      <c r="J1253" s="20" t="n">
        <v>200520</v>
      </c>
      <c r="L1253" s="20">
        <f>VLOOKUP($O1253,매칭테이블!$G:$J,2,0)*H1253</f>
        <v/>
      </c>
      <c r="M1253" s="20">
        <f>L1253-L1253*VLOOKUP($O1253,매칭테이블!$G:$J,3,0)</f>
        <v/>
      </c>
      <c r="N1253" s="20">
        <f>VLOOKUP($O1253,매칭테이블!$G:$J,4,0)*H1253</f>
        <v/>
      </c>
      <c r="O1253" s="20">
        <f>F1253&amp;E1253&amp;I1253&amp;J1253</f>
        <v/>
      </c>
    </row>
    <row r="1254" ht="16.5" customHeight="1" s="17">
      <c r="B1254" s="16" t="n">
        <v>43992</v>
      </c>
      <c r="C1254" s="20" t="inlineStr">
        <is>
          <t>수</t>
        </is>
      </c>
      <c r="E1254" s="20" t="inlineStr">
        <is>
          <t>고체향수</t>
        </is>
      </c>
      <c r="F1254" s="20" t="inlineStr">
        <is>
          <t>카페24</t>
        </is>
      </c>
      <c r="H1254" s="20" t="n">
        <v>5</v>
      </c>
      <c r="I1254" s="20" t="inlineStr">
        <is>
          <t>스테이포에버</t>
        </is>
      </c>
      <c r="J1254" s="20" t="n">
        <v>200520</v>
      </c>
      <c r="L1254" s="20">
        <f>VLOOKUP($O1254,매칭테이블!$G:$J,2,0)*H1254</f>
        <v/>
      </c>
      <c r="M1254" s="20">
        <f>L1254-L1254*VLOOKUP($O1254,매칭테이블!$G:$J,3,0)</f>
        <v/>
      </c>
      <c r="N1254" s="20">
        <f>VLOOKUP($O1254,매칭테이블!$G:$J,4,0)*H1254</f>
        <v/>
      </c>
      <c r="O1254" s="20">
        <f>F1254&amp;E1254&amp;I1254&amp;J1254</f>
        <v/>
      </c>
    </row>
    <row r="1255" ht="16.5" customHeight="1" s="17">
      <c r="B1255" s="16" t="n">
        <v>43992</v>
      </c>
      <c r="C1255" s="20" t="inlineStr">
        <is>
          <t>수</t>
        </is>
      </c>
      <c r="E1255" s="20" t="inlineStr">
        <is>
          <t>고체향수</t>
        </is>
      </c>
      <c r="F1255" s="20" t="inlineStr">
        <is>
          <t>유즈 CS</t>
        </is>
      </c>
      <c r="H1255" s="20" t="n">
        <v>31</v>
      </c>
      <c r="I1255" s="20" t="inlineStr">
        <is>
          <t>스테이포에버</t>
        </is>
      </c>
      <c r="J1255" s="20" t="n">
        <v>200520</v>
      </c>
      <c r="L1255" s="20">
        <f>VLOOKUP($O1255,매칭테이블!$G:$J,2,0)*H1255</f>
        <v/>
      </c>
      <c r="M1255" s="20">
        <f>L1255-L1255*VLOOKUP($O1255,매칭테이블!$G:$J,3,0)</f>
        <v/>
      </c>
      <c r="N1255" s="20">
        <f>VLOOKUP($O1255,매칭테이블!$G:$J,4,0)*H1255</f>
        <v/>
      </c>
      <c r="O1255" s="20">
        <f>F1255&amp;E1255&amp;I1255&amp;J1255</f>
        <v/>
      </c>
    </row>
    <row r="1256" ht="16.5" customHeight="1" s="17">
      <c r="B1256" s="16" t="n">
        <v>43992</v>
      </c>
      <c r="C1256" s="20" t="inlineStr">
        <is>
          <t>수</t>
        </is>
      </c>
      <c r="E1256" s="20" t="inlineStr">
        <is>
          <t>고체향수</t>
        </is>
      </c>
      <c r="F1256" s="20" t="inlineStr">
        <is>
          <t>유즈 CS</t>
        </is>
      </c>
      <c r="H1256" s="20" t="n">
        <v>31</v>
      </c>
      <c r="I1256" s="20" t="inlineStr">
        <is>
          <t>이그나이트</t>
        </is>
      </c>
      <c r="J1256" s="20" t="n">
        <v>200520</v>
      </c>
      <c r="L1256" s="20">
        <f>VLOOKUP($O1256,매칭테이블!$G:$J,2,0)*H1256</f>
        <v/>
      </c>
      <c r="M1256" s="20">
        <f>L1256-L1256*VLOOKUP($O1256,매칭테이블!$G:$J,3,0)</f>
        <v/>
      </c>
      <c r="N1256" s="20">
        <f>VLOOKUP($O1256,매칭테이블!$G:$J,4,0)*H1256</f>
        <v/>
      </c>
      <c r="O1256" s="20">
        <f>F1256&amp;E1256&amp;I1256&amp;J1256</f>
        <v/>
      </c>
    </row>
    <row r="1257" ht="16.5" customHeight="1" s="17">
      <c r="B1257" s="16" t="n">
        <v>43992</v>
      </c>
      <c r="C1257" s="20" t="inlineStr">
        <is>
          <t>수</t>
        </is>
      </c>
      <c r="E1257" s="20" t="inlineStr">
        <is>
          <t>쇼핑백</t>
        </is>
      </c>
      <c r="F1257" s="20" t="inlineStr">
        <is>
          <t>유즈 CS</t>
        </is>
      </c>
      <c r="H1257" s="20" t="n">
        <v>1</v>
      </c>
      <c r="I1257" s="20" t="inlineStr">
        <is>
          <t>유즈쇼핑백</t>
        </is>
      </c>
      <c r="J1257" s="20" t="n">
        <v>200520</v>
      </c>
      <c r="L1257" s="20">
        <f>VLOOKUP($O1257,매칭테이블!$G:$J,2,0)*H1257</f>
        <v/>
      </c>
      <c r="M1257" s="20">
        <f>L1257-L1257*VLOOKUP($O1257,매칭테이블!$G:$J,3,0)</f>
        <v/>
      </c>
      <c r="N1257" s="20">
        <f>VLOOKUP($O1257,매칭테이블!$G:$J,4,0)*H1257</f>
        <v/>
      </c>
      <c r="O1257" s="20">
        <f>F1257&amp;E1257&amp;I1257&amp;J1257</f>
        <v/>
      </c>
    </row>
    <row r="1258" ht="16.5" customHeight="1" s="17">
      <c r="B1258" s="16" t="n">
        <v>43993</v>
      </c>
      <c r="C1258" s="20" t="inlineStr">
        <is>
          <t>목</t>
        </is>
      </c>
      <c r="E1258" s="20" t="inlineStr">
        <is>
          <t>고체향수</t>
        </is>
      </c>
      <c r="F1258" s="20" t="inlineStr">
        <is>
          <t>카페24</t>
        </is>
      </c>
      <c r="H1258" s="20" t="n">
        <v>1</v>
      </c>
      <c r="I1258" s="20" t="inlineStr">
        <is>
          <t>이그나이트 + 스테이포에버 + 쇼핑백2개</t>
        </is>
      </c>
      <c r="J1258" s="20" t="n">
        <v>200520</v>
      </c>
      <c r="L1258" s="20">
        <f>VLOOKUP($O1258,매칭테이블!$G:$J,2,0)*H1258</f>
        <v/>
      </c>
      <c r="M1258" s="20">
        <f>L1258-L1258*VLOOKUP($O1258,매칭테이블!$G:$J,3,0)</f>
        <v/>
      </c>
      <c r="N1258" s="20">
        <f>VLOOKUP($O1258,매칭테이블!$G:$J,4,0)*H1258</f>
        <v/>
      </c>
      <c r="O1258" s="20">
        <f>F1258&amp;E1258&amp;I1258&amp;J1258</f>
        <v/>
      </c>
    </row>
    <row r="1259" ht="16.5" customHeight="1" s="17">
      <c r="B1259" s="16" t="n">
        <v>43993</v>
      </c>
      <c r="C1259" s="20" t="inlineStr">
        <is>
          <t>목</t>
        </is>
      </c>
      <c r="E1259" s="20" t="inlineStr">
        <is>
          <t>고체향수</t>
        </is>
      </c>
      <c r="F1259" s="20" t="inlineStr">
        <is>
          <t>카페24</t>
        </is>
      </c>
      <c r="H1259" s="20" t="n">
        <v>19</v>
      </c>
      <c r="I1259" s="20" t="inlineStr">
        <is>
          <t>스테이포에버 + 쇼핑백</t>
        </is>
      </c>
      <c r="J1259" s="20" t="n">
        <v>200520</v>
      </c>
      <c r="L1259" s="20">
        <f>VLOOKUP($O1259,매칭테이블!$G:$J,2,0)*H1259</f>
        <v/>
      </c>
      <c r="M1259" s="20">
        <f>L1259-L1259*VLOOKUP($O1259,매칭테이블!$G:$J,3,0)</f>
        <v/>
      </c>
      <c r="N1259" s="20">
        <f>VLOOKUP($O1259,매칭테이블!$G:$J,4,0)*H1259</f>
        <v/>
      </c>
      <c r="O1259" s="20">
        <f>F1259&amp;E1259&amp;I1259&amp;J1259</f>
        <v/>
      </c>
    </row>
    <row r="1260" ht="16.5" customHeight="1" s="17">
      <c r="B1260" s="16" t="n">
        <v>43993</v>
      </c>
      <c r="C1260" s="20" t="inlineStr">
        <is>
          <t>목</t>
        </is>
      </c>
      <c r="E1260" s="20" t="inlineStr">
        <is>
          <t>고체향수</t>
        </is>
      </c>
      <c r="F1260" s="20" t="inlineStr">
        <is>
          <t>유즈 CS</t>
        </is>
      </c>
      <c r="H1260" s="20" t="n">
        <v>1</v>
      </c>
      <c r="I1260" s="20" t="inlineStr">
        <is>
          <t>스테이포에버</t>
        </is>
      </c>
      <c r="J1260" s="20" t="n">
        <v>200520</v>
      </c>
      <c r="L1260" s="20">
        <f>VLOOKUP($O1260,매칭테이블!$G:$J,2,0)*H1260</f>
        <v/>
      </c>
      <c r="M1260" s="20">
        <f>L1260-L1260*VLOOKUP($O1260,매칭테이블!$G:$J,3,0)</f>
        <v/>
      </c>
      <c r="N1260" s="20">
        <f>VLOOKUP($O1260,매칭테이블!$G:$J,4,0)*H1260</f>
        <v/>
      </c>
      <c r="O1260" s="20">
        <f>F1260&amp;E1260&amp;I1260&amp;J1260</f>
        <v/>
      </c>
    </row>
    <row r="1261" ht="16.5" customHeight="1" s="17">
      <c r="B1261" s="16" t="n">
        <v>43993</v>
      </c>
      <c r="C1261" s="20" t="inlineStr">
        <is>
          <t>목</t>
        </is>
      </c>
      <c r="E1261" s="20" t="inlineStr">
        <is>
          <t>고체향수</t>
        </is>
      </c>
      <c r="F1261" s="20" t="inlineStr">
        <is>
          <t>유즈 CS</t>
        </is>
      </c>
      <c r="H1261" s="20" t="n">
        <v>1</v>
      </c>
      <c r="I1261" s="20" t="inlineStr">
        <is>
          <t>이그나이트</t>
        </is>
      </c>
      <c r="J1261" s="20" t="n">
        <v>200520</v>
      </c>
      <c r="L1261" s="20">
        <f>VLOOKUP($O1261,매칭테이블!$G:$J,2,0)*H1261</f>
        <v/>
      </c>
      <c r="M1261" s="20">
        <f>L1261-L1261*VLOOKUP($O1261,매칭테이블!$G:$J,3,0)</f>
        <v/>
      </c>
      <c r="N1261" s="20">
        <f>VLOOKUP($O1261,매칭테이블!$G:$J,4,0)*H1261</f>
        <v/>
      </c>
      <c r="O1261" s="20">
        <f>F1261&amp;E1261&amp;I1261&amp;J1261</f>
        <v/>
      </c>
    </row>
    <row r="1262" ht="16.5" customHeight="1" s="17">
      <c r="B1262" s="16" t="n">
        <v>43994</v>
      </c>
      <c r="C1262" s="20" t="inlineStr">
        <is>
          <t>금</t>
        </is>
      </c>
      <c r="E1262" s="20" t="inlineStr">
        <is>
          <t>고체향수</t>
        </is>
      </c>
      <c r="F1262" s="20" t="inlineStr">
        <is>
          <t>카페24</t>
        </is>
      </c>
      <c r="H1262" s="20" t="n">
        <v>3</v>
      </c>
      <c r="I1262" s="20" t="inlineStr">
        <is>
          <t>스테이포에버 + 쇼핑백</t>
        </is>
      </c>
      <c r="J1262" s="20" t="n">
        <v>200520</v>
      </c>
      <c r="L1262" s="20">
        <f>VLOOKUP($O1262,매칭테이블!$G:$J,2,0)*H1262</f>
        <v/>
      </c>
      <c r="M1262" s="20">
        <f>L1262-L1262*VLOOKUP($O1262,매칭테이블!$G:$J,3,0)</f>
        <v/>
      </c>
      <c r="N1262" s="20">
        <f>VLOOKUP($O1262,매칭테이블!$G:$J,4,0)*H1262</f>
        <v/>
      </c>
      <c r="O1262" s="20">
        <f>F1262&amp;E1262&amp;I1262&amp;J1262</f>
        <v/>
      </c>
    </row>
    <row r="1263" ht="16.5" customHeight="1" s="17">
      <c r="B1263" s="16" t="n">
        <v>43994</v>
      </c>
      <c r="C1263" s="20" t="inlineStr">
        <is>
          <t>금</t>
        </is>
      </c>
      <c r="E1263" s="20" t="inlineStr">
        <is>
          <t>고체향수</t>
        </is>
      </c>
      <c r="F1263" s="20" t="inlineStr">
        <is>
          <t>카페24</t>
        </is>
      </c>
      <c r="H1263" s="20" t="n">
        <v>14</v>
      </c>
      <c r="I1263" s="20" t="inlineStr">
        <is>
          <t>스테이포에버 + 쇼핑백</t>
        </is>
      </c>
      <c r="J1263" s="20" t="n">
        <v>200520</v>
      </c>
      <c r="L1263" s="20">
        <f>VLOOKUP($O1263,매칭테이블!$G:$J,2,0)*H1263</f>
        <v/>
      </c>
      <c r="M1263" s="20">
        <f>L1263-L1263*VLOOKUP($O1263,매칭테이블!$G:$J,3,0)</f>
        <v/>
      </c>
      <c r="N1263" s="20">
        <f>VLOOKUP($O1263,매칭테이블!$G:$J,4,0)*H1263</f>
        <v/>
      </c>
      <c r="O1263" s="20">
        <f>F1263&amp;E1263&amp;I1263&amp;J1263</f>
        <v/>
      </c>
    </row>
    <row r="1264" ht="16.5" customHeight="1" s="17">
      <c r="B1264" s="16" t="n">
        <v>43995</v>
      </c>
      <c r="C1264" s="20" t="inlineStr">
        <is>
          <t>토</t>
        </is>
      </c>
      <c r="E1264" s="20" t="inlineStr">
        <is>
          <t>고체향수</t>
        </is>
      </c>
      <c r="F1264" s="20" t="inlineStr">
        <is>
          <t>카페24</t>
        </is>
      </c>
      <c r="H1264" s="20" t="n">
        <v>1</v>
      </c>
      <c r="I1264" s="20" t="inlineStr">
        <is>
          <t>이그나이트 + 스테이포에버 + 쇼핑백2개</t>
        </is>
      </c>
      <c r="J1264" s="20" t="n">
        <v>200520</v>
      </c>
      <c r="L1264" s="20">
        <f>VLOOKUP($O1264,매칭테이블!$G:$J,2,0)*H1264</f>
        <v/>
      </c>
      <c r="M1264" s="20">
        <f>L1264-L1264*VLOOKUP($O1264,매칭테이블!$G:$J,3,0)</f>
        <v/>
      </c>
      <c r="N1264" s="20">
        <f>VLOOKUP($O1264,매칭테이블!$G:$J,4,0)*H1264</f>
        <v/>
      </c>
      <c r="O1264" s="20">
        <f>F1264&amp;E1264&amp;I1264&amp;J1264</f>
        <v/>
      </c>
    </row>
    <row r="1265" ht="16.5" customHeight="1" s="17">
      <c r="B1265" s="16" t="n">
        <v>43995</v>
      </c>
      <c r="C1265" s="20" t="inlineStr">
        <is>
          <t>토</t>
        </is>
      </c>
      <c r="E1265" s="20" t="inlineStr">
        <is>
          <t>고체향수</t>
        </is>
      </c>
      <c r="F1265" s="20" t="inlineStr">
        <is>
          <t>카페24</t>
        </is>
      </c>
      <c r="H1265" s="20" t="n">
        <v>1</v>
      </c>
      <c r="I1265" s="20" t="inlineStr">
        <is>
          <t>스테이포에버 + 쇼핑백</t>
        </is>
      </c>
      <c r="J1265" s="20" t="n">
        <v>200520</v>
      </c>
      <c r="L1265" s="20">
        <f>VLOOKUP($O1265,매칭테이블!$G:$J,2,0)*H1265</f>
        <v/>
      </c>
      <c r="M1265" s="20">
        <f>L1265-L1265*VLOOKUP($O1265,매칭테이블!$G:$J,3,0)</f>
        <v/>
      </c>
      <c r="N1265" s="20">
        <f>VLOOKUP($O1265,매칭테이블!$G:$J,4,0)*H1265</f>
        <v/>
      </c>
      <c r="O1265" s="20">
        <f>F1265&amp;E1265&amp;I1265&amp;J1265</f>
        <v/>
      </c>
    </row>
    <row r="1266" ht="16.5" customHeight="1" s="17">
      <c r="B1266" s="16" t="n">
        <v>43995</v>
      </c>
      <c r="C1266" s="20" t="inlineStr">
        <is>
          <t>토</t>
        </is>
      </c>
      <c r="E1266" s="20" t="inlineStr">
        <is>
          <t>고체향수</t>
        </is>
      </c>
      <c r="F1266" s="20" t="inlineStr">
        <is>
          <t>카페24</t>
        </is>
      </c>
      <c r="H1266" s="20" t="n">
        <v>32</v>
      </c>
      <c r="I1266" s="20" t="inlineStr">
        <is>
          <t>스테이포에버 + 쇼핑백</t>
        </is>
      </c>
      <c r="J1266" s="20" t="n">
        <v>200520</v>
      </c>
      <c r="L1266" s="20">
        <f>VLOOKUP($O1266,매칭테이블!$G:$J,2,0)*H1266</f>
        <v/>
      </c>
      <c r="M1266" s="20">
        <f>L1266-L1266*VLOOKUP($O1266,매칭테이블!$G:$J,3,0)</f>
        <v/>
      </c>
      <c r="N1266" s="20">
        <f>VLOOKUP($O1266,매칭테이블!$G:$J,4,0)*H1266</f>
        <v/>
      </c>
      <c r="O1266" s="20">
        <f>F1266&amp;E1266&amp;I1266&amp;J1266</f>
        <v/>
      </c>
    </row>
    <row r="1267" ht="16.5" customHeight="1" s="17">
      <c r="B1267" s="16" t="n">
        <v>43995</v>
      </c>
      <c r="C1267" s="20" t="inlineStr">
        <is>
          <t>토</t>
        </is>
      </c>
      <c r="E1267" s="20" t="inlineStr">
        <is>
          <t>고체향수</t>
        </is>
      </c>
      <c r="F1267" s="20" t="inlineStr">
        <is>
          <t>카페24</t>
        </is>
      </c>
      <c r="H1267" s="20" t="n">
        <v>3</v>
      </c>
      <c r="I1267" s="20" t="inlineStr">
        <is>
          <t>이그나이트 + 쇼핑백</t>
        </is>
      </c>
      <c r="J1267" s="20" t="n">
        <v>200520</v>
      </c>
      <c r="L1267" s="20">
        <f>VLOOKUP($O1267,매칭테이블!$G:$J,2,0)*H1267</f>
        <v/>
      </c>
      <c r="M1267" s="20">
        <f>L1267-L1267*VLOOKUP($O1267,매칭테이블!$G:$J,3,0)</f>
        <v/>
      </c>
      <c r="N1267" s="20">
        <f>VLOOKUP($O1267,매칭테이블!$G:$J,4,0)*H1267</f>
        <v/>
      </c>
      <c r="O1267" s="20">
        <f>F1267&amp;E1267&amp;I1267&amp;J1267</f>
        <v/>
      </c>
    </row>
    <row r="1268" ht="16.5" customHeight="1" s="17">
      <c r="B1268" s="16" t="n">
        <v>43996</v>
      </c>
      <c r="C1268" s="20" t="inlineStr">
        <is>
          <t>일</t>
        </is>
      </c>
      <c r="E1268" s="20" t="inlineStr">
        <is>
          <t>고체향수</t>
        </is>
      </c>
      <c r="F1268" s="20" t="inlineStr">
        <is>
          <t>카페24</t>
        </is>
      </c>
      <c r="H1268" s="20" t="n">
        <v>1</v>
      </c>
      <c r="I1268" s="20" t="inlineStr">
        <is>
          <t>이그나이트 + 스테이포에버 + 쇼핑백2개</t>
        </is>
      </c>
      <c r="J1268" s="20" t="n">
        <v>200520</v>
      </c>
      <c r="L1268" s="20">
        <f>VLOOKUP($O1268,매칭테이블!$G:$J,2,0)*H1268</f>
        <v/>
      </c>
      <c r="M1268" s="20">
        <f>L1268-L1268*VLOOKUP($O1268,매칭테이블!$G:$J,3,0)</f>
        <v/>
      </c>
      <c r="N1268" s="20">
        <f>VLOOKUP($O1268,매칭테이블!$G:$J,4,0)*H1268</f>
        <v/>
      </c>
      <c r="O1268" s="20">
        <f>F1268&amp;E1268&amp;I1268&amp;J1268</f>
        <v/>
      </c>
    </row>
    <row r="1269" ht="16.5" customHeight="1" s="17">
      <c r="B1269" s="16" t="n">
        <v>43996</v>
      </c>
      <c r="C1269" s="20" t="inlineStr">
        <is>
          <t>일</t>
        </is>
      </c>
      <c r="E1269" s="20" t="inlineStr">
        <is>
          <t>고체향수</t>
        </is>
      </c>
      <c r="F1269" s="20" t="inlineStr">
        <is>
          <t>카페24</t>
        </is>
      </c>
      <c r="H1269" s="20" t="n">
        <v>25</v>
      </c>
      <c r="I1269" s="20" t="inlineStr">
        <is>
          <t>스테이포에버 + 쇼핑백</t>
        </is>
      </c>
      <c r="J1269" s="20" t="n">
        <v>200520</v>
      </c>
      <c r="L1269" s="20">
        <f>VLOOKUP($O1269,매칭테이블!$G:$J,2,0)*H1269</f>
        <v/>
      </c>
      <c r="M1269" s="20">
        <f>L1269-L1269*VLOOKUP($O1269,매칭테이블!$G:$J,3,0)</f>
        <v/>
      </c>
      <c r="N1269" s="20">
        <f>VLOOKUP($O1269,매칭테이블!$G:$J,4,0)*H1269</f>
        <v/>
      </c>
      <c r="O1269" s="20">
        <f>F1269&amp;E1269&amp;I1269&amp;J1269</f>
        <v/>
      </c>
    </row>
    <row r="1270" ht="16.5" customHeight="1" s="17">
      <c r="B1270" s="16" t="n">
        <v>43997</v>
      </c>
      <c r="C1270" s="20" t="inlineStr">
        <is>
          <t>월</t>
        </is>
      </c>
      <c r="E1270" s="20" t="inlineStr">
        <is>
          <t>고체향수</t>
        </is>
      </c>
      <c r="F1270" s="20" t="inlineStr">
        <is>
          <t>카페24</t>
        </is>
      </c>
      <c r="H1270" s="20" t="n">
        <v>1</v>
      </c>
      <c r="I1270" s="20" t="inlineStr">
        <is>
          <t>이그나이트 + 스테이포에버 + 쇼핑백2개</t>
        </is>
      </c>
      <c r="J1270" s="20" t="n">
        <v>200520</v>
      </c>
      <c r="L1270" s="20">
        <f>VLOOKUP($O1270,매칭테이블!$G:$J,2,0)*H1270</f>
        <v/>
      </c>
      <c r="M1270" s="20">
        <f>L1270-L1270*VLOOKUP($O1270,매칭테이블!$G:$J,3,0)</f>
        <v/>
      </c>
      <c r="N1270" s="20">
        <f>VLOOKUP($O1270,매칭테이블!$G:$J,4,0)*H1270</f>
        <v/>
      </c>
      <c r="O1270" s="20">
        <f>F1270&amp;E1270&amp;I1270&amp;J1270</f>
        <v/>
      </c>
    </row>
    <row r="1271" ht="16.5" customHeight="1" s="17">
      <c r="B1271" s="16" t="n">
        <v>43997</v>
      </c>
      <c r="C1271" s="20" t="inlineStr">
        <is>
          <t>월</t>
        </is>
      </c>
      <c r="E1271" s="20" t="inlineStr">
        <is>
          <t>고체향수</t>
        </is>
      </c>
      <c r="F1271" s="20" t="inlineStr">
        <is>
          <t>카페24</t>
        </is>
      </c>
      <c r="H1271" s="20" t="n">
        <v>24</v>
      </c>
      <c r="I1271" s="20" t="inlineStr">
        <is>
          <t>스테이포에버 + 쇼핑백</t>
        </is>
      </c>
      <c r="J1271" s="20" t="n">
        <v>200520</v>
      </c>
      <c r="L1271" s="20">
        <f>VLOOKUP($O1271,매칭테이블!$G:$J,2,0)*H1271</f>
        <v/>
      </c>
      <c r="M1271" s="20">
        <f>L1271-L1271*VLOOKUP($O1271,매칭테이블!$G:$J,3,0)</f>
        <v/>
      </c>
      <c r="N1271" s="20">
        <f>VLOOKUP($O1271,매칭테이블!$G:$J,4,0)*H1271</f>
        <v/>
      </c>
      <c r="O1271" s="20">
        <f>F1271&amp;E1271&amp;I1271&amp;J1271</f>
        <v/>
      </c>
    </row>
    <row r="1272" ht="16.5" customHeight="1" s="17">
      <c r="B1272" s="16" t="n">
        <v>43997</v>
      </c>
      <c r="C1272" s="20" t="inlineStr">
        <is>
          <t>월</t>
        </is>
      </c>
      <c r="E1272" s="20" t="inlineStr">
        <is>
          <t>고체향수</t>
        </is>
      </c>
      <c r="F1272" s="20" t="inlineStr">
        <is>
          <t>유즈 CS</t>
        </is>
      </c>
      <c r="H1272" s="20" t="n">
        <v>1</v>
      </c>
      <c r="I1272" s="20" t="inlineStr">
        <is>
          <t>이그나이트</t>
        </is>
      </c>
      <c r="J1272" s="20" t="n">
        <v>200520</v>
      </c>
      <c r="L1272" s="20">
        <f>VLOOKUP($O1272,매칭테이블!$G:$J,2,0)*H1272</f>
        <v/>
      </c>
      <c r="M1272" s="20">
        <f>L1272-L1272*VLOOKUP($O1272,매칭테이블!$G:$J,3,0)</f>
        <v/>
      </c>
      <c r="N1272" s="20">
        <f>VLOOKUP($O1272,매칭테이블!$G:$J,4,0)*H1272</f>
        <v/>
      </c>
      <c r="O1272" s="20">
        <f>F1272&amp;E1272&amp;I1272&amp;J1272</f>
        <v/>
      </c>
    </row>
    <row r="1273" ht="16.5" customHeight="1" s="17">
      <c r="B1273" s="16" t="n">
        <v>43997</v>
      </c>
      <c r="C1273" s="20" t="inlineStr">
        <is>
          <t>월</t>
        </is>
      </c>
      <c r="E1273" s="20" t="inlineStr">
        <is>
          <t>고체향수</t>
        </is>
      </c>
      <c r="F1273" s="20" t="inlineStr">
        <is>
          <t>유즈 CS</t>
        </is>
      </c>
      <c r="H1273" s="20" t="n">
        <v>1</v>
      </c>
      <c r="I1273" s="20" t="inlineStr">
        <is>
          <t>스테이포에버</t>
        </is>
      </c>
      <c r="J1273" s="20" t="n">
        <v>200520</v>
      </c>
      <c r="L1273" s="20">
        <f>VLOOKUP($O1273,매칭테이블!$G:$J,2,0)*H1273</f>
        <v/>
      </c>
      <c r="M1273" s="20">
        <f>L1273-L1273*VLOOKUP($O1273,매칭테이블!$G:$J,3,0)</f>
        <v/>
      </c>
      <c r="N1273" s="20">
        <f>VLOOKUP($O1273,매칭테이블!$G:$J,4,0)*H1273</f>
        <v/>
      </c>
      <c r="O1273" s="20">
        <f>F1273&amp;E1273&amp;I1273&amp;J1273</f>
        <v/>
      </c>
    </row>
    <row r="1274" ht="16.5" customHeight="1" s="17">
      <c r="B1274" s="16" t="n">
        <v>43998</v>
      </c>
      <c r="C1274" s="20" t="inlineStr">
        <is>
          <t>화</t>
        </is>
      </c>
      <c r="E1274" s="20" t="inlineStr">
        <is>
          <t>고체향수</t>
        </is>
      </c>
      <c r="F1274" s="20" t="inlineStr">
        <is>
          <t>카페24</t>
        </is>
      </c>
      <c r="H1274" s="20" t="n">
        <v>1</v>
      </c>
      <c r="I1274" s="20" t="inlineStr">
        <is>
          <t>이그나이트 + 스테이포에버 + 쇼핑백2개</t>
        </is>
      </c>
      <c r="J1274" s="20" t="n">
        <v>200520</v>
      </c>
      <c r="L1274" s="20">
        <f>VLOOKUP($O1274,매칭테이블!$G:$J,2,0)*H1274</f>
        <v/>
      </c>
      <c r="M1274" s="20">
        <f>L1274-L1274*VLOOKUP($O1274,매칭테이블!$G:$J,3,0)</f>
        <v/>
      </c>
      <c r="N1274" s="20">
        <f>VLOOKUP($O1274,매칭테이블!$G:$J,4,0)*H1274</f>
        <v/>
      </c>
      <c r="O1274" s="20">
        <f>F1274&amp;E1274&amp;I1274&amp;J1274</f>
        <v/>
      </c>
    </row>
    <row r="1275" ht="16.5" customHeight="1" s="17">
      <c r="B1275" s="16" t="n">
        <v>43998</v>
      </c>
      <c r="C1275" s="20" t="inlineStr">
        <is>
          <t>화</t>
        </is>
      </c>
      <c r="E1275" s="20" t="inlineStr">
        <is>
          <t>고체향수</t>
        </is>
      </c>
      <c r="F1275" s="20" t="inlineStr">
        <is>
          <t>카페24</t>
        </is>
      </c>
      <c r="H1275" s="20" t="n">
        <v>23</v>
      </c>
      <c r="I1275" s="20" t="inlineStr">
        <is>
          <t>스테이포에버 + 쇼핑백</t>
        </is>
      </c>
      <c r="J1275" s="20" t="n">
        <v>200520</v>
      </c>
      <c r="L1275" s="20">
        <f>VLOOKUP($O1275,매칭테이블!$G:$J,2,0)*H1275</f>
        <v/>
      </c>
      <c r="M1275" s="20">
        <f>L1275-L1275*VLOOKUP($O1275,매칭테이블!$G:$J,3,0)</f>
        <v/>
      </c>
      <c r="N1275" s="20">
        <f>VLOOKUP($O1275,매칭테이블!$G:$J,4,0)*H1275</f>
        <v/>
      </c>
      <c r="O1275" s="20">
        <f>F1275&amp;E1275&amp;I1275&amp;J1275</f>
        <v/>
      </c>
    </row>
    <row r="1276" ht="16.5" customHeight="1" s="17">
      <c r="B1276" s="16" t="n">
        <v>43999</v>
      </c>
      <c r="C1276" s="20" t="inlineStr">
        <is>
          <t>수</t>
        </is>
      </c>
      <c r="E1276" s="20" t="inlineStr">
        <is>
          <t>고체향수</t>
        </is>
      </c>
      <c r="F1276" s="20" t="inlineStr">
        <is>
          <t>카페24</t>
        </is>
      </c>
      <c r="H1276" s="20" t="n">
        <v>3</v>
      </c>
      <c r="I1276" s="20" t="inlineStr">
        <is>
          <t>이그나이트 + 스테이포에버 + 쇼핑백2개</t>
        </is>
      </c>
      <c r="J1276" s="20" t="n">
        <v>200520</v>
      </c>
      <c r="L1276" s="20">
        <f>VLOOKUP($O1276,매칭테이블!$G:$J,2,0)*H1276</f>
        <v/>
      </c>
      <c r="M1276" s="20">
        <f>L1276-L1276*VLOOKUP($O1276,매칭테이블!$G:$J,3,0)</f>
        <v/>
      </c>
      <c r="N1276" s="20">
        <f>VLOOKUP($O1276,매칭테이블!$G:$J,4,0)*H1276</f>
        <v/>
      </c>
      <c r="O1276" s="20">
        <f>F1276&amp;E1276&amp;I1276&amp;J1276</f>
        <v/>
      </c>
    </row>
    <row r="1277" ht="16.5" customHeight="1" s="17">
      <c r="B1277" s="16" t="n">
        <v>43999</v>
      </c>
      <c r="C1277" s="20" t="inlineStr">
        <is>
          <t>수</t>
        </is>
      </c>
      <c r="E1277" s="20" t="inlineStr">
        <is>
          <t>고체향수</t>
        </is>
      </c>
      <c r="F1277" s="20" t="inlineStr">
        <is>
          <t>카페24</t>
        </is>
      </c>
      <c r="H1277" s="20" t="n">
        <v>24</v>
      </c>
      <c r="I1277" s="20" t="inlineStr">
        <is>
          <t>스테이포에버 + 쇼핑백</t>
        </is>
      </c>
      <c r="J1277" s="20" t="n">
        <v>200520</v>
      </c>
      <c r="L1277" s="20">
        <f>VLOOKUP($O1277,매칭테이블!$G:$J,2,0)*H1277</f>
        <v/>
      </c>
      <c r="M1277" s="20">
        <f>L1277-L1277*VLOOKUP($O1277,매칭테이블!$G:$J,3,0)</f>
        <v/>
      </c>
      <c r="N1277" s="20">
        <f>VLOOKUP($O1277,매칭테이블!$G:$J,4,0)*H1277</f>
        <v/>
      </c>
      <c r="O1277" s="20">
        <f>F1277&amp;E1277&amp;I1277&amp;J1277</f>
        <v/>
      </c>
    </row>
    <row r="1278" ht="16.5" customHeight="1" s="17">
      <c r="B1278" s="16" t="n">
        <v>43999</v>
      </c>
      <c r="C1278" s="20" t="inlineStr">
        <is>
          <t>수</t>
        </is>
      </c>
      <c r="E1278" s="20" t="inlineStr">
        <is>
          <t>고체향수</t>
        </is>
      </c>
      <c r="F1278" s="20" t="inlineStr">
        <is>
          <t>카페24</t>
        </is>
      </c>
      <c r="H1278" s="20" t="n">
        <v>3</v>
      </c>
      <c r="I1278" s="20" t="inlineStr">
        <is>
          <t>이그나이트 + 쇼핑백</t>
        </is>
      </c>
      <c r="J1278" s="20" t="n">
        <v>200520</v>
      </c>
      <c r="L1278" s="20">
        <f>VLOOKUP($O1278,매칭테이블!$G:$J,2,0)*H1278</f>
        <v/>
      </c>
      <c r="M1278" s="20">
        <f>L1278-L1278*VLOOKUP($O1278,매칭테이블!$G:$J,3,0)</f>
        <v/>
      </c>
      <c r="N1278" s="20">
        <f>VLOOKUP($O1278,매칭테이블!$G:$J,4,0)*H1278</f>
        <v/>
      </c>
      <c r="O1278" s="20">
        <f>F1278&amp;E1278&amp;I1278&amp;J1278</f>
        <v/>
      </c>
    </row>
    <row r="1279" ht="16.5" customHeight="1" s="17">
      <c r="B1279" s="16" t="n">
        <v>44000</v>
      </c>
      <c r="C1279" s="20" t="inlineStr">
        <is>
          <t>목</t>
        </is>
      </c>
      <c r="E1279" s="20" t="inlineStr">
        <is>
          <t>고체향수</t>
        </is>
      </c>
      <c r="F1279" s="20" t="inlineStr">
        <is>
          <t>카페24</t>
        </is>
      </c>
      <c r="H1279" s="20" t="n">
        <v>41</v>
      </c>
      <c r="I1279" s="20" t="inlineStr">
        <is>
          <t>스테이포에버 + 쇼핑백</t>
        </is>
      </c>
      <c r="J1279" s="20" t="n">
        <v>200520</v>
      </c>
      <c r="L1279" s="20">
        <f>VLOOKUP($O1279,매칭테이블!$G:$J,2,0)*H1279</f>
        <v/>
      </c>
      <c r="M1279" s="20">
        <f>L1279-L1279*VLOOKUP($O1279,매칭테이블!$G:$J,3,0)</f>
        <v/>
      </c>
      <c r="N1279" s="20">
        <f>VLOOKUP($O1279,매칭테이블!$G:$J,4,0)*H1279</f>
        <v/>
      </c>
      <c r="O1279" s="20">
        <f>F1279&amp;E1279&amp;I1279&amp;J1279</f>
        <v/>
      </c>
    </row>
    <row r="1280" ht="16.5" customHeight="1" s="17">
      <c r="B1280" s="16" t="n">
        <v>44000</v>
      </c>
      <c r="C1280" s="20" t="inlineStr">
        <is>
          <t>목</t>
        </is>
      </c>
      <c r="E1280" s="20" t="inlineStr">
        <is>
          <t>고체향수</t>
        </is>
      </c>
      <c r="F1280" s="20" t="inlineStr">
        <is>
          <t>카페24</t>
        </is>
      </c>
      <c r="H1280" s="20" t="n">
        <v>21</v>
      </c>
      <c r="I1280" s="20" t="inlineStr">
        <is>
          <t>이그나이트 + 쇼핑백</t>
        </is>
      </c>
      <c r="J1280" s="20" t="n">
        <v>200520</v>
      </c>
      <c r="L1280" s="20">
        <f>VLOOKUP($O1280,매칭테이블!$G:$J,2,0)*H1280</f>
        <v/>
      </c>
      <c r="M1280" s="20">
        <f>L1280-L1280*VLOOKUP($O1280,매칭테이블!$G:$J,3,0)</f>
        <v/>
      </c>
      <c r="N1280" s="20">
        <f>VLOOKUP($O1280,매칭테이블!$G:$J,4,0)*H1280</f>
        <v/>
      </c>
      <c r="O1280" s="20">
        <f>F1280&amp;E1280&amp;I1280&amp;J1280</f>
        <v/>
      </c>
    </row>
    <row r="1281" ht="16.5" customHeight="1" s="17">
      <c r="B1281" s="16" t="n">
        <v>44001</v>
      </c>
      <c r="C1281" s="20" t="inlineStr">
        <is>
          <t>금</t>
        </is>
      </c>
      <c r="E1281" s="20" t="inlineStr">
        <is>
          <t>고체향수</t>
        </is>
      </c>
      <c r="F1281" s="20" t="inlineStr">
        <is>
          <t>카페24</t>
        </is>
      </c>
      <c r="H1281" s="20" t="n">
        <v>1</v>
      </c>
      <c r="I1281" s="20" t="inlineStr">
        <is>
          <t>이그나이트 + 스테이포에버 + 쇼핑백2개</t>
        </is>
      </c>
      <c r="J1281" s="20" t="n">
        <v>200520</v>
      </c>
      <c r="L1281" s="20">
        <f>VLOOKUP($O1281,매칭테이블!$G:$J,2,0)*H1281</f>
        <v/>
      </c>
      <c r="M1281" s="20">
        <f>L1281-L1281*VLOOKUP($O1281,매칭테이블!$G:$J,3,0)</f>
        <v/>
      </c>
      <c r="N1281" s="20">
        <f>VLOOKUP($O1281,매칭테이블!$G:$J,4,0)*H1281</f>
        <v/>
      </c>
      <c r="O1281" s="20">
        <f>F1281&amp;E1281&amp;I1281&amp;J1281</f>
        <v/>
      </c>
    </row>
    <row r="1282" ht="16.5" customHeight="1" s="17">
      <c r="B1282" s="16" t="n">
        <v>44001</v>
      </c>
      <c r="C1282" s="20" t="inlineStr">
        <is>
          <t>금</t>
        </is>
      </c>
      <c r="E1282" s="20" t="inlineStr">
        <is>
          <t>고체향수</t>
        </is>
      </c>
      <c r="F1282" s="20" t="inlineStr">
        <is>
          <t>카페24</t>
        </is>
      </c>
      <c r="H1282" s="20" t="n">
        <v>41</v>
      </c>
      <c r="I1282" s="20" t="inlineStr">
        <is>
          <t>스테이포에버 + 쇼핑백</t>
        </is>
      </c>
      <c r="J1282" s="20" t="n">
        <v>200520</v>
      </c>
      <c r="L1282" s="20">
        <f>VLOOKUP($O1282,매칭테이블!$G:$J,2,0)*H1282</f>
        <v/>
      </c>
      <c r="M1282" s="20">
        <f>L1282-L1282*VLOOKUP($O1282,매칭테이블!$G:$J,3,0)</f>
        <v/>
      </c>
      <c r="N1282" s="20">
        <f>VLOOKUP($O1282,매칭테이블!$G:$J,4,0)*H1282</f>
        <v/>
      </c>
      <c r="O1282" s="20">
        <f>F1282&amp;E1282&amp;I1282&amp;J1282</f>
        <v/>
      </c>
    </row>
    <row r="1283" ht="16.5" customHeight="1" s="17">
      <c r="B1283" s="16" t="n">
        <v>44001</v>
      </c>
      <c r="C1283" s="20" t="inlineStr">
        <is>
          <t>금</t>
        </is>
      </c>
      <c r="E1283" s="20" t="inlineStr">
        <is>
          <t>고체향수</t>
        </is>
      </c>
      <c r="F1283" s="20" t="inlineStr">
        <is>
          <t>카페24</t>
        </is>
      </c>
      <c r="H1283" s="20" t="n">
        <v>23</v>
      </c>
      <c r="I1283" s="20" t="inlineStr">
        <is>
          <t>이그나이트 + 쇼핑백</t>
        </is>
      </c>
      <c r="J1283" s="20" t="n">
        <v>200520</v>
      </c>
      <c r="L1283" s="20">
        <f>VLOOKUP($O1283,매칭테이블!$G:$J,2,0)*H1283</f>
        <v/>
      </c>
      <c r="M1283" s="20">
        <f>L1283-L1283*VLOOKUP($O1283,매칭테이블!$G:$J,3,0)</f>
        <v/>
      </c>
      <c r="N1283" s="20">
        <f>VLOOKUP($O1283,매칭테이블!$G:$J,4,0)*H1283</f>
        <v/>
      </c>
      <c r="O1283" s="20">
        <f>F1283&amp;E1283&amp;I1283&amp;J1283</f>
        <v/>
      </c>
    </row>
    <row r="1284" ht="16.5" customHeight="1" s="17">
      <c r="B1284" s="16" t="n">
        <v>44001</v>
      </c>
      <c r="C1284" s="20" t="inlineStr">
        <is>
          <t>금</t>
        </is>
      </c>
      <c r="E1284" s="20" t="inlineStr">
        <is>
          <t>고체향수</t>
        </is>
      </c>
      <c r="F1284" s="20" t="inlineStr">
        <is>
          <t>유즈 CS</t>
        </is>
      </c>
      <c r="H1284" s="20" t="n">
        <v>1</v>
      </c>
      <c r="I1284" s="20" t="inlineStr">
        <is>
          <t>스테이포에버</t>
        </is>
      </c>
      <c r="J1284" s="20" t="n">
        <v>200520</v>
      </c>
      <c r="L1284" s="20">
        <f>VLOOKUP($O1284,매칭테이블!$G:$J,2,0)*H1284</f>
        <v/>
      </c>
      <c r="M1284" s="20">
        <f>L1284-L1284*VLOOKUP($O1284,매칭테이블!$G:$J,3,0)</f>
        <v/>
      </c>
      <c r="N1284" s="20">
        <f>VLOOKUP($O1284,매칭테이블!$G:$J,4,0)*H1284</f>
        <v/>
      </c>
      <c r="O1284" s="20">
        <f>F1284&amp;E1284&amp;I1284&amp;J1284</f>
        <v/>
      </c>
    </row>
    <row r="1285" ht="16.5" customHeight="1" s="17">
      <c r="B1285" s="16" t="n">
        <v>44001</v>
      </c>
      <c r="C1285" s="20" t="inlineStr">
        <is>
          <t>금</t>
        </is>
      </c>
      <c r="E1285" s="20" t="inlineStr">
        <is>
          <t>고체향수</t>
        </is>
      </c>
      <c r="F1285" s="20" t="inlineStr">
        <is>
          <t>유즈 CS</t>
        </is>
      </c>
      <c r="H1285" s="20" t="n">
        <v>1</v>
      </c>
      <c r="I1285" s="20" t="inlineStr">
        <is>
          <t>이그나이트</t>
        </is>
      </c>
      <c r="J1285" s="20" t="n">
        <v>200520</v>
      </c>
      <c r="L1285" s="20">
        <f>VLOOKUP($O1285,매칭테이블!$G:$J,2,0)*H1285</f>
        <v/>
      </c>
      <c r="M1285" s="20">
        <f>L1285-L1285*VLOOKUP($O1285,매칭테이블!$G:$J,3,0)</f>
        <v/>
      </c>
      <c r="N1285" s="20">
        <f>VLOOKUP($O1285,매칭테이블!$G:$J,4,0)*H1285</f>
        <v/>
      </c>
      <c r="O1285" s="20">
        <f>F1285&amp;E1285&amp;I1285&amp;J1285</f>
        <v/>
      </c>
    </row>
    <row r="1286" ht="16.5" customHeight="1" s="17">
      <c r="B1286" s="16" t="n">
        <v>44001</v>
      </c>
      <c r="C1286" s="20" t="inlineStr">
        <is>
          <t>금</t>
        </is>
      </c>
      <c r="E1286" s="20" t="inlineStr">
        <is>
          <t>쇼핑백</t>
        </is>
      </c>
      <c r="F1286" s="20" t="inlineStr">
        <is>
          <t>유즈 CS</t>
        </is>
      </c>
      <c r="H1286" s="20" t="n">
        <v>1</v>
      </c>
      <c r="I1286" s="20" t="inlineStr">
        <is>
          <t>유즈쇼핑백</t>
        </is>
      </c>
      <c r="J1286" s="20" t="n">
        <v>200520</v>
      </c>
      <c r="L1286" s="20">
        <f>VLOOKUP($O1286,매칭테이블!$G:$J,2,0)*H1286</f>
        <v/>
      </c>
      <c r="M1286" s="20">
        <f>L1286-L1286*VLOOKUP($O1286,매칭테이블!$G:$J,3,0)</f>
        <v/>
      </c>
      <c r="N1286" s="20">
        <f>VLOOKUP($O1286,매칭테이블!$G:$J,4,0)*H1286</f>
        <v/>
      </c>
      <c r="O1286" s="20">
        <f>F1286&amp;E1286&amp;I1286&amp;J1286</f>
        <v/>
      </c>
    </row>
    <row r="1287" ht="16.5" customHeight="1" s="17">
      <c r="B1287" s="16" t="n">
        <v>44002</v>
      </c>
      <c r="C1287" s="20" t="inlineStr">
        <is>
          <t>토</t>
        </is>
      </c>
      <c r="E1287" s="20" t="inlineStr">
        <is>
          <t>고체향수</t>
        </is>
      </c>
      <c r="F1287" s="20" t="inlineStr">
        <is>
          <t>카페24</t>
        </is>
      </c>
      <c r="H1287" s="20" t="n">
        <v>9</v>
      </c>
      <c r="I1287" s="20" t="inlineStr">
        <is>
          <t>이그나이트 + 스테이포에버 + 쇼핑백2개</t>
        </is>
      </c>
      <c r="J1287" s="20" t="n">
        <v>200520</v>
      </c>
      <c r="L1287" s="20">
        <f>VLOOKUP($O1287,매칭테이블!$G:$J,2,0)*H1287</f>
        <v/>
      </c>
      <c r="M1287" s="20">
        <f>L1287-L1287*VLOOKUP($O1287,매칭테이블!$G:$J,3,0)</f>
        <v/>
      </c>
      <c r="N1287" s="20">
        <f>VLOOKUP($O1287,매칭테이블!$G:$J,4,0)*H1287</f>
        <v/>
      </c>
      <c r="O1287" s="20">
        <f>F1287&amp;E1287&amp;I1287&amp;J1287</f>
        <v/>
      </c>
    </row>
    <row r="1288" ht="16.5" customHeight="1" s="17">
      <c r="B1288" s="16" t="n">
        <v>44002</v>
      </c>
      <c r="C1288" s="20" t="inlineStr">
        <is>
          <t>토</t>
        </is>
      </c>
      <c r="E1288" s="20" t="inlineStr">
        <is>
          <t>고체향수</t>
        </is>
      </c>
      <c r="F1288" s="20" t="inlineStr">
        <is>
          <t>카페24</t>
        </is>
      </c>
      <c r="H1288" s="20" t="n">
        <v>26</v>
      </c>
      <c r="I1288" s="20" t="inlineStr">
        <is>
          <t>이그나이트 + 쇼핑백</t>
        </is>
      </c>
      <c r="J1288" s="20" t="n">
        <v>200520</v>
      </c>
      <c r="L1288" s="20">
        <f>VLOOKUP($O1288,매칭테이블!$G:$J,2,0)*H1288</f>
        <v/>
      </c>
      <c r="M1288" s="20">
        <f>L1288-L1288*VLOOKUP($O1288,매칭테이블!$G:$J,3,0)</f>
        <v/>
      </c>
      <c r="N1288" s="20">
        <f>VLOOKUP($O1288,매칭테이블!$G:$J,4,0)*H1288</f>
        <v/>
      </c>
      <c r="O1288" s="20">
        <f>F1288&amp;E1288&amp;I1288&amp;J1288</f>
        <v/>
      </c>
    </row>
    <row r="1289" ht="16.5" customHeight="1" s="17">
      <c r="B1289" s="16" t="n">
        <v>44002</v>
      </c>
      <c r="C1289" s="20" t="inlineStr">
        <is>
          <t>토</t>
        </is>
      </c>
      <c r="E1289" s="20" t="inlineStr">
        <is>
          <t>고체향수</t>
        </is>
      </c>
      <c r="F1289" s="20" t="inlineStr">
        <is>
          <t>카페24</t>
        </is>
      </c>
      <c r="H1289" s="20" t="n">
        <v>57</v>
      </c>
      <c r="I1289" s="20" t="inlineStr">
        <is>
          <t>스테이포에버 + 쇼핑백</t>
        </is>
      </c>
      <c r="J1289" s="20" t="n">
        <v>200520</v>
      </c>
      <c r="L1289" s="20">
        <f>VLOOKUP($O1289,매칭테이블!$G:$J,2,0)*H1289</f>
        <v/>
      </c>
      <c r="M1289" s="20">
        <f>L1289-L1289*VLOOKUP($O1289,매칭테이블!$G:$J,3,0)</f>
        <v/>
      </c>
      <c r="N1289" s="20">
        <f>VLOOKUP($O1289,매칭테이블!$G:$J,4,0)*H1289</f>
        <v/>
      </c>
      <c r="O1289" s="20">
        <f>F1289&amp;E1289&amp;I1289&amp;J1289</f>
        <v/>
      </c>
    </row>
    <row r="1290" ht="16.5" customHeight="1" s="17">
      <c r="B1290" s="16" t="n">
        <v>44003</v>
      </c>
      <c r="C1290" s="20" t="inlineStr">
        <is>
          <t>일</t>
        </is>
      </c>
      <c r="E1290" s="20" t="inlineStr">
        <is>
          <t>고체향수</t>
        </is>
      </c>
      <c r="F1290" s="20" t="inlineStr">
        <is>
          <t>카페24</t>
        </is>
      </c>
      <c r="H1290" s="20" t="n">
        <v>24</v>
      </c>
      <c r="I1290" s="20" t="inlineStr">
        <is>
          <t>스테이포에버 + 쇼핑백</t>
        </is>
      </c>
      <c r="J1290" s="20" t="n">
        <v>200520</v>
      </c>
      <c r="L1290" s="20">
        <f>VLOOKUP($O1290,매칭테이블!$G:$J,2,0)*H1290</f>
        <v/>
      </c>
      <c r="M1290" s="20">
        <f>L1290-L1290*VLOOKUP($O1290,매칭테이블!$G:$J,3,0)</f>
        <v/>
      </c>
      <c r="N1290" s="20">
        <f>VLOOKUP($O1290,매칭테이블!$G:$J,4,0)*H1290</f>
        <v/>
      </c>
      <c r="O1290" s="20">
        <f>F1290&amp;E1290&amp;I1290&amp;J1290</f>
        <v/>
      </c>
    </row>
    <row r="1291" ht="16.5" customHeight="1" s="17">
      <c r="B1291" s="16" t="n">
        <v>44003</v>
      </c>
      <c r="C1291" s="20" t="inlineStr">
        <is>
          <t>일</t>
        </is>
      </c>
      <c r="E1291" s="20" t="inlineStr">
        <is>
          <t>고체향수</t>
        </is>
      </c>
      <c r="F1291" s="20" t="inlineStr">
        <is>
          <t>카페24</t>
        </is>
      </c>
      <c r="H1291" s="20" t="n">
        <v>1</v>
      </c>
      <c r="I1291" s="20" t="inlineStr">
        <is>
          <t>이그나이트 + 스테이포에버</t>
        </is>
      </c>
      <c r="J1291" s="20" t="n">
        <v>200520</v>
      </c>
      <c r="L1291" s="20">
        <f>VLOOKUP($O1291,매칭테이블!$G:$J,2,0)*H1291</f>
        <v/>
      </c>
      <c r="M1291" s="20">
        <f>L1291-L1291*VLOOKUP($O1291,매칭테이블!$G:$J,3,0)</f>
        <v/>
      </c>
      <c r="N1291" s="20">
        <f>VLOOKUP($O1291,매칭테이블!$G:$J,4,0)*H1291</f>
        <v/>
      </c>
      <c r="O1291" s="20">
        <f>F1291&amp;E1291&amp;I1291&amp;J1291</f>
        <v/>
      </c>
    </row>
    <row r="1292" ht="16.5" customHeight="1" s="17">
      <c r="B1292" s="16" t="n">
        <v>44003</v>
      </c>
      <c r="C1292" s="20" t="inlineStr">
        <is>
          <t>일</t>
        </is>
      </c>
      <c r="E1292" s="20" t="inlineStr">
        <is>
          <t>고체향수</t>
        </is>
      </c>
      <c r="F1292" s="20" t="inlineStr">
        <is>
          <t>카페24</t>
        </is>
      </c>
      <c r="H1292" s="20" t="n">
        <v>17</v>
      </c>
      <c r="I1292" s="20" t="inlineStr">
        <is>
          <t>이그나이트</t>
        </is>
      </c>
      <c r="J1292" s="20" t="n">
        <v>200520</v>
      </c>
      <c r="L1292" s="20">
        <f>VLOOKUP($O1292,매칭테이블!$G:$J,2,0)*H1292</f>
        <v/>
      </c>
      <c r="M1292" s="20">
        <f>L1292-L1292*VLOOKUP($O1292,매칭테이블!$G:$J,3,0)</f>
        <v/>
      </c>
      <c r="N1292" s="20">
        <f>VLOOKUP($O1292,매칭테이블!$G:$J,4,0)*H1292</f>
        <v/>
      </c>
      <c r="O1292" s="20">
        <f>F1292&amp;E1292&amp;I1292&amp;J1292</f>
        <v/>
      </c>
    </row>
    <row r="1293" ht="16.5" customHeight="1" s="17">
      <c r="B1293" s="16" t="n">
        <v>44003</v>
      </c>
      <c r="C1293" s="20" t="inlineStr">
        <is>
          <t>일</t>
        </is>
      </c>
      <c r="E1293" s="20" t="inlineStr">
        <is>
          <t>고체향수</t>
        </is>
      </c>
      <c r="F1293" s="20" t="inlineStr">
        <is>
          <t>카페24</t>
        </is>
      </c>
      <c r="H1293" s="20" t="n">
        <v>46</v>
      </c>
      <c r="I1293" s="20" t="inlineStr">
        <is>
          <t>스테이포에버</t>
        </is>
      </c>
      <c r="J1293" s="20" t="n">
        <v>200520</v>
      </c>
      <c r="L1293" s="20">
        <f>VLOOKUP($O1293,매칭테이블!$G:$J,2,0)*H1293</f>
        <v/>
      </c>
      <c r="M1293" s="20">
        <f>L1293-L1293*VLOOKUP($O1293,매칭테이블!$G:$J,3,0)</f>
        <v/>
      </c>
      <c r="N1293" s="20">
        <f>VLOOKUP($O1293,매칭테이블!$G:$J,4,0)*H1293</f>
        <v/>
      </c>
      <c r="O1293" s="20">
        <f>F1293&amp;E1293&amp;I1293&amp;J1293</f>
        <v/>
      </c>
    </row>
    <row r="1294" ht="16.5" customHeight="1" s="17">
      <c r="B1294" s="16" t="n">
        <v>44003</v>
      </c>
      <c r="C1294" s="20" t="inlineStr">
        <is>
          <t>일</t>
        </is>
      </c>
      <c r="E1294" s="20" t="inlineStr">
        <is>
          <t>쇼핑백</t>
        </is>
      </c>
      <c r="F1294" s="20" t="inlineStr">
        <is>
          <t>카페24</t>
        </is>
      </c>
      <c r="H1294" s="20" t="n">
        <v>2</v>
      </c>
      <c r="I1294" s="20" t="inlineStr">
        <is>
          <t>유즈쇼핑백</t>
        </is>
      </c>
      <c r="J1294" s="20" t="n">
        <v>200520</v>
      </c>
      <c r="L1294" s="20">
        <f>VLOOKUP($O1294,매칭테이블!$G:$J,2,0)*H1294</f>
        <v/>
      </c>
      <c r="M1294" s="20">
        <f>L1294-L1294*VLOOKUP($O1294,매칭테이블!$G:$J,3,0)</f>
        <v/>
      </c>
      <c r="N1294" s="20">
        <f>VLOOKUP($O1294,매칭테이블!$G:$J,4,0)*H1294</f>
        <v/>
      </c>
      <c r="O1294" s="20">
        <f>F1294&amp;E1294&amp;I1294&amp;J1294</f>
        <v/>
      </c>
    </row>
    <row r="1295" ht="16.5" customHeight="1" s="17">
      <c r="B1295" s="16" t="n">
        <v>44003</v>
      </c>
      <c r="C1295" s="20" t="inlineStr">
        <is>
          <t>일</t>
        </is>
      </c>
      <c r="E1295" s="20" t="inlineStr">
        <is>
          <t>고체향수</t>
        </is>
      </c>
      <c r="F1295" s="20" t="inlineStr">
        <is>
          <t>카페24</t>
        </is>
      </c>
      <c r="H1295" s="20" t="n">
        <v>7</v>
      </c>
      <c r="I1295" s="20" t="inlineStr">
        <is>
          <t>이그나이트 + 쇼핑백</t>
        </is>
      </c>
      <c r="J1295" s="20" t="n">
        <v>200520</v>
      </c>
      <c r="L1295" s="20">
        <f>VLOOKUP($O1295,매칭테이블!$G:$J,2,0)*H1295</f>
        <v/>
      </c>
      <c r="M1295" s="20">
        <f>L1295-L1295*VLOOKUP($O1295,매칭테이블!$G:$J,3,0)</f>
        <v/>
      </c>
      <c r="N1295" s="20">
        <f>VLOOKUP($O1295,매칭테이블!$G:$J,4,0)*H1295</f>
        <v/>
      </c>
      <c r="O1295" s="20">
        <f>F1295&amp;E1295&amp;I1295&amp;J1295</f>
        <v/>
      </c>
    </row>
    <row r="1296" ht="16.5" customHeight="1" s="17">
      <c r="B1296" s="16" t="n">
        <v>44004</v>
      </c>
      <c r="C1296" s="20" t="inlineStr">
        <is>
          <t>월</t>
        </is>
      </c>
      <c r="E1296" s="20" t="inlineStr">
        <is>
          <t>고체향수</t>
        </is>
      </c>
      <c r="F1296" s="20" t="inlineStr">
        <is>
          <t>카페24</t>
        </is>
      </c>
      <c r="H1296" s="20" t="n">
        <v>17</v>
      </c>
      <c r="I1296" s="20" t="inlineStr">
        <is>
          <t>이그나이트</t>
        </is>
      </c>
      <c r="J1296" s="20" t="n">
        <v>200622</v>
      </c>
      <c r="L1296" s="20">
        <f>VLOOKUP($O1296,매칭테이블!$G:$J,2,0)*H1296</f>
        <v/>
      </c>
      <c r="M1296" s="20">
        <f>L1296-L1296*VLOOKUP($O1296,매칭테이블!$G:$J,3,0)</f>
        <v/>
      </c>
      <c r="N1296" s="20">
        <f>VLOOKUP($O1296,매칭테이블!$G:$J,4,0)*H1296</f>
        <v/>
      </c>
      <c r="O1296" s="20">
        <f>F1296&amp;E1296&amp;I1296&amp;J1296</f>
        <v/>
      </c>
    </row>
    <row r="1297" ht="16.5" customHeight="1" s="17">
      <c r="B1297" s="16" t="n">
        <v>44004</v>
      </c>
      <c r="C1297" s="20" t="inlineStr">
        <is>
          <t>월</t>
        </is>
      </c>
      <c r="E1297" s="20" t="inlineStr">
        <is>
          <t>고체향수</t>
        </is>
      </c>
      <c r="F1297" s="20" t="inlineStr">
        <is>
          <t>카페24</t>
        </is>
      </c>
      <c r="H1297" s="20" t="n">
        <v>57</v>
      </c>
      <c r="I1297" s="20" t="inlineStr">
        <is>
          <t>스테이포에버</t>
        </is>
      </c>
      <c r="J1297" s="20" t="n">
        <v>200622</v>
      </c>
      <c r="L1297" s="20">
        <f>VLOOKUP($O1297,매칭테이블!$G:$J,2,0)*H1297</f>
        <v/>
      </c>
      <c r="M1297" s="20">
        <f>L1297-L1297*VLOOKUP($O1297,매칭테이블!$G:$J,3,0)</f>
        <v/>
      </c>
      <c r="N1297" s="20">
        <f>VLOOKUP($O1297,매칭테이블!$G:$J,4,0)*H1297</f>
        <v/>
      </c>
      <c r="O1297" s="20">
        <f>F1297&amp;E1297&amp;I1297&amp;J1297</f>
        <v/>
      </c>
    </row>
    <row r="1298" ht="16.5" customHeight="1" s="17">
      <c r="B1298" s="16" t="n">
        <v>44004</v>
      </c>
      <c r="C1298" s="20" t="inlineStr">
        <is>
          <t>월</t>
        </is>
      </c>
      <c r="E1298" s="20" t="inlineStr">
        <is>
          <t>고체향수</t>
        </is>
      </c>
      <c r="F1298" s="20" t="inlineStr">
        <is>
          <t>카페24</t>
        </is>
      </c>
      <c r="H1298" s="20" t="n">
        <v>2</v>
      </c>
      <c r="I1298" s="20" t="inlineStr">
        <is>
          <t>이그나이트 + 쇼핑백</t>
        </is>
      </c>
      <c r="J1298" s="20" t="n">
        <v>200520</v>
      </c>
      <c r="L1298" s="20">
        <f>VLOOKUP($O1298,매칭테이블!$G:$J,2,0)*H1298</f>
        <v/>
      </c>
      <c r="M1298" s="20">
        <f>L1298-L1298*VLOOKUP($O1298,매칭테이블!$G:$J,3,0)</f>
        <v/>
      </c>
      <c r="N1298" s="20">
        <f>VLOOKUP($O1298,매칭테이블!$G:$J,4,0)*H1298</f>
        <v/>
      </c>
      <c r="O1298" s="20">
        <f>F1298&amp;E1298&amp;I1298&amp;J1298</f>
        <v/>
      </c>
    </row>
    <row r="1299" ht="16.5" customHeight="1" s="17">
      <c r="B1299" s="16" t="n">
        <v>44005</v>
      </c>
      <c r="C1299" s="20" t="inlineStr">
        <is>
          <t>화</t>
        </is>
      </c>
      <c r="E1299" s="20" t="inlineStr">
        <is>
          <t>고체향수</t>
        </is>
      </c>
      <c r="F1299" s="20" t="inlineStr">
        <is>
          <t>카페24</t>
        </is>
      </c>
      <c r="H1299" s="20" t="n">
        <v>1</v>
      </c>
      <c r="I1299" s="20" t="inlineStr">
        <is>
          <t>이그나이트 + 스테이포에버</t>
        </is>
      </c>
      <c r="J1299" s="20" t="n">
        <v>200622</v>
      </c>
      <c r="L1299" s="20">
        <f>VLOOKUP($O1299,매칭테이블!$G:$J,2,0)*H1299</f>
        <v/>
      </c>
      <c r="M1299" s="20">
        <f>L1299-L1299*VLOOKUP($O1299,매칭테이블!$G:$J,3,0)</f>
        <v/>
      </c>
      <c r="N1299" s="20">
        <f>VLOOKUP($O1299,매칭테이블!$G:$J,4,0)*H1299</f>
        <v/>
      </c>
      <c r="O1299" s="20">
        <f>F1299&amp;E1299&amp;I1299&amp;J1299</f>
        <v/>
      </c>
    </row>
    <row r="1300" ht="16.5" customHeight="1" s="17">
      <c r="B1300" s="16" t="n">
        <v>44005</v>
      </c>
      <c r="C1300" s="20" t="inlineStr">
        <is>
          <t>화</t>
        </is>
      </c>
      <c r="E1300" s="20" t="inlineStr">
        <is>
          <t>고체향수</t>
        </is>
      </c>
      <c r="F1300" s="20" t="inlineStr">
        <is>
          <t>카페24</t>
        </is>
      </c>
      <c r="H1300" s="20" t="n">
        <v>29</v>
      </c>
      <c r="I1300" s="20" t="inlineStr">
        <is>
          <t>이그나이트</t>
        </is>
      </c>
      <c r="J1300" s="20" t="n">
        <v>200622</v>
      </c>
      <c r="L1300" s="20">
        <f>VLOOKUP($O1300,매칭테이블!$G:$J,2,0)*H1300</f>
        <v/>
      </c>
      <c r="M1300" s="20">
        <f>L1300-L1300*VLOOKUP($O1300,매칭테이블!$G:$J,3,0)</f>
        <v/>
      </c>
      <c r="N1300" s="20">
        <f>VLOOKUP($O1300,매칭테이블!$G:$J,4,0)*H1300</f>
        <v/>
      </c>
      <c r="O1300" s="20">
        <f>F1300&amp;E1300&amp;I1300&amp;J1300</f>
        <v/>
      </c>
    </row>
    <row r="1301" ht="16.5" customHeight="1" s="17">
      <c r="B1301" s="16" t="n">
        <v>44005</v>
      </c>
      <c r="C1301" s="20" t="inlineStr">
        <is>
          <t>화</t>
        </is>
      </c>
      <c r="E1301" s="20" t="inlineStr">
        <is>
          <t>고체향수</t>
        </is>
      </c>
      <c r="F1301" s="20" t="inlineStr">
        <is>
          <t>카페24</t>
        </is>
      </c>
      <c r="H1301" s="20" t="n">
        <v>59</v>
      </c>
      <c r="I1301" s="20" t="inlineStr">
        <is>
          <t>스테이포에버</t>
        </is>
      </c>
      <c r="J1301" s="20" t="n">
        <v>200622</v>
      </c>
      <c r="L1301" s="20">
        <f>VLOOKUP($O1301,매칭테이블!$G:$J,2,0)*H1301</f>
        <v/>
      </c>
      <c r="M1301" s="20">
        <f>L1301-L1301*VLOOKUP($O1301,매칭테이블!$G:$J,3,0)</f>
        <v/>
      </c>
      <c r="N1301" s="20">
        <f>VLOOKUP($O1301,매칭테이블!$G:$J,4,0)*H1301</f>
        <v/>
      </c>
      <c r="O1301" s="20">
        <f>F1301&amp;E1301&amp;I1301&amp;J1301</f>
        <v/>
      </c>
    </row>
    <row r="1302" ht="16.5" customHeight="1" s="17">
      <c r="B1302" s="16" t="n">
        <v>44005</v>
      </c>
      <c r="C1302" s="20" t="inlineStr">
        <is>
          <t>화</t>
        </is>
      </c>
      <c r="E1302" s="20" t="inlineStr">
        <is>
          <t>쇼핑백</t>
        </is>
      </c>
      <c r="F1302" s="20" t="inlineStr">
        <is>
          <t>카페24</t>
        </is>
      </c>
      <c r="H1302" s="20" t="n">
        <v>2</v>
      </c>
      <c r="I1302" s="20" t="inlineStr">
        <is>
          <t>유즈쇼핑백</t>
        </is>
      </c>
      <c r="J1302" s="20" t="n">
        <v>200622</v>
      </c>
      <c r="L1302" s="20">
        <f>VLOOKUP($O1302,매칭테이블!$G:$J,2,0)*H1302</f>
        <v/>
      </c>
      <c r="M1302" s="20">
        <f>L1302-L1302*VLOOKUP($O1302,매칭테이블!$G:$J,3,0)</f>
        <v/>
      </c>
      <c r="N1302" s="20">
        <f>VLOOKUP($O1302,매칭테이블!$G:$J,4,0)*H1302</f>
        <v/>
      </c>
      <c r="O1302" s="20">
        <f>F1302&amp;E1302&amp;I1302&amp;J1302</f>
        <v/>
      </c>
    </row>
    <row r="1303" ht="16.5" customHeight="1" s="17">
      <c r="B1303" s="16" t="n">
        <v>44006</v>
      </c>
      <c r="C1303" s="20" t="inlineStr">
        <is>
          <t>수</t>
        </is>
      </c>
      <c r="E1303" s="20" t="inlineStr">
        <is>
          <t>고체향수</t>
        </is>
      </c>
      <c r="F1303" s="20" t="inlineStr">
        <is>
          <t>카페24</t>
        </is>
      </c>
      <c r="H1303" s="20" t="n">
        <v>4</v>
      </c>
      <c r="I1303" s="20" t="inlineStr">
        <is>
          <t>이그나이트 + 스테이포에버</t>
        </is>
      </c>
      <c r="J1303" s="20" t="n">
        <v>200622</v>
      </c>
      <c r="L1303" s="20">
        <f>VLOOKUP($O1303,매칭테이블!$G:$J,2,0)*H1303</f>
        <v/>
      </c>
      <c r="M1303" s="20">
        <f>L1303-L1303*VLOOKUP($O1303,매칭테이블!$G:$J,3,0)</f>
        <v/>
      </c>
      <c r="N1303" s="20">
        <f>VLOOKUP($O1303,매칭테이블!$G:$J,4,0)*H1303</f>
        <v/>
      </c>
      <c r="O1303" s="20">
        <f>F1303&amp;E1303&amp;I1303&amp;J1303</f>
        <v/>
      </c>
    </row>
    <row r="1304" ht="16.5" customHeight="1" s="17">
      <c r="B1304" s="16" t="n">
        <v>44006</v>
      </c>
      <c r="C1304" s="20" t="inlineStr">
        <is>
          <t>수</t>
        </is>
      </c>
      <c r="E1304" s="20" t="inlineStr">
        <is>
          <t>고체향수</t>
        </is>
      </c>
      <c r="F1304" s="20" t="inlineStr">
        <is>
          <t>카페24</t>
        </is>
      </c>
      <c r="H1304" s="20" t="n">
        <v>30</v>
      </c>
      <c r="I1304" s="20" t="inlineStr">
        <is>
          <t>이그나이트</t>
        </is>
      </c>
      <c r="J1304" s="20" t="n">
        <v>200622</v>
      </c>
      <c r="L1304" s="20">
        <f>VLOOKUP($O1304,매칭테이블!$G:$J,2,0)*H1304</f>
        <v/>
      </c>
      <c r="M1304" s="20">
        <f>L1304-L1304*VLOOKUP($O1304,매칭테이블!$G:$J,3,0)</f>
        <v/>
      </c>
      <c r="N1304" s="20">
        <f>VLOOKUP($O1304,매칭테이블!$G:$J,4,0)*H1304</f>
        <v/>
      </c>
      <c r="O1304" s="20">
        <f>F1304&amp;E1304&amp;I1304&amp;J1304</f>
        <v/>
      </c>
    </row>
    <row r="1305" ht="16.5" customHeight="1" s="17">
      <c r="B1305" s="16" t="n">
        <v>44006</v>
      </c>
      <c r="C1305" s="20" t="inlineStr">
        <is>
          <t>수</t>
        </is>
      </c>
      <c r="E1305" s="20" t="inlineStr">
        <is>
          <t>고체향수</t>
        </is>
      </c>
      <c r="F1305" s="20" t="inlineStr">
        <is>
          <t>카페24</t>
        </is>
      </c>
      <c r="H1305" s="20" t="n">
        <v>54</v>
      </c>
      <c r="I1305" s="20" t="inlineStr">
        <is>
          <t>스테이포에버</t>
        </is>
      </c>
      <c r="J1305" s="20" t="n">
        <v>200622</v>
      </c>
      <c r="L1305" s="20">
        <f>VLOOKUP($O1305,매칭테이블!$G:$J,2,0)*H1305</f>
        <v/>
      </c>
      <c r="M1305" s="20">
        <f>L1305-L1305*VLOOKUP($O1305,매칭테이블!$G:$J,3,0)</f>
        <v/>
      </c>
      <c r="N1305" s="20">
        <f>VLOOKUP($O1305,매칭테이블!$G:$J,4,0)*H1305</f>
        <v/>
      </c>
      <c r="O1305" s="20">
        <f>F1305&amp;E1305&amp;I1305&amp;J1305</f>
        <v/>
      </c>
    </row>
    <row r="1306" ht="16.5" customHeight="1" s="17">
      <c r="B1306" s="16" t="n">
        <v>44007</v>
      </c>
      <c r="C1306" s="20" t="inlineStr">
        <is>
          <t>목</t>
        </is>
      </c>
      <c r="E1306" s="20" t="inlineStr">
        <is>
          <t>고체향수</t>
        </is>
      </c>
      <c r="F1306" s="20" t="inlineStr">
        <is>
          <t>카페24</t>
        </is>
      </c>
      <c r="H1306" s="20" t="n">
        <v>1</v>
      </c>
      <c r="I1306" s="20" t="inlineStr">
        <is>
          <t>이그나이트 + 스테이포에버</t>
        </is>
      </c>
      <c r="J1306" s="20" t="n">
        <v>200622</v>
      </c>
      <c r="L1306" s="20">
        <f>VLOOKUP($O1306,매칭테이블!$G:$J,2,0)*H1306</f>
        <v/>
      </c>
      <c r="M1306" s="20">
        <f>L1306-L1306*VLOOKUP($O1306,매칭테이블!$G:$J,3,0)</f>
        <v/>
      </c>
      <c r="N1306" s="20">
        <f>VLOOKUP($O1306,매칭테이블!$G:$J,4,0)*H1306</f>
        <v/>
      </c>
      <c r="O1306" s="20">
        <f>F1306&amp;E1306&amp;I1306&amp;J1306</f>
        <v/>
      </c>
    </row>
    <row r="1307" ht="16.5" customHeight="1" s="17">
      <c r="B1307" s="16" t="n">
        <v>44007</v>
      </c>
      <c r="C1307" s="20" t="inlineStr">
        <is>
          <t>목</t>
        </is>
      </c>
      <c r="E1307" s="20" t="inlineStr">
        <is>
          <t>고체향수</t>
        </is>
      </c>
      <c r="F1307" s="20" t="inlineStr">
        <is>
          <t>카페24</t>
        </is>
      </c>
      <c r="H1307" s="20" t="n">
        <v>21</v>
      </c>
      <c r="I1307" s="20" t="inlineStr">
        <is>
          <t>이그나이트</t>
        </is>
      </c>
      <c r="J1307" s="20" t="n">
        <v>200622</v>
      </c>
      <c r="L1307" s="20">
        <f>VLOOKUP($O1307,매칭테이블!$G:$J,2,0)*H1307</f>
        <v/>
      </c>
      <c r="M1307" s="20">
        <f>L1307-L1307*VLOOKUP($O1307,매칭테이블!$G:$J,3,0)</f>
        <v/>
      </c>
      <c r="N1307" s="20">
        <f>VLOOKUP($O1307,매칭테이블!$G:$J,4,0)*H1307</f>
        <v/>
      </c>
      <c r="O1307" s="20">
        <f>F1307&amp;E1307&amp;I1307&amp;J1307</f>
        <v/>
      </c>
    </row>
    <row r="1308" ht="16.5" customHeight="1" s="17">
      <c r="B1308" s="16" t="n">
        <v>44007</v>
      </c>
      <c r="C1308" s="20" t="inlineStr">
        <is>
          <t>목</t>
        </is>
      </c>
      <c r="E1308" s="20" t="inlineStr">
        <is>
          <t>고체향수</t>
        </is>
      </c>
      <c r="F1308" s="20" t="inlineStr">
        <is>
          <t>카페24</t>
        </is>
      </c>
      <c r="H1308" s="20" t="n">
        <v>71</v>
      </c>
      <c r="I1308" s="20" t="inlineStr">
        <is>
          <t>스테이포에버</t>
        </is>
      </c>
      <c r="J1308" s="20" t="n">
        <v>200622</v>
      </c>
      <c r="L1308" s="20">
        <f>VLOOKUP($O1308,매칭테이블!$G:$J,2,0)*H1308</f>
        <v/>
      </c>
      <c r="M1308" s="20">
        <f>L1308-L1308*VLOOKUP($O1308,매칭테이블!$G:$J,3,0)</f>
        <v/>
      </c>
      <c r="N1308" s="20">
        <f>VLOOKUP($O1308,매칭테이블!$G:$J,4,0)*H1308</f>
        <v/>
      </c>
      <c r="O1308" s="20">
        <f>F1308&amp;E1308&amp;I1308&amp;J1308</f>
        <v/>
      </c>
    </row>
    <row r="1309" ht="16.5" customHeight="1" s="17">
      <c r="B1309" s="16" t="n">
        <v>44007</v>
      </c>
      <c r="C1309" s="20" t="inlineStr">
        <is>
          <t>목</t>
        </is>
      </c>
      <c r="E1309" s="20" t="inlineStr">
        <is>
          <t>쇼핑백</t>
        </is>
      </c>
      <c r="F1309" s="20" t="inlineStr">
        <is>
          <t>카페24</t>
        </is>
      </c>
      <c r="H1309" s="20" t="n">
        <v>1</v>
      </c>
      <c r="I1309" s="20" t="inlineStr">
        <is>
          <t>유즈쇼핑백</t>
        </is>
      </c>
      <c r="J1309" s="20" t="n">
        <v>200622</v>
      </c>
      <c r="L1309" s="20">
        <f>VLOOKUP($O1309,매칭테이블!$G:$J,2,0)*H1309</f>
        <v/>
      </c>
      <c r="M1309" s="20">
        <f>L1309-L1309*VLOOKUP($O1309,매칭테이블!$G:$J,3,0)</f>
        <v/>
      </c>
      <c r="N1309" s="20">
        <f>VLOOKUP($O1309,매칭테이블!$G:$J,4,0)*H1309</f>
        <v/>
      </c>
      <c r="O1309" s="20">
        <f>F1309&amp;E1309&amp;I1309&amp;J1309</f>
        <v/>
      </c>
    </row>
    <row r="1310" ht="16.5" customHeight="1" s="17">
      <c r="B1310" s="16" t="n">
        <v>44008</v>
      </c>
      <c r="C1310" s="20" t="inlineStr">
        <is>
          <t>금</t>
        </is>
      </c>
      <c r="E1310" s="20" t="inlineStr">
        <is>
          <t>고체향수</t>
        </is>
      </c>
      <c r="F1310" s="20" t="inlineStr">
        <is>
          <t>카페24</t>
        </is>
      </c>
      <c r="H1310" s="20" t="n">
        <v>2</v>
      </c>
      <c r="I1310" s="20" t="inlineStr">
        <is>
          <t>이그나이트 + 스테이포에버</t>
        </is>
      </c>
      <c r="J1310" s="20" t="n">
        <v>200622</v>
      </c>
      <c r="L1310" s="20">
        <f>VLOOKUP($O1310,매칭테이블!$G:$J,2,0)*H1310</f>
        <v/>
      </c>
      <c r="M1310" s="20">
        <f>L1310-L1310*VLOOKUP($O1310,매칭테이블!$G:$J,3,0)</f>
        <v/>
      </c>
      <c r="N1310" s="20">
        <f>VLOOKUP($O1310,매칭테이블!$G:$J,4,0)*H1310</f>
        <v/>
      </c>
      <c r="O1310" s="20">
        <f>F1310&amp;E1310&amp;I1310&amp;J1310</f>
        <v/>
      </c>
    </row>
    <row r="1311" ht="16.5" customHeight="1" s="17">
      <c r="B1311" s="16" t="n">
        <v>44008</v>
      </c>
      <c r="C1311" s="20" t="inlineStr">
        <is>
          <t>금</t>
        </is>
      </c>
      <c r="E1311" s="20" t="inlineStr">
        <is>
          <t>고체향수</t>
        </is>
      </c>
      <c r="F1311" s="20" t="inlineStr">
        <is>
          <t>카페24</t>
        </is>
      </c>
      <c r="H1311" s="20" t="n">
        <v>20</v>
      </c>
      <c r="I1311" s="20" t="inlineStr">
        <is>
          <t>이그나이트</t>
        </is>
      </c>
      <c r="J1311" s="20" t="n">
        <v>200622</v>
      </c>
      <c r="L1311" s="20">
        <f>VLOOKUP($O1311,매칭테이블!$G:$J,2,0)*H1311</f>
        <v/>
      </c>
      <c r="M1311" s="20">
        <f>L1311-L1311*VLOOKUP($O1311,매칭테이블!$G:$J,3,0)</f>
        <v/>
      </c>
      <c r="N1311" s="20">
        <f>VLOOKUP($O1311,매칭테이블!$G:$J,4,0)*H1311</f>
        <v/>
      </c>
      <c r="O1311" s="20">
        <f>F1311&amp;E1311&amp;I1311&amp;J1311</f>
        <v/>
      </c>
    </row>
    <row r="1312" ht="16.5" customHeight="1" s="17">
      <c r="B1312" s="16" t="n">
        <v>44008</v>
      </c>
      <c r="C1312" s="20" t="inlineStr">
        <is>
          <t>금</t>
        </is>
      </c>
      <c r="E1312" s="20" t="inlineStr">
        <is>
          <t>고체향수</t>
        </is>
      </c>
      <c r="F1312" s="20" t="inlineStr">
        <is>
          <t>카페24</t>
        </is>
      </c>
      <c r="H1312" s="20" t="n">
        <v>53</v>
      </c>
      <c r="I1312" s="20" t="inlineStr">
        <is>
          <t>스테이포에버</t>
        </is>
      </c>
      <c r="J1312" s="20" t="n">
        <v>200622</v>
      </c>
      <c r="L1312" s="20">
        <f>VLOOKUP($O1312,매칭테이블!$G:$J,2,0)*H1312</f>
        <v/>
      </c>
      <c r="M1312" s="20">
        <f>L1312-L1312*VLOOKUP($O1312,매칭테이블!$G:$J,3,0)</f>
        <v/>
      </c>
      <c r="N1312" s="20">
        <f>VLOOKUP($O1312,매칭테이블!$G:$J,4,0)*H1312</f>
        <v/>
      </c>
      <c r="O1312" s="20">
        <f>F1312&amp;E1312&amp;I1312&amp;J1312</f>
        <v/>
      </c>
    </row>
    <row r="1313" ht="16.5" customHeight="1" s="17">
      <c r="B1313" s="16" t="n">
        <v>44008</v>
      </c>
      <c r="C1313" s="20" t="inlineStr">
        <is>
          <t>금</t>
        </is>
      </c>
      <c r="E1313" s="20" t="inlineStr">
        <is>
          <t>쇼핑백</t>
        </is>
      </c>
      <c r="F1313" s="20" t="inlineStr">
        <is>
          <t>카페24</t>
        </is>
      </c>
      <c r="H1313" s="20" t="n">
        <v>2</v>
      </c>
      <c r="I1313" s="20" t="inlineStr">
        <is>
          <t>유즈쇼핑백</t>
        </is>
      </c>
      <c r="J1313" s="20" t="n">
        <v>200622</v>
      </c>
      <c r="L1313" s="20">
        <f>VLOOKUP($O1313,매칭테이블!$G:$J,2,0)*H1313</f>
        <v/>
      </c>
      <c r="M1313" s="20">
        <f>L1313-L1313*VLOOKUP($O1313,매칭테이블!$G:$J,3,0)</f>
        <v/>
      </c>
      <c r="N1313" s="20">
        <f>VLOOKUP($O1313,매칭테이블!$G:$J,4,0)*H1313</f>
        <v/>
      </c>
      <c r="O1313" s="20">
        <f>F1313&amp;E1313&amp;I1313&amp;J1313</f>
        <v/>
      </c>
    </row>
    <row r="1314" ht="16.5" customHeight="1" s="17">
      <c r="B1314" s="16" t="n">
        <v>44009</v>
      </c>
      <c r="C1314" s="20" t="inlineStr">
        <is>
          <t>토</t>
        </is>
      </c>
      <c r="E1314" s="20" t="inlineStr">
        <is>
          <t>고체향수</t>
        </is>
      </c>
      <c r="F1314" s="20" t="inlineStr">
        <is>
          <t>카페24</t>
        </is>
      </c>
      <c r="H1314" s="20" t="n">
        <v>21</v>
      </c>
      <c r="I1314" s="20" t="inlineStr">
        <is>
          <t>이그나이트</t>
        </is>
      </c>
      <c r="J1314" s="20" t="n">
        <v>200622</v>
      </c>
      <c r="L1314" s="20">
        <f>VLOOKUP($O1314,매칭테이블!$G:$J,2,0)*H1314</f>
        <v/>
      </c>
      <c r="M1314" s="20">
        <f>L1314-L1314*VLOOKUP($O1314,매칭테이블!$G:$J,3,0)</f>
        <v/>
      </c>
      <c r="N1314" s="20">
        <f>VLOOKUP($O1314,매칭테이블!$G:$J,4,0)*H1314</f>
        <v/>
      </c>
      <c r="O1314" s="20">
        <f>F1314&amp;E1314&amp;I1314&amp;J1314</f>
        <v/>
      </c>
    </row>
    <row r="1315" ht="16.5" customHeight="1" s="17">
      <c r="B1315" s="16" t="n">
        <v>44009</v>
      </c>
      <c r="C1315" s="20" t="inlineStr">
        <is>
          <t>토</t>
        </is>
      </c>
      <c r="E1315" s="20" t="inlineStr">
        <is>
          <t>고체향수</t>
        </is>
      </c>
      <c r="F1315" s="20" t="inlineStr">
        <is>
          <t>카페24</t>
        </is>
      </c>
      <c r="H1315" s="20" t="n">
        <v>48</v>
      </c>
      <c r="I1315" s="20" t="inlineStr">
        <is>
          <t>스테이포에버</t>
        </is>
      </c>
      <c r="J1315" s="20" t="n">
        <v>200622</v>
      </c>
      <c r="L1315" s="20">
        <f>VLOOKUP($O1315,매칭테이블!$G:$J,2,0)*H1315</f>
        <v/>
      </c>
      <c r="M1315" s="20">
        <f>L1315-L1315*VLOOKUP($O1315,매칭테이블!$G:$J,3,0)</f>
        <v/>
      </c>
      <c r="N1315" s="20">
        <f>VLOOKUP($O1315,매칭테이블!$G:$J,4,0)*H1315</f>
        <v/>
      </c>
      <c r="O1315" s="20">
        <f>F1315&amp;E1315&amp;I1315&amp;J1315</f>
        <v/>
      </c>
    </row>
    <row r="1316" ht="16.5" customHeight="1" s="17">
      <c r="B1316" s="16" t="n">
        <v>44009</v>
      </c>
      <c r="C1316" s="20" t="inlineStr">
        <is>
          <t>토</t>
        </is>
      </c>
      <c r="E1316" s="20" t="inlineStr">
        <is>
          <t>쇼핑백</t>
        </is>
      </c>
      <c r="F1316" s="20" t="inlineStr">
        <is>
          <t>카페24</t>
        </is>
      </c>
      <c r="H1316" s="20" t="n">
        <v>1</v>
      </c>
      <c r="I1316" s="20" t="inlineStr">
        <is>
          <t>유즈쇼핑백</t>
        </is>
      </c>
      <c r="J1316" s="20" t="n">
        <v>200622</v>
      </c>
      <c r="L1316" s="20">
        <f>VLOOKUP($O1316,매칭테이블!$G:$J,2,0)*H1316</f>
        <v/>
      </c>
      <c r="M1316" s="20">
        <f>L1316-L1316*VLOOKUP($O1316,매칭테이블!$G:$J,3,0)</f>
        <v/>
      </c>
      <c r="N1316" s="20">
        <f>VLOOKUP($O1316,매칭테이블!$G:$J,4,0)*H1316</f>
        <v/>
      </c>
      <c r="O1316" s="20">
        <f>F1316&amp;E1316&amp;I1316&amp;J1316</f>
        <v/>
      </c>
    </row>
    <row r="1317" ht="16.5" customHeight="1" s="17">
      <c r="B1317" s="16" t="n">
        <v>44010</v>
      </c>
      <c r="C1317" s="20" t="inlineStr">
        <is>
          <t>일</t>
        </is>
      </c>
      <c r="E1317" s="20" t="inlineStr">
        <is>
          <t>고체향수</t>
        </is>
      </c>
      <c r="F1317" s="20" t="inlineStr">
        <is>
          <t>카페24</t>
        </is>
      </c>
      <c r="H1317" s="20" t="n">
        <v>2</v>
      </c>
      <c r="I1317" s="20" t="inlineStr">
        <is>
          <t>이그나이트 + 스테이포에버</t>
        </is>
      </c>
      <c r="J1317" s="20" t="n">
        <v>200622</v>
      </c>
      <c r="L1317" s="20">
        <f>VLOOKUP($O1317,매칭테이블!$G:$J,2,0)*H1317</f>
        <v/>
      </c>
      <c r="M1317" s="20">
        <f>L1317-L1317*VLOOKUP($O1317,매칭테이블!$G:$J,3,0)</f>
        <v/>
      </c>
      <c r="N1317" s="20">
        <f>VLOOKUP($O1317,매칭테이블!$G:$J,4,0)*H1317</f>
        <v/>
      </c>
      <c r="O1317" s="20">
        <f>F1317&amp;E1317&amp;I1317&amp;J1317</f>
        <v/>
      </c>
    </row>
    <row r="1318" ht="16.5" customHeight="1" s="17">
      <c r="B1318" s="16" t="n">
        <v>44010</v>
      </c>
      <c r="C1318" s="20" t="inlineStr">
        <is>
          <t>일</t>
        </is>
      </c>
      <c r="E1318" s="20" t="inlineStr">
        <is>
          <t>고체향수</t>
        </is>
      </c>
      <c r="F1318" s="20" t="inlineStr">
        <is>
          <t>카페24</t>
        </is>
      </c>
      <c r="H1318" s="20" t="n">
        <v>15</v>
      </c>
      <c r="I1318" s="20" t="inlineStr">
        <is>
          <t>이그나이트</t>
        </is>
      </c>
      <c r="J1318" s="20" t="n">
        <v>200622</v>
      </c>
      <c r="L1318" s="20">
        <f>VLOOKUP($O1318,매칭테이블!$G:$J,2,0)*H1318</f>
        <v/>
      </c>
      <c r="M1318" s="20">
        <f>L1318-L1318*VLOOKUP($O1318,매칭테이블!$G:$J,3,0)</f>
        <v/>
      </c>
      <c r="N1318" s="20">
        <f>VLOOKUP($O1318,매칭테이블!$G:$J,4,0)*H1318</f>
        <v/>
      </c>
      <c r="O1318" s="20">
        <f>F1318&amp;E1318&amp;I1318&amp;J1318</f>
        <v/>
      </c>
    </row>
    <row r="1319" ht="16.5" customHeight="1" s="17">
      <c r="B1319" s="16" t="n">
        <v>44010</v>
      </c>
      <c r="C1319" s="20" t="inlineStr">
        <is>
          <t>일</t>
        </is>
      </c>
      <c r="E1319" s="20" t="inlineStr">
        <is>
          <t>고체향수</t>
        </is>
      </c>
      <c r="F1319" s="20" t="inlineStr">
        <is>
          <t>카페24</t>
        </is>
      </c>
      <c r="H1319" s="20" t="n">
        <v>65</v>
      </c>
      <c r="I1319" s="20" t="inlineStr">
        <is>
          <t>스테이포에버</t>
        </is>
      </c>
      <c r="J1319" s="20" t="n">
        <v>200622</v>
      </c>
      <c r="L1319" s="20">
        <f>VLOOKUP($O1319,매칭테이블!$G:$J,2,0)*H1319</f>
        <v/>
      </c>
      <c r="M1319" s="20">
        <f>L1319-L1319*VLOOKUP($O1319,매칭테이블!$G:$J,3,0)</f>
        <v/>
      </c>
      <c r="N1319" s="20">
        <f>VLOOKUP($O1319,매칭테이블!$G:$J,4,0)*H1319</f>
        <v/>
      </c>
      <c r="O1319" s="20">
        <f>F1319&amp;E1319&amp;I1319&amp;J1319</f>
        <v/>
      </c>
    </row>
    <row r="1320" ht="16.5" customHeight="1" s="17">
      <c r="B1320" s="16" t="n">
        <v>44010</v>
      </c>
      <c r="C1320" s="20" t="inlineStr">
        <is>
          <t>일</t>
        </is>
      </c>
      <c r="E1320" s="20" t="inlineStr">
        <is>
          <t>쇼핑백</t>
        </is>
      </c>
      <c r="F1320" s="20" t="inlineStr">
        <is>
          <t>카페24</t>
        </is>
      </c>
      <c r="H1320" s="20" t="n">
        <v>2</v>
      </c>
      <c r="I1320" s="20" t="inlineStr">
        <is>
          <t>유즈쇼핑백</t>
        </is>
      </c>
      <c r="J1320" s="20" t="n">
        <v>200622</v>
      </c>
      <c r="L1320" s="20">
        <f>VLOOKUP($O1320,매칭테이블!$G:$J,2,0)*H1320</f>
        <v/>
      </c>
      <c r="M1320" s="20">
        <f>L1320-L1320*VLOOKUP($O1320,매칭테이블!$G:$J,3,0)</f>
        <v/>
      </c>
      <c r="N1320" s="20">
        <f>VLOOKUP($O1320,매칭테이블!$G:$J,4,0)*H1320</f>
        <v/>
      </c>
      <c r="O1320" s="20">
        <f>F1320&amp;E1320&amp;I1320&amp;J1320</f>
        <v/>
      </c>
    </row>
    <row r="1321" ht="16.5" customHeight="1" s="17">
      <c r="B1321" s="16" t="n">
        <v>44011</v>
      </c>
      <c r="C1321" s="20" t="inlineStr">
        <is>
          <t>월</t>
        </is>
      </c>
      <c r="E1321" s="20" t="inlineStr">
        <is>
          <t>고체향수</t>
        </is>
      </c>
      <c r="F1321" s="20" t="inlineStr">
        <is>
          <t>카페24</t>
        </is>
      </c>
      <c r="H1321" s="20" t="n">
        <v>11</v>
      </c>
      <c r="I1321" s="20" t="inlineStr">
        <is>
          <t>이그나이트</t>
        </is>
      </c>
      <c r="J1321" s="20" t="n">
        <v>200622</v>
      </c>
      <c r="L1321" s="20">
        <f>VLOOKUP($O1321,매칭테이블!$G:$J,2,0)*H1321</f>
        <v/>
      </c>
      <c r="M1321" s="20">
        <f>L1321-L1321*VLOOKUP($O1321,매칭테이블!$G:$J,3,0)</f>
        <v/>
      </c>
      <c r="N1321" s="20">
        <f>VLOOKUP($O1321,매칭테이블!$G:$J,4,0)*H1321</f>
        <v/>
      </c>
      <c r="O1321" s="20">
        <f>F1321&amp;E1321&amp;I1321&amp;J1321</f>
        <v/>
      </c>
    </row>
    <row r="1322" ht="16.5" customHeight="1" s="17">
      <c r="B1322" s="16" t="n">
        <v>44011</v>
      </c>
      <c r="C1322" s="20" t="inlineStr">
        <is>
          <t>월</t>
        </is>
      </c>
      <c r="E1322" s="20" t="inlineStr">
        <is>
          <t>고체향수</t>
        </is>
      </c>
      <c r="F1322" s="20" t="inlineStr">
        <is>
          <t>카페24</t>
        </is>
      </c>
      <c r="H1322" s="20" t="n">
        <v>48</v>
      </c>
      <c r="I1322" s="20" t="inlineStr">
        <is>
          <t>스테이포에버</t>
        </is>
      </c>
      <c r="J1322" s="20" t="n">
        <v>200622</v>
      </c>
      <c r="L1322" s="20">
        <f>VLOOKUP($O1322,매칭테이블!$G:$J,2,0)*H1322</f>
        <v/>
      </c>
      <c r="M1322" s="20">
        <f>L1322-L1322*VLOOKUP($O1322,매칭테이블!$G:$J,3,0)</f>
        <v/>
      </c>
      <c r="N1322" s="20">
        <f>VLOOKUP($O1322,매칭테이블!$G:$J,4,0)*H1322</f>
        <v/>
      </c>
      <c r="O1322" s="20">
        <f>F1322&amp;E1322&amp;I1322&amp;J1322</f>
        <v/>
      </c>
    </row>
    <row r="1323" ht="16.5" customHeight="1" s="17">
      <c r="B1323" s="16" t="n">
        <v>44011</v>
      </c>
      <c r="C1323" s="20" t="inlineStr">
        <is>
          <t>월</t>
        </is>
      </c>
      <c r="E1323" s="20" t="inlineStr">
        <is>
          <t>쇼핑백</t>
        </is>
      </c>
      <c r="F1323" s="20" t="inlineStr">
        <is>
          <t>카페24</t>
        </is>
      </c>
      <c r="H1323" s="20" t="n">
        <v>1</v>
      </c>
      <c r="I1323" s="20" t="inlineStr">
        <is>
          <t>유즈쇼핑백</t>
        </is>
      </c>
      <c r="J1323" s="20" t="n">
        <v>200622</v>
      </c>
      <c r="L1323" s="20">
        <f>VLOOKUP($O1323,매칭테이블!$G:$J,2,0)*H1323</f>
        <v/>
      </c>
      <c r="M1323" s="20">
        <f>L1323-L1323*VLOOKUP($O1323,매칭테이블!$G:$J,3,0)</f>
        <v/>
      </c>
      <c r="N1323" s="20">
        <f>VLOOKUP($O1323,매칭테이블!$G:$J,4,0)*H1323</f>
        <v/>
      </c>
      <c r="O1323" s="20">
        <f>F1323&amp;E1323&amp;I1323&amp;J1323</f>
        <v/>
      </c>
    </row>
    <row r="1324" ht="16.5" customHeight="1" s="17">
      <c r="B1324" s="16" t="n">
        <v>44012</v>
      </c>
      <c r="C1324" s="20" t="inlineStr">
        <is>
          <t>화</t>
        </is>
      </c>
      <c r="E1324" s="20" t="inlineStr">
        <is>
          <t>고체향수</t>
        </is>
      </c>
      <c r="F1324" s="20" t="inlineStr">
        <is>
          <t>카페24</t>
        </is>
      </c>
      <c r="H1324" s="20" t="n">
        <v>1</v>
      </c>
      <c r="I1324" s="20" t="inlineStr">
        <is>
          <t>이그나이트 + 스테이포에버</t>
        </is>
      </c>
      <c r="J1324" s="20" t="n">
        <v>200622</v>
      </c>
      <c r="L1324" s="20">
        <f>VLOOKUP($O1324,매칭테이블!$G:$J,2,0)*H1324</f>
        <v/>
      </c>
      <c r="M1324" s="20">
        <f>L1324-L1324*VLOOKUP($O1324,매칭테이블!$G:$J,3,0)</f>
        <v/>
      </c>
      <c r="N1324" s="20">
        <f>VLOOKUP($O1324,매칭테이블!$G:$J,4,0)*H1324</f>
        <v/>
      </c>
      <c r="O1324" s="20">
        <f>F1324&amp;E1324&amp;I1324&amp;J1324</f>
        <v/>
      </c>
    </row>
    <row r="1325" ht="16.5" customHeight="1" s="17">
      <c r="B1325" s="16" t="n">
        <v>44012</v>
      </c>
      <c r="C1325" s="20" t="inlineStr">
        <is>
          <t>화</t>
        </is>
      </c>
      <c r="E1325" s="20" t="inlineStr">
        <is>
          <t>고체향수</t>
        </is>
      </c>
      <c r="F1325" s="20" t="inlineStr">
        <is>
          <t>카페24</t>
        </is>
      </c>
      <c r="H1325" s="20" t="n">
        <v>13</v>
      </c>
      <c r="I1325" s="20" t="inlineStr">
        <is>
          <t>이그나이트</t>
        </is>
      </c>
      <c r="J1325" s="20" t="n">
        <v>200622</v>
      </c>
      <c r="L1325" s="20">
        <f>VLOOKUP($O1325,매칭테이블!$G:$J,2,0)*H1325</f>
        <v/>
      </c>
      <c r="M1325" s="20">
        <f>L1325-L1325*VLOOKUP($O1325,매칭테이블!$G:$J,3,0)</f>
        <v/>
      </c>
      <c r="N1325" s="20">
        <f>VLOOKUP($O1325,매칭테이블!$G:$J,4,0)*H1325</f>
        <v/>
      </c>
      <c r="O1325" s="20">
        <f>F1325&amp;E1325&amp;I1325&amp;J1325</f>
        <v/>
      </c>
    </row>
    <row r="1326" ht="16.5" customHeight="1" s="17">
      <c r="B1326" s="16" t="n">
        <v>44012</v>
      </c>
      <c r="C1326" s="20" t="inlineStr">
        <is>
          <t>화</t>
        </is>
      </c>
      <c r="E1326" s="20" t="inlineStr">
        <is>
          <t>고체향수</t>
        </is>
      </c>
      <c r="F1326" s="20" t="inlineStr">
        <is>
          <t>카페24</t>
        </is>
      </c>
      <c r="H1326" s="20" t="n">
        <v>49</v>
      </c>
      <c r="I1326" s="20" t="inlineStr">
        <is>
          <t>스테이포에버</t>
        </is>
      </c>
      <c r="J1326" s="20" t="n">
        <v>200622</v>
      </c>
      <c r="L1326" s="20">
        <f>VLOOKUP($O1326,매칭테이블!$G:$J,2,0)*H1326</f>
        <v/>
      </c>
      <c r="M1326" s="20">
        <f>L1326-L1326*VLOOKUP($O1326,매칭테이블!$G:$J,3,0)</f>
        <v/>
      </c>
      <c r="N1326" s="20">
        <f>VLOOKUP($O1326,매칭테이블!$G:$J,4,0)*H1326</f>
        <v/>
      </c>
      <c r="O1326" s="20">
        <f>F1326&amp;E1326&amp;I1326&amp;J1326</f>
        <v/>
      </c>
    </row>
    <row r="1327" ht="16.5" customHeight="1" s="17">
      <c r="B1327" s="16" t="n">
        <v>44012</v>
      </c>
      <c r="C1327" s="20" t="inlineStr">
        <is>
          <t>화</t>
        </is>
      </c>
      <c r="E1327" s="20" t="inlineStr">
        <is>
          <t>쇼핑백</t>
        </is>
      </c>
      <c r="F1327" s="20" t="inlineStr">
        <is>
          <t>카페24</t>
        </is>
      </c>
      <c r="H1327" s="20" t="n">
        <v>1</v>
      </c>
      <c r="I1327" s="20" t="inlineStr">
        <is>
          <t>유즈쇼핑백</t>
        </is>
      </c>
      <c r="J1327" s="20" t="n">
        <v>200622</v>
      </c>
      <c r="L1327" s="20">
        <f>VLOOKUP($O1327,매칭테이블!$G:$J,2,0)*H1327</f>
        <v/>
      </c>
      <c r="M1327" s="20">
        <f>L1327-L1327*VLOOKUP($O1327,매칭테이블!$G:$J,3,0)</f>
        <v/>
      </c>
      <c r="N1327" s="20">
        <f>VLOOKUP($O1327,매칭테이블!$G:$J,4,0)*H1327</f>
        <v/>
      </c>
      <c r="O1327" s="20">
        <f>F1327&amp;E1327&amp;I1327&amp;J1327</f>
        <v/>
      </c>
    </row>
    <row r="1328" ht="16.5" customHeight="1" s="17">
      <c r="B1328" s="16" t="n">
        <v>44013</v>
      </c>
      <c r="C1328" s="20" t="inlineStr">
        <is>
          <t>수</t>
        </is>
      </c>
      <c r="E1328" s="20" t="inlineStr">
        <is>
          <t>고체향수</t>
        </is>
      </c>
      <c r="F1328" s="20" t="inlineStr">
        <is>
          <t>카페24</t>
        </is>
      </c>
      <c r="H1328" s="20" t="n">
        <v>36</v>
      </c>
      <c r="I1328" s="20" t="inlineStr">
        <is>
          <t>스테이포에버</t>
        </is>
      </c>
      <c r="J1328" s="20" t="n">
        <v>200622</v>
      </c>
      <c r="L1328" s="20">
        <f>VLOOKUP($O1328,매칭테이블!$G:$J,2,0)*H1328</f>
        <v/>
      </c>
      <c r="M1328" s="20">
        <f>L1328-L1328*VLOOKUP($O1328,매칭테이블!$G:$J,3,0)</f>
        <v/>
      </c>
      <c r="N1328" s="20">
        <f>VLOOKUP($O1328,매칭테이블!$G:$J,4,0)*H1328</f>
        <v/>
      </c>
      <c r="O1328" s="20">
        <f>F1328&amp;E1328&amp;I1328&amp;J1328</f>
        <v/>
      </c>
    </row>
    <row r="1329" ht="16.5" customHeight="1" s="17">
      <c r="B1329" s="16" t="n">
        <v>44013</v>
      </c>
      <c r="C1329" s="20" t="inlineStr">
        <is>
          <t>수</t>
        </is>
      </c>
      <c r="E1329" s="20" t="inlineStr">
        <is>
          <t>고체향수</t>
        </is>
      </c>
      <c r="F1329" s="20" t="inlineStr">
        <is>
          <t>카페24</t>
        </is>
      </c>
      <c r="H1329" s="20" t="n">
        <v>21</v>
      </c>
      <c r="I1329" s="20" t="inlineStr">
        <is>
          <t>이그나이트</t>
        </is>
      </c>
      <c r="J1329" s="20" t="n">
        <v>200622</v>
      </c>
      <c r="L1329" s="20">
        <f>VLOOKUP($O1329,매칭테이블!$G:$J,2,0)*H1329</f>
        <v/>
      </c>
      <c r="M1329" s="20">
        <f>L1329-L1329*VLOOKUP($O1329,매칭테이블!$G:$J,3,0)</f>
        <v/>
      </c>
      <c r="N1329" s="20">
        <f>VLOOKUP($O1329,매칭테이블!$G:$J,4,0)*H1329</f>
        <v/>
      </c>
      <c r="O1329" s="20">
        <f>F1329&amp;E1329&amp;I1329&amp;J1329</f>
        <v/>
      </c>
    </row>
    <row r="1330" ht="16.5" customHeight="1" s="17">
      <c r="B1330" s="16" t="n">
        <v>44014</v>
      </c>
      <c r="C1330" s="20" t="inlineStr">
        <is>
          <t>목</t>
        </is>
      </c>
      <c r="E1330" s="20" t="inlineStr">
        <is>
          <t>고체향수</t>
        </is>
      </c>
      <c r="F1330" s="20" t="inlineStr">
        <is>
          <t>카페24</t>
        </is>
      </c>
      <c r="H1330" s="20" t="n">
        <v>24</v>
      </c>
      <c r="I1330" s="20" t="inlineStr">
        <is>
          <t>스테이포에버</t>
        </is>
      </c>
      <c r="J1330" s="20" t="n">
        <v>200622</v>
      </c>
      <c r="L1330" s="20">
        <f>VLOOKUP($O1330,매칭테이블!$G:$J,2,0)*H1330</f>
        <v/>
      </c>
      <c r="M1330" s="20">
        <f>L1330-L1330*VLOOKUP($O1330,매칭테이블!$G:$J,3,0)</f>
        <v/>
      </c>
      <c r="N1330" s="20">
        <f>VLOOKUP($O1330,매칭테이블!$G:$J,4,0)*H1330</f>
        <v/>
      </c>
      <c r="O1330" s="20">
        <f>F1330&amp;E1330&amp;I1330&amp;J1330</f>
        <v/>
      </c>
    </row>
    <row r="1331" ht="16.5" customHeight="1" s="17">
      <c r="B1331" s="16" t="n">
        <v>44014</v>
      </c>
      <c r="C1331" s="20" t="inlineStr">
        <is>
          <t>목</t>
        </is>
      </c>
      <c r="E1331" s="20" t="inlineStr">
        <is>
          <t>고체향수</t>
        </is>
      </c>
      <c r="F1331" s="20" t="inlineStr">
        <is>
          <t>카페24</t>
        </is>
      </c>
      <c r="H1331" s="20" t="n">
        <v>11</v>
      </c>
      <c r="I1331" s="20" t="inlineStr">
        <is>
          <t>이그나이트</t>
        </is>
      </c>
      <c r="J1331" s="20" t="n">
        <v>200622</v>
      </c>
      <c r="L1331" s="20">
        <f>VLOOKUP($O1331,매칭테이블!$G:$J,2,0)*H1331</f>
        <v/>
      </c>
      <c r="M1331" s="20">
        <f>L1331-L1331*VLOOKUP($O1331,매칭테이블!$G:$J,3,0)</f>
        <v/>
      </c>
      <c r="N1331" s="20">
        <f>VLOOKUP($O1331,매칭테이블!$G:$J,4,0)*H1331</f>
        <v/>
      </c>
      <c r="O1331" s="20">
        <f>F1331&amp;E1331&amp;I1331&amp;J1331</f>
        <v/>
      </c>
    </row>
    <row r="1332" ht="16.5" customHeight="1" s="17">
      <c r="B1332" s="16" t="n">
        <v>44014</v>
      </c>
      <c r="C1332" s="20" t="inlineStr">
        <is>
          <t>목</t>
        </is>
      </c>
      <c r="E1332" s="20" t="inlineStr">
        <is>
          <t>쇼핑백</t>
        </is>
      </c>
      <c r="F1332" s="20" t="inlineStr">
        <is>
          <t>카페24</t>
        </is>
      </c>
      <c r="H1332" s="20" t="n">
        <v>1</v>
      </c>
      <c r="I1332" s="20" t="inlineStr">
        <is>
          <t>유즈쇼핑백</t>
        </is>
      </c>
      <c r="J1332" s="20" t="n">
        <v>200622</v>
      </c>
      <c r="L1332" s="20">
        <f>VLOOKUP($O1332,매칭테이블!$G:$J,2,0)*H1332</f>
        <v/>
      </c>
      <c r="M1332" s="20">
        <f>L1332-L1332*VLOOKUP($O1332,매칭테이블!$G:$J,3,0)</f>
        <v/>
      </c>
      <c r="N1332" s="20">
        <f>VLOOKUP($O1332,매칭테이블!$G:$J,4,0)*H1332</f>
        <v/>
      </c>
      <c r="O1332" s="20">
        <f>F1332&amp;E1332&amp;I1332&amp;J1332</f>
        <v/>
      </c>
    </row>
    <row r="1333" ht="16.5" customHeight="1" s="17">
      <c r="B1333" s="16" t="n">
        <v>44015</v>
      </c>
      <c r="C1333" s="20" t="inlineStr">
        <is>
          <t>금</t>
        </is>
      </c>
      <c r="E1333" s="20" t="inlineStr">
        <is>
          <t>고체향수</t>
        </is>
      </c>
      <c r="F1333" s="20" t="inlineStr">
        <is>
          <t>카페24</t>
        </is>
      </c>
      <c r="H1333" s="20" t="n">
        <v>19</v>
      </c>
      <c r="I1333" s="20" t="inlineStr">
        <is>
          <t>스테이포에버</t>
        </is>
      </c>
      <c r="J1333" s="20" t="n">
        <v>200622</v>
      </c>
      <c r="L1333" s="20">
        <f>VLOOKUP($O1333,매칭테이블!$G:$J,2,0)*H1333</f>
        <v/>
      </c>
      <c r="M1333" s="20">
        <f>L1333-L1333*VLOOKUP($O1333,매칭테이블!$G:$J,3,0)</f>
        <v/>
      </c>
      <c r="N1333" s="20">
        <f>VLOOKUP($O1333,매칭테이블!$G:$J,4,0)*H1333</f>
        <v/>
      </c>
      <c r="O1333" s="20">
        <f>F1333&amp;E1333&amp;I1333&amp;J1333</f>
        <v/>
      </c>
    </row>
    <row r="1334" ht="16.5" customHeight="1" s="17">
      <c r="B1334" s="16" t="n">
        <v>44015</v>
      </c>
      <c r="C1334" s="20" t="inlineStr">
        <is>
          <t>금</t>
        </is>
      </c>
      <c r="E1334" s="20" t="inlineStr">
        <is>
          <t>쇼핑백</t>
        </is>
      </c>
      <c r="F1334" s="20" t="inlineStr">
        <is>
          <t>카페24</t>
        </is>
      </c>
      <c r="H1334" s="20" t="n">
        <v>1</v>
      </c>
      <c r="I1334" s="20" t="inlineStr">
        <is>
          <t>유즈쇼핑백</t>
        </is>
      </c>
      <c r="J1334" s="20" t="n">
        <v>200622</v>
      </c>
      <c r="L1334" s="20">
        <f>VLOOKUP($O1334,매칭테이블!$G:$J,2,0)*H1334</f>
        <v/>
      </c>
      <c r="M1334" s="20">
        <f>L1334-L1334*VLOOKUP($O1334,매칭테이블!$G:$J,3,0)</f>
        <v/>
      </c>
      <c r="N1334" s="20">
        <f>VLOOKUP($O1334,매칭테이블!$G:$J,4,0)*H1334</f>
        <v/>
      </c>
      <c r="O1334" s="20">
        <f>F1334&amp;E1334&amp;I1334&amp;J1334</f>
        <v/>
      </c>
    </row>
    <row r="1335" ht="16.5" customHeight="1" s="17">
      <c r="B1335" s="16" t="n">
        <v>44015</v>
      </c>
      <c r="C1335" s="20" t="inlineStr">
        <is>
          <t>금</t>
        </is>
      </c>
      <c r="E1335" s="20" t="inlineStr">
        <is>
          <t>고체향수</t>
        </is>
      </c>
      <c r="F1335" s="20" t="inlineStr">
        <is>
          <t>카페24</t>
        </is>
      </c>
      <c r="H1335" s="20" t="n">
        <v>2</v>
      </c>
      <c r="I1335" s="20" t="inlineStr">
        <is>
          <t>이그나이트</t>
        </is>
      </c>
      <c r="J1335" s="20" t="n">
        <v>200622</v>
      </c>
      <c r="L1335" s="20">
        <f>VLOOKUP($O1335,매칭테이블!$G:$J,2,0)*H1335</f>
        <v/>
      </c>
      <c r="M1335" s="20">
        <f>L1335-L1335*VLOOKUP($O1335,매칭테이블!$G:$J,3,0)</f>
        <v/>
      </c>
      <c r="N1335" s="20">
        <f>VLOOKUP($O1335,매칭테이블!$G:$J,4,0)*H1335</f>
        <v/>
      </c>
      <c r="O1335" s="20">
        <f>F1335&amp;E1335&amp;I1335&amp;J1335</f>
        <v/>
      </c>
    </row>
    <row r="1336" ht="16.5" customHeight="1" s="17">
      <c r="B1336" s="16" t="n">
        <v>44016</v>
      </c>
      <c r="C1336" s="20" t="inlineStr">
        <is>
          <t>토</t>
        </is>
      </c>
      <c r="E1336" s="20" t="inlineStr">
        <is>
          <t>고체향수</t>
        </is>
      </c>
      <c r="F1336" s="20" t="inlineStr">
        <is>
          <t>카페24</t>
        </is>
      </c>
      <c r="H1336" s="20" t="n">
        <v>7</v>
      </c>
      <c r="I1336" s="20" t="inlineStr">
        <is>
          <t>스테이포에버</t>
        </is>
      </c>
      <c r="J1336" s="20" t="n">
        <v>200622</v>
      </c>
      <c r="L1336" s="20">
        <f>VLOOKUP($O1336,매칭테이블!$G:$J,2,0)*H1336</f>
        <v/>
      </c>
      <c r="M1336" s="20">
        <f>L1336-L1336*VLOOKUP($O1336,매칭테이블!$G:$J,3,0)</f>
        <v/>
      </c>
      <c r="N1336" s="20">
        <f>VLOOKUP($O1336,매칭테이블!$G:$J,4,0)*H1336</f>
        <v/>
      </c>
      <c r="O1336" s="20">
        <f>F1336&amp;E1336&amp;I1336&amp;J1336</f>
        <v/>
      </c>
    </row>
    <row r="1337" ht="16.5" customHeight="1" s="17">
      <c r="B1337" s="16" t="n">
        <v>44017</v>
      </c>
      <c r="C1337" s="20" t="inlineStr">
        <is>
          <t>일</t>
        </is>
      </c>
      <c r="E1337" s="20" t="inlineStr">
        <is>
          <t>고체향수</t>
        </is>
      </c>
      <c r="F1337" s="20" t="inlineStr">
        <is>
          <t>카페24</t>
        </is>
      </c>
      <c r="H1337" s="20" t="n">
        <v>2</v>
      </c>
      <c r="I1337" s="20" t="inlineStr">
        <is>
          <t>이그나이트</t>
        </is>
      </c>
      <c r="J1337" s="20" t="n">
        <v>200622</v>
      </c>
      <c r="L1337" s="20">
        <f>VLOOKUP($O1337,매칭테이블!$G:$J,2,0)*H1337</f>
        <v/>
      </c>
      <c r="M1337" s="20">
        <f>L1337-L1337*VLOOKUP($O1337,매칭테이블!$G:$J,3,0)</f>
        <v/>
      </c>
      <c r="N1337" s="20">
        <f>VLOOKUP($O1337,매칭테이블!$G:$J,4,0)*H1337</f>
        <v/>
      </c>
      <c r="O1337" s="20">
        <f>F1337&amp;E1337&amp;I1337&amp;J1337</f>
        <v/>
      </c>
    </row>
    <row r="1338" ht="16.5" customHeight="1" s="17">
      <c r="B1338" s="16" t="n">
        <v>44017</v>
      </c>
      <c r="C1338" s="20" t="inlineStr">
        <is>
          <t>일</t>
        </is>
      </c>
      <c r="E1338" s="20" t="inlineStr">
        <is>
          <t>고체향수</t>
        </is>
      </c>
      <c r="F1338" s="20" t="inlineStr">
        <is>
          <t>카페24</t>
        </is>
      </c>
      <c r="H1338" s="20" t="n">
        <v>13</v>
      </c>
      <c r="I1338" s="20" t="inlineStr">
        <is>
          <t>스테이포에버</t>
        </is>
      </c>
      <c r="J1338" s="20" t="n">
        <v>200622</v>
      </c>
      <c r="L1338" s="20">
        <f>VLOOKUP($O1338,매칭테이블!$G:$J,2,0)*H1338</f>
        <v/>
      </c>
      <c r="M1338" s="20">
        <f>L1338-L1338*VLOOKUP($O1338,매칭테이블!$G:$J,3,0)</f>
        <v/>
      </c>
      <c r="N1338" s="20">
        <f>VLOOKUP($O1338,매칭테이블!$G:$J,4,0)*H1338</f>
        <v/>
      </c>
      <c r="O1338" s="20">
        <f>F1338&amp;E1338&amp;I1338&amp;J1338</f>
        <v/>
      </c>
    </row>
    <row r="1339" ht="16.5" customHeight="1" s="17">
      <c r="B1339" s="16" t="n">
        <v>44017</v>
      </c>
      <c r="C1339" s="20" t="inlineStr">
        <is>
          <t>일</t>
        </is>
      </c>
      <c r="E1339" s="20" t="inlineStr">
        <is>
          <t>쇼핑백</t>
        </is>
      </c>
      <c r="F1339" s="20" t="inlineStr">
        <is>
          <t>카페24</t>
        </is>
      </c>
      <c r="H1339" s="20" t="n">
        <v>1</v>
      </c>
      <c r="I1339" s="20" t="inlineStr">
        <is>
          <t>유즈쇼핑백</t>
        </is>
      </c>
      <c r="J1339" s="20" t="n">
        <v>200622</v>
      </c>
      <c r="L1339" s="20">
        <f>VLOOKUP($O1339,매칭테이블!$G:$J,2,0)*H1339</f>
        <v/>
      </c>
      <c r="M1339" s="20">
        <f>L1339-L1339*VLOOKUP($O1339,매칭테이블!$G:$J,3,0)</f>
        <v/>
      </c>
      <c r="N1339" s="20">
        <f>VLOOKUP($O1339,매칭테이블!$G:$J,4,0)*H1339</f>
        <v/>
      </c>
      <c r="O1339" s="20">
        <f>F1339&amp;E1339&amp;I1339&amp;J1339</f>
        <v/>
      </c>
    </row>
    <row r="1340" ht="16.5" customHeight="1" s="17">
      <c r="B1340" s="16" t="n">
        <v>44018</v>
      </c>
      <c r="C1340" s="20" t="inlineStr">
        <is>
          <t>월</t>
        </is>
      </c>
      <c r="E1340" s="20" t="inlineStr">
        <is>
          <t>고체향수</t>
        </is>
      </c>
      <c r="F1340" s="20" t="inlineStr">
        <is>
          <t>카페24</t>
        </is>
      </c>
      <c r="H1340" s="20" t="n">
        <v>24</v>
      </c>
      <c r="I1340" s="20" t="inlineStr">
        <is>
          <t>스테이포에버</t>
        </is>
      </c>
      <c r="J1340" s="20" t="n">
        <v>200622</v>
      </c>
      <c r="L1340" s="20">
        <f>VLOOKUP($O1340,매칭테이블!$G:$J,2,0)*H1340</f>
        <v/>
      </c>
      <c r="M1340" s="20">
        <f>L1340-L1340*VLOOKUP($O1340,매칭테이블!$G:$J,3,0)</f>
        <v/>
      </c>
      <c r="N1340" s="20">
        <f>VLOOKUP($O1340,매칭테이블!$G:$J,4,0)*H1340</f>
        <v/>
      </c>
      <c r="O1340" s="20">
        <f>F1340&amp;E1340&amp;I1340&amp;J1340</f>
        <v/>
      </c>
    </row>
    <row r="1341" ht="16.5" customHeight="1" s="17">
      <c r="B1341" s="16" t="n">
        <v>44018</v>
      </c>
      <c r="C1341" s="20" t="inlineStr">
        <is>
          <t>월</t>
        </is>
      </c>
      <c r="E1341" s="20" t="inlineStr">
        <is>
          <t>고체향수</t>
        </is>
      </c>
      <c r="F1341" s="20" t="inlineStr">
        <is>
          <t>카페24</t>
        </is>
      </c>
      <c r="H1341" s="20" t="n">
        <v>7</v>
      </c>
      <c r="I1341" s="20" t="inlineStr">
        <is>
          <t>이그나이트</t>
        </is>
      </c>
      <c r="J1341" s="20" t="n">
        <v>200622</v>
      </c>
      <c r="L1341" s="20">
        <f>VLOOKUP($O1341,매칭테이블!$G:$J,2,0)*H1341</f>
        <v/>
      </c>
      <c r="M1341" s="20">
        <f>L1341-L1341*VLOOKUP($O1341,매칭테이블!$G:$J,3,0)</f>
        <v/>
      </c>
      <c r="N1341" s="20">
        <f>VLOOKUP($O1341,매칭테이블!$G:$J,4,0)*H1341</f>
        <v/>
      </c>
      <c r="O1341" s="20">
        <f>F1341&amp;E1341&amp;I1341&amp;J1341</f>
        <v/>
      </c>
    </row>
    <row r="1342" ht="16.5" customHeight="1" s="17">
      <c r="B1342" s="16" t="n">
        <v>44019</v>
      </c>
      <c r="C1342" s="20" t="inlineStr">
        <is>
          <t>화</t>
        </is>
      </c>
      <c r="E1342" s="20" t="inlineStr">
        <is>
          <t>고체향수</t>
        </is>
      </c>
      <c r="F1342" s="20" t="inlineStr">
        <is>
          <t>카페24</t>
        </is>
      </c>
      <c r="H1342" s="20" t="n">
        <v>3</v>
      </c>
      <c r="I1342" s="20" t="inlineStr">
        <is>
          <t>이그나이트 + 스테이포에버</t>
        </is>
      </c>
      <c r="J1342" s="20" t="n">
        <v>200622</v>
      </c>
      <c r="L1342" s="20">
        <f>VLOOKUP($O1342,매칭테이블!$G:$J,2,0)*H1342</f>
        <v/>
      </c>
      <c r="M1342" s="20">
        <f>L1342-L1342*VLOOKUP($O1342,매칭테이블!$G:$J,3,0)</f>
        <v/>
      </c>
      <c r="N1342" s="20">
        <f>VLOOKUP($O1342,매칭테이블!$G:$J,4,0)*H1342</f>
        <v/>
      </c>
      <c r="O1342" s="20">
        <f>F1342&amp;E1342&amp;I1342&amp;J1342</f>
        <v/>
      </c>
    </row>
    <row r="1343" ht="16.5" customHeight="1" s="17">
      <c r="B1343" s="16" t="n">
        <v>44019</v>
      </c>
      <c r="C1343" s="20" t="inlineStr">
        <is>
          <t>화</t>
        </is>
      </c>
      <c r="E1343" s="20" t="inlineStr">
        <is>
          <t>고체향수</t>
        </is>
      </c>
      <c r="F1343" s="20" t="inlineStr">
        <is>
          <t>카페24</t>
        </is>
      </c>
      <c r="H1343" s="20" t="n">
        <v>36</v>
      </c>
      <c r="I1343" s="20" t="inlineStr">
        <is>
          <t>스테이포에버</t>
        </is>
      </c>
      <c r="J1343" s="20" t="n">
        <v>200622</v>
      </c>
      <c r="L1343" s="20">
        <f>VLOOKUP($O1343,매칭테이블!$G:$J,2,0)*H1343</f>
        <v/>
      </c>
      <c r="M1343" s="20">
        <f>L1343-L1343*VLOOKUP($O1343,매칭테이블!$G:$J,3,0)</f>
        <v/>
      </c>
      <c r="N1343" s="20">
        <f>VLOOKUP($O1343,매칭테이블!$G:$J,4,0)*H1343</f>
        <v/>
      </c>
      <c r="O1343" s="20">
        <f>F1343&amp;E1343&amp;I1343&amp;J1343</f>
        <v/>
      </c>
    </row>
    <row r="1344" ht="16.5" customHeight="1" s="17">
      <c r="B1344" s="16" t="n">
        <v>44019</v>
      </c>
      <c r="C1344" s="20" t="inlineStr">
        <is>
          <t>화</t>
        </is>
      </c>
      <c r="E1344" s="20" t="inlineStr">
        <is>
          <t>고체향수</t>
        </is>
      </c>
      <c r="F1344" s="20" t="inlineStr">
        <is>
          <t>카페24</t>
        </is>
      </c>
      <c r="H1344" s="20" t="n">
        <v>5</v>
      </c>
      <c r="I1344" s="20" t="inlineStr">
        <is>
          <t>이그나이트</t>
        </is>
      </c>
      <c r="J1344" s="20" t="n">
        <v>200622</v>
      </c>
      <c r="L1344" s="20">
        <f>VLOOKUP($O1344,매칭테이블!$G:$J,2,0)*H1344</f>
        <v/>
      </c>
      <c r="M1344" s="20">
        <f>L1344-L1344*VLOOKUP($O1344,매칭테이블!$G:$J,3,0)</f>
        <v/>
      </c>
      <c r="N1344" s="20">
        <f>VLOOKUP($O1344,매칭테이블!$G:$J,4,0)*H1344</f>
        <v/>
      </c>
      <c r="O1344" s="20">
        <f>F1344&amp;E1344&amp;I1344&amp;J1344</f>
        <v/>
      </c>
    </row>
    <row r="1345" ht="16.5" customHeight="1" s="17">
      <c r="B1345" s="16" t="n">
        <v>44020</v>
      </c>
      <c r="C1345" s="20" t="inlineStr">
        <is>
          <t>수</t>
        </is>
      </c>
      <c r="E1345" s="20" t="inlineStr">
        <is>
          <t>고체향수</t>
        </is>
      </c>
      <c r="F1345" s="20" t="inlineStr">
        <is>
          <t>카페24</t>
        </is>
      </c>
      <c r="H1345" s="20" t="n">
        <v>1</v>
      </c>
      <c r="I1345" s="20" t="inlineStr">
        <is>
          <t>이그나이트 + 스테이포에버</t>
        </is>
      </c>
      <c r="J1345" s="20" t="n">
        <v>200622</v>
      </c>
      <c r="L1345" s="20">
        <f>VLOOKUP($O1345,매칭테이블!$G:$J,2,0)*H1345</f>
        <v/>
      </c>
      <c r="M1345" s="20">
        <f>L1345-L1345*VLOOKUP($O1345,매칭테이블!$G:$J,3,0)</f>
        <v/>
      </c>
      <c r="N1345" s="20">
        <f>VLOOKUP($O1345,매칭테이블!$G:$J,4,0)*H1345</f>
        <v/>
      </c>
      <c r="O1345" s="20">
        <f>F1345&amp;E1345&amp;I1345&amp;J1345</f>
        <v/>
      </c>
    </row>
    <row r="1346" ht="16.5" customHeight="1" s="17">
      <c r="B1346" s="16" t="n">
        <v>44020</v>
      </c>
      <c r="C1346" s="20" t="inlineStr">
        <is>
          <t>수</t>
        </is>
      </c>
      <c r="E1346" s="20" t="inlineStr">
        <is>
          <t>고체향수</t>
        </is>
      </c>
      <c r="F1346" s="20" t="inlineStr">
        <is>
          <t>카페24</t>
        </is>
      </c>
      <c r="H1346" s="20" t="n">
        <v>27</v>
      </c>
      <c r="I1346" s="20" t="inlineStr">
        <is>
          <t>스테이포에버</t>
        </is>
      </c>
      <c r="J1346" s="20" t="n">
        <v>200622</v>
      </c>
      <c r="L1346" s="20">
        <f>VLOOKUP($O1346,매칭테이블!$G:$J,2,0)*H1346</f>
        <v/>
      </c>
      <c r="M1346" s="20">
        <f>L1346-L1346*VLOOKUP($O1346,매칭테이블!$G:$J,3,0)</f>
        <v/>
      </c>
      <c r="N1346" s="20">
        <f>VLOOKUP($O1346,매칭테이블!$G:$J,4,0)*H1346</f>
        <v/>
      </c>
      <c r="O1346" s="20">
        <f>F1346&amp;E1346&amp;I1346&amp;J1346</f>
        <v/>
      </c>
    </row>
    <row r="1347" ht="16.5" customHeight="1" s="17">
      <c r="B1347" s="16" t="n">
        <v>44020</v>
      </c>
      <c r="C1347" s="20" t="inlineStr">
        <is>
          <t>수</t>
        </is>
      </c>
      <c r="E1347" s="20" t="inlineStr">
        <is>
          <t>고체향수</t>
        </is>
      </c>
      <c r="F1347" s="20" t="inlineStr">
        <is>
          <t>카페24</t>
        </is>
      </c>
      <c r="H1347" s="20" t="n">
        <v>3</v>
      </c>
      <c r="I1347" s="20" t="inlineStr">
        <is>
          <t>이그나이트</t>
        </is>
      </c>
      <c r="J1347" s="20" t="n">
        <v>200622</v>
      </c>
      <c r="L1347" s="20">
        <f>VLOOKUP($O1347,매칭테이블!$G:$J,2,0)*H1347</f>
        <v/>
      </c>
      <c r="M1347" s="20">
        <f>L1347-L1347*VLOOKUP($O1347,매칭테이블!$G:$J,3,0)</f>
        <v/>
      </c>
      <c r="N1347" s="20">
        <f>VLOOKUP($O1347,매칭테이블!$G:$J,4,0)*H1347</f>
        <v/>
      </c>
      <c r="O1347" s="20">
        <f>F1347&amp;E1347&amp;I1347&amp;J1347</f>
        <v/>
      </c>
    </row>
    <row r="1348" ht="16.5" customHeight="1" s="17">
      <c r="B1348" s="16" t="n">
        <v>44020</v>
      </c>
      <c r="C1348" s="20" t="inlineStr">
        <is>
          <t>수</t>
        </is>
      </c>
      <c r="E1348" s="20" t="inlineStr">
        <is>
          <t>쇼핑백</t>
        </is>
      </c>
      <c r="F1348" s="20" t="inlineStr">
        <is>
          <t>카페24</t>
        </is>
      </c>
      <c r="H1348" s="20" t="n">
        <v>1</v>
      </c>
      <c r="I1348" s="20" t="inlineStr">
        <is>
          <t>유즈쇼핑백</t>
        </is>
      </c>
      <c r="J1348" s="20" t="n">
        <v>200622</v>
      </c>
      <c r="L1348" s="20">
        <f>VLOOKUP($O1348,매칭테이블!$G:$J,2,0)*H1348</f>
        <v/>
      </c>
      <c r="M1348" s="20">
        <f>L1348-L1348*VLOOKUP($O1348,매칭테이블!$G:$J,3,0)</f>
        <v/>
      </c>
      <c r="N1348" s="20">
        <f>VLOOKUP($O1348,매칭테이블!$G:$J,4,0)*H1348</f>
        <v/>
      </c>
      <c r="O1348" s="20">
        <f>F1348&amp;E1348&amp;I1348&amp;J1348</f>
        <v/>
      </c>
    </row>
    <row r="1349" ht="16.5" customHeight="1" s="17">
      <c r="B1349" s="16" t="n">
        <v>44021</v>
      </c>
      <c r="C1349" s="20" t="inlineStr">
        <is>
          <t>목</t>
        </is>
      </c>
      <c r="E1349" s="20" t="inlineStr">
        <is>
          <t>고체향수</t>
        </is>
      </c>
      <c r="F1349" s="20" t="inlineStr">
        <is>
          <t>카페24</t>
        </is>
      </c>
      <c r="H1349" s="20" t="n">
        <v>1</v>
      </c>
      <c r="I1349" s="20" t="inlineStr">
        <is>
          <t>이그나이트 + 스테이포에버</t>
        </is>
      </c>
      <c r="J1349" s="20" t="n">
        <v>200622</v>
      </c>
      <c r="L1349" s="20">
        <f>VLOOKUP($O1349,매칭테이블!$G:$J,2,0)*H1349</f>
        <v/>
      </c>
      <c r="M1349" s="20">
        <f>L1349-L1349*VLOOKUP($O1349,매칭테이블!$G:$J,3,0)</f>
        <v/>
      </c>
      <c r="N1349" s="20">
        <f>VLOOKUP($O1349,매칭테이블!$G:$J,4,0)*H1349</f>
        <v/>
      </c>
      <c r="O1349" s="20">
        <f>F1349&amp;E1349&amp;I1349&amp;J1349</f>
        <v/>
      </c>
    </row>
    <row r="1350" ht="16.5" customHeight="1" s="17">
      <c r="B1350" s="16" t="n">
        <v>44021</v>
      </c>
      <c r="C1350" s="20" t="inlineStr">
        <is>
          <t>목</t>
        </is>
      </c>
      <c r="E1350" s="20" t="inlineStr">
        <is>
          <t>고체향수</t>
        </is>
      </c>
      <c r="F1350" s="20" t="inlineStr">
        <is>
          <t>카페24</t>
        </is>
      </c>
      <c r="H1350" s="20" t="n">
        <v>41</v>
      </c>
      <c r="I1350" s="20" t="inlineStr">
        <is>
          <t>스테이포에버</t>
        </is>
      </c>
      <c r="J1350" s="20" t="n">
        <v>200622</v>
      </c>
      <c r="L1350" s="20">
        <f>VLOOKUP($O1350,매칭테이블!$G:$J,2,0)*H1350</f>
        <v/>
      </c>
      <c r="M1350" s="20">
        <f>L1350-L1350*VLOOKUP($O1350,매칭테이블!$G:$J,3,0)</f>
        <v/>
      </c>
      <c r="N1350" s="20">
        <f>VLOOKUP($O1350,매칭테이블!$G:$J,4,0)*H1350</f>
        <v/>
      </c>
      <c r="O1350" s="20">
        <f>F1350&amp;E1350&amp;I1350&amp;J1350</f>
        <v/>
      </c>
    </row>
    <row r="1351" ht="16.5" customHeight="1" s="17">
      <c r="B1351" s="16" t="n">
        <v>44022</v>
      </c>
      <c r="C1351" s="20" t="inlineStr">
        <is>
          <t>금</t>
        </is>
      </c>
      <c r="E1351" s="20" t="inlineStr">
        <is>
          <t>고체향수</t>
        </is>
      </c>
      <c r="F1351" s="20" t="inlineStr">
        <is>
          <t>카페24</t>
        </is>
      </c>
      <c r="H1351" s="20" t="n">
        <v>29</v>
      </c>
      <c r="I1351" s="20" t="inlineStr">
        <is>
          <t>스테이포에버</t>
        </is>
      </c>
      <c r="J1351" s="20" t="n">
        <v>200622</v>
      </c>
      <c r="L1351" s="20">
        <f>VLOOKUP($O1351,매칭테이블!$G:$J,2,0)*H1351</f>
        <v/>
      </c>
      <c r="M1351" s="20">
        <f>L1351-L1351*VLOOKUP($O1351,매칭테이블!$G:$J,3,0)</f>
        <v/>
      </c>
      <c r="N1351" s="20">
        <f>VLOOKUP($O1351,매칭테이블!$G:$J,4,0)*H1351</f>
        <v/>
      </c>
      <c r="O1351" s="20">
        <f>F1351&amp;E1351&amp;I1351&amp;J1351</f>
        <v/>
      </c>
    </row>
    <row r="1352" ht="16.5" customHeight="1" s="17">
      <c r="B1352" s="16" t="n">
        <v>44022</v>
      </c>
      <c r="C1352" s="20" t="inlineStr">
        <is>
          <t>금</t>
        </is>
      </c>
      <c r="E1352" s="20" t="inlineStr">
        <is>
          <t>쇼핑백</t>
        </is>
      </c>
      <c r="F1352" s="20" t="inlineStr">
        <is>
          <t>카페24</t>
        </is>
      </c>
      <c r="H1352" s="20" t="n">
        <v>1</v>
      </c>
      <c r="I1352" s="20" t="inlineStr">
        <is>
          <t>유즈쇼핑백</t>
        </is>
      </c>
      <c r="J1352" s="20" t="n">
        <v>200622</v>
      </c>
      <c r="L1352" s="20">
        <f>VLOOKUP($O1352,매칭테이블!$G:$J,2,0)*H1352</f>
        <v/>
      </c>
      <c r="M1352" s="20">
        <f>L1352-L1352*VLOOKUP($O1352,매칭테이블!$G:$J,3,0)</f>
        <v/>
      </c>
      <c r="N1352" s="20">
        <f>VLOOKUP($O1352,매칭테이블!$G:$J,4,0)*H1352</f>
        <v/>
      </c>
      <c r="O1352" s="20">
        <f>F1352&amp;E1352&amp;I1352&amp;J1352</f>
        <v/>
      </c>
    </row>
    <row r="1353" ht="16.5" customHeight="1" s="17">
      <c r="B1353" s="16" t="n">
        <v>44022</v>
      </c>
      <c r="C1353" s="20" t="inlineStr">
        <is>
          <t>금</t>
        </is>
      </c>
      <c r="E1353" s="20" t="inlineStr">
        <is>
          <t>고체향수</t>
        </is>
      </c>
      <c r="F1353" s="20" t="inlineStr">
        <is>
          <t>카페24</t>
        </is>
      </c>
      <c r="H1353" s="20" t="n">
        <v>1</v>
      </c>
      <c r="I1353" s="20" t="inlineStr">
        <is>
          <t>이그나이트</t>
        </is>
      </c>
      <c r="J1353" s="20" t="n">
        <v>200622</v>
      </c>
      <c r="L1353" s="20">
        <f>VLOOKUP($O1353,매칭테이블!$G:$J,2,0)*H1353</f>
        <v/>
      </c>
      <c r="M1353" s="20">
        <f>L1353-L1353*VLOOKUP($O1353,매칭테이블!$G:$J,3,0)</f>
        <v/>
      </c>
      <c r="N1353" s="20">
        <f>VLOOKUP($O1353,매칭테이블!$G:$J,4,0)*H1353</f>
        <v/>
      </c>
      <c r="O1353" s="20">
        <f>F1353&amp;E1353&amp;I1353&amp;J1353</f>
        <v/>
      </c>
    </row>
    <row r="1354" ht="16.5" customHeight="1" s="17">
      <c r="B1354" s="16" t="n">
        <v>44023</v>
      </c>
      <c r="C1354" s="20" t="inlineStr">
        <is>
          <t>토</t>
        </is>
      </c>
      <c r="E1354" s="20" t="inlineStr">
        <is>
          <t>고체향수</t>
        </is>
      </c>
      <c r="F1354" s="20" t="inlineStr">
        <is>
          <t>카페24</t>
        </is>
      </c>
      <c r="H1354" s="20" t="n">
        <v>29</v>
      </c>
      <c r="I1354" s="20" t="inlineStr">
        <is>
          <t>스테이포에버</t>
        </is>
      </c>
      <c r="J1354" s="20" t="n">
        <v>200622</v>
      </c>
      <c r="L1354" s="20">
        <f>VLOOKUP($O1354,매칭테이블!$G:$J,2,0)*H1354</f>
        <v/>
      </c>
      <c r="M1354" s="20">
        <f>L1354-L1354*VLOOKUP($O1354,매칭테이블!$G:$J,3,0)</f>
        <v/>
      </c>
      <c r="N1354" s="20">
        <f>VLOOKUP($O1354,매칭테이블!$G:$J,4,0)*H1354</f>
        <v/>
      </c>
      <c r="O1354" s="20">
        <f>F1354&amp;E1354&amp;I1354&amp;J1354</f>
        <v/>
      </c>
    </row>
    <row r="1355" ht="16.5" customHeight="1" s="17">
      <c r="B1355" s="16" t="n">
        <v>44023</v>
      </c>
      <c r="C1355" s="20" t="inlineStr">
        <is>
          <t>토</t>
        </is>
      </c>
      <c r="E1355" s="20" t="inlineStr">
        <is>
          <t>쇼핑백</t>
        </is>
      </c>
      <c r="F1355" s="20" t="inlineStr">
        <is>
          <t>카페24</t>
        </is>
      </c>
      <c r="H1355" s="20" t="n">
        <v>1</v>
      </c>
      <c r="I1355" s="20" t="inlineStr">
        <is>
          <t>유즈쇼핑백</t>
        </is>
      </c>
      <c r="J1355" s="20" t="n">
        <v>200622</v>
      </c>
      <c r="L1355" s="20">
        <f>VLOOKUP($O1355,매칭테이블!$G:$J,2,0)*H1355</f>
        <v/>
      </c>
      <c r="M1355" s="20">
        <f>L1355-L1355*VLOOKUP($O1355,매칭테이블!$G:$J,3,0)</f>
        <v/>
      </c>
      <c r="N1355" s="20">
        <f>VLOOKUP($O1355,매칭테이블!$G:$J,4,0)*H1355</f>
        <v/>
      </c>
      <c r="O1355" s="20">
        <f>F1355&amp;E1355&amp;I1355&amp;J1355</f>
        <v/>
      </c>
    </row>
    <row r="1356" ht="16.5" customHeight="1" s="17">
      <c r="B1356" s="16" t="n">
        <v>44023</v>
      </c>
      <c r="C1356" s="20" t="inlineStr">
        <is>
          <t>토</t>
        </is>
      </c>
      <c r="E1356" s="20" t="inlineStr">
        <is>
          <t>고체향수</t>
        </is>
      </c>
      <c r="F1356" s="20" t="inlineStr">
        <is>
          <t>카페24</t>
        </is>
      </c>
      <c r="H1356" s="20" t="n">
        <v>7</v>
      </c>
      <c r="I1356" s="20" t="inlineStr">
        <is>
          <t>이그나이트</t>
        </is>
      </c>
      <c r="J1356" s="20" t="n">
        <v>200622</v>
      </c>
      <c r="L1356" s="20">
        <f>VLOOKUP($O1356,매칭테이블!$G:$J,2,0)*H1356</f>
        <v/>
      </c>
      <c r="M1356" s="20">
        <f>L1356-L1356*VLOOKUP($O1356,매칭테이블!$G:$J,3,0)</f>
        <v/>
      </c>
      <c r="N1356" s="20">
        <f>VLOOKUP($O1356,매칭테이블!$G:$J,4,0)*H1356</f>
        <v/>
      </c>
      <c r="O1356" s="20">
        <f>F1356&amp;E1356&amp;I1356&amp;J1356</f>
        <v/>
      </c>
    </row>
    <row r="1357" ht="16.5" customHeight="1" s="17">
      <c r="B1357" s="16" t="n">
        <v>44024</v>
      </c>
      <c r="C1357" s="20" t="inlineStr">
        <is>
          <t>일</t>
        </is>
      </c>
      <c r="E1357" s="20" t="inlineStr">
        <is>
          <t>고체향수</t>
        </is>
      </c>
      <c r="F1357" s="20" t="inlineStr">
        <is>
          <t>카페24</t>
        </is>
      </c>
      <c r="H1357" s="20" t="n">
        <v>3</v>
      </c>
      <c r="I1357" s="20" t="inlineStr">
        <is>
          <t>이그나이트</t>
        </is>
      </c>
      <c r="J1357" s="20" t="n">
        <v>200622</v>
      </c>
      <c r="L1357" s="20">
        <f>VLOOKUP($O1357,매칭테이블!$G:$J,2,0)*H1357</f>
        <v/>
      </c>
      <c r="M1357" s="20">
        <f>L1357-L1357*VLOOKUP($O1357,매칭테이블!$G:$J,3,0)</f>
        <v/>
      </c>
      <c r="N1357" s="20">
        <f>VLOOKUP($O1357,매칭테이블!$G:$J,4,0)*H1357</f>
        <v/>
      </c>
      <c r="O1357" s="20">
        <f>F1357&amp;E1357&amp;I1357&amp;J1357</f>
        <v/>
      </c>
    </row>
    <row r="1358" ht="16.5" customHeight="1" s="17">
      <c r="B1358" s="16" t="n">
        <v>44024</v>
      </c>
      <c r="C1358" s="20" t="inlineStr">
        <is>
          <t>일</t>
        </is>
      </c>
      <c r="E1358" s="20" t="inlineStr">
        <is>
          <t>고체향수</t>
        </is>
      </c>
      <c r="F1358" s="20" t="inlineStr">
        <is>
          <t>카페24</t>
        </is>
      </c>
      <c r="H1358" s="20" t="n">
        <v>65</v>
      </c>
      <c r="I1358" s="20" t="inlineStr">
        <is>
          <t>스테이포에버</t>
        </is>
      </c>
      <c r="J1358" s="20" t="n">
        <v>200622</v>
      </c>
      <c r="L1358" s="20">
        <f>VLOOKUP($O1358,매칭테이블!$G:$J,2,0)*H1358</f>
        <v/>
      </c>
      <c r="M1358" s="20">
        <f>L1358-L1358*VLOOKUP($O1358,매칭테이블!$G:$J,3,0)</f>
        <v/>
      </c>
      <c r="N1358" s="20">
        <f>VLOOKUP($O1358,매칭테이블!$G:$J,4,0)*H1358</f>
        <v/>
      </c>
      <c r="O1358" s="20">
        <f>F1358&amp;E1358&amp;I1358&amp;J1358</f>
        <v/>
      </c>
    </row>
    <row r="1359" ht="16.5" customHeight="1" s="17">
      <c r="B1359" s="16" t="n">
        <v>44025</v>
      </c>
      <c r="C1359" s="20" t="inlineStr">
        <is>
          <t>월</t>
        </is>
      </c>
      <c r="E1359" s="20" t="inlineStr">
        <is>
          <t>고체향수</t>
        </is>
      </c>
      <c r="F1359" s="20" t="inlineStr">
        <is>
          <t>카페24</t>
        </is>
      </c>
      <c r="H1359" s="20" t="n">
        <v>2</v>
      </c>
      <c r="I1359" s="20" t="inlineStr">
        <is>
          <t>이그나이트 + 스테이포에버</t>
        </is>
      </c>
      <c r="J1359" s="20" t="n">
        <v>200622</v>
      </c>
      <c r="L1359" s="20">
        <f>VLOOKUP($O1359,매칭테이블!$G:$J,2,0)*H1359</f>
        <v/>
      </c>
      <c r="M1359" s="20">
        <f>L1359-L1359*VLOOKUP($O1359,매칭테이블!$G:$J,3,0)</f>
        <v/>
      </c>
      <c r="N1359" s="20">
        <f>VLOOKUP($O1359,매칭테이블!$G:$J,4,0)*H1359</f>
        <v/>
      </c>
      <c r="O1359" s="20">
        <f>F1359&amp;E1359&amp;I1359&amp;J1359</f>
        <v/>
      </c>
    </row>
    <row r="1360" ht="16.5" customHeight="1" s="17">
      <c r="B1360" s="16" t="n">
        <v>44025</v>
      </c>
      <c r="C1360" s="20" t="inlineStr">
        <is>
          <t>월</t>
        </is>
      </c>
      <c r="E1360" s="20" t="inlineStr">
        <is>
          <t>고체향수</t>
        </is>
      </c>
      <c r="F1360" s="20" t="inlineStr">
        <is>
          <t>카페24</t>
        </is>
      </c>
      <c r="H1360" s="20" t="n">
        <v>2</v>
      </c>
      <c r="I1360" s="20" t="inlineStr">
        <is>
          <t>이그나이트</t>
        </is>
      </c>
      <c r="J1360" s="20" t="n">
        <v>200622</v>
      </c>
      <c r="L1360" s="20">
        <f>VLOOKUP($O1360,매칭테이블!$G:$J,2,0)*H1360</f>
        <v/>
      </c>
      <c r="M1360" s="20">
        <f>L1360-L1360*VLOOKUP($O1360,매칭테이블!$G:$J,3,0)</f>
        <v/>
      </c>
      <c r="N1360" s="20">
        <f>VLOOKUP($O1360,매칭테이블!$G:$J,4,0)*H1360</f>
        <v/>
      </c>
      <c r="O1360" s="20">
        <f>F1360&amp;E1360&amp;I1360&amp;J1360</f>
        <v/>
      </c>
    </row>
    <row r="1361" ht="16.5" customHeight="1" s="17">
      <c r="B1361" s="16" t="n">
        <v>44025</v>
      </c>
      <c r="C1361" s="20" t="inlineStr">
        <is>
          <t>월</t>
        </is>
      </c>
      <c r="E1361" s="20" t="inlineStr">
        <is>
          <t>고체향수</t>
        </is>
      </c>
      <c r="F1361" s="20" t="inlineStr">
        <is>
          <t>카페24</t>
        </is>
      </c>
      <c r="H1361" s="20" t="n">
        <v>46</v>
      </c>
      <c r="I1361" s="20" t="inlineStr">
        <is>
          <t>스테이포에버</t>
        </is>
      </c>
      <c r="J1361" s="20" t="n">
        <v>200622</v>
      </c>
      <c r="L1361" s="20">
        <f>VLOOKUP($O1361,매칭테이블!$G:$J,2,0)*H1361</f>
        <v/>
      </c>
      <c r="M1361" s="20">
        <f>L1361-L1361*VLOOKUP($O1361,매칭테이블!$G:$J,3,0)</f>
        <v/>
      </c>
      <c r="N1361" s="20">
        <f>VLOOKUP($O1361,매칭테이블!$G:$J,4,0)*H1361</f>
        <v/>
      </c>
      <c r="O1361" s="20">
        <f>F1361&amp;E1361&amp;I1361&amp;J1361</f>
        <v/>
      </c>
    </row>
    <row r="1362" ht="16.5" customHeight="1" s="17">
      <c r="B1362" s="16" t="n">
        <v>44026</v>
      </c>
      <c r="C1362" s="20" t="inlineStr">
        <is>
          <t>화</t>
        </is>
      </c>
      <c r="E1362" s="20" t="inlineStr">
        <is>
          <t>고체향수</t>
        </is>
      </c>
      <c r="F1362" s="20" t="inlineStr">
        <is>
          <t>카페24</t>
        </is>
      </c>
      <c r="H1362" s="20" t="n">
        <v>3</v>
      </c>
      <c r="I1362" s="20" t="inlineStr">
        <is>
          <t>이그나이트 + 스테이포에버</t>
        </is>
      </c>
      <c r="J1362" s="20" t="n">
        <v>200622</v>
      </c>
      <c r="L1362" s="20">
        <f>VLOOKUP($O1362,매칭테이블!$G:$J,2,0)*H1362</f>
        <v/>
      </c>
      <c r="M1362" s="20">
        <f>L1362-L1362*VLOOKUP($O1362,매칭테이블!$G:$J,3,0)</f>
        <v/>
      </c>
      <c r="N1362" s="20">
        <f>VLOOKUP($O1362,매칭테이블!$G:$J,4,0)*H1362</f>
        <v/>
      </c>
      <c r="O1362" s="20">
        <f>F1362&amp;E1362&amp;I1362&amp;J1362</f>
        <v/>
      </c>
    </row>
    <row r="1363" ht="16.5" customHeight="1" s="17">
      <c r="B1363" s="16" t="n">
        <v>44026</v>
      </c>
      <c r="C1363" s="20" t="inlineStr">
        <is>
          <t>화</t>
        </is>
      </c>
      <c r="E1363" s="20" t="inlineStr">
        <is>
          <t>고체향수</t>
        </is>
      </c>
      <c r="F1363" s="20" t="inlineStr">
        <is>
          <t>카페24</t>
        </is>
      </c>
      <c r="H1363" s="20" t="n">
        <v>77</v>
      </c>
      <c r="I1363" s="20" t="inlineStr">
        <is>
          <t>스테이포에버</t>
        </is>
      </c>
      <c r="J1363" s="20" t="n">
        <v>200622</v>
      </c>
      <c r="L1363" s="20">
        <f>VLOOKUP($O1363,매칭테이블!$G:$J,2,0)*H1363</f>
        <v/>
      </c>
      <c r="M1363" s="20">
        <f>L1363-L1363*VLOOKUP($O1363,매칭테이블!$G:$J,3,0)</f>
        <v/>
      </c>
      <c r="N1363" s="20">
        <f>VLOOKUP($O1363,매칭테이블!$G:$J,4,0)*H1363</f>
        <v/>
      </c>
      <c r="O1363" s="20">
        <f>F1363&amp;E1363&amp;I1363&amp;J1363</f>
        <v/>
      </c>
    </row>
    <row r="1364" ht="16.5" customHeight="1" s="17">
      <c r="B1364" s="16" t="n">
        <v>44026</v>
      </c>
      <c r="C1364" s="20" t="inlineStr">
        <is>
          <t>화</t>
        </is>
      </c>
      <c r="E1364" s="20" t="inlineStr">
        <is>
          <t>쇼핑백</t>
        </is>
      </c>
      <c r="F1364" s="20" t="inlineStr">
        <is>
          <t>카페24</t>
        </is>
      </c>
      <c r="H1364" s="20" t="n">
        <v>3</v>
      </c>
      <c r="I1364" s="20" t="inlineStr">
        <is>
          <t>유즈쇼핑백</t>
        </is>
      </c>
      <c r="J1364" s="20" t="n">
        <v>200622</v>
      </c>
      <c r="L1364" s="20">
        <f>VLOOKUP($O1364,매칭테이블!$G:$J,2,0)*H1364</f>
        <v/>
      </c>
      <c r="M1364" s="20">
        <f>L1364-L1364*VLOOKUP($O1364,매칭테이블!$G:$J,3,0)</f>
        <v/>
      </c>
      <c r="N1364" s="20">
        <f>VLOOKUP($O1364,매칭테이블!$G:$J,4,0)*H1364</f>
        <v/>
      </c>
      <c r="O1364" s="20">
        <f>F1364&amp;E1364&amp;I1364&amp;J1364</f>
        <v/>
      </c>
    </row>
    <row r="1365" ht="16.5" customHeight="1" s="17">
      <c r="B1365" s="16" t="n">
        <v>44026</v>
      </c>
      <c r="C1365" s="20" t="inlineStr">
        <is>
          <t>화</t>
        </is>
      </c>
      <c r="E1365" s="20" t="inlineStr">
        <is>
          <t>고체향수</t>
        </is>
      </c>
      <c r="F1365" s="20" t="inlineStr">
        <is>
          <t>카페24</t>
        </is>
      </c>
      <c r="H1365" s="20" t="n">
        <v>2</v>
      </c>
      <c r="I1365" s="20" t="inlineStr">
        <is>
          <t>이그나이트</t>
        </is>
      </c>
      <c r="J1365" s="20" t="n">
        <v>200622</v>
      </c>
      <c r="L1365" s="20">
        <f>VLOOKUP($O1365,매칭테이블!$G:$J,2,0)*H1365</f>
        <v/>
      </c>
      <c r="M1365" s="20">
        <f>L1365-L1365*VLOOKUP($O1365,매칭테이블!$G:$J,3,0)</f>
        <v/>
      </c>
      <c r="N1365" s="20">
        <f>VLOOKUP($O1365,매칭테이블!$G:$J,4,0)*H1365</f>
        <v/>
      </c>
      <c r="O1365" s="20">
        <f>F1365&amp;E1365&amp;I1365&amp;J1365</f>
        <v/>
      </c>
    </row>
    <row r="1366" ht="16.5" customHeight="1" s="17">
      <c r="B1366" s="16" t="n">
        <v>44027</v>
      </c>
      <c r="C1366" s="20" t="inlineStr">
        <is>
          <t>수</t>
        </is>
      </c>
      <c r="E1366" s="20" t="inlineStr">
        <is>
          <t>고체향수</t>
        </is>
      </c>
      <c r="F1366" s="20" t="inlineStr">
        <is>
          <t>카페24</t>
        </is>
      </c>
      <c r="H1366" s="20" t="n">
        <v>1</v>
      </c>
      <c r="I1366" s="20" t="inlineStr">
        <is>
          <t>이그나이트 + 스테이포에버</t>
        </is>
      </c>
      <c r="J1366" s="20" t="n">
        <v>200622</v>
      </c>
      <c r="L1366" s="20">
        <f>VLOOKUP($O1366,매칭테이블!$G:$J,2,0)*H1366</f>
        <v/>
      </c>
      <c r="M1366" s="20">
        <f>L1366-L1366*VLOOKUP($O1366,매칭테이블!$G:$J,3,0)</f>
        <v/>
      </c>
      <c r="N1366" s="20">
        <f>VLOOKUP($O1366,매칭테이블!$G:$J,4,0)*H1366</f>
        <v/>
      </c>
      <c r="O1366" s="20">
        <f>F1366&amp;E1366&amp;I1366&amp;J1366</f>
        <v/>
      </c>
    </row>
    <row r="1367" ht="16.5" customHeight="1" s="17">
      <c r="B1367" s="16" t="n">
        <v>44027</v>
      </c>
      <c r="C1367" s="20" t="inlineStr">
        <is>
          <t>수</t>
        </is>
      </c>
      <c r="E1367" s="20" t="inlineStr">
        <is>
          <t>고체향수</t>
        </is>
      </c>
      <c r="F1367" s="20" t="inlineStr">
        <is>
          <t>카페24</t>
        </is>
      </c>
      <c r="H1367" s="20" t="n">
        <v>112</v>
      </c>
      <c r="I1367" s="20" t="inlineStr">
        <is>
          <t>스테이포에버</t>
        </is>
      </c>
      <c r="J1367" s="20" t="n">
        <v>200622</v>
      </c>
      <c r="L1367" s="20">
        <f>VLOOKUP($O1367,매칭테이블!$G:$J,2,0)*H1367</f>
        <v/>
      </c>
      <c r="M1367" s="20">
        <f>L1367-L1367*VLOOKUP($O1367,매칭테이블!$G:$J,3,0)</f>
        <v/>
      </c>
      <c r="N1367" s="20">
        <f>VLOOKUP($O1367,매칭테이블!$G:$J,4,0)*H1367</f>
        <v/>
      </c>
      <c r="O1367" s="20">
        <f>F1367&amp;E1367&amp;I1367&amp;J1367</f>
        <v/>
      </c>
    </row>
    <row r="1368" ht="16.5" customHeight="1" s="17">
      <c r="B1368" s="16" t="n">
        <v>44027</v>
      </c>
      <c r="C1368" s="20" t="inlineStr">
        <is>
          <t>수</t>
        </is>
      </c>
      <c r="E1368" s="20" t="inlineStr">
        <is>
          <t>쇼핑백</t>
        </is>
      </c>
      <c r="F1368" s="20" t="inlineStr">
        <is>
          <t>카페24</t>
        </is>
      </c>
      <c r="H1368" s="20" t="n">
        <v>1</v>
      </c>
      <c r="I1368" s="20" t="inlineStr">
        <is>
          <t>유즈쇼핑백</t>
        </is>
      </c>
      <c r="J1368" s="20" t="n">
        <v>200622</v>
      </c>
      <c r="L1368" s="20">
        <f>VLOOKUP($O1368,매칭테이블!$G:$J,2,0)*H1368</f>
        <v/>
      </c>
      <c r="M1368" s="20">
        <f>L1368-L1368*VLOOKUP($O1368,매칭테이블!$G:$J,3,0)</f>
        <v/>
      </c>
      <c r="N1368" s="20">
        <f>VLOOKUP($O1368,매칭테이블!$G:$J,4,0)*H1368</f>
        <v/>
      </c>
      <c r="O1368" s="20">
        <f>F1368&amp;E1368&amp;I1368&amp;J1368</f>
        <v/>
      </c>
    </row>
    <row r="1369" ht="16.5" customHeight="1" s="17">
      <c r="B1369" s="16" t="n">
        <v>44027</v>
      </c>
      <c r="C1369" s="20" t="inlineStr">
        <is>
          <t>수</t>
        </is>
      </c>
      <c r="E1369" s="20" t="inlineStr">
        <is>
          <t>고체향수</t>
        </is>
      </c>
      <c r="F1369" s="20" t="inlineStr">
        <is>
          <t>카페24</t>
        </is>
      </c>
      <c r="H1369" s="20" t="n">
        <v>3</v>
      </c>
      <c r="I1369" s="20" t="inlineStr">
        <is>
          <t>이그나이트</t>
        </is>
      </c>
      <c r="J1369" s="20" t="n">
        <v>200622</v>
      </c>
      <c r="L1369" s="20">
        <f>VLOOKUP($O1369,매칭테이블!$G:$J,2,0)*H1369</f>
        <v/>
      </c>
      <c r="M1369" s="20">
        <f>L1369-L1369*VLOOKUP($O1369,매칭테이블!$G:$J,3,0)</f>
        <v/>
      </c>
      <c r="N1369" s="20">
        <f>VLOOKUP($O1369,매칭테이블!$G:$J,4,0)*H1369</f>
        <v/>
      </c>
      <c r="O1369" s="20">
        <f>F1369&amp;E1369&amp;I1369&amp;J1369</f>
        <v/>
      </c>
    </row>
    <row r="1370" ht="16.5" customHeight="1" s="17">
      <c r="B1370" s="16" t="n">
        <v>44028</v>
      </c>
      <c r="C1370" s="20" t="inlineStr">
        <is>
          <t>목</t>
        </is>
      </c>
      <c r="E1370" s="20" t="inlineStr">
        <is>
          <t>고체향수</t>
        </is>
      </c>
      <c r="F1370" s="20" t="inlineStr">
        <is>
          <t>유즈 CS</t>
        </is>
      </c>
      <c r="H1370" s="20" t="n">
        <v>1</v>
      </c>
      <c r="I1370" s="20" t="inlineStr">
        <is>
          <t>이그나이트</t>
        </is>
      </c>
      <c r="J1370" s="20" t="n">
        <v>200520</v>
      </c>
      <c r="L1370" s="20">
        <f>VLOOKUP($O1370,매칭테이블!$G:$J,2,0)*H1370</f>
        <v/>
      </c>
      <c r="M1370" s="20">
        <f>L1370-L1370*VLOOKUP($O1370,매칭테이블!$G:$J,3,0)</f>
        <v/>
      </c>
      <c r="N1370" s="20">
        <f>VLOOKUP($O1370,매칭테이블!$G:$J,4,0)*H1370</f>
        <v/>
      </c>
      <c r="O1370" s="20">
        <f>F1370&amp;E1370&amp;I1370&amp;J1370</f>
        <v/>
      </c>
    </row>
    <row r="1371" ht="16.5" customHeight="1" s="17">
      <c r="B1371" s="16" t="n">
        <v>44028</v>
      </c>
      <c r="C1371" s="20" t="inlineStr">
        <is>
          <t>목</t>
        </is>
      </c>
      <c r="E1371" s="20" t="inlineStr">
        <is>
          <t>쇼핑백</t>
        </is>
      </c>
      <c r="F1371" s="20" t="inlineStr">
        <is>
          <t>유즈 CS</t>
        </is>
      </c>
      <c r="H1371" s="20" t="n">
        <v>1</v>
      </c>
      <c r="I1371" s="20" t="inlineStr">
        <is>
          <t>유즈쇼핑백</t>
        </is>
      </c>
      <c r="J1371" s="20" t="n">
        <v>200520</v>
      </c>
      <c r="L1371" s="20">
        <f>VLOOKUP($O1371,매칭테이블!$G:$J,2,0)*H1371</f>
        <v/>
      </c>
      <c r="M1371" s="20">
        <f>L1371-L1371*VLOOKUP($O1371,매칭테이블!$G:$J,3,0)</f>
        <v/>
      </c>
      <c r="N1371" s="20">
        <f>VLOOKUP($O1371,매칭테이블!$G:$J,4,0)*H1371</f>
        <v/>
      </c>
      <c r="O1371" s="20">
        <f>F1371&amp;E1371&amp;I1371&amp;J1371</f>
        <v/>
      </c>
    </row>
    <row r="1372" ht="16.5" customHeight="1" s="17">
      <c r="B1372" s="16" t="n">
        <v>44028</v>
      </c>
      <c r="C1372" s="20" t="inlineStr">
        <is>
          <t>목</t>
        </is>
      </c>
      <c r="E1372" s="20" t="inlineStr">
        <is>
          <t>고체향수</t>
        </is>
      </c>
      <c r="F1372" s="20" t="inlineStr">
        <is>
          <t>카페24</t>
        </is>
      </c>
      <c r="H1372" s="20" t="n">
        <v>51</v>
      </c>
      <c r="I1372" s="20" t="inlineStr">
        <is>
          <t>스테이포에버</t>
        </is>
      </c>
      <c r="J1372" s="20" t="n">
        <v>200622</v>
      </c>
      <c r="L1372" s="20">
        <f>VLOOKUP($O1372,매칭테이블!$G:$J,2,0)*H1372</f>
        <v/>
      </c>
      <c r="M1372" s="20">
        <f>L1372-L1372*VLOOKUP($O1372,매칭테이블!$G:$J,3,0)</f>
        <v/>
      </c>
      <c r="N1372" s="20">
        <f>VLOOKUP($O1372,매칭테이블!$G:$J,4,0)*H1372</f>
        <v/>
      </c>
      <c r="O1372" s="20">
        <f>F1372&amp;E1372&amp;I1372&amp;J1372</f>
        <v/>
      </c>
    </row>
    <row r="1373" ht="16.5" customHeight="1" s="17">
      <c r="B1373" s="16" t="n">
        <v>44029</v>
      </c>
      <c r="C1373" s="20" t="inlineStr">
        <is>
          <t>금</t>
        </is>
      </c>
      <c r="E1373" s="20" t="inlineStr">
        <is>
          <t>고체향수</t>
        </is>
      </c>
      <c r="F1373" s="20" t="inlineStr">
        <is>
          <t>카페24</t>
        </is>
      </c>
      <c r="H1373" s="20" t="n">
        <v>86</v>
      </c>
      <c r="I1373" s="20" t="inlineStr">
        <is>
          <t>스테이포에버</t>
        </is>
      </c>
      <c r="J1373" s="20" t="n">
        <v>200622</v>
      </c>
      <c r="L1373" s="20">
        <f>VLOOKUP($O1373,매칭테이블!$G:$J,2,0)*H1373</f>
        <v/>
      </c>
      <c r="M1373" s="20">
        <f>L1373-L1373*VLOOKUP($O1373,매칭테이블!$G:$J,3,0)</f>
        <v/>
      </c>
      <c r="N1373" s="20">
        <f>VLOOKUP($O1373,매칭테이블!$G:$J,4,0)*H1373</f>
        <v/>
      </c>
      <c r="O1373" s="20">
        <f>F1373&amp;E1373&amp;I1373&amp;J1373</f>
        <v/>
      </c>
    </row>
    <row r="1374" ht="16.5" customHeight="1" s="17">
      <c r="B1374" s="16" t="n">
        <v>44029</v>
      </c>
      <c r="C1374" s="20" t="inlineStr">
        <is>
          <t>금</t>
        </is>
      </c>
      <c r="E1374" s="20" t="inlineStr">
        <is>
          <t>쇼핑백</t>
        </is>
      </c>
      <c r="F1374" s="20" t="inlineStr">
        <is>
          <t>카페24</t>
        </is>
      </c>
      <c r="H1374" s="20" t="n">
        <v>2</v>
      </c>
      <c r="I1374" s="20" t="inlineStr">
        <is>
          <t>유즈쇼핑백</t>
        </is>
      </c>
      <c r="J1374" s="20" t="n">
        <v>200622</v>
      </c>
      <c r="L1374" s="20">
        <f>VLOOKUP($O1374,매칭테이블!$G:$J,2,0)*H1374</f>
        <v/>
      </c>
      <c r="M1374" s="20">
        <f>L1374-L1374*VLOOKUP($O1374,매칭테이블!$G:$J,3,0)</f>
        <v/>
      </c>
      <c r="N1374" s="20">
        <f>VLOOKUP($O1374,매칭테이블!$G:$J,4,0)*H1374</f>
        <v/>
      </c>
      <c r="O1374" s="20">
        <f>F1374&amp;E1374&amp;I1374&amp;J1374</f>
        <v/>
      </c>
    </row>
    <row r="1375" ht="16.5" customHeight="1" s="17">
      <c r="B1375" s="16" t="n">
        <v>44029</v>
      </c>
      <c r="C1375" s="20" t="inlineStr">
        <is>
          <t>금</t>
        </is>
      </c>
      <c r="E1375" s="20" t="inlineStr">
        <is>
          <t>고체향수</t>
        </is>
      </c>
      <c r="F1375" s="20" t="inlineStr">
        <is>
          <t>카페24</t>
        </is>
      </c>
      <c r="H1375" s="20" t="n">
        <v>3</v>
      </c>
      <c r="I1375" s="20" t="inlineStr">
        <is>
          <t>이그나이트</t>
        </is>
      </c>
      <c r="J1375" s="20" t="n">
        <v>200622</v>
      </c>
      <c r="L1375" s="20">
        <f>VLOOKUP($O1375,매칭테이블!$G:$J,2,0)*H1375</f>
        <v/>
      </c>
      <c r="M1375" s="20">
        <f>L1375-L1375*VLOOKUP($O1375,매칭테이블!$G:$J,3,0)</f>
        <v/>
      </c>
      <c r="N1375" s="20">
        <f>VLOOKUP($O1375,매칭테이블!$G:$J,4,0)*H1375</f>
        <v/>
      </c>
      <c r="O1375" s="20">
        <f>F1375&amp;E1375&amp;I1375&amp;J1375</f>
        <v/>
      </c>
    </row>
    <row r="1376" ht="16.5" customHeight="1" s="17">
      <c r="B1376" s="16" t="n">
        <v>44030</v>
      </c>
      <c r="C1376" s="20" t="inlineStr">
        <is>
          <t>토</t>
        </is>
      </c>
      <c r="E1376" s="20" t="inlineStr">
        <is>
          <t>고체향수</t>
        </is>
      </c>
      <c r="F1376" s="20" t="inlineStr">
        <is>
          <t>카페24</t>
        </is>
      </c>
      <c r="H1376" s="20" t="n">
        <v>41</v>
      </c>
      <c r="I1376" s="20" t="inlineStr">
        <is>
          <t>스테이포에버</t>
        </is>
      </c>
      <c r="J1376" s="20" t="n">
        <v>200622</v>
      </c>
      <c r="L1376" s="20">
        <f>VLOOKUP($O1376,매칭테이블!$G:$J,2,0)*H1376</f>
        <v/>
      </c>
      <c r="M1376" s="20">
        <f>L1376-L1376*VLOOKUP($O1376,매칭테이블!$G:$J,3,0)</f>
        <v/>
      </c>
      <c r="N1376" s="20">
        <f>VLOOKUP($O1376,매칭테이블!$G:$J,4,0)*H1376</f>
        <v/>
      </c>
      <c r="O1376" s="20">
        <f>F1376&amp;E1376&amp;I1376&amp;J1376</f>
        <v/>
      </c>
    </row>
    <row r="1377" ht="16.5" customHeight="1" s="17">
      <c r="B1377" s="16" t="n">
        <v>44030</v>
      </c>
      <c r="C1377" s="20" t="inlineStr">
        <is>
          <t>토</t>
        </is>
      </c>
      <c r="E1377" s="20" t="inlineStr">
        <is>
          <t>고체향수</t>
        </is>
      </c>
      <c r="F1377" s="20" t="inlineStr">
        <is>
          <t>카페24</t>
        </is>
      </c>
      <c r="H1377" s="20" t="n">
        <v>1</v>
      </c>
      <c r="I1377" s="20" t="inlineStr">
        <is>
          <t>이그나이트</t>
        </is>
      </c>
      <c r="J1377" s="20" t="n">
        <v>200622</v>
      </c>
      <c r="L1377" s="20">
        <f>VLOOKUP($O1377,매칭테이블!$G:$J,2,0)*H1377</f>
        <v/>
      </c>
      <c r="M1377" s="20">
        <f>L1377-L1377*VLOOKUP($O1377,매칭테이블!$G:$J,3,0)</f>
        <v/>
      </c>
      <c r="N1377" s="20">
        <f>VLOOKUP($O1377,매칭테이블!$G:$J,4,0)*H1377</f>
        <v/>
      </c>
      <c r="O1377" s="20">
        <f>F1377&amp;E1377&amp;I1377&amp;J1377</f>
        <v/>
      </c>
    </row>
    <row r="1378" ht="16.5" customHeight="1" s="17">
      <c r="B1378" s="16" t="n">
        <v>44031</v>
      </c>
      <c r="C1378" s="20" t="inlineStr">
        <is>
          <t>일</t>
        </is>
      </c>
      <c r="E1378" s="20" t="inlineStr">
        <is>
          <t>고체향수</t>
        </is>
      </c>
      <c r="F1378" s="20" t="inlineStr">
        <is>
          <t>카페24</t>
        </is>
      </c>
      <c r="H1378" s="20" t="n">
        <v>46</v>
      </c>
      <c r="I1378" s="20" t="inlineStr">
        <is>
          <t>스테이포에버</t>
        </is>
      </c>
      <c r="J1378" s="20" t="n">
        <v>200622</v>
      </c>
      <c r="L1378" s="20">
        <f>VLOOKUP($O1378,매칭테이블!$G:$J,2,0)*H1378</f>
        <v/>
      </c>
      <c r="M1378" s="20">
        <f>L1378-L1378*VLOOKUP($O1378,매칭테이블!$G:$J,3,0)</f>
        <v/>
      </c>
      <c r="N1378" s="20">
        <f>VLOOKUP($O1378,매칭테이블!$G:$J,4,0)*H1378</f>
        <v/>
      </c>
      <c r="O1378" s="20">
        <f>F1378&amp;E1378&amp;I1378&amp;J1378</f>
        <v/>
      </c>
    </row>
    <row r="1379" ht="16.5" customHeight="1" s="17">
      <c r="B1379" s="16" t="n">
        <v>44031</v>
      </c>
      <c r="C1379" s="20" t="inlineStr">
        <is>
          <t>일</t>
        </is>
      </c>
      <c r="E1379" s="20" t="inlineStr">
        <is>
          <t>쇼핑백</t>
        </is>
      </c>
      <c r="F1379" s="20" t="inlineStr">
        <is>
          <t>카페24</t>
        </is>
      </c>
      <c r="H1379" s="20" t="n">
        <v>1</v>
      </c>
      <c r="I1379" s="20" t="inlineStr">
        <is>
          <t>유즈쇼핑백</t>
        </is>
      </c>
      <c r="J1379" s="20" t="n">
        <v>200622</v>
      </c>
      <c r="L1379" s="20">
        <f>VLOOKUP($O1379,매칭테이블!$G:$J,2,0)*H1379</f>
        <v/>
      </c>
      <c r="M1379" s="20">
        <f>L1379-L1379*VLOOKUP($O1379,매칭테이블!$G:$J,3,0)</f>
        <v/>
      </c>
      <c r="N1379" s="20">
        <f>VLOOKUP($O1379,매칭테이블!$G:$J,4,0)*H1379</f>
        <v/>
      </c>
      <c r="O1379" s="20">
        <f>F1379&amp;E1379&amp;I1379&amp;J1379</f>
        <v/>
      </c>
    </row>
    <row r="1380" ht="16.5" customHeight="1" s="17">
      <c r="B1380" s="16" t="n">
        <v>44032</v>
      </c>
      <c r="C1380" s="20" t="inlineStr">
        <is>
          <t>월</t>
        </is>
      </c>
      <c r="E1380" s="20" t="inlineStr">
        <is>
          <t>고체향수</t>
        </is>
      </c>
      <c r="F1380" s="20" t="inlineStr">
        <is>
          <t>카페24</t>
        </is>
      </c>
      <c r="H1380" s="20" t="n">
        <v>1</v>
      </c>
      <c r="I1380" s="20" t="inlineStr">
        <is>
          <t>이그나이트 + 스테이포에버</t>
        </is>
      </c>
      <c r="J1380" s="20" t="n">
        <v>200622</v>
      </c>
      <c r="L1380" s="20">
        <f>VLOOKUP($O1380,매칭테이블!$G:$J,2,0)*H1380</f>
        <v/>
      </c>
      <c r="M1380" s="20">
        <f>L1380-L1380*VLOOKUP($O1380,매칭테이블!$G:$J,3,0)</f>
        <v/>
      </c>
      <c r="N1380" s="20">
        <f>VLOOKUP($O1380,매칭테이블!$G:$J,4,0)*H1380</f>
        <v/>
      </c>
      <c r="O1380" s="20">
        <f>F1380&amp;E1380&amp;I1380&amp;J1380</f>
        <v/>
      </c>
    </row>
    <row r="1381" ht="16.5" customHeight="1" s="17">
      <c r="B1381" s="16" t="n">
        <v>44032</v>
      </c>
      <c r="C1381" s="20" t="inlineStr">
        <is>
          <t>월</t>
        </is>
      </c>
      <c r="E1381" s="20" t="inlineStr">
        <is>
          <t>고체향수</t>
        </is>
      </c>
      <c r="F1381" s="20" t="inlineStr">
        <is>
          <t>카페24</t>
        </is>
      </c>
      <c r="H1381" s="20" t="n">
        <v>3</v>
      </c>
      <c r="I1381" s="20" t="inlineStr">
        <is>
          <t>이그나이트</t>
        </is>
      </c>
      <c r="J1381" s="20" t="n">
        <v>200622</v>
      </c>
      <c r="L1381" s="20">
        <f>VLOOKUP($O1381,매칭테이블!$G:$J,2,0)*H1381</f>
        <v/>
      </c>
      <c r="M1381" s="20">
        <f>L1381-L1381*VLOOKUP($O1381,매칭테이블!$G:$J,3,0)</f>
        <v/>
      </c>
      <c r="N1381" s="20">
        <f>VLOOKUP($O1381,매칭테이블!$G:$J,4,0)*H1381</f>
        <v/>
      </c>
      <c r="O1381" s="20">
        <f>F1381&amp;E1381&amp;I1381&amp;J1381</f>
        <v/>
      </c>
    </row>
    <row r="1382" ht="16.5" customHeight="1" s="17">
      <c r="B1382" s="16" t="n">
        <v>44032</v>
      </c>
      <c r="C1382" s="20" t="inlineStr">
        <is>
          <t>월</t>
        </is>
      </c>
      <c r="E1382" s="20" t="inlineStr">
        <is>
          <t>고체향수</t>
        </is>
      </c>
      <c r="F1382" s="20" t="inlineStr">
        <is>
          <t>카페24</t>
        </is>
      </c>
      <c r="H1382" s="20" t="n">
        <v>59</v>
      </c>
      <c r="I1382" s="20" t="inlineStr">
        <is>
          <t>스테이포에버</t>
        </is>
      </c>
      <c r="J1382" s="20" t="n">
        <v>200622</v>
      </c>
      <c r="L1382" s="20">
        <f>VLOOKUP($O1382,매칭테이블!$G:$J,2,0)*H1382</f>
        <v/>
      </c>
      <c r="M1382" s="20">
        <f>L1382-L1382*VLOOKUP($O1382,매칭테이블!$G:$J,3,0)</f>
        <v/>
      </c>
      <c r="N1382" s="20">
        <f>VLOOKUP($O1382,매칭테이블!$G:$J,4,0)*H1382</f>
        <v/>
      </c>
      <c r="O1382" s="20">
        <f>F1382&amp;E1382&amp;I1382&amp;J1382</f>
        <v/>
      </c>
    </row>
    <row r="1383" ht="16.5" customHeight="1" s="17">
      <c r="B1383" s="16" t="n">
        <v>44032</v>
      </c>
      <c r="C1383" s="20" t="inlineStr">
        <is>
          <t>월</t>
        </is>
      </c>
      <c r="E1383" s="20" t="inlineStr">
        <is>
          <t>고체향수</t>
        </is>
      </c>
      <c r="F1383" s="20" t="inlineStr">
        <is>
          <t>카페24</t>
        </is>
      </c>
      <c r="H1383" s="20" t="n">
        <v>4</v>
      </c>
      <c r="I1383" s="20" t="inlineStr">
        <is>
          <t>스테이포에버 2set</t>
        </is>
      </c>
      <c r="J1383" s="20" t="n">
        <v>200622</v>
      </c>
      <c r="L1383" s="20">
        <f>VLOOKUP($O1383,매칭테이블!$G:$J,2,0)*H1383</f>
        <v/>
      </c>
      <c r="M1383" s="20">
        <f>L1383-L1383*VLOOKUP($O1383,매칭테이블!$G:$J,3,0)</f>
        <v/>
      </c>
      <c r="N1383" s="20">
        <f>VLOOKUP($O1383,매칭테이블!$G:$J,4,0)*H1383</f>
        <v/>
      </c>
      <c r="O1383" s="20">
        <f>F1383&amp;E1383&amp;I1383&amp;J1383</f>
        <v/>
      </c>
    </row>
    <row r="1384" ht="16.5" customHeight="1" s="17">
      <c r="B1384" s="16" t="n">
        <v>44033</v>
      </c>
      <c r="C1384" s="20" t="inlineStr">
        <is>
          <t>화</t>
        </is>
      </c>
      <c r="E1384" s="20" t="inlineStr">
        <is>
          <t>고체향수</t>
        </is>
      </c>
      <c r="F1384" s="20" t="inlineStr">
        <is>
          <t>카페24</t>
        </is>
      </c>
      <c r="H1384" s="20" t="n">
        <v>2</v>
      </c>
      <c r="I1384" s="20" t="inlineStr">
        <is>
          <t>이그나이트 + 스테이포에버</t>
        </is>
      </c>
      <c r="J1384" s="20" t="n">
        <v>200622</v>
      </c>
      <c r="L1384" s="20">
        <f>VLOOKUP($O1384,매칭테이블!$G:$J,2,0)*H1384</f>
        <v/>
      </c>
      <c r="M1384" s="20">
        <f>L1384-L1384*VLOOKUP($O1384,매칭테이블!$G:$J,3,0)</f>
        <v/>
      </c>
      <c r="N1384" s="20">
        <f>VLOOKUP($O1384,매칭테이블!$G:$J,4,0)*H1384</f>
        <v/>
      </c>
      <c r="O1384" s="20">
        <f>F1384&amp;E1384&amp;I1384&amp;J1384</f>
        <v/>
      </c>
    </row>
    <row r="1385" ht="16.5" customHeight="1" s="17">
      <c r="B1385" s="16" t="n">
        <v>44033</v>
      </c>
      <c r="C1385" s="20" t="inlineStr">
        <is>
          <t>화</t>
        </is>
      </c>
      <c r="E1385" s="20" t="inlineStr">
        <is>
          <t>고체향수</t>
        </is>
      </c>
      <c r="F1385" s="20" t="inlineStr">
        <is>
          <t>카페24</t>
        </is>
      </c>
      <c r="H1385" s="20" t="n">
        <v>9</v>
      </c>
      <c r="I1385" s="20" t="inlineStr">
        <is>
          <t>이그나이트</t>
        </is>
      </c>
      <c r="J1385" s="20" t="n">
        <v>200622</v>
      </c>
      <c r="L1385" s="20">
        <f>VLOOKUP($O1385,매칭테이블!$G:$J,2,0)*H1385</f>
        <v/>
      </c>
      <c r="M1385" s="20">
        <f>L1385-L1385*VLOOKUP($O1385,매칭테이블!$G:$J,3,0)</f>
        <v/>
      </c>
      <c r="N1385" s="20">
        <f>VLOOKUP($O1385,매칭테이블!$G:$J,4,0)*H1385</f>
        <v/>
      </c>
      <c r="O1385" s="20">
        <f>F1385&amp;E1385&amp;I1385&amp;J1385</f>
        <v/>
      </c>
    </row>
    <row r="1386" ht="16.5" customHeight="1" s="17">
      <c r="B1386" s="16" t="n">
        <v>44033</v>
      </c>
      <c r="C1386" s="20" t="inlineStr">
        <is>
          <t>화</t>
        </is>
      </c>
      <c r="E1386" s="20" t="inlineStr">
        <is>
          <t>고체향수</t>
        </is>
      </c>
      <c r="F1386" s="20" t="inlineStr">
        <is>
          <t>카페24</t>
        </is>
      </c>
      <c r="H1386" s="20" t="n">
        <v>77</v>
      </c>
      <c r="I1386" s="20" t="inlineStr">
        <is>
          <t>스테이포에버</t>
        </is>
      </c>
      <c r="J1386" s="20" t="n">
        <v>200622</v>
      </c>
      <c r="L1386" s="20">
        <f>VLOOKUP($O1386,매칭테이블!$G:$J,2,0)*H1386</f>
        <v/>
      </c>
      <c r="M1386" s="20">
        <f>L1386-L1386*VLOOKUP($O1386,매칭테이블!$G:$J,3,0)</f>
        <v/>
      </c>
      <c r="N1386" s="20">
        <f>VLOOKUP($O1386,매칭테이블!$G:$J,4,0)*H1386</f>
        <v/>
      </c>
      <c r="O1386" s="20">
        <f>F1386&amp;E1386&amp;I1386&amp;J1386</f>
        <v/>
      </c>
    </row>
    <row r="1387" ht="16.5" customHeight="1" s="17">
      <c r="B1387" s="16" t="n">
        <v>44033</v>
      </c>
      <c r="C1387" s="20" t="inlineStr">
        <is>
          <t>화</t>
        </is>
      </c>
      <c r="E1387" s="20" t="inlineStr">
        <is>
          <t>고체향수</t>
        </is>
      </c>
      <c r="F1387" s="20" t="inlineStr">
        <is>
          <t>카페24</t>
        </is>
      </c>
      <c r="H1387" s="20" t="n">
        <v>8</v>
      </c>
      <c r="I1387" s="20" t="inlineStr">
        <is>
          <t>스테이포에버 2set</t>
        </is>
      </c>
      <c r="J1387" s="20" t="n">
        <v>200622</v>
      </c>
      <c r="L1387" s="20">
        <f>VLOOKUP($O1387,매칭테이블!$G:$J,2,0)*H1387</f>
        <v/>
      </c>
      <c r="M1387" s="20">
        <f>L1387-L1387*VLOOKUP($O1387,매칭테이블!$G:$J,3,0)</f>
        <v/>
      </c>
      <c r="N1387" s="20">
        <f>VLOOKUP($O1387,매칭테이블!$G:$J,4,0)*H1387</f>
        <v/>
      </c>
      <c r="O1387" s="20">
        <f>F1387&amp;E1387&amp;I1387&amp;J1387</f>
        <v/>
      </c>
    </row>
    <row r="1388" ht="16.5" customHeight="1" s="17">
      <c r="B1388" s="16" t="n">
        <v>44033</v>
      </c>
      <c r="C1388" s="20" t="inlineStr">
        <is>
          <t>화</t>
        </is>
      </c>
      <c r="E1388" s="20" t="inlineStr">
        <is>
          <t>고체향수</t>
        </is>
      </c>
      <c r="F1388" s="20" t="inlineStr">
        <is>
          <t>카페24</t>
        </is>
      </c>
      <c r="H1388" s="20" t="n">
        <v>2</v>
      </c>
      <c r="I1388" s="20" t="inlineStr">
        <is>
          <t>이그나이트 2set</t>
        </is>
      </c>
      <c r="J1388" s="20" t="n">
        <v>200622</v>
      </c>
      <c r="L1388" s="20">
        <f>VLOOKUP($O1388,매칭테이블!$G:$J,2,0)*H1388</f>
        <v/>
      </c>
      <c r="M1388" s="20">
        <f>L1388-L1388*VLOOKUP($O1388,매칭테이블!$G:$J,3,0)</f>
        <v/>
      </c>
      <c r="N1388" s="20">
        <f>VLOOKUP($O1388,매칭테이블!$G:$J,4,0)*H1388</f>
        <v/>
      </c>
      <c r="O1388" s="20">
        <f>F1388&amp;E1388&amp;I1388&amp;J1388</f>
        <v/>
      </c>
    </row>
    <row r="1389" ht="16.5" customHeight="1" s="17">
      <c r="B1389" s="16" t="n">
        <v>44033</v>
      </c>
      <c r="C1389" s="20" t="inlineStr">
        <is>
          <t>화</t>
        </is>
      </c>
      <c r="E1389" s="20" t="inlineStr">
        <is>
          <t>쇼핑백</t>
        </is>
      </c>
      <c r="F1389" s="20" t="inlineStr">
        <is>
          <t>카페24</t>
        </is>
      </c>
      <c r="H1389" s="20" t="n">
        <v>1</v>
      </c>
      <c r="I1389" s="20" t="inlineStr">
        <is>
          <t>유즈쇼핑백</t>
        </is>
      </c>
      <c r="J1389" s="20" t="n">
        <v>200622</v>
      </c>
      <c r="L1389" s="20">
        <f>VLOOKUP($O1389,매칭테이블!$G:$J,2,0)*H1389</f>
        <v/>
      </c>
      <c r="M1389" s="20">
        <f>L1389-L1389*VLOOKUP($O1389,매칭테이블!$G:$J,3,0)</f>
        <v/>
      </c>
      <c r="N1389" s="20">
        <f>VLOOKUP($O1389,매칭테이블!$G:$J,4,0)*H1389</f>
        <v/>
      </c>
      <c r="O1389" s="20">
        <f>F1389&amp;E1389&amp;I1389&amp;J1389</f>
        <v/>
      </c>
    </row>
    <row r="1390" ht="16.5" customHeight="1" s="17">
      <c r="B1390" s="16" t="n">
        <v>44034</v>
      </c>
      <c r="C1390" s="20" t="inlineStr">
        <is>
          <t>수</t>
        </is>
      </c>
      <c r="E1390" s="20" t="inlineStr">
        <is>
          <t>고체향수</t>
        </is>
      </c>
      <c r="F1390" s="20" t="inlineStr">
        <is>
          <t>카페24</t>
        </is>
      </c>
      <c r="H1390" s="20" t="n">
        <v>4</v>
      </c>
      <c r="I1390" s="20" t="inlineStr">
        <is>
          <t>이그나이트 + 스테이포에버</t>
        </is>
      </c>
      <c r="J1390" s="20" t="n">
        <v>200622</v>
      </c>
      <c r="L1390" s="20">
        <f>VLOOKUP($O1390,매칭테이블!$G:$J,2,0)*H1390</f>
        <v/>
      </c>
      <c r="M1390" s="20">
        <f>L1390-L1390*VLOOKUP($O1390,매칭테이블!$G:$J,3,0)</f>
        <v/>
      </c>
      <c r="N1390" s="20">
        <f>VLOOKUP($O1390,매칭테이블!$G:$J,4,0)*H1390</f>
        <v/>
      </c>
      <c r="O1390" s="20">
        <f>F1390&amp;E1390&amp;I1390&amp;J1390</f>
        <v/>
      </c>
    </row>
    <row r="1391" ht="16.5" customHeight="1" s="17">
      <c r="B1391" s="16" t="n">
        <v>44034</v>
      </c>
      <c r="C1391" s="20" t="inlineStr">
        <is>
          <t>수</t>
        </is>
      </c>
      <c r="E1391" s="20" t="inlineStr">
        <is>
          <t>고체향수</t>
        </is>
      </c>
      <c r="F1391" s="20" t="inlineStr">
        <is>
          <t>카페24</t>
        </is>
      </c>
      <c r="H1391" s="20" t="n">
        <v>90</v>
      </c>
      <c r="I1391" s="20" t="inlineStr">
        <is>
          <t>스테이포에버</t>
        </is>
      </c>
      <c r="J1391" s="20" t="n">
        <v>200622</v>
      </c>
      <c r="L1391" s="20">
        <f>VLOOKUP($O1391,매칭테이블!$G:$J,2,0)*H1391</f>
        <v/>
      </c>
      <c r="M1391" s="20">
        <f>L1391-L1391*VLOOKUP($O1391,매칭테이블!$G:$J,3,0)</f>
        <v/>
      </c>
      <c r="N1391" s="20">
        <f>VLOOKUP($O1391,매칭테이블!$G:$J,4,0)*H1391</f>
        <v/>
      </c>
      <c r="O1391" s="20">
        <f>F1391&amp;E1391&amp;I1391&amp;J1391</f>
        <v/>
      </c>
    </row>
    <row r="1392" ht="16.5" customHeight="1" s="17">
      <c r="B1392" s="16" t="n">
        <v>44034</v>
      </c>
      <c r="C1392" s="20" t="inlineStr">
        <is>
          <t>수</t>
        </is>
      </c>
      <c r="E1392" s="20" t="inlineStr">
        <is>
          <t>고체향수</t>
        </is>
      </c>
      <c r="F1392" s="20" t="inlineStr">
        <is>
          <t>카페24</t>
        </is>
      </c>
      <c r="H1392" s="20" t="n">
        <v>10</v>
      </c>
      <c r="I1392" s="20" t="inlineStr">
        <is>
          <t>스테이포에버 2set</t>
        </is>
      </c>
      <c r="J1392" s="20" t="n">
        <v>200622</v>
      </c>
      <c r="L1392" s="20">
        <f>VLOOKUP($O1392,매칭테이블!$G:$J,2,0)*H1392</f>
        <v/>
      </c>
      <c r="M1392" s="20">
        <f>L1392-L1392*VLOOKUP($O1392,매칭테이블!$G:$J,3,0)</f>
        <v/>
      </c>
      <c r="N1392" s="20">
        <f>VLOOKUP($O1392,매칭테이블!$G:$J,4,0)*H1392</f>
        <v/>
      </c>
      <c r="O1392" s="20">
        <f>F1392&amp;E1392&amp;I1392&amp;J1392</f>
        <v/>
      </c>
    </row>
    <row r="1393" ht="16.5" customHeight="1" s="17">
      <c r="B1393" s="16" t="n">
        <v>44034</v>
      </c>
      <c r="C1393" s="20" t="inlineStr">
        <is>
          <t>수</t>
        </is>
      </c>
      <c r="E1393" s="20" t="inlineStr">
        <is>
          <t>쇼핑백</t>
        </is>
      </c>
      <c r="F1393" s="20" t="inlineStr">
        <is>
          <t>카페24</t>
        </is>
      </c>
      <c r="H1393" s="20" t="n">
        <v>1</v>
      </c>
      <c r="I1393" s="20" t="inlineStr">
        <is>
          <t>유즈쇼핑백</t>
        </is>
      </c>
      <c r="J1393" s="20" t="n">
        <v>200622</v>
      </c>
      <c r="L1393" s="20">
        <f>VLOOKUP($O1393,매칭테이블!$G:$J,2,0)*H1393</f>
        <v/>
      </c>
      <c r="M1393" s="20">
        <f>L1393-L1393*VLOOKUP($O1393,매칭테이블!$G:$J,3,0)</f>
        <v/>
      </c>
      <c r="N1393" s="20">
        <f>VLOOKUP($O1393,매칭테이블!$G:$J,4,0)*H1393</f>
        <v/>
      </c>
      <c r="O1393" s="20">
        <f>F1393&amp;E1393&amp;I1393&amp;J1393</f>
        <v/>
      </c>
    </row>
    <row r="1394" ht="16.5" customHeight="1" s="17">
      <c r="B1394" s="16" t="n">
        <v>44034</v>
      </c>
      <c r="C1394" s="20" t="inlineStr">
        <is>
          <t>수</t>
        </is>
      </c>
      <c r="E1394" s="20" t="inlineStr">
        <is>
          <t>고체향수</t>
        </is>
      </c>
      <c r="F1394" s="20" t="inlineStr">
        <is>
          <t>카페24</t>
        </is>
      </c>
      <c r="H1394" s="20" t="n">
        <v>1</v>
      </c>
      <c r="I1394" s="20" t="inlineStr">
        <is>
          <t>이그나이트</t>
        </is>
      </c>
      <c r="J1394" s="20" t="n">
        <v>200622</v>
      </c>
      <c r="L1394" s="20">
        <f>VLOOKUP($O1394,매칭테이블!$G:$J,2,0)*H1394</f>
        <v/>
      </c>
      <c r="M1394" s="20">
        <f>L1394-L1394*VLOOKUP($O1394,매칭테이블!$G:$J,3,0)</f>
        <v/>
      </c>
      <c r="N1394" s="20">
        <f>VLOOKUP($O1394,매칭테이블!$G:$J,4,0)*H1394</f>
        <v/>
      </c>
      <c r="O1394" s="20">
        <f>F1394&amp;E1394&amp;I1394&amp;J1394</f>
        <v/>
      </c>
    </row>
    <row r="1395" ht="16.5" customHeight="1" s="17">
      <c r="B1395" s="16" t="n">
        <v>44035</v>
      </c>
      <c r="C1395" s="20" t="inlineStr">
        <is>
          <t>목</t>
        </is>
      </c>
      <c r="E1395" s="20" t="inlineStr">
        <is>
          <t>고체향수</t>
        </is>
      </c>
      <c r="F1395" s="20" t="inlineStr">
        <is>
          <t>카페24</t>
        </is>
      </c>
      <c r="H1395" s="20" t="n">
        <v>1</v>
      </c>
      <c r="I1395" s="20" t="inlineStr">
        <is>
          <t>이그나이트 + 스테이포에버</t>
        </is>
      </c>
      <c r="J1395" s="20" t="n">
        <v>200622</v>
      </c>
      <c r="L1395" s="20">
        <f>VLOOKUP($O1395,매칭테이블!$G:$J,2,0)*H1395</f>
        <v/>
      </c>
      <c r="M1395" s="20">
        <f>L1395-L1395*VLOOKUP($O1395,매칭테이블!$G:$J,3,0)</f>
        <v/>
      </c>
      <c r="N1395" s="20">
        <f>VLOOKUP($O1395,매칭테이블!$G:$J,4,0)*H1395</f>
        <v/>
      </c>
      <c r="O1395" s="20">
        <f>F1395&amp;E1395&amp;I1395&amp;J1395</f>
        <v/>
      </c>
    </row>
    <row r="1396" ht="16.5" customHeight="1" s="17">
      <c r="B1396" s="16" t="n">
        <v>44035</v>
      </c>
      <c r="C1396" s="20" t="inlineStr">
        <is>
          <t>목</t>
        </is>
      </c>
      <c r="E1396" s="20" t="inlineStr">
        <is>
          <t>고체향수</t>
        </is>
      </c>
      <c r="F1396" s="20" t="inlineStr">
        <is>
          <t>카페24</t>
        </is>
      </c>
      <c r="H1396" s="20" t="n">
        <v>2</v>
      </c>
      <c r="I1396" s="20" t="inlineStr">
        <is>
          <t>이그나이트</t>
        </is>
      </c>
      <c r="J1396" s="20" t="n">
        <v>200622</v>
      </c>
      <c r="L1396" s="20">
        <f>VLOOKUP($O1396,매칭테이블!$G:$J,2,0)*H1396</f>
        <v/>
      </c>
      <c r="M1396" s="20">
        <f>L1396-L1396*VLOOKUP($O1396,매칭테이블!$G:$J,3,0)</f>
        <v/>
      </c>
      <c r="N1396" s="20">
        <f>VLOOKUP($O1396,매칭테이블!$G:$J,4,0)*H1396</f>
        <v/>
      </c>
      <c r="O1396" s="20">
        <f>F1396&amp;E1396&amp;I1396&amp;J1396</f>
        <v/>
      </c>
    </row>
    <row r="1397" ht="16.5" customHeight="1" s="17">
      <c r="B1397" s="16" t="n">
        <v>44035</v>
      </c>
      <c r="C1397" s="20" t="inlineStr">
        <is>
          <t>목</t>
        </is>
      </c>
      <c r="E1397" s="20" t="inlineStr">
        <is>
          <t>고체향수</t>
        </is>
      </c>
      <c r="F1397" s="20" t="inlineStr">
        <is>
          <t>카페24</t>
        </is>
      </c>
      <c r="H1397" s="20" t="n">
        <v>16</v>
      </c>
      <c r="I1397" s="20" t="inlineStr">
        <is>
          <t>스테이포에버 2set</t>
        </is>
      </c>
      <c r="J1397" s="20" t="n">
        <v>200622</v>
      </c>
      <c r="L1397" s="20">
        <f>VLOOKUP($O1397,매칭테이블!$G:$J,2,0)*H1397</f>
        <v/>
      </c>
      <c r="M1397" s="20">
        <f>L1397-L1397*VLOOKUP($O1397,매칭테이블!$G:$J,3,0)</f>
        <v/>
      </c>
      <c r="N1397" s="20">
        <f>VLOOKUP($O1397,매칭테이블!$G:$J,4,0)*H1397</f>
        <v/>
      </c>
      <c r="O1397" s="20">
        <f>F1397&amp;E1397&amp;I1397&amp;J1397</f>
        <v/>
      </c>
    </row>
    <row r="1398" ht="16.5" customHeight="1" s="17">
      <c r="B1398" s="16" t="n">
        <v>44035</v>
      </c>
      <c r="C1398" s="20" t="inlineStr">
        <is>
          <t>목</t>
        </is>
      </c>
      <c r="E1398" s="20" t="inlineStr">
        <is>
          <t>고체향수</t>
        </is>
      </c>
      <c r="F1398" s="20" t="inlineStr">
        <is>
          <t>카페24</t>
        </is>
      </c>
      <c r="H1398" s="20" t="n">
        <v>97</v>
      </c>
      <c r="I1398" s="20" t="inlineStr">
        <is>
          <t>스테이포에버</t>
        </is>
      </c>
      <c r="J1398" s="20" t="n">
        <v>200622</v>
      </c>
      <c r="L1398" s="20">
        <f>VLOOKUP($O1398,매칭테이블!$G:$J,2,0)*H1398</f>
        <v/>
      </c>
      <c r="M1398" s="20">
        <f>L1398-L1398*VLOOKUP($O1398,매칭테이블!$G:$J,3,0)</f>
        <v/>
      </c>
      <c r="N1398" s="20">
        <f>VLOOKUP($O1398,매칭테이블!$G:$J,4,0)*H1398</f>
        <v/>
      </c>
      <c r="O1398" s="20">
        <f>F1398&amp;E1398&amp;I1398&amp;J1398</f>
        <v/>
      </c>
    </row>
    <row r="1399" ht="16.5" customHeight="1" s="17">
      <c r="B1399" s="16" t="n">
        <v>44035</v>
      </c>
      <c r="C1399" s="20" t="inlineStr">
        <is>
          <t>목</t>
        </is>
      </c>
      <c r="E1399" s="20" t="inlineStr">
        <is>
          <t>쇼핑백</t>
        </is>
      </c>
      <c r="F1399" s="20" t="inlineStr">
        <is>
          <t>카페24</t>
        </is>
      </c>
      <c r="H1399" s="20" t="n">
        <v>3</v>
      </c>
      <c r="I1399" s="20" t="inlineStr">
        <is>
          <t>유즈쇼핑백</t>
        </is>
      </c>
      <c r="J1399" s="20" t="n">
        <v>200622</v>
      </c>
      <c r="L1399" s="20">
        <f>VLOOKUP($O1399,매칭테이블!$G:$J,2,0)*H1399</f>
        <v/>
      </c>
      <c r="M1399" s="20">
        <f>L1399-L1399*VLOOKUP($O1399,매칭테이블!$G:$J,3,0)</f>
        <v/>
      </c>
      <c r="N1399" s="20">
        <f>VLOOKUP($O1399,매칭테이블!$G:$J,4,0)*H1399</f>
        <v/>
      </c>
      <c r="O1399" s="20">
        <f>F1399&amp;E1399&amp;I1399&amp;J1399</f>
        <v/>
      </c>
    </row>
    <row r="1400" ht="16.5" customHeight="1" s="17">
      <c r="B1400" s="16" t="n">
        <v>44036</v>
      </c>
      <c r="C1400" s="20" t="inlineStr">
        <is>
          <t>금</t>
        </is>
      </c>
      <c r="E1400" s="20" t="inlineStr">
        <is>
          <t>고체향수</t>
        </is>
      </c>
      <c r="F1400" s="20" t="inlineStr">
        <is>
          <t>카페24</t>
        </is>
      </c>
      <c r="H1400" s="20" t="n">
        <v>2</v>
      </c>
      <c r="I1400" s="20" t="inlineStr">
        <is>
          <t>이그나이트 + 스테이포에버</t>
        </is>
      </c>
      <c r="J1400" s="20" t="n">
        <v>200622</v>
      </c>
      <c r="L1400" s="20">
        <f>VLOOKUP($O1400,매칭테이블!$G:$J,2,0)*H1400</f>
        <v/>
      </c>
      <c r="M1400" s="20">
        <f>L1400-L1400*VLOOKUP($O1400,매칭테이블!$G:$J,3,0)</f>
        <v/>
      </c>
      <c r="N1400" s="20">
        <f>VLOOKUP($O1400,매칭테이블!$G:$J,4,0)*H1400</f>
        <v/>
      </c>
      <c r="O1400" s="20">
        <f>F1400&amp;E1400&amp;I1400&amp;J1400</f>
        <v/>
      </c>
    </row>
    <row r="1401" ht="16.5" customHeight="1" s="17">
      <c r="B1401" s="16" t="n">
        <v>44036</v>
      </c>
      <c r="C1401" s="20" t="inlineStr">
        <is>
          <t>금</t>
        </is>
      </c>
      <c r="E1401" s="20" t="inlineStr">
        <is>
          <t>고체향수</t>
        </is>
      </c>
      <c r="F1401" s="20" t="inlineStr">
        <is>
          <t>카페24</t>
        </is>
      </c>
      <c r="H1401" s="20" t="n">
        <v>108</v>
      </c>
      <c r="I1401" s="20" t="inlineStr">
        <is>
          <t>스테이포에버</t>
        </is>
      </c>
      <c r="J1401" s="20" t="n">
        <v>200622</v>
      </c>
      <c r="L1401" s="20">
        <f>VLOOKUP($O1401,매칭테이블!$G:$J,2,0)*H1401</f>
        <v/>
      </c>
      <c r="M1401" s="20">
        <f>L1401-L1401*VLOOKUP($O1401,매칭테이블!$G:$J,3,0)</f>
        <v/>
      </c>
      <c r="N1401" s="20">
        <f>VLOOKUP($O1401,매칭테이블!$G:$J,4,0)*H1401</f>
        <v/>
      </c>
      <c r="O1401" s="20">
        <f>F1401&amp;E1401&amp;I1401&amp;J1401</f>
        <v/>
      </c>
    </row>
    <row r="1402" ht="16.5" customHeight="1" s="17">
      <c r="B1402" s="16" t="n">
        <v>44036</v>
      </c>
      <c r="C1402" s="20" t="inlineStr">
        <is>
          <t>금</t>
        </is>
      </c>
      <c r="E1402" s="20" t="inlineStr">
        <is>
          <t>고체향수</t>
        </is>
      </c>
      <c r="F1402" s="20" t="inlineStr">
        <is>
          <t>카페24</t>
        </is>
      </c>
      <c r="H1402" s="20" t="n">
        <v>12</v>
      </c>
      <c r="I1402" s="20" t="inlineStr">
        <is>
          <t>스테이포에버 2set</t>
        </is>
      </c>
      <c r="J1402" s="20" t="n">
        <v>200622</v>
      </c>
      <c r="L1402" s="20">
        <f>VLOOKUP($O1402,매칭테이블!$G:$J,2,0)*H1402</f>
        <v/>
      </c>
      <c r="M1402" s="20">
        <f>L1402-L1402*VLOOKUP($O1402,매칭테이블!$G:$J,3,0)</f>
        <v/>
      </c>
      <c r="N1402" s="20">
        <f>VLOOKUP($O1402,매칭테이블!$G:$J,4,0)*H1402</f>
        <v/>
      </c>
      <c r="O1402" s="20">
        <f>F1402&amp;E1402&amp;I1402&amp;J1402</f>
        <v/>
      </c>
    </row>
    <row r="1403" ht="16.5" customHeight="1" s="17">
      <c r="B1403" s="16" t="n">
        <v>44036</v>
      </c>
      <c r="C1403" s="20" t="inlineStr">
        <is>
          <t>금</t>
        </is>
      </c>
      <c r="E1403" s="20" t="inlineStr">
        <is>
          <t>쇼핑백</t>
        </is>
      </c>
      <c r="F1403" s="20" t="inlineStr">
        <is>
          <t>카페24</t>
        </is>
      </c>
      <c r="H1403" s="20" t="n">
        <v>2</v>
      </c>
      <c r="I1403" s="20" t="inlineStr">
        <is>
          <t>유즈쇼핑백</t>
        </is>
      </c>
      <c r="J1403" s="20" t="n">
        <v>200622</v>
      </c>
      <c r="L1403" s="20">
        <f>VLOOKUP($O1403,매칭테이블!$G:$J,2,0)*H1403</f>
        <v/>
      </c>
      <c r="M1403" s="20">
        <f>L1403-L1403*VLOOKUP($O1403,매칭테이블!$G:$J,3,0)</f>
        <v/>
      </c>
      <c r="N1403" s="20">
        <f>VLOOKUP($O1403,매칭테이블!$G:$J,4,0)*H1403</f>
        <v/>
      </c>
      <c r="O1403" s="20">
        <f>F1403&amp;E1403&amp;I1403&amp;J1403</f>
        <v/>
      </c>
    </row>
    <row r="1404" ht="16.5" customHeight="1" s="17">
      <c r="B1404" s="16" t="n">
        <v>44036</v>
      </c>
      <c r="C1404" s="20" t="inlineStr">
        <is>
          <t>금</t>
        </is>
      </c>
      <c r="E1404" s="20" t="inlineStr">
        <is>
          <t>고체향수</t>
        </is>
      </c>
      <c r="F1404" s="20" t="inlineStr">
        <is>
          <t>카페24</t>
        </is>
      </c>
      <c r="H1404" s="20" t="n">
        <v>5</v>
      </c>
      <c r="I1404" s="20" t="inlineStr">
        <is>
          <t>이그나이트</t>
        </is>
      </c>
      <c r="J1404" s="20" t="n">
        <v>200622</v>
      </c>
      <c r="L1404" s="20">
        <f>VLOOKUP($O1404,매칭테이블!$G:$J,2,0)*H1404</f>
        <v/>
      </c>
      <c r="M1404" s="20">
        <f>L1404-L1404*VLOOKUP($O1404,매칭테이블!$G:$J,3,0)</f>
        <v/>
      </c>
      <c r="N1404" s="20">
        <f>VLOOKUP($O1404,매칭테이블!$G:$J,4,0)*H1404</f>
        <v/>
      </c>
      <c r="O1404" s="20">
        <f>F1404&amp;E1404&amp;I1404&amp;J1404</f>
        <v/>
      </c>
    </row>
    <row r="1405" ht="16.5" customHeight="1" s="17">
      <c r="B1405" s="16" t="n">
        <v>44037</v>
      </c>
      <c r="C1405" s="20" t="inlineStr">
        <is>
          <t>토</t>
        </is>
      </c>
      <c r="E1405" s="20" t="inlineStr">
        <is>
          <t>고체향수</t>
        </is>
      </c>
      <c r="F1405" s="20" t="inlineStr">
        <is>
          <t>카페24</t>
        </is>
      </c>
      <c r="H1405" s="20" t="n">
        <v>3</v>
      </c>
      <c r="I1405" s="20" t="inlineStr">
        <is>
          <t>이그나이트 + 스테이포에버</t>
        </is>
      </c>
      <c r="J1405" s="20" t="n">
        <v>200622</v>
      </c>
      <c r="L1405" s="20">
        <f>VLOOKUP($O1405,매칭테이블!$G:$J,2,0)*H1405</f>
        <v/>
      </c>
      <c r="M1405" s="20">
        <f>L1405-L1405*VLOOKUP($O1405,매칭테이블!$G:$J,3,0)</f>
        <v/>
      </c>
      <c r="N1405" s="20">
        <f>VLOOKUP($O1405,매칭테이블!$G:$J,4,0)*H1405</f>
        <v/>
      </c>
      <c r="O1405" s="20">
        <f>F1405&amp;E1405&amp;I1405&amp;J1405</f>
        <v/>
      </c>
    </row>
    <row r="1406" ht="16.5" customHeight="1" s="17">
      <c r="B1406" s="16" t="n">
        <v>44037</v>
      </c>
      <c r="C1406" s="20" t="inlineStr">
        <is>
          <t>토</t>
        </is>
      </c>
      <c r="E1406" s="20" t="inlineStr">
        <is>
          <t>고체향수</t>
        </is>
      </c>
      <c r="F1406" s="20" t="inlineStr">
        <is>
          <t>카페24</t>
        </is>
      </c>
      <c r="H1406" s="20" t="n">
        <v>88</v>
      </c>
      <c r="I1406" s="20" t="inlineStr">
        <is>
          <t>스테이포에버</t>
        </is>
      </c>
      <c r="J1406" s="20" t="n">
        <v>200622</v>
      </c>
      <c r="L1406" s="20">
        <f>VLOOKUP($O1406,매칭테이블!$G:$J,2,0)*H1406</f>
        <v/>
      </c>
      <c r="M1406" s="20">
        <f>L1406-L1406*VLOOKUP($O1406,매칭테이블!$G:$J,3,0)</f>
        <v/>
      </c>
      <c r="N1406" s="20">
        <f>VLOOKUP($O1406,매칭테이블!$G:$J,4,0)*H1406</f>
        <v/>
      </c>
      <c r="O1406" s="20">
        <f>F1406&amp;E1406&amp;I1406&amp;J1406</f>
        <v/>
      </c>
    </row>
    <row r="1407" ht="16.5" customHeight="1" s="17">
      <c r="B1407" s="16" t="n">
        <v>44037</v>
      </c>
      <c r="C1407" s="20" t="inlineStr">
        <is>
          <t>토</t>
        </is>
      </c>
      <c r="E1407" s="20" t="inlineStr">
        <is>
          <t>고체향수</t>
        </is>
      </c>
      <c r="F1407" s="20" t="inlineStr">
        <is>
          <t>카페24</t>
        </is>
      </c>
      <c r="H1407" s="20" t="n">
        <v>15</v>
      </c>
      <c r="I1407" s="20" t="inlineStr">
        <is>
          <t>스테이포에버 2set</t>
        </is>
      </c>
      <c r="J1407" s="20" t="n">
        <v>200622</v>
      </c>
      <c r="L1407" s="20">
        <f>VLOOKUP($O1407,매칭테이블!$G:$J,2,0)*H1407</f>
        <v/>
      </c>
      <c r="M1407" s="20">
        <f>L1407-L1407*VLOOKUP($O1407,매칭테이블!$G:$J,3,0)</f>
        <v/>
      </c>
      <c r="N1407" s="20">
        <f>VLOOKUP($O1407,매칭테이블!$G:$J,4,0)*H1407</f>
        <v/>
      </c>
      <c r="O1407" s="20">
        <f>F1407&amp;E1407&amp;I1407&amp;J1407</f>
        <v/>
      </c>
    </row>
    <row r="1408" ht="16.5" customHeight="1" s="17">
      <c r="B1408" s="16" t="n">
        <v>44037</v>
      </c>
      <c r="C1408" s="20" t="inlineStr">
        <is>
          <t>토</t>
        </is>
      </c>
      <c r="E1408" s="20" t="inlineStr">
        <is>
          <t>쇼핑백</t>
        </is>
      </c>
      <c r="F1408" s="20" t="inlineStr">
        <is>
          <t>카페24</t>
        </is>
      </c>
      <c r="H1408" s="20" t="n">
        <v>2</v>
      </c>
      <c r="I1408" s="20" t="inlineStr">
        <is>
          <t>유즈쇼핑백</t>
        </is>
      </c>
      <c r="J1408" s="20" t="n">
        <v>200622</v>
      </c>
      <c r="L1408" s="20">
        <f>VLOOKUP($O1408,매칭테이블!$G:$J,2,0)*H1408</f>
        <v/>
      </c>
      <c r="M1408" s="20">
        <f>L1408-L1408*VLOOKUP($O1408,매칭테이블!$G:$J,3,0)</f>
        <v/>
      </c>
      <c r="N1408" s="20">
        <f>VLOOKUP($O1408,매칭테이블!$G:$J,4,0)*H1408</f>
        <v/>
      </c>
      <c r="O1408" s="20">
        <f>F1408&amp;E1408&amp;I1408&amp;J1408</f>
        <v/>
      </c>
    </row>
    <row r="1409" ht="16.5" customHeight="1" s="17">
      <c r="B1409" s="16" t="n">
        <v>44037</v>
      </c>
      <c r="C1409" s="20" t="inlineStr">
        <is>
          <t>토</t>
        </is>
      </c>
      <c r="E1409" s="20" t="inlineStr">
        <is>
          <t>고체향수</t>
        </is>
      </c>
      <c r="F1409" s="20" t="inlineStr">
        <is>
          <t>카페24</t>
        </is>
      </c>
      <c r="H1409" s="20" t="n">
        <v>1</v>
      </c>
      <c r="I1409" s="20" t="inlineStr">
        <is>
          <t>이그나이트</t>
        </is>
      </c>
      <c r="J1409" s="20" t="n">
        <v>200622</v>
      </c>
      <c r="L1409" s="20">
        <f>VLOOKUP($O1409,매칭테이블!$G:$J,2,0)*H1409</f>
        <v/>
      </c>
      <c r="M1409" s="20">
        <f>L1409-L1409*VLOOKUP($O1409,매칭테이블!$G:$J,3,0)</f>
        <v/>
      </c>
      <c r="N1409" s="20">
        <f>VLOOKUP($O1409,매칭테이블!$G:$J,4,0)*H1409</f>
        <v/>
      </c>
      <c r="O1409" s="20">
        <f>F1409&amp;E1409&amp;I1409&amp;J1409</f>
        <v/>
      </c>
    </row>
    <row r="1410" ht="16.5" customHeight="1" s="17">
      <c r="B1410" s="16" t="n">
        <v>44038</v>
      </c>
      <c r="C1410" s="20" t="inlineStr">
        <is>
          <t>일</t>
        </is>
      </c>
      <c r="E1410" s="20" t="inlineStr">
        <is>
          <t>고체향수</t>
        </is>
      </c>
      <c r="F1410" s="20" t="inlineStr">
        <is>
          <t>카페24</t>
        </is>
      </c>
      <c r="H1410" s="20" t="n">
        <v>3</v>
      </c>
      <c r="I1410" s="20" t="inlineStr">
        <is>
          <t>이그나이트 + 스테이포에버</t>
        </is>
      </c>
      <c r="J1410" s="20" t="n">
        <v>200622</v>
      </c>
      <c r="L1410" s="20">
        <f>VLOOKUP($O1410,매칭테이블!$G:$J,2,0)*H1410</f>
        <v/>
      </c>
      <c r="M1410" s="20">
        <f>L1410-L1410*VLOOKUP($O1410,매칭테이블!$G:$J,3,0)</f>
        <v/>
      </c>
      <c r="N1410" s="20">
        <f>VLOOKUP($O1410,매칭테이블!$G:$J,4,0)*H1410</f>
        <v/>
      </c>
      <c r="O1410" s="20">
        <f>F1410&amp;E1410&amp;I1410&amp;J1410</f>
        <v/>
      </c>
    </row>
    <row r="1411" ht="16.5" customHeight="1" s="17">
      <c r="B1411" s="16" t="n">
        <v>44038</v>
      </c>
      <c r="C1411" s="20" t="inlineStr">
        <is>
          <t>일</t>
        </is>
      </c>
      <c r="E1411" s="20" t="inlineStr">
        <is>
          <t>고체향수</t>
        </is>
      </c>
      <c r="F1411" s="20" t="inlineStr">
        <is>
          <t>카페24</t>
        </is>
      </c>
      <c r="H1411" s="20" t="n">
        <v>124</v>
      </c>
      <c r="I1411" s="20" t="inlineStr">
        <is>
          <t>스테이포에버</t>
        </is>
      </c>
      <c r="J1411" s="20" t="n">
        <v>200622</v>
      </c>
      <c r="L1411" s="20">
        <f>VLOOKUP($O1411,매칭테이블!$G:$J,2,0)*H1411</f>
        <v/>
      </c>
      <c r="M1411" s="20">
        <f>L1411-L1411*VLOOKUP($O1411,매칭테이블!$G:$J,3,0)</f>
        <v/>
      </c>
      <c r="N1411" s="20">
        <f>VLOOKUP($O1411,매칭테이블!$G:$J,4,0)*H1411</f>
        <v/>
      </c>
      <c r="O1411" s="20">
        <f>F1411&amp;E1411&amp;I1411&amp;J1411</f>
        <v/>
      </c>
    </row>
    <row r="1412" ht="16.5" customHeight="1" s="17">
      <c r="B1412" s="16" t="n">
        <v>44038</v>
      </c>
      <c r="C1412" s="20" t="inlineStr">
        <is>
          <t>일</t>
        </is>
      </c>
      <c r="E1412" s="20" t="inlineStr">
        <is>
          <t>고체향수</t>
        </is>
      </c>
      <c r="F1412" s="20" t="inlineStr">
        <is>
          <t>카페24</t>
        </is>
      </c>
      <c r="H1412" s="20" t="n">
        <v>21</v>
      </c>
      <c r="I1412" s="20" t="inlineStr">
        <is>
          <t>스테이포에버 2set</t>
        </is>
      </c>
      <c r="J1412" s="20" t="n">
        <v>200622</v>
      </c>
      <c r="L1412" s="20">
        <f>VLOOKUP($O1412,매칭테이블!$G:$J,2,0)*H1412</f>
        <v/>
      </c>
      <c r="M1412" s="20">
        <f>L1412-L1412*VLOOKUP($O1412,매칭테이블!$G:$J,3,0)</f>
        <v/>
      </c>
      <c r="N1412" s="20">
        <f>VLOOKUP($O1412,매칭테이블!$G:$J,4,0)*H1412</f>
        <v/>
      </c>
      <c r="O1412" s="20">
        <f>F1412&amp;E1412&amp;I1412&amp;J1412</f>
        <v/>
      </c>
    </row>
    <row r="1413" ht="16.5" customHeight="1" s="17">
      <c r="B1413" s="16" t="n">
        <v>44038</v>
      </c>
      <c r="C1413" s="20" t="inlineStr">
        <is>
          <t>일</t>
        </is>
      </c>
      <c r="E1413" s="20" t="inlineStr">
        <is>
          <t>쇼핑백</t>
        </is>
      </c>
      <c r="F1413" s="20" t="inlineStr">
        <is>
          <t>카페24</t>
        </is>
      </c>
      <c r="H1413" s="20" t="n">
        <v>1</v>
      </c>
      <c r="I1413" s="20" t="inlineStr">
        <is>
          <t>유즈쇼핑백</t>
        </is>
      </c>
      <c r="J1413" s="20" t="n">
        <v>200622</v>
      </c>
      <c r="L1413" s="20">
        <f>VLOOKUP($O1413,매칭테이블!$G:$J,2,0)*H1413</f>
        <v/>
      </c>
      <c r="M1413" s="20">
        <f>L1413-L1413*VLOOKUP($O1413,매칭테이블!$G:$J,3,0)</f>
        <v/>
      </c>
      <c r="N1413" s="20">
        <f>VLOOKUP($O1413,매칭테이블!$G:$J,4,0)*H1413</f>
        <v/>
      </c>
      <c r="O1413" s="20">
        <f>F1413&amp;E1413&amp;I1413&amp;J1413</f>
        <v/>
      </c>
    </row>
    <row r="1414" ht="16.5" customHeight="1" s="17">
      <c r="B1414" s="16" t="n">
        <v>44038</v>
      </c>
      <c r="C1414" s="20" t="inlineStr">
        <is>
          <t>일</t>
        </is>
      </c>
      <c r="E1414" s="20" t="inlineStr">
        <is>
          <t>고체향수</t>
        </is>
      </c>
      <c r="F1414" s="20" t="inlineStr">
        <is>
          <t>카페24</t>
        </is>
      </c>
      <c r="H1414" s="20" t="n">
        <v>4</v>
      </c>
      <c r="I1414" s="20" t="inlineStr">
        <is>
          <t>이그나이트</t>
        </is>
      </c>
      <c r="J1414" s="20" t="n">
        <v>200622</v>
      </c>
      <c r="L1414" s="20">
        <f>VLOOKUP($O1414,매칭테이블!$G:$J,2,0)*H1414</f>
        <v/>
      </c>
      <c r="M1414" s="20">
        <f>L1414-L1414*VLOOKUP($O1414,매칭테이블!$G:$J,3,0)</f>
        <v/>
      </c>
      <c r="N1414" s="20">
        <f>VLOOKUP($O1414,매칭테이블!$G:$J,4,0)*H1414</f>
        <v/>
      </c>
      <c r="O1414" s="20">
        <f>F1414&amp;E1414&amp;I1414&amp;J1414</f>
        <v/>
      </c>
    </row>
    <row r="1415" ht="16.5" customHeight="1" s="17">
      <c r="B1415" s="16" t="n">
        <v>44039</v>
      </c>
      <c r="C1415" s="20" t="inlineStr">
        <is>
          <t>월</t>
        </is>
      </c>
      <c r="E1415" s="20" t="inlineStr">
        <is>
          <t>고체향수</t>
        </is>
      </c>
      <c r="F1415" s="20" t="inlineStr">
        <is>
          <t>카페24</t>
        </is>
      </c>
      <c r="H1415" s="20" t="n">
        <v>3</v>
      </c>
      <c r="I1415" s="20" t="inlineStr">
        <is>
          <t>이그나이트 + 스테이포에버</t>
        </is>
      </c>
      <c r="J1415" s="20" t="n">
        <v>200622</v>
      </c>
      <c r="L1415" s="20">
        <f>VLOOKUP($O1415,매칭테이블!$G:$J,2,0)*H1415</f>
        <v/>
      </c>
      <c r="M1415" s="20">
        <f>L1415-L1415*VLOOKUP($O1415,매칭테이블!$G:$J,3,0)</f>
        <v/>
      </c>
      <c r="N1415" s="20">
        <f>VLOOKUP($O1415,매칭테이블!$G:$J,4,0)*H1415</f>
        <v/>
      </c>
      <c r="O1415" s="20">
        <f>F1415&amp;E1415&amp;I1415&amp;J1415</f>
        <v/>
      </c>
    </row>
    <row r="1416" ht="16.5" customHeight="1" s="17">
      <c r="B1416" s="16" t="n">
        <v>44039</v>
      </c>
      <c r="C1416" s="20" t="inlineStr">
        <is>
          <t>월</t>
        </is>
      </c>
      <c r="E1416" s="20" t="inlineStr">
        <is>
          <t>고체향수</t>
        </is>
      </c>
      <c r="F1416" s="20" t="inlineStr">
        <is>
          <t>카페24</t>
        </is>
      </c>
      <c r="H1416" s="20" t="n">
        <v>84</v>
      </c>
      <c r="I1416" s="20" t="inlineStr">
        <is>
          <t>스테이포에버</t>
        </is>
      </c>
      <c r="J1416" s="20" t="n">
        <v>200622</v>
      </c>
      <c r="L1416" s="20">
        <f>VLOOKUP($O1416,매칭테이블!$G:$J,2,0)*H1416</f>
        <v/>
      </c>
      <c r="M1416" s="20">
        <f>L1416-L1416*VLOOKUP($O1416,매칭테이블!$G:$J,3,0)</f>
        <v/>
      </c>
      <c r="N1416" s="20">
        <f>VLOOKUP($O1416,매칭테이블!$G:$J,4,0)*H1416</f>
        <v/>
      </c>
      <c r="O1416" s="20">
        <f>F1416&amp;E1416&amp;I1416&amp;J1416</f>
        <v/>
      </c>
    </row>
    <row r="1417" ht="16.5" customHeight="1" s="17">
      <c r="B1417" s="16" t="n">
        <v>44039</v>
      </c>
      <c r="C1417" s="20" t="inlineStr">
        <is>
          <t>월</t>
        </is>
      </c>
      <c r="E1417" s="20" t="inlineStr">
        <is>
          <t>고체향수</t>
        </is>
      </c>
      <c r="F1417" s="20" t="inlineStr">
        <is>
          <t>카페24</t>
        </is>
      </c>
      <c r="H1417" s="20" t="n">
        <v>17</v>
      </c>
      <c r="I1417" s="20" t="inlineStr">
        <is>
          <t>스테이포에버 2set</t>
        </is>
      </c>
      <c r="J1417" s="20" t="n">
        <v>200622</v>
      </c>
      <c r="L1417" s="20">
        <f>VLOOKUP($O1417,매칭테이블!$G:$J,2,0)*H1417</f>
        <v/>
      </c>
      <c r="M1417" s="20">
        <f>L1417-L1417*VLOOKUP($O1417,매칭테이블!$G:$J,3,0)</f>
        <v/>
      </c>
      <c r="N1417" s="20">
        <f>VLOOKUP($O1417,매칭테이블!$G:$J,4,0)*H1417</f>
        <v/>
      </c>
      <c r="O1417" s="20">
        <f>F1417&amp;E1417&amp;I1417&amp;J1417</f>
        <v/>
      </c>
    </row>
    <row r="1418" ht="16.5" customHeight="1" s="17">
      <c r="B1418" s="16" t="n">
        <v>44039</v>
      </c>
      <c r="C1418" s="20" t="inlineStr">
        <is>
          <t>월</t>
        </is>
      </c>
      <c r="E1418" s="20" t="inlineStr">
        <is>
          <t>쇼핑백</t>
        </is>
      </c>
      <c r="F1418" s="20" t="inlineStr">
        <is>
          <t>카페24</t>
        </is>
      </c>
      <c r="H1418" s="20" t="n">
        <v>1</v>
      </c>
      <c r="I1418" s="20" t="inlineStr">
        <is>
          <t>유즈쇼핑백</t>
        </is>
      </c>
      <c r="J1418" s="20" t="n">
        <v>200622</v>
      </c>
      <c r="L1418" s="20">
        <f>VLOOKUP($O1418,매칭테이블!$G:$J,2,0)*H1418</f>
        <v/>
      </c>
      <c r="M1418" s="20">
        <f>L1418-L1418*VLOOKUP($O1418,매칭테이블!$G:$J,3,0)</f>
        <v/>
      </c>
      <c r="N1418" s="20">
        <f>VLOOKUP($O1418,매칭테이블!$G:$J,4,0)*H1418</f>
        <v/>
      </c>
      <c r="O1418" s="20">
        <f>F1418&amp;E1418&amp;I1418&amp;J1418</f>
        <v/>
      </c>
    </row>
    <row r="1419" ht="16.5" customHeight="1" s="17">
      <c r="B1419" s="16" t="n">
        <v>44039</v>
      </c>
      <c r="C1419" s="20" t="inlineStr">
        <is>
          <t>월</t>
        </is>
      </c>
      <c r="E1419" s="20" t="inlineStr">
        <is>
          <t>고체향수</t>
        </is>
      </c>
      <c r="F1419" s="20" t="inlineStr">
        <is>
          <t>카페24</t>
        </is>
      </c>
      <c r="H1419" s="20" t="n">
        <v>6</v>
      </c>
      <c r="I1419" s="20" t="inlineStr">
        <is>
          <t>이그나이트</t>
        </is>
      </c>
      <c r="J1419" s="20" t="n">
        <v>200622</v>
      </c>
      <c r="L1419" s="20">
        <f>VLOOKUP($O1419,매칭테이블!$G:$J,2,0)*H1419</f>
        <v/>
      </c>
      <c r="M1419" s="20">
        <f>L1419-L1419*VLOOKUP($O1419,매칭테이블!$G:$J,3,0)</f>
        <v/>
      </c>
      <c r="N1419" s="20">
        <f>VLOOKUP($O1419,매칭테이블!$G:$J,4,0)*H1419</f>
        <v/>
      </c>
      <c r="O1419" s="20">
        <f>F1419&amp;E1419&amp;I1419&amp;J1419</f>
        <v/>
      </c>
    </row>
    <row r="1420" ht="16.5" customHeight="1" s="17">
      <c r="B1420" s="16" t="n">
        <v>44040</v>
      </c>
      <c r="C1420" s="20" t="inlineStr">
        <is>
          <t>화</t>
        </is>
      </c>
      <c r="E1420" s="20" t="inlineStr">
        <is>
          <t>고체향수</t>
        </is>
      </c>
      <c r="F1420" s="20" t="inlineStr">
        <is>
          <t>카페24</t>
        </is>
      </c>
      <c r="H1420" s="20" t="n">
        <v>103</v>
      </c>
      <c r="I1420" s="20" t="inlineStr">
        <is>
          <t>스테이포에버</t>
        </is>
      </c>
      <c r="J1420" s="20" t="n">
        <v>200622</v>
      </c>
      <c r="L1420" s="20">
        <f>VLOOKUP($O1420,매칭테이블!$G:$J,2,0)*H1420</f>
        <v/>
      </c>
      <c r="M1420" s="20">
        <f>L1420-L1420*VLOOKUP($O1420,매칭테이블!$G:$J,3,0)</f>
        <v/>
      </c>
      <c r="N1420" s="20">
        <f>VLOOKUP($O1420,매칭테이블!$G:$J,4,0)*H1420</f>
        <v/>
      </c>
      <c r="O1420" s="20">
        <f>F1420&amp;E1420&amp;I1420&amp;J1420</f>
        <v/>
      </c>
    </row>
    <row r="1421" ht="16.5" customHeight="1" s="17">
      <c r="B1421" s="16" t="n">
        <v>44040</v>
      </c>
      <c r="C1421" s="20" t="inlineStr">
        <is>
          <t>화</t>
        </is>
      </c>
      <c r="E1421" s="20" t="inlineStr">
        <is>
          <t>고체향수</t>
        </is>
      </c>
      <c r="F1421" s="20" t="inlineStr">
        <is>
          <t>카페24</t>
        </is>
      </c>
      <c r="H1421" s="20" t="n">
        <v>17</v>
      </c>
      <c r="I1421" s="20" t="inlineStr">
        <is>
          <t>스테이포에버 2set</t>
        </is>
      </c>
      <c r="J1421" s="20" t="n">
        <v>200622</v>
      </c>
      <c r="L1421" s="20">
        <f>VLOOKUP($O1421,매칭테이블!$G:$J,2,0)*H1421</f>
        <v/>
      </c>
      <c r="M1421" s="20">
        <f>L1421-L1421*VLOOKUP($O1421,매칭테이블!$G:$J,3,0)</f>
        <v/>
      </c>
      <c r="N1421" s="20">
        <f>VLOOKUP($O1421,매칭테이블!$G:$J,4,0)*H1421</f>
        <v/>
      </c>
      <c r="O1421" s="20">
        <f>F1421&amp;E1421&amp;I1421&amp;J1421</f>
        <v/>
      </c>
    </row>
    <row r="1422" ht="16.5" customHeight="1" s="17">
      <c r="B1422" s="16" t="n">
        <v>44040</v>
      </c>
      <c r="C1422" s="20" t="inlineStr">
        <is>
          <t>화</t>
        </is>
      </c>
      <c r="E1422" s="20" t="inlineStr">
        <is>
          <t>고체향수</t>
        </is>
      </c>
      <c r="F1422" s="20" t="inlineStr">
        <is>
          <t>카페24</t>
        </is>
      </c>
      <c r="H1422" s="20" t="n">
        <v>5</v>
      </c>
      <c r="I1422" s="20" t="inlineStr">
        <is>
          <t>이그나이트</t>
        </is>
      </c>
      <c r="J1422" s="20" t="n">
        <v>200622</v>
      </c>
      <c r="L1422" s="20">
        <f>VLOOKUP($O1422,매칭테이블!$G:$J,2,0)*H1422</f>
        <v/>
      </c>
      <c r="M1422" s="20">
        <f>L1422-L1422*VLOOKUP($O1422,매칭테이블!$G:$J,3,0)</f>
        <v/>
      </c>
      <c r="N1422" s="20">
        <f>VLOOKUP($O1422,매칭테이블!$G:$J,4,0)*H1422</f>
        <v/>
      </c>
      <c r="O1422" s="20">
        <f>F1422&amp;E1422&amp;I1422&amp;J1422</f>
        <v/>
      </c>
    </row>
    <row r="1423" ht="16.5" customHeight="1" s="17">
      <c r="B1423" s="16" t="n">
        <v>44040</v>
      </c>
      <c r="C1423" s="20" t="inlineStr">
        <is>
          <t>화</t>
        </is>
      </c>
      <c r="E1423" s="20" t="inlineStr">
        <is>
          <t>고체향수</t>
        </is>
      </c>
      <c r="F1423" s="20" t="inlineStr">
        <is>
          <t>카페24</t>
        </is>
      </c>
      <c r="H1423" s="20" t="n">
        <v>1</v>
      </c>
      <c r="I1423" s="20" t="inlineStr">
        <is>
          <t>이그나이트 2set</t>
        </is>
      </c>
      <c r="J1423" s="20" t="n">
        <v>200622</v>
      </c>
      <c r="L1423" s="20">
        <f>VLOOKUP($O1423,매칭테이블!$G:$J,2,0)*H1423</f>
        <v/>
      </c>
      <c r="M1423" s="20">
        <f>L1423-L1423*VLOOKUP($O1423,매칭테이블!$G:$J,3,0)</f>
        <v/>
      </c>
      <c r="N1423" s="20">
        <f>VLOOKUP($O1423,매칭테이블!$G:$J,4,0)*H1423</f>
        <v/>
      </c>
      <c r="O1423" s="20">
        <f>F1423&amp;E1423&amp;I1423&amp;J1423</f>
        <v/>
      </c>
    </row>
    <row r="1424" ht="16.5" customHeight="1" s="17">
      <c r="B1424" s="16" t="n">
        <v>44040</v>
      </c>
      <c r="C1424" s="20" t="inlineStr">
        <is>
          <t>화</t>
        </is>
      </c>
      <c r="E1424" s="20" t="inlineStr">
        <is>
          <t>쇼핑백</t>
        </is>
      </c>
      <c r="F1424" s="20" t="inlineStr">
        <is>
          <t>카페24</t>
        </is>
      </c>
      <c r="H1424" s="20" t="n">
        <v>2</v>
      </c>
      <c r="I1424" s="20" t="inlineStr">
        <is>
          <t>유즈쇼핑백</t>
        </is>
      </c>
      <c r="J1424" s="20" t="n">
        <v>200622</v>
      </c>
      <c r="L1424" s="20">
        <f>VLOOKUP($O1424,매칭테이블!$G:$J,2,0)*H1424</f>
        <v/>
      </c>
      <c r="M1424" s="20">
        <f>L1424-L1424*VLOOKUP($O1424,매칭테이블!$G:$J,3,0)</f>
        <v/>
      </c>
      <c r="N1424" s="20">
        <f>VLOOKUP($O1424,매칭테이블!$G:$J,4,0)*H1424</f>
        <v/>
      </c>
      <c r="O1424" s="20">
        <f>F1424&amp;E1424&amp;I1424&amp;J1424</f>
        <v/>
      </c>
    </row>
    <row r="1425" ht="16.5" customHeight="1" s="17">
      <c r="B1425" s="16" t="n">
        <v>44041</v>
      </c>
      <c r="C1425" s="20" t="inlineStr">
        <is>
          <t>수</t>
        </is>
      </c>
      <c r="E1425" s="20" t="inlineStr">
        <is>
          <t>고체향수</t>
        </is>
      </c>
      <c r="F1425" s="20" t="inlineStr">
        <is>
          <t>카페24</t>
        </is>
      </c>
      <c r="H1425" s="20" t="n">
        <v>3</v>
      </c>
      <c r="I1425" s="20" t="inlineStr">
        <is>
          <t>이그나이트 + 스테이포에버</t>
        </is>
      </c>
      <c r="J1425" s="20" t="n">
        <v>200622</v>
      </c>
      <c r="L1425" s="20">
        <f>VLOOKUP($O1425,매칭테이블!$G:$J,2,0)*H1425</f>
        <v/>
      </c>
      <c r="M1425" s="20">
        <f>L1425-L1425*VLOOKUP($O1425,매칭테이블!$G:$J,3,0)</f>
        <v/>
      </c>
      <c r="N1425" s="20">
        <f>VLOOKUP($O1425,매칭테이블!$G:$J,4,0)*H1425</f>
        <v/>
      </c>
      <c r="O1425" s="20">
        <f>F1425&amp;E1425&amp;I1425&amp;J1425</f>
        <v/>
      </c>
    </row>
    <row r="1426" ht="16.5" customHeight="1" s="17">
      <c r="B1426" s="16" t="n">
        <v>44041</v>
      </c>
      <c r="C1426" s="20" t="inlineStr">
        <is>
          <t>수</t>
        </is>
      </c>
      <c r="E1426" s="20" t="inlineStr">
        <is>
          <t>고체향수</t>
        </is>
      </c>
      <c r="F1426" s="20" t="inlineStr">
        <is>
          <t>카페24</t>
        </is>
      </c>
      <c r="H1426" s="20" t="n">
        <v>85</v>
      </c>
      <c r="I1426" s="20" t="inlineStr">
        <is>
          <t>스테이포에버</t>
        </is>
      </c>
      <c r="J1426" s="20" t="n">
        <v>200622</v>
      </c>
      <c r="L1426" s="20">
        <f>VLOOKUP($O1426,매칭테이블!$G:$J,2,0)*H1426</f>
        <v/>
      </c>
      <c r="M1426" s="20">
        <f>L1426-L1426*VLOOKUP($O1426,매칭테이블!$G:$J,3,0)</f>
        <v/>
      </c>
      <c r="N1426" s="20">
        <f>VLOOKUP($O1426,매칭테이블!$G:$J,4,0)*H1426</f>
        <v/>
      </c>
      <c r="O1426" s="20">
        <f>F1426&amp;E1426&amp;I1426&amp;J1426</f>
        <v/>
      </c>
    </row>
    <row r="1427" ht="16.5" customHeight="1" s="17">
      <c r="B1427" s="16" t="n">
        <v>44041</v>
      </c>
      <c r="C1427" s="20" t="inlineStr">
        <is>
          <t>수</t>
        </is>
      </c>
      <c r="E1427" s="20" t="inlineStr">
        <is>
          <t>고체향수</t>
        </is>
      </c>
      <c r="F1427" s="20" t="inlineStr">
        <is>
          <t>카페24</t>
        </is>
      </c>
      <c r="H1427" s="20" t="n">
        <v>11</v>
      </c>
      <c r="I1427" s="20" t="inlineStr">
        <is>
          <t>스테이포에버 2set</t>
        </is>
      </c>
      <c r="J1427" s="20" t="n">
        <v>200622</v>
      </c>
      <c r="L1427" s="20">
        <f>VLOOKUP($O1427,매칭테이블!$G:$J,2,0)*H1427</f>
        <v/>
      </c>
      <c r="M1427" s="20">
        <f>L1427-L1427*VLOOKUP($O1427,매칭테이블!$G:$J,3,0)</f>
        <v/>
      </c>
      <c r="N1427" s="20">
        <f>VLOOKUP($O1427,매칭테이블!$G:$J,4,0)*H1427</f>
        <v/>
      </c>
      <c r="O1427" s="20">
        <f>F1427&amp;E1427&amp;I1427&amp;J1427</f>
        <v/>
      </c>
    </row>
    <row r="1428" ht="16.5" customHeight="1" s="17">
      <c r="B1428" s="16" t="n">
        <v>44041</v>
      </c>
      <c r="C1428" s="20" t="inlineStr">
        <is>
          <t>수</t>
        </is>
      </c>
      <c r="E1428" s="20" t="inlineStr">
        <is>
          <t>고체향수</t>
        </is>
      </c>
      <c r="F1428" s="20" t="inlineStr">
        <is>
          <t>카페24</t>
        </is>
      </c>
      <c r="H1428" s="20" t="n">
        <v>4</v>
      </c>
      <c r="I1428" s="20" t="inlineStr">
        <is>
          <t>이그나이트</t>
        </is>
      </c>
      <c r="J1428" s="20" t="n">
        <v>200622</v>
      </c>
      <c r="L1428" s="20">
        <f>VLOOKUP($O1428,매칭테이블!$G:$J,2,0)*H1428</f>
        <v/>
      </c>
      <c r="M1428" s="20">
        <f>L1428-L1428*VLOOKUP($O1428,매칭테이블!$G:$J,3,0)</f>
        <v/>
      </c>
      <c r="N1428" s="20">
        <f>VLOOKUP($O1428,매칭테이블!$G:$J,4,0)*H1428</f>
        <v/>
      </c>
      <c r="O1428" s="20">
        <f>F1428&amp;E1428&amp;I1428&amp;J1428</f>
        <v/>
      </c>
    </row>
    <row r="1429" ht="16.5" customHeight="1" s="17">
      <c r="B1429" s="16" t="n">
        <v>44041</v>
      </c>
      <c r="C1429" s="20" t="inlineStr">
        <is>
          <t>수</t>
        </is>
      </c>
      <c r="E1429" s="20" t="inlineStr">
        <is>
          <t>쇼핑백</t>
        </is>
      </c>
      <c r="F1429" s="20" t="inlineStr">
        <is>
          <t>카페24</t>
        </is>
      </c>
      <c r="H1429" s="20" t="n">
        <v>1</v>
      </c>
      <c r="I1429" s="20" t="inlineStr">
        <is>
          <t>유즈쇼핑백</t>
        </is>
      </c>
      <c r="J1429" s="20" t="n">
        <v>200622</v>
      </c>
      <c r="L1429" s="20">
        <f>VLOOKUP($O1429,매칭테이블!$G:$J,2,0)*H1429</f>
        <v/>
      </c>
      <c r="M1429" s="20">
        <f>L1429-L1429*VLOOKUP($O1429,매칭테이블!$G:$J,3,0)</f>
        <v/>
      </c>
      <c r="N1429" s="20">
        <f>VLOOKUP($O1429,매칭테이블!$G:$J,4,0)*H1429</f>
        <v/>
      </c>
      <c r="O1429" s="20">
        <f>F1429&amp;E1429&amp;I1429&amp;J1429</f>
        <v/>
      </c>
    </row>
    <row r="1430" ht="16.5" customHeight="1" s="17">
      <c r="B1430" s="16" t="n">
        <v>44042</v>
      </c>
      <c r="C1430" s="20" t="inlineStr">
        <is>
          <t>목</t>
        </is>
      </c>
      <c r="E1430" s="20" t="inlineStr">
        <is>
          <t>고체향수</t>
        </is>
      </c>
      <c r="F1430" s="20" t="inlineStr">
        <is>
          <t>카페24</t>
        </is>
      </c>
      <c r="H1430" s="20" t="n">
        <v>2</v>
      </c>
      <c r="I1430" s="20" t="inlineStr">
        <is>
          <t>이그나이트 + 스테이포에버</t>
        </is>
      </c>
      <c r="J1430" s="20" t="n">
        <v>200622</v>
      </c>
      <c r="L1430" s="20">
        <f>VLOOKUP($O1430,매칭테이블!$G:$J,2,0)*H1430</f>
        <v/>
      </c>
      <c r="M1430" s="20">
        <f>L1430-L1430*VLOOKUP($O1430,매칭테이블!$G:$J,3,0)</f>
        <v/>
      </c>
      <c r="N1430" s="20">
        <f>VLOOKUP($O1430,매칭테이블!$G:$J,4,0)*H1430</f>
        <v/>
      </c>
      <c r="O1430" s="20">
        <f>F1430&amp;E1430&amp;I1430&amp;J1430</f>
        <v/>
      </c>
    </row>
    <row r="1431" ht="16.5" customHeight="1" s="17">
      <c r="B1431" s="16" t="n">
        <v>44042</v>
      </c>
      <c r="C1431" s="20" t="inlineStr">
        <is>
          <t>목</t>
        </is>
      </c>
      <c r="E1431" s="20" t="inlineStr">
        <is>
          <t>고체향수</t>
        </is>
      </c>
      <c r="F1431" s="20" t="inlineStr">
        <is>
          <t>카페24</t>
        </is>
      </c>
      <c r="H1431" s="20" t="n">
        <v>49</v>
      </c>
      <c r="I1431" s="20" t="inlineStr">
        <is>
          <t>스테이포에버</t>
        </is>
      </c>
      <c r="J1431" s="20" t="n">
        <v>200622</v>
      </c>
      <c r="L1431" s="20">
        <f>VLOOKUP($O1431,매칭테이블!$G:$J,2,0)*H1431</f>
        <v/>
      </c>
      <c r="M1431" s="20">
        <f>L1431-L1431*VLOOKUP($O1431,매칭테이블!$G:$J,3,0)</f>
        <v/>
      </c>
      <c r="N1431" s="20">
        <f>VLOOKUP($O1431,매칭테이블!$G:$J,4,0)*H1431</f>
        <v/>
      </c>
      <c r="O1431" s="20">
        <f>F1431&amp;E1431&amp;I1431&amp;J1431</f>
        <v/>
      </c>
    </row>
    <row r="1432" ht="16.5" customHeight="1" s="17">
      <c r="B1432" s="16" t="n">
        <v>44042</v>
      </c>
      <c r="C1432" s="20" t="inlineStr">
        <is>
          <t>목</t>
        </is>
      </c>
      <c r="E1432" s="20" t="inlineStr">
        <is>
          <t>고체향수</t>
        </is>
      </c>
      <c r="F1432" s="20" t="inlineStr">
        <is>
          <t>카페24</t>
        </is>
      </c>
      <c r="H1432" s="20" t="n">
        <v>9</v>
      </c>
      <c r="I1432" s="20" t="inlineStr">
        <is>
          <t>스테이포에버 2set</t>
        </is>
      </c>
      <c r="J1432" s="20" t="n">
        <v>200622</v>
      </c>
      <c r="L1432" s="20">
        <f>VLOOKUP($O1432,매칭테이블!$G:$J,2,0)*H1432</f>
        <v/>
      </c>
      <c r="M1432" s="20">
        <f>L1432-L1432*VLOOKUP($O1432,매칭테이블!$G:$J,3,0)</f>
        <v/>
      </c>
      <c r="N1432" s="20">
        <f>VLOOKUP($O1432,매칭테이블!$G:$J,4,0)*H1432</f>
        <v/>
      </c>
      <c r="O1432" s="20">
        <f>F1432&amp;E1432&amp;I1432&amp;J1432</f>
        <v/>
      </c>
    </row>
    <row r="1433" ht="16.5" customHeight="1" s="17">
      <c r="B1433" s="16" t="n">
        <v>44042</v>
      </c>
      <c r="C1433" s="20" t="inlineStr">
        <is>
          <t>목</t>
        </is>
      </c>
      <c r="E1433" s="20" t="inlineStr">
        <is>
          <t>고체향수</t>
        </is>
      </c>
      <c r="F1433" s="20" t="inlineStr">
        <is>
          <t>카페24</t>
        </is>
      </c>
      <c r="H1433" s="20" t="n">
        <v>5</v>
      </c>
      <c r="I1433" s="20" t="inlineStr">
        <is>
          <t>이그나이트</t>
        </is>
      </c>
      <c r="J1433" s="20" t="n">
        <v>200622</v>
      </c>
      <c r="L1433" s="20">
        <f>VLOOKUP($O1433,매칭테이블!$G:$J,2,0)*H1433</f>
        <v/>
      </c>
      <c r="M1433" s="20">
        <f>L1433-L1433*VLOOKUP($O1433,매칭테이블!$G:$J,3,0)</f>
        <v/>
      </c>
      <c r="N1433" s="20">
        <f>VLOOKUP($O1433,매칭테이블!$G:$J,4,0)*H1433</f>
        <v/>
      </c>
      <c r="O1433" s="20">
        <f>F1433&amp;E1433&amp;I1433&amp;J1433</f>
        <v/>
      </c>
    </row>
    <row r="1434" ht="16.5" customHeight="1" s="17">
      <c r="B1434" s="16" t="n">
        <v>44042</v>
      </c>
      <c r="C1434" s="20" t="inlineStr">
        <is>
          <t>목</t>
        </is>
      </c>
      <c r="E1434" s="20" t="inlineStr">
        <is>
          <t>고체향수</t>
        </is>
      </c>
      <c r="F1434" s="20" t="inlineStr">
        <is>
          <t>카페24</t>
        </is>
      </c>
      <c r="H1434" s="20" t="n">
        <v>1</v>
      </c>
      <c r="I1434" s="20" t="inlineStr">
        <is>
          <t>이그나이트 2set</t>
        </is>
      </c>
      <c r="J1434" s="20" t="n">
        <v>200622</v>
      </c>
      <c r="L1434" s="20">
        <f>VLOOKUP($O1434,매칭테이블!$G:$J,2,0)*H1434</f>
        <v/>
      </c>
      <c r="M1434" s="20">
        <f>L1434-L1434*VLOOKUP($O1434,매칭테이블!$G:$J,3,0)</f>
        <v/>
      </c>
      <c r="N1434" s="20">
        <f>VLOOKUP($O1434,매칭테이블!$G:$J,4,0)*H1434</f>
        <v/>
      </c>
      <c r="O1434" s="20">
        <f>F1434&amp;E1434&amp;I1434&amp;J1434</f>
        <v/>
      </c>
    </row>
    <row r="1435" ht="16.5" customHeight="1" s="17">
      <c r="B1435" s="16" t="n">
        <v>44043</v>
      </c>
      <c r="C1435" s="20" t="inlineStr">
        <is>
          <t>금</t>
        </is>
      </c>
      <c r="E1435" s="20" t="inlineStr">
        <is>
          <t>고체향수</t>
        </is>
      </c>
      <c r="F1435" s="20" t="inlineStr">
        <is>
          <t>카페24</t>
        </is>
      </c>
      <c r="H1435" s="20" t="n">
        <v>52</v>
      </c>
      <c r="I1435" s="20" t="inlineStr">
        <is>
          <t>스테이포에버</t>
        </is>
      </c>
      <c r="J1435" s="20" t="n">
        <v>200622</v>
      </c>
      <c r="L1435" s="20">
        <f>VLOOKUP($O1435,매칭테이블!$G:$J,2,0)*H1435</f>
        <v/>
      </c>
      <c r="M1435" s="20">
        <f>L1435-L1435*VLOOKUP($O1435,매칭테이블!$G:$J,3,0)</f>
        <v/>
      </c>
      <c r="N1435" s="20">
        <f>VLOOKUP($O1435,매칭테이블!$G:$J,4,0)*H1435</f>
        <v/>
      </c>
      <c r="O1435" s="20">
        <f>F1435&amp;E1435&amp;I1435&amp;J1435</f>
        <v/>
      </c>
    </row>
    <row r="1436" ht="16.5" customHeight="1" s="17">
      <c r="B1436" s="16" t="n">
        <v>44043</v>
      </c>
      <c r="C1436" s="20" t="inlineStr">
        <is>
          <t>금</t>
        </is>
      </c>
      <c r="E1436" s="20" t="inlineStr">
        <is>
          <t>고체향수</t>
        </is>
      </c>
      <c r="F1436" s="20" t="inlineStr">
        <is>
          <t>카페24</t>
        </is>
      </c>
      <c r="H1436" s="20" t="n">
        <v>8</v>
      </c>
      <c r="I1436" s="20" t="inlineStr">
        <is>
          <t>스테이포에버 2set</t>
        </is>
      </c>
      <c r="J1436" s="20" t="n">
        <v>200622</v>
      </c>
      <c r="L1436" s="20">
        <f>VLOOKUP($O1436,매칭테이블!$G:$J,2,0)*H1436</f>
        <v/>
      </c>
      <c r="M1436" s="20">
        <f>L1436-L1436*VLOOKUP($O1436,매칭테이블!$G:$J,3,0)</f>
        <v/>
      </c>
      <c r="N1436" s="20">
        <f>VLOOKUP($O1436,매칭테이블!$G:$J,4,0)*H1436</f>
        <v/>
      </c>
      <c r="O1436" s="20">
        <f>F1436&amp;E1436&amp;I1436&amp;J1436</f>
        <v/>
      </c>
    </row>
    <row r="1437" ht="16.5" customHeight="1" s="17">
      <c r="B1437" s="16" t="n">
        <v>44043</v>
      </c>
      <c r="C1437" s="20" t="inlineStr">
        <is>
          <t>금</t>
        </is>
      </c>
      <c r="E1437" s="20" t="inlineStr">
        <is>
          <t>고체향수</t>
        </is>
      </c>
      <c r="F1437" s="20" t="inlineStr">
        <is>
          <t>카페24</t>
        </is>
      </c>
      <c r="H1437" s="20" t="n">
        <v>3</v>
      </c>
      <c r="I1437" s="20" t="inlineStr">
        <is>
          <t>이그나이트</t>
        </is>
      </c>
      <c r="J1437" s="20" t="n">
        <v>200622</v>
      </c>
      <c r="L1437" s="20">
        <f>VLOOKUP($O1437,매칭테이블!$G:$J,2,0)*H1437</f>
        <v/>
      </c>
      <c r="M1437" s="20">
        <f>L1437-L1437*VLOOKUP($O1437,매칭테이블!$G:$J,3,0)</f>
        <v/>
      </c>
      <c r="N1437" s="20">
        <f>VLOOKUP($O1437,매칭테이블!$G:$J,4,0)*H1437</f>
        <v/>
      </c>
      <c r="O1437" s="20">
        <f>F1437&amp;E1437&amp;I1437&amp;J1437</f>
        <v/>
      </c>
    </row>
    <row r="1438" ht="16.5" customHeight="1" s="17">
      <c r="B1438" s="16" t="n">
        <v>44044</v>
      </c>
      <c r="C1438" s="20" t="inlineStr">
        <is>
          <t>토</t>
        </is>
      </c>
      <c r="E1438" s="20" t="inlineStr">
        <is>
          <t>고체향수</t>
        </is>
      </c>
      <c r="F1438" s="20" t="inlineStr">
        <is>
          <t>카페24</t>
        </is>
      </c>
      <c r="H1438" s="20" t="n">
        <v>50</v>
      </c>
      <c r="I1438" s="20" t="inlineStr">
        <is>
          <t>스테이포에버</t>
        </is>
      </c>
      <c r="J1438" s="20" t="n">
        <v>200720</v>
      </c>
      <c r="L1438" s="20">
        <f>VLOOKUP($O1438,매칭테이블!$G:$J,2,0)*H1438</f>
        <v/>
      </c>
      <c r="M1438" s="20">
        <f>L1438-L1438*VLOOKUP($O1438,매칭테이블!$G:$J,3,0)</f>
        <v/>
      </c>
      <c r="N1438" s="20">
        <f>VLOOKUP($O1438,매칭테이블!$G:$J,4,0)*H1438</f>
        <v/>
      </c>
      <c r="O1438" s="20">
        <f>F1438&amp;E1438&amp;I1438&amp;J1438</f>
        <v/>
      </c>
    </row>
    <row r="1439" ht="16.5" customHeight="1" s="17">
      <c r="B1439" s="16" t="n">
        <v>44044</v>
      </c>
      <c r="C1439" s="20" t="inlineStr">
        <is>
          <t>토</t>
        </is>
      </c>
      <c r="E1439" s="20" t="inlineStr">
        <is>
          <t>고체향수</t>
        </is>
      </c>
      <c r="F1439" s="20" t="inlineStr">
        <is>
          <t>카페24</t>
        </is>
      </c>
      <c r="H1439" s="20" t="n">
        <v>11</v>
      </c>
      <c r="I1439" s="20" t="inlineStr">
        <is>
          <t>스테이포에버 2set</t>
        </is>
      </c>
      <c r="J1439" s="20" t="n">
        <v>200720</v>
      </c>
      <c r="L1439" s="20">
        <f>VLOOKUP($O1439,매칭테이블!$G:$J,2,0)*H1439</f>
        <v/>
      </c>
      <c r="M1439" s="20">
        <f>L1439-L1439*VLOOKUP($O1439,매칭테이블!$G:$J,3,0)</f>
        <v/>
      </c>
      <c r="N1439" s="20">
        <f>VLOOKUP($O1439,매칭테이블!$G:$J,4,0)*H1439</f>
        <v/>
      </c>
      <c r="O1439" s="20">
        <f>F1439&amp;E1439&amp;I1439&amp;J1439</f>
        <v/>
      </c>
    </row>
    <row r="1440" ht="16.5" customHeight="1" s="17">
      <c r="B1440" s="16" t="n">
        <v>44044</v>
      </c>
      <c r="C1440" s="20" t="inlineStr">
        <is>
          <t>토</t>
        </is>
      </c>
      <c r="E1440" s="20" t="inlineStr">
        <is>
          <t>고체향수</t>
        </is>
      </c>
      <c r="F1440" s="20" t="inlineStr">
        <is>
          <t>카페24</t>
        </is>
      </c>
      <c r="H1440" s="20" t="n">
        <v>2</v>
      </c>
      <c r="I1440" s="20" t="inlineStr">
        <is>
          <t>이그나이트</t>
        </is>
      </c>
      <c r="J1440" s="20" t="n">
        <v>200720</v>
      </c>
      <c r="L1440" s="20">
        <f>VLOOKUP($O1440,매칭테이블!$G:$J,2,0)*H1440</f>
        <v/>
      </c>
      <c r="M1440" s="20">
        <f>L1440-L1440*VLOOKUP($O1440,매칭테이블!$G:$J,3,0)</f>
        <v/>
      </c>
      <c r="N1440" s="20">
        <f>VLOOKUP($O1440,매칭테이블!$G:$J,4,0)*H1440</f>
        <v/>
      </c>
      <c r="O1440" s="20">
        <f>F1440&amp;E1440&amp;I1440&amp;J1440</f>
        <v/>
      </c>
    </row>
    <row r="1441" ht="16.5" customHeight="1" s="17">
      <c r="B1441" s="16" t="n">
        <v>44044</v>
      </c>
      <c r="C1441" s="20" t="inlineStr">
        <is>
          <t>토</t>
        </is>
      </c>
      <c r="E1441" s="20" t="inlineStr">
        <is>
          <t>고체향수</t>
        </is>
      </c>
      <c r="F1441" s="20" t="inlineStr">
        <is>
          <t>카페24</t>
        </is>
      </c>
      <c r="H1441" s="20" t="n">
        <v>2</v>
      </c>
      <c r="I1441" s="20" t="inlineStr">
        <is>
          <t>이그나이트 2set</t>
        </is>
      </c>
      <c r="J1441" s="20" t="n">
        <v>200720</v>
      </c>
      <c r="L1441" s="20">
        <f>VLOOKUP($O1441,매칭테이블!$G:$J,2,0)*H1441</f>
        <v/>
      </c>
      <c r="M1441" s="20">
        <f>L1441-L1441*VLOOKUP($O1441,매칭테이블!$G:$J,3,0)</f>
        <v/>
      </c>
      <c r="N1441" s="20">
        <f>VLOOKUP($O1441,매칭테이블!$G:$J,4,0)*H1441</f>
        <v/>
      </c>
      <c r="O1441" s="20">
        <f>F1441&amp;E1441&amp;I1441&amp;J1441</f>
        <v/>
      </c>
    </row>
    <row r="1442" ht="16.5" customHeight="1" s="17">
      <c r="B1442" s="16" t="n">
        <v>44045</v>
      </c>
      <c r="C1442" s="20" t="inlineStr">
        <is>
          <t>일</t>
        </is>
      </c>
      <c r="E1442" s="20" t="inlineStr">
        <is>
          <t>고체향수</t>
        </is>
      </c>
      <c r="F1442" s="20" t="inlineStr">
        <is>
          <t>카페24</t>
        </is>
      </c>
      <c r="H1442" s="20" t="n">
        <v>55</v>
      </c>
      <c r="I1442" s="20" t="inlineStr">
        <is>
          <t>스테이포에버</t>
        </is>
      </c>
      <c r="J1442" s="20" t="n">
        <v>200720</v>
      </c>
      <c r="L1442" s="20">
        <f>VLOOKUP($O1442,매칭테이블!$G:$J,2,0)*H1442</f>
        <v/>
      </c>
      <c r="M1442" s="20">
        <f>L1442-L1442*VLOOKUP($O1442,매칭테이블!$G:$J,3,0)</f>
        <v/>
      </c>
      <c r="N1442" s="20">
        <f>VLOOKUP($O1442,매칭테이블!$G:$J,4,0)*H1442</f>
        <v/>
      </c>
      <c r="O1442" s="20">
        <f>F1442&amp;E1442&amp;I1442&amp;J1442</f>
        <v/>
      </c>
    </row>
    <row r="1443" ht="16.5" customHeight="1" s="17">
      <c r="B1443" s="16" t="n">
        <v>44045</v>
      </c>
      <c r="C1443" s="20" t="inlineStr">
        <is>
          <t>일</t>
        </is>
      </c>
      <c r="E1443" s="20" t="inlineStr">
        <is>
          <t>고체향수</t>
        </is>
      </c>
      <c r="F1443" s="20" t="inlineStr">
        <is>
          <t>카페24</t>
        </is>
      </c>
      <c r="H1443" s="20" t="n">
        <v>9</v>
      </c>
      <c r="I1443" s="20" t="inlineStr">
        <is>
          <t>스테이포에버 2set</t>
        </is>
      </c>
      <c r="J1443" s="20" t="n">
        <v>200720</v>
      </c>
      <c r="L1443" s="20">
        <f>VLOOKUP($O1443,매칭테이블!$G:$J,2,0)*H1443</f>
        <v/>
      </c>
      <c r="M1443" s="20">
        <f>L1443-L1443*VLOOKUP($O1443,매칭테이블!$G:$J,3,0)</f>
        <v/>
      </c>
      <c r="N1443" s="20">
        <f>VLOOKUP($O1443,매칭테이블!$G:$J,4,0)*H1443</f>
        <v/>
      </c>
      <c r="O1443" s="20">
        <f>F1443&amp;E1443&amp;I1443&amp;J1443</f>
        <v/>
      </c>
    </row>
    <row r="1444" ht="16.5" customHeight="1" s="17">
      <c r="B1444" s="16" t="n">
        <v>44045</v>
      </c>
      <c r="C1444" s="20" t="inlineStr">
        <is>
          <t>일</t>
        </is>
      </c>
      <c r="E1444" s="20" t="inlineStr">
        <is>
          <t>고체향수</t>
        </is>
      </c>
      <c r="F1444" s="20" t="inlineStr">
        <is>
          <t>카페24</t>
        </is>
      </c>
      <c r="H1444" s="20" t="n">
        <v>2</v>
      </c>
      <c r="I1444" s="20" t="inlineStr">
        <is>
          <t>이그나이트</t>
        </is>
      </c>
      <c r="J1444" s="20" t="n">
        <v>200720</v>
      </c>
      <c r="L1444" s="20">
        <f>VLOOKUP($O1444,매칭테이블!$G:$J,2,0)*H1444</f>
        <v/>
      </c>
      <c r="M1444" s="20">
        <f>L1444-L1444*VLOOKUP($O1444,매칭테이블!$G:$J,3,0)</f>
        <v/>
      </c>
      <c r="N1444" s="20">
        <f>VLOOKUP($O1444,매칭테이블!$G:$J,4,0)*H1444</f>
        <v/>
      </c>
      <c r="O1444" s="20">
        <f>F1444&amp;E1444&amp;I1444&amp;J1444</f>
        <v/>
      </c>
    </row>
    <row r="1445" ht="16.5" customHeight="1" s="17">
      <c r="B1445" s="16" t="n">
        <v>44045</v>
      </c>
      <c r="C1445" s="20" t="inlineStr">
        <is>
          <t>일</t>
        </is>
      </c>
      <c r="E1445" s="20" t="inlineStr">
        <is>
          <t>쇼핑백</t>
        </is>
      </c>
      <c r="F1445" s="20" t="inlineStr">
        <is>
          <t>카페24</t>
        </is>
      </c>
      <c r="H1445" s="20" t="n">
        <v>1</v>
      </c>
      <c r="I1445" s="20" t="inlineStr">
        <is>
          <t>유즈쇼핑백</t>
        </is>
      </c>
      <c r="J1445" s="20" t="n">
        <v>200720</v>
      </c>
      <c r="L1445" s="20">
        <f>VLOOKUP($O1445,매칭테이블!$G:$J,2,0)*H1445</f>
        <v/>
      </c>
      <c r="M1445" s="20">
        <f>L1445-L1445*VLOOKUP($O1445,매칭테이블!$G:$J,3,0)</f>
        <v/>
      </c>
      <c r="N1445" s="20">
        <f>VLOOKUP($O1445,매칭테이블!$G:$J,4,0)*H1445</f>
        <v/>
      </c>
      <c r="O1445" s="20">
        <f>F1445&amp;E1445&amp;I1445&amp;J1445</f>
        <v/>
      </c>
    </row>
    <row r="1446" ht="16.5" customHeight="1" s="17">
      <c r="B1446" s="16" t="n">
        <v>44046</v>
      </c>
      <c r="C1446" s="20" t="inlineStr">
        <is>
          <t>월</t>
        </is>
      </c>
      <c r="E1446" s="20" t="inlineStr">
        <is>
          <t>고체향수</t>
        </is>
      </c>
      <c r="F1446" s="20" t="inlineStr">
        <is>
          <t>카페24</t>
        </is>
      </c>
      <c r="H1446" s="20" t="n">
        <v>2</v>
      </c>
      <c r="I1446" s="20" t="inlineStr">
        <is>
          <t>이그나이트 + 스테이포에버</t>
        </is>
      </c>
      <c r="J1446" s="20" t="n">
        <v>200720</v>
      </c>
      <c r="L1446" s="20">
        <f>VLOOKUP($O1446,매칭테이블!$G:$J,2,0)*H1446</f>
        <v/>
      </c>
      <c r="M1446" s="20">
        <f>L1446-L1446*VLOOKUP($O1446,매칭테이블!$G:$J,3,0)</f>
        <v/>
      </c>
      <c r="N1446" s="20">
        <f>VLOOKUP($O1446,매칭테이블!$G:$J,4,0)*H1446</f>
        <v/>
      </c>
      <c r="O1446" s="20">
        <f>F1446&amp;E1446&amp;I1446&amp;J1446</f>
        <v/>
      </c>
    </row>
    <row r="1447" ht="16.5" customHeight="1" s="17">
      <c r="B1447" s="16" t="n">
        <v>44046</v>
      </c>
      <c r="C1447" s="20" t="inlineStr">
        <is>
          <t>월</t>
        </is>
      </c>
      <c r="E1447" s="20" t="inlineStr">
        <is>
          <t>고체향수</t>
        </is>
      </c>
      <c r="F1447" s="20" t="inlineStr">
        <is>
          <t>카페24</t>
        </is>
      </c>
      <c r="H1447" s="20" t="n">
        <v>61</v>
      </c>
      <c r="I1447" s="20" t="inlineStr">
        <is>
          <t>스테이포에버</t>
        </is>
      </c>
      <c r="J1447" s="20" t="n">
        <v>200720</v>
      </c>
      <c r="L1447" s="20">
        <f>VLOOKUP($O1447,매칭테이블!$G:$J,2,0)*H1447</f>
        <v/>
      </c>
      <c r="M1447" s="20">
        <f>L1447-L1447*VLOOKUP($O1447,매칭테이블!$G:$J,3,0)</f>
        <v/>
      </c>
      <c r="N1447" s="20">
        <f>VLOOKUP($O1447,매칭테이블!$G:$J,4,0)*H1447</f>
        <v/>
      </c>
      <c r="O1447" s="20">
        <f>F1447&amp;E1447&amp;I1447&amp;J1447</f>
        <v/>
      </c>
    </row>
    <row r="1448" ht="16.5" customHeight="1" s="17">
      <c r="B1448" s="16" t="n">
        <v>44046</v>
      </c>
      <c r="C1448" s="20" t="inlineStr">
        <is>
          <t>월</t>
        </is>
      </c>
      <c r="E1448" s="20" t="inlineStr">
        <is>
          <t>고체향수</t>
        </is>
      </c>
      <c r="F1448" s="20" t="inlineStr">
        <is>
          <t>카페24</t>
        </is>
      </c>
      <c r="H1448" s="20" t="n">
        <v>14</v>
      </c>
      <c r="I1448" s="20" t="inlineStr">
        <is>
          <t>스테이포에버 2set</t>
        </is>
      </c>
      <c r="J1448" s="20" t="n">
        <v>200720</v>
      </c>
      <c r="L1448" s="20">
        <f>VLOOKUP($O1448,매칭테이블!$G:$J,2,0)*H1448</f>
        <v/>
      </c>
      <c r="M1448" s="20">
        <f>L1448-L1448*VLOOKUP($O1448,매칭테이블!$G:$J,3,0)</f>
        <v/>
      </c>
      <c r="N1448" s="20">
        <f>VLOOKUP($O1448,매칭테이블!$G:$J,4,0)*H1448</f>
        <v/>
      </c>
      <c r="O1448" s="20">
        <f>F1448&amp;E1448&amp;I1448&amp;J1448</f>
        <v/>
      </c>
    </row>
    <row r="1449" ht="16.5" customHeight="1" s="17">
      <c r="B1449" s="16" t="n">
        <v>44046</v>
      </c>
      <c r="C1449" s="20" t="inlineStr">
        <is>
          <t>월</t>
        </is>
      </c>
      <c r="E1449" s="20" t="inlineStr">
        <is>
          <t>고체향수</t>
        </is>
      </c>
      <c r="F1449" s="20" t="inlineStr">
        <is>
          <t>카페24</t>
        </is>
      </c>
      <c r="H1449" s="20" t="n">
        <v>5</v>
      </c>
      <c r="I1449" s="20" t="inlineStr">
        <is>
          <t>이그나이트</t>
        </is>
      </c>
      <c r="J1449" s="20" t="n">
        <v>200720</v>
      </c>
      <c r="L1449" s="20">
        <f>VLOOKUP($O1449,매칭테이블!$G:$J,2,0)*H1449</f>
        <v/>
      </c>
      <c r="M1449" s="20">
        <f>L1449-L1449*VLOOKUP($O1449,매칭테이블!$G:$J,3,0)</f>
        <v/>
      </c>
      <c r="N1449" s="20">
        <f>VLOOKUP($O1449,매칭테이블!$G:$J,4,0)*H1449</f>
        <v/>
      </c>
      <c r="O1449" s="20">
        <f>F1449&amp;E1449&amp;I1449&amp;J1449</f>
        <v/>
      </c>
    </row>
    <row r="1450" ht="16.5" customHeight="1" s="17">
      <c r="B1450" s="16" t="n">
        <v>44047</v>
      </c>
      <c r="C1450" s="20" t="inlineStr">
        <is>
          <t>화</t>
        </is>
      </c>
      <c r="E1450" s="20" t="inlineStr">
        <is>
          <t>고체향수</t>
        </is>
      </c>
      <c r="F1450" s="20" t="inlineStr">
        <is>
          <t>카페24</t>
        </is>
      </c>
      <c r="H1450" s="20" t="n">
        <v>4</v>
      </c>
      <c r="I1450" s="20" t="inlineStr">
        <is>
          <t>이그나이트 + 스테이포에버</t>
        </is>
      </c>
      <c r="J1450" s="20" t="n">
        <v>200720</v>
      </c>
      <c r="L1450" s="20">
        <f>VLOOKUP($O1450,매칭테이블!$G:$J,2,0)*H1450</f>
        <v/>
      </c>
      <c r="M1450" s="20">
        <f>L1450-L1450*VLOOKUP($O1450,매칭테이블!$G:$J,3,0)</f>
        <v/>
      </c>
      <c r="N1450" s="20">
        <f>VLOOKUP($O1450,매칭테이블!$G:$J,4,0)*H1450</f>
        <v/>
      </c>
      <c r="O1450" s="20">
        <f>F1450&amp;E1450&amp;I1450&amp;J1450</f>
        <v/>
      </c>
    </row>
    <row r="1451" ht="16.5" customHeight="1" s="17">
      <c r="B1451" s="16" t="n">
        <v>44047</v>
      </c>
      <c r="C1451" s="20" t="inlineStr">
        <is>
          <t>화</t>
        </is>
      </c>
      <c r="E1451" s="20" t="inlineStr">
        <is>
          <t>고체향수</t>
        </is>
      </c>
      <c r="F1451" s="20" t="inlineStr">
        <is>
          <t>카페24</t>
        </is>
      </c>
      <c r="H1451" s="20" t="n">
        <v>69</v>
      </c>
      <c r="I1451" s="20" t="inlineStr">
        <is>
          <t>스테이포에버</t>
        </is>
      </c>
      <c r="J1451" s="20" t="n">
        <v>200720</v>
      </c>
      <c r="L1451" s="20">
        <f>VLOOKUP($O1451,매칭테이블!$G:$J,2,0)*H1451</f>
        <v/>
      </c>
      <c r="M1451" s="20">
        <f>L1451-L1451*VLOOKUP($O1451,매칭테이블!$G:$J,3,0)</f>
        <v/>
      </c>
      <c r="N1451" s="20">
        <f>VLOOKUP($O1451,매칭테이블!$G:$J,4,0)*H1451</f>
        <v/>
      </c>
      <c r="O1451" s="20">
        <f>F1451&amp;E1451&amp;I1451&amp;J1451</f>
        <v/>
      </c>
    </row>
    <row r="1452" ht="16.5" customHeight="1" s="17">
      <c r="B1452" s="16" t="n">
        <v>44047</v>
      </c>
      <c r="C1452" s="20" t="inlineStr">
        <is>
          <t>화</t>
        </is>
      </c>
      <c r="E1452" s="20" t="inlineStr">
        <is>
          <t>고체향수</t>
        </is>
      </c>
      <c r="F1452" s="20" t="inlineStr">
        <is>
          <t>카페24</t>
        </is>
      </c>
      <c r="H1452" s="20" t="n">
        <v>12</v>
      </c>
      <c r="I1452" s="20" t="inlineStr">
        <is>
          <t>스테이포에버 2set</t>
        </is>
      </c>
      <c r="J1452" s="20" t="n">
        <v>200720</v>
      </c>
      <c r="L1452" s="20">
        <f>VLOOKUP($O1452,매칭테이블!$G:$J,2,0)*H1452</f>
        <v/>
      </c>
      <c r="M1452" s="20">
        <f>L1452-L1452*VLOOKUP($O1452,매칭테이블!$G:$J,3,0)</f>
        <v/>
      </c>
      <c r="N1452" s="20">
        <f>VLOOKUP($O1452,매칭테이블!$G:$J,4,0)*H1452</f>
        <v/>
      </c>
      <c r="O1452" s="20">
        <f>F1452&amp;E1452&amp;I1452&amp;J1452</f>
        <v/>
      </c>
    </row>
    <row r="1453" ht="16.5" customHeight="1" s="17">
      <c r="B1453" s="16" t="n">
        <v>44047</v>
      </c>
      <c r="C1453" s="20" t="inlineStr">
        <is>
          <t>화</t>
        </is>
      </c>
      <c r="E1453" s="20" t="inlineStr">
        <is>
          <t>고체향수</t>
        </is>
      </c>
      <c r="F1453" s="20" t="inlineStr">
        <is>
          <t>카페24</t>
        </is>
      </c>
      <c r="H1453" s="20" t="n">
        <v>1</v>
      </c>
      <c r="I1453" s="20" t="inlineStr">
        <is>
          <t>이그나이트</t>
        </is>
      </c>
      <c r="J1453" s="20" t="n">
        <v>200720</v>
      </c>
      <c r="L1453" s="20">
        <f>VLOOKUP($O1453,매칭테이블!$G:$J,2,0)*H1453</f>
        <v/>
      </c>
      <c r="M1453" s="20">
        <f>L1453-L1453*VLOOKUP($O1453,매칭테이블!$G:$J,3,0)</f>
        <v/>
      </c>
      <c r="N1453" s="20">
        <f>VLOOKUP($O1453,매칭테이블!$G:$J,4,0)*H1453</f>
        <v/>
      </c>
      <c r="O1453" s="20">
        <f>F1453&amp;E1453&amp;I1453&amp;J1453</f>
        <v/>
      </c>
    </row>
    <row r="1454" ht="16.5" customHeight="1" s="17">
      <c r="B1454" s="16" t="n">
        <v>44047</v>
      </c>
      <c r="C1454" s="20" t="inlineStr">
        <is>
          <t>화</t>
        </is>
      </c>
      <c r="E1454" s="20" t="inlineStr">
        <is>
          <t>쇼핑백</t>
        </is>
      </c>
      <c r="F1454" s="20" t="inlineStr">
        <is>
          <t>카페24</t>
        </is>
      </c>
      <c r="H1454" s="20" t="n">
        <v>1</v>
      </c>
      <c r="I1454" s="20" t="inlineStr">
        <is>
          <t>유즈쇼핑백</t>
        </is>
      </c>
      <c r="J1454" s="20" t="n">
        <v>200720</v>
      </c>
      <c r="L1454" s="20">
        <f>VLOOKUP($O1454,매칭테이블!$G:$J,2,0)*H1454</f>
        <v/>
      </c>
      <c r="M1454" s="20">
        <f>L1454-L1454*VLOOKUP($O1454,매칭테이블!$G:$J,3,0)</f>
        <v/>
      </c>
      <c r="N1454" s="20">
        <f>VLOOKUP($O1454,매칭테이블!$G:$J,4,0)*H1454</f>
        <v/>
      </c>
      <c r="O1454" s="20">
        <f>F1454&amp;E1454&amp;I1454&amp;J1454</f>
        <v/>
      </c>
    </row>
    <row r="1455" ht="16.5" customHeight="1" s="17">
      <c r="B1455" s="16" t="n">
        <v>44048</v>
      </c>
      <c r="C1455" s="20" t="inlineStr">
        <is>
          <t>수</t>
        </is>
      </c>
      <c r="E1455" s="20" t="inlineStr">
        <is>
          <t>고체향수</t>
        </is>
      </c>
      <c r="F1455" s="20" t="inlineStr">
        <is>
          <t>카페24</t>
        </is>
      </c>
      <c r="H1455" s="20" t="n">
        <v>2</v>
      </c>
      <c r="I1455" s="20" t="inlineStr">
        <is>
          <t>이그나이트 + 스테이포에버</t>
        </is>
      </c>
      <c r="J1455" s="20" t="n">
        <v>200720</v>
      </c>
      <c r="L1455" s="20">
        <f>VLOOKUP($O1455,매칭테이블!$G:$J,2,0)*H1455</f>
        <v/>
      </c>
      <c r="M1455" s="20">
        <f>L1455-L1455*VLOOKUP($O1455,매칭테이블!$G:$J,3,0)</f>
        <v/>
      </c>
      <c r="N1455" s="20">
        <f>VLOOKUP($O1455,매칭테이블!$G:$J,4,0)*H1455</f>
        <v/>
      </c>
      <c r="O1455" s="20">
        <f>F1455&amp;E1455&amp;I1455&amp;J1455</f>
        <v/>
      </c>
    </row>
    <row r="1456" ht="16.5" customHeight="1" s="17">
      <c r="B1456" s="16" t="n">
        <v>44048</v>
      </c>
      <c r="C1456" s="20" t="inlineStr">
        <is>
          <t>수</t>
        </is>
      </c>
      <c r="E1456" s="20" t="inlineStr">
        <is>
          <t>고체향수</t>
        </is>
      </c>
      <c r="F1456" s="20" t="inlineStr">
        <is>
          <t>카페24</t>
        </is>
      </c>
      <c r="H1456" s="20" t="n">
        <v>70</v>
      </c>
      <c r="I1456" s="20" t="inlineStr">
        <is>
          <t>스테이포에버</t>
        </is>
      </c>
      <c r="J1456" s="20" t="n">
        <v>200720</v>
      </c>
      <c r="L1456" s="20">
        <f>VLOOKUP($O1456,매칭테이블!$G:$J,2,0)*H1456</f>
        <v/>
      </c>
      <c r="M1456" s="20">
        <f>L1456-L1456*VLOOKUP($O1456,매칭테이블!$G:$J,3,0)</f>
        <v/>
      </c>
      <c r="N1456" s="20">
        <f>VLOOKUP($O1456,매칭테이블!$G:$J,4,0)*H1456</f>
        <v/>
      </c>
      <c r="O1456" s="20">
        <f>F1456&amp;E1456&amp;I1456&amp;J1456</f>
        <v/>
      </c>
    </row>
    <row r="1457" ht="16.5" customHeight="1" s="17">
      <c r="B1457" s="16" t="n">
        <v>44048</v>
      </c>
      <c r="C1457" s="20" t="inlineStr">
        <is>
          <t>수</t>
        </is>
      </c>
      <c r="E1457" s="20" t="inlineStr">
        <is>
          <t>고체향수</t>
        </is>
      </c>
      <c r="F1457" s="20" t="inlineStr">
        <is>
          <t>카페24</t>
        </is>
      </c>
      <c r="H1457" s="20" t="n">
        <v>6</v>
      </c>
      <c r="I1457" s="20" t="inlineStr">
        <is>
          <t>스테이포에버 2set</t>
        </is>
      </c>
      <c r="J1457" s="20" t="n">
        <v>200720</v>
      </c>
      <c r="L1457" s="20">
        <f>VLOOKUP($O1457,매칭테이블!$G:$J,2,0)*H1457</f>
        <v/>
      </c>
      <c r="M1457" s="20">
        <f>L1457-L1457*VLOOKUP($O1457,매칭테이블!$G:$J,3,0)</f>
        <v/>
      </c>
      <c r="N1457" s="20">
        <f>VLOOKUP($O1457,매칭테이블!$G:$J,4,0)*H1457</f>
        <v/>
      </c>
      <c r="O1457" s="20">
        <f>F1457&amp;E1457&amp;I1457&amp;J1457</f>
        <v/>
      </c>
    </row>
    <row r="1458" ht="16.5" customHeight="1" s="17">
      <c r="B1458" s="16" t="n">
        <v>44048</v>
      </c>
      <c r="C1458" s="20" t="inlineStr">
        <is>
          <t>수</t>
        </is>
      </c>
      <c r="E1458" s="20" t="inlineStr">
        <is>
          <t>고체향수</t>
        </is>
      </c>
      <c r="F1458" s="20" t="inlineStr">
        <is>
          <t>카페24</t>
        </is>
      </c>
      <c r="H1458" s="20" t="n">
        <v>2</v>
      </c>
      <c r="I1458" s="20" t="inlineStr">
        <is>
          <t>이그나이트</t>
        </is>
      </c>
      <c r="J1458" s="20" t="n">
        <v>200720</v>
      </c>
      <c r="L1458" s="20">
        <f>VLOOKUP($O1458,매칭테이블!$G:$J,2,0)*H1458</f>
        <v/>
      </c>
      <c r="M1458" s="20">
        <f>L1458-L1458*VLOOKUP($O1458,매칭테이블!$G:$J,3,0)</f>
        <v/>
      </c>
      <c r="N1458" s="20">
        <f>VLOOKUP($O1458,매칭테이블!$G:$J,4,0)*H1458</f>
        <v/>
      </c>
      <c r="O1458" s="20">
        <f>F1458&amp;E1458&amp;I1458&amp;J1458</f>
        <v/>
      </c>
    </row>
    <row r="1459" ht="16.5" customHeight="1" s="17">
      <c r="B1459" s="16" t="n">
        <v>44048</v>
      </c>
      <c r="C1459" s="20" t="inlineStr">
        <is>
          <t>수</t>
        </is>
      </c>
      <c r="E1459" s="20" t="inlineStr">
        <is>
          <t>쇼핑백</t>
        </is>
      </c>
      <c r="F1459" s="20" t="inlineStr">
        <is>
          <t>카페24</t>
        </is>
      </c>
      <c r="H1459" s="20" t="n">
        <v>3</v>
      </c>
      <c r="I1459" s="20" t="inlineStr">
        <is>
          <t>유즈쇼핑백</t>
        </is>
      </c>
      <c r="J1459" s="20" t="n">
        <v>200720</v>
      </c>
      <c r="L1459" s="20">
        <f>VLOOKUP($O1459,매칭테이블!$G:$J,2,0)*H1459</f>
        <v/>
      </c>
      <c r="M1459" s="20">
        <f>L1459-L1459*VLOOKUP($O1459,매칭테이블!$G:$J,3,0)</f>
        <v/>
      </c>
      <c r="N1459" s="20">
        <f>VLOOKUP($O1459,매칭테이블!$G:$J,4,0)*H1459</f>
        <v/>
      </c>
      <c r="O1459" s="20">
        <f>F1459&amp;E1459&amp;I1459&amp;J1459</f>
        <v/>
      </c>
    </row>
    <row r="1460" ht="16.5" customHeight="1" s="17">
      <c r="B1460" s="16" t="n">
        <v>44049</v>
      </c>
      <c r="C1460" s="20" t="inlineStr">
        <is>
          <t>목</t>
        </is>
      </c>
      <c r="E1460" s="20" t="inlineStr">
        <is>
          <t>고체향수</t>
        </is>
      </c>
      <c r="F1460" s="20" t="inlineStr">
        <is>
          <t>카페24</t>
        </is>
      </c>
      <c r="H1460" s="20" t="n">
        <v>2</v>
      </c>
      <c r="I1460" s="20" t="inlineStr">
        <is>
          <t>이그나이트 + 스테이포에버</t>
        </is>
      </c>
      <c r="J1460" s="20" t="n">
        <v>200720</v>
      </c>
      <c r="L1460" s="20">
        <f>VLOOKUP($O1460,매칭테이블!$G:$J,2,0)*H1460</f>
        <v/>
      </c>
      <c r="M1460" s="20">
        <f>L1460-L1460*VLOOKUP($O1460,매칭테이블!$G:$J,3,0)</f>
        <v/>
      </c>
      <c r="N1460" s="20">
        <f>VLOOKUP($O1460,매칭테이블!$G:$J,4,0)*H1460</f>
        <v/>
      </c>
      <c r="O1460" s="20">
        <f>F1460&amp;E1460&amp;I1460&amp;J1460</f>
        <v/>
      </c>
    </row>
    <row r="1461" ht="16.5" customHeight="1" s="17">
      <c r="B1461" s="16" t="n">
        <v>44049</v>
      </c>
      <c r="C1461" s="20" t="inlineStr">
        <is>
          <t>목</t>
        </is>
      </c>
      <c r="E1461" s="20" t="inlineStr">
        <is>
          <t>고체향수</t>
        </is>
      </c>
      <c r="F1461" s="20" t="inlineStr">
        <is>
          <t>카페24</t>
        </is>
      </c>
      <c r="H1461" s="20" t="n">
        <v>54</v>
      </c>
      <c r="I1461" s="20" t="inlineStr">
        <is>
          <t>스테이포에버</t>
        </is>
      </c>
      <c r="J1461" s="20" t="n">
        <v>200720</v>
      </c>
      <c r="L1461" s="20">
        <f>VLOOKUP($O1461,매칭테이블!$G:$J,2,0)*H1461</f>
        <v/>
      </c>
      <c r="M1461" s="20">
        <f>L1461-L1461*VLOOKUP($O1461,매칭테이블!$G:$J,3,0)</f>
        <v/>
      </c>
      <c r="N1461" s="20">
        <f>VLOOKUP($O1461,매칭테이블!$G:$J,4,0)*H1461</f>
        <v/>
      </c>
      <c r="O1461" s="20">
        <f>F1461&amp;E1461&amp;I1461&amp;J1461</f>
        <v/>
      </c>
    </row>
    <row r="1462" ht="16.5" customHeight="1" s="17">
      <c r="B1462" s="16" t="n">
        <v>44049</v>
      </c>
      <c r="C1462" s="20" t="inlineStr">
        <is>
          <t>목</t>
        </is>
      </c>
      <c r="E1462" s="20" t="inlineStr">
        <is>
          <t>고체향수</t>
        </is>
      </c>
      <c r="F1462" s="20" t="inlineStr">
        <is>
          <t>카페24</t>
        </is>
      </c>
      <c r="H1462" s="20" t="n">
        <v>11</v>
      </c>
      <c r="I1462" s="20" t="inlineStr">
        <is>
          <t>스테이포에버 2set</t>
        </is>
      </c>
      <c r="J1462" s="20" t="n">
        <v>200720</v>
      </c>
      <c r="L1462" s="20">
        <f>VLOOKUP($O1462,매칭테이블!$G:$J,2,0)*H1462</f>
        <v/>
      </c>
      <c r="M1462" s="20">
        <f>L1462-L1462*VLOOKUP($O1462,매칭테이블!$G:$J,3,0)</f>
        <v/>
      </c>
      <c r="N1462" s="20">
        <f>VLOOKUP($O1462,매칭테이블!$G:$J,4,0)*H1462</f>
        <v/>
      </c>
      <c r="O1462" s="20">
        <f>F1462&amp;E1462&amp;I1462&amp;J1462</f>
        <v/>
      </c>
    </row>
    <row r="1463" ht="16.5" customHeight="1" s="17">
      <c r="B1463" s="16" t="n">
        <v>44049</v>
      </c>
      <c r="C1463" s="20" t="inlineStr">
        <is>
          <t>목</t>
        </is>
      </c>
      <c r="E1463" s="20" t="inlineStr">
        <is>
          <t>쇼핑백</t>
        </is>
      </c>
      <c r="F1463" s="20" t="inlineStr">
        <is>
          <t>카페24</t>
        </is>
      </c>
      <c r="H1463" s="20" t="n">
        <v>2</v>
      </c>
      <c r="I1463" s="20" t="inlineStr">
        <is>
          <t>유즈쇼핑백</t>
        </is>
      </c>
      <c r="J1463" s="20" t="n">
        <v>200720</v>
      </c>
      <c r="L1463" s="20">
        <f>VLOOKUP($O1463,매칭테이블!$G:$J,2,0)*H1463</f>
        <v/>
      </c>
      <c r="M1463" s="20">
        <f>L1463-L1463*VLOOKUP($O1463,매칭테이블!$G:$J,3,0)</f>
        <v/>
      </c>
      <c r="N1463" s="20">
        <f>VLOOKUP($O1463,매칭테이블!$G:$J,4,0)*H1463</f>
        <v/>
      </c>
      <c r="O1463" s="20">
        <f>F1463&amp;E1463&amp;I1463&amp;J1463</f>
        <v/>
      </c>
    </row>
    <row r="1464" ht="16.5" customHeight="1" s="17">
      <c r="B1464" s="16" t="n">
        <v>44050</v>
      </c>
      <c r="C1464" s="20" t="inlineStr">
        <is>
          <t>금</t>
        </is>
      </c>
      <c r="E1464" s="20" t="inlineStr">
        <is>
          <t>고체향수</t>
        </is>
      </c>
      <c r="F1464" s="20" t="inlineStr">
        <is>
          <t>카페24</t>
        </is>
      </c>
      <c r="H1464" s="20" t="n">
        <v>2</v>
      </c>
      <c r="I1464" s="20" t="inlineStr">
        <is>
          <t>이그나이트 + 스테이포에버</t>
        </is>
      </c>
      <c r="J1464" s="20" t="n">
        <v>200720</v>
      </c>
      <c r="L1464" s="20">
        <f>VLOOKUP($O1464,매칭테이블!$G:$J,2,0)*H1464</f>
        <v/>
      </c>
      <c r="M1464" s="20">
        <f>L1464-L1464*VLOOKUP($O1464,매칭테이블!$G:$J,3,0)</f>
        <v/>
      </c>
      <c r="N1464" s="20">
        <f>VLOOKUP($O1464,매칭테이블!$G:$J,4,0)*H1464</f>
        <v/>
      </c>
      <c r="O1464" s="20">
        <f>F1464&amp;E1464&amp;I1464&amp;J1464</f>
        <v/>
      </c>
    </row>
    <row r="1465" ht="16.5" customHeight="1" s="17">
      <c r="B1465" s="16" t="n">
        <v>44050</v>
      </c>
      <c r="C1465" s="20" t="inlineStr">
        <is>
          <t>금</t>
        </is>
      </c>
      <c r="E1465" s="20" t="inlineStr">
        <is>
          <t>고체향수</t>
        </is>
      </c>
      <c r="F1465" s="20" t="inlineStr">
        <is>
          <t>카페24</t>
        </is>
      </c>
      <c r="H1465" s="20" t="n">
        <v>68</v>
      </c>
      <c r="I1465" s="20" t="inlineStr">
        <is>
          <t>스테이포에버</t>
        </is>
      </c>
      <c r="J1465" s="20" t="n">
        <v>200720</v>
      </c>
      <c r="L1465" s="20">
        <f>VLOOKUP($O1465,매칭테이블!$G:$J,2,0)*H1465</f>
        <v/>
      </c>
      <c r="M1465" s="20">
        <f>L1465-L1465*VLOOKUP($O1465,매칭테이블!$G:$J,3,0)</f>
        <v/>
      </c>
      <c r="N1465" s="20">
        <f>VLOOKUP($O1465,매칭테이블!$G:$J,4,0)*H1465</f>
        <v/>
      </c>
      <c r="O1465" s="20">
        <f>F1465&amp;E1465&amp;I1465&amp;J1465</f>
        <v/>
      </c>
    </row>
    <row r="1466" ht="16.5" customHeight="1" s="17">
      <c r="B1466" s="16" t="n">
        <v>44050</v>
      </c>
      <c r="C1466" s="20" t="inlineStr">
        <is>
          <t>금</t>
        </is>
      </c>
      <c r="E1466" s="20" t="inlineStr">
        <is>
          <t>고체향수</t>
        </is>
      </c>
      <c r="F1466" s="20" t="inlineStr">
        <is>
          <t>카페24</t>
        </is>
      </c>
      <c r="H1466" s="20" t="n">
        <v>8</v>
      </c>
      <c r="I1466" s="20" t="inlineStr">
        <is>
          <t>스테이포에버 2set</t>
        </is>
      </c>
      <c r="J1466" s="20" t="n">
        <v>200720</v>
      </c>
      <c r="L1466" s="20">
        <f>VLOOKUP($O1466,매칭테이블!$G:$J,2,0)*H1466</f>
        <v/>
      </c>
      <c r="M1466" s="20">
        <f>L1466-L1466*VLOOKUP($O1466,매칭테이블!$G:$J,3,0)</f>
        <v/>
      </c>
      <c r="N1466" s="20">
        <f>VLOOKUP($O1466,매칭테이블!$G:$J,4,0)*H1466</f>
        <v/>
      </c>
      <c r="O1466" s="20">
        <f>F1466&amp;E1466&amp;I1466&amp;J1466</f>
        <v/>
      </c>
    </row>
    <row r="1467" ht="16.5" customHeight="1" s="17">
      <c r="B1467" s="16" t="n">
        <v>44050</v>
      </c>
      <c r="C1467" s="20" t="inlineStr">
        <is>
          <t>금</t>
        </is>
      </c>
      <c r="E1467" s="20" t="inlineStr">
        <is>
          <t>고체향수</t>
        </is>
      </c>
      <c r="F1467" s="20" t="inlineStr">
        <is>
          <t>카페24</t>
        </is>
      </c>
      <c r="H1467" s="20" t="n">
        <v>1</v>
      </c>
      <c r="I1467" s="20" t="inlineStr">
        <is>
          <t>이그나이트</t>
        </is>
      </c>
      <c r="J1467" s="20" t="n">
        <v>200720</v>
      </c>
      <c r="L1467" s="20">
        <f>VLOOKUP($O1467,매칭테이블!$G:$J,2,0)*H1467</f>
        <v/>
      </c>
      <c r="M1467" s="20">
        <f>L1467-L1467*VLOOKUP($O1467,매칭테이블!$G:$J,3,0)</f>
        <v/>
      </c>
      <c r="N1467" s="20">
        <f>VLOOKUP($O1467,매칭테이블!$G:$J,4,0)*H1467</f>
        <v/>
      </c>
      <c r="O1467" s="20">
        <f>F1467&amp;E1467&amp;I1467&amp;J1467</f>
        <v/>
      </c>
    </row>
    <row r="1468" ht="16.5" customHeight="1" s="17">
      <c r="B1468" s="16" t="n">
        <v>44050</v>
      </c>
      <c r="C1468" s="20" t="inlineStr">
        <is>
          <t>금</t>
        </is>
      </c>
      <c r="E1468" s="20" t="inlineStr">
        <is>
          <t>쇼핑백</t>
        </is>
      </c>
      <c r="F1468" s="20" t="inlineStr">
        <is>
          <t>카페24</t>
        </is>
      </c>
      <c r="H1468" s="20" t="n">
        <v>1</v>
      </c>
      <c r="I1468" s="20" t="inlineStr">
        <is>
          <t>유즈쇼핑백</t>
        </is>
      </c>
      <c r="J1468" s="20" t="n">
        <v>200720</v>
      </c>
      <c r="L1468" s="20">
        <f>VLOOKUP($O1468,매칭테이블!$G:$J,2,0)*H1468</f>
        <v/>
      </c>
      <c r="M1468" s="20">
        <f>L1468-L1468*VLOOKUP($O1468,매칭테이블!$G:$J,3,0)</f>
        <v/>
      </c>
      <c r="N1468" s="20">
        <f>VLOOKUP($O1468,매칭테이블!$G:$J,4,0)*H1468</f>
        <v/>
      </c>
      <c r="O1468" s="20">
        <f>F1468&amp;E1468&amp;I1468&amp;J1468</f>
        <v/>
      </c>
    </row>
    <row r="1469" ht="16.5" customHeight="1" s="17">
      <c r="B1469" s="16" t="n">
        <v>44051</v>
      </c>
      <c r="C1469" s="20" t="inlineStr">
        <is>
          <t>토</t>
        </is>
      </c>
      <c r="E1469" s="20" t="inlineStr">
        <is>
          <t>고체향수</t>
        </is>
      </c>
      <c r="F1469" s="20" t="inlineStr">
        <is>
          <t>카페24</t>
        </is>
      </c>
      <c r="H1469" s="20" t="n">
        <v>2</v>
      </c>
      <c r="I1469" s="20" t="inlineStr">
        <is>
          <t>이그나이트 + 스테이포에버</t>
        </is>
      </c>
      <c r="J1469" s="20" t="n">
        <v>200720</v>
      </c>
      <c r="L1469" s="20">
        <f>VLOOKUP($O1469,매칭테이블!$G:$J,2,0)*H1469</f>
        <v/>
      </c>
      <c r="M1469" s="20">
        <f>L1469-L1469*VLOOKUP($O1469,매칭테이블!$G:$J,3,0)</f>
        <v/>
      </c>
      <c r="N1469" s="20">
        <f>VLOOKUP($O1469,매칭테이블!$G:$J,4,0)*H1469</f>
        <v/>
      </c>
      <c r="O1469" s="20">
        <f>F1469&amp;E1469&amp;I1469&amp;J1469</f>
        <v/>
      </c>
    </row>
    <row r="1470" ht="16.5" customHeight="1" s="17">
      <c r="B1470" s="16" t="n">
        <v>44051</v>
      </c>
      <c r="C1470" s="20" t="inlineStr">
        <is>
          <t>토</t>
        </is>
      </c>
      <c r="E1470" s="20" t="inlineStr">
        <is>
          <t>고체향수</t>
        </is>
      </c>
      <c r="F1470" s="20" t="inlineStr">
        <is>
          <t>카페24</t>
        </is>
      </c>
      <c r="H1470" s="20" t="n">
        <v>65</v>
      </c>
      <c r="I1470" s="20" t="inlineStr">
        <is>
          <t>스테이포에버</t>
        </is>
      </c>
      <c r="J1470" s="20" t="n">
        <v>200720</v>
      </c>
      <c r="L1470" s="20">
        <f>VLOOKUP($O1470,매칭테이블!$G:$J,2,0)*H1470</f>
        <v/>
      </c>
      <c r="M1470" s="20">
        <f>L1470-L1470*VLOOKUP($O1470,매칭테이블!$G:$J,3,0)</f>
        <v/>
      </c>
      <c r="N1470" s="20">
        <f>VLOOKUP($O1470,매칭테이블!$G:$J,4,0)*H1470</f>
        <v/>
      </c>
      <c r="O1470" s="20">
        <f>F1470&amp;E1470&amp;I1470&amp;J1470</f>
        <v/>
      </c>
    </row>
    <row r="1471" ht="16.5" customHeight="1" s="17">
      <c r="B1471" s="16" t="n">
        <v>44051</v>
      </c>
      <c r="C1471" s="20" t="inlineStr">
        <is>
          <t>토</t>
        </is>
      </c>
      <c r="E1471" s="20" t="inlineStr">
        <is>
          <t>고체향수</t>
        </is>
      </c>
      <c r="F1471" s="20" t="inlineStr">
        <is>
          <t>카페24</t>
        </is>
      </c>
      <c r="H1471" s="20" t="n">
        <v>8</v>
      </c>
      <c r="I1471" s="20" t="inlineStr">
        <is>
          <t>스테이포에버 2set</t>
        </is>
      </c>
      <c r="J1471" s="20" t="n">
        <v>200720</v>
      </c>
      <c r="L1471" s="20">
        <f>VLOOKUP($O1471,매칭테이블!$G:$J,2,0)*H1471</f>
        <v/>
      </c>
      <c r="M1471" s="20">
        <f>L1471-L1471*VLOOKUP($O1471,매칭테이블!$G:$J,3,0)</f>
        <v/>
      </c>
      <c r="N1471" s="20">
        <f>VLOOKUP($O1471,매칭테이블!$G:$J,4,0)*H1471</f>
        <v/>
      </c>
      <c r="O1471" s="20">
        <f>F1471&amp;E1471&amp;I1471&amp;J1471</f>
        <v/>
      </c>
    </row>
    <row r="1472" ht="16.5" customHeight="1" s="17">
      <c r="B1472" s="16" t="n">
        <v>44051</v>
      </c>
      <c r="C1472" s="20" t="inlineStr">
        <is>
          <t>토</t>
        </is>
      </c>
      <c r="E1472" s="20" t="inlineStr">
        <is>
          <t>고체향수</t>
        </is>
      </c>
      <c r="F1472" s="20" t="inlineStr">
        <is>
          <t>카페24</t>
        </is>
      </c>
      <c r="H1472" s="20" t="n">
        <v>1</v>
      </c>
      <c r="I1472" s="20" t="inlineStr">
        <is>
          <t>이그나이트</t>
        </is>
      </c>
      <c r="J1472" s="20" t="n">
        <v>200720</v>
      </c>
      <c r="L1472" s="20">
        <f>VLOOKUP($O1472,매칭테이블!$G:$J,2,0)*H1472</f>
        <v/>
      </c>
      <c r="M1472" s="20">
        <f>L1472-L1472*VLOOKUP($O1472,매칭테이블!$G:$J,3,0)</f>
        <v/>
      </c>
      <c r="N1472" s="20">
        <f>VLOOKUP($O1472,매칭테이블!$G:$J,4,0)*H1472</f>
        <v/>
      </c>
      <c r="O1472" s="20">
        <f>F1472&amp;E1472&amp;I1472&amp;J1472</f>
        <v/>
      </c>
    </row>
    <row r="1473" ht="16.5" customHeight="1" s="17">
      <c r="B1473" s="16" t="n">
        <v>44052</v>
      </c>
      <c r="C1473" s="20" t="inlineStr">
        <is>
          <t>일</t>
        </is>
      </c>
      <c r="E1473" s="20" t="inlineStr">
        <is>
          <t>고체향수</t>
        </is>
      </c>
      <c r="F1473" s="20" t="inlineStr">
        <is>
          <t>카페24</t>
        </is>
      </c>
      <c r="H1473" s="20" t="n">
        <v>2</v>
      </c>
      <c r="I1473" s="20" t="inlineStr">
        <is>
          <t>이그나이트 + 스테이포에버</t>
        </is>
      </c>
      <c r="J1473" s="20" t="n">
        <v>200720</v>
      </c>
      <c r="L1473" s="20">
        <f>VLOOKUP($O1473,매칭테이블!$G:$J,2,0)*H1473</f>
        <v/>
      </c>
      <c r="M1473" s="20">
        <f>L1473-L1473*VLOOKUP($O1473,매칭테이블!$G:$J,3,0)</f>
        <v/>
      </c>
      <c r="N1473" s="20">
        <f>VLOOKUP($O1473,매칭테이블!$G:$J,4,0)*H1473</f>
        <v/>
      </c>
      <c r="O1473" s="20">
        <f>F1473&amp;E1473&amp;I1473&amp;J1473</f>
        <v/>
      </c>
    </row>
    <row r="1474" ht="16.5" customHeight="1" s="17">
      <c r="B1474" s="16" t="n">
        <v>44052</v>
      </c>
      <c r="C1474" s="20" t="inlineStr">
        <is>
          <t>일</t>
        </is>
      </c>
      <c r="E1474" s="20" t="inlineStr">
        <is>
          <t>고체향수</t>
        </is>
      </c>
      <c r="F1474" s="20" t="inlineStr">
        <is>
          <t>카페24</t>
        </is>
      </c>
      <c r="H1474" s="20" t="n">
        <v>76</v>
      </c>
      <c r="I1474" s="20" t="inlineStr">
        <is>
          <t>스테이포에버</t>
        </is>
      </c>
      <c r="J1474" s="20" t="n">
        <v>200720</v>
      </c>
      <c r="L1474" s="20">
        <f>VLOOKUP($O1474,매칭테이블!$G:$J,2,0)*H1474</f>
        <v/>
      </c>
      <c r="M1474" s="20">
        <f>L1474-L1474*VLOOKUP($O1474,매칭테이블!$G:$J,3,0)</f>
        <v/>
      </c>
      <c r="N1474" s="20">
        <f>VLOOKUP($O1474,매칭테이블!$G:$J,4,0)*H1474</f>
        <v/>
      </c>
      <c r="O1474" s="20">
        <f>F1474&amp;E1474&amp;I1474&amp;J1474</f>
        <v/>
      </c>
    </row>
    <row r="1475" ht="16.5" customHeight="1" s="17">
      <c r="B1475" s="16" t="n">
        <v>44052</v>
      </c>
      <c r="C1475" s="20" t="inlineStr">
        <is>
          <t>일</t>
        </is>
      </c>
      <c r="E1475" s="20" t="inlineStr">
        <is>
          <t>고체향수</t>
        </is>
      </c>
      <c r="F1475" s="20" t="inlineStr">
        <is>
          <t>카페24</t>
        </is>
      </c>
      <c r="H1475" s="20" t="n">
        <v>12</v>
      </c>
      <c r="I1475" s="20" t="inlineStr">
        <is>
          <t>스테이포에버 2set</t>
        </is>
      </c>
      <c r="J1475" s="20" t="n">
        <v>200720</v>
      </c>
      <c r="L1475" s="20">
        <f>VLOOKUP($O1475,매칭테이블!$G:$J,2,0)*H1475</f>
        <v/>
      </c>
      <c r="M1475" s="20">
        <f>L1475-L1475*VLOOKUP($O1475,매칭테이블!$G:$J,3,0)</f>
        <v/>
      </c>
      <c r="N1475" s="20">
        <f>VLOOKUP($O1475,매칭테이블!$G:$J,4,0)*H1475</f>
        <v/>
      </c>
      <c r="O1475" s="20">
        <f>F1475&amp;E1475&amp;I1475&amp;J1475</f>
        <v/>
      </c>
    </row>
    <row r="1476" ht="16.5" customHeight="1" s="17">
      <c r="B1476" s="16" t="n">
        <v>44052</v>
      </c>
      <c r="C1476" s="20" t="inlineStr">
        <is>
          <t>일</t>
        </is>
      </c>
      <c r="E1476" s="20" t="inlineStr">
        <is>
          <t>고체향수</t>
        </is>
      </c>
      <c r="F1476" s="20" t="inlineStr">
        <is>
          <t>카페24</t>
        </is>
      </c>
      <c r="H1476" s="20" t="n">
        <v>1</v>
      </c>
      <c r="I1476" s="20" t="inlineStr">
        <is>
          <t>이그나이트</t>
        </is>
      </c>
      <c r="J1476" s="20" t="n">
        <v>200720</v>
      </c>
      <c r="L1476" s="20">
        <f>VLOOKUP($O1476,매칭테이블!$G:$J,2,0)*H1476</f>
        <v/>
      </c>
      <c r="M1476" s="20">
        <f>L1476-L1476*VLOOKUP($O1476,매칭테이블!$G:$J,3,0)</f>
        <v/>
      </c>
      <c r="N1476" s="20">
        <f>VLOOKUP($O1476,매칭테이블!$G:$J,4,0)*H1476</f>
        <v/>
      </c>
      <c r="O1476" s="20">
        <f>F1476&amp;E1476&amp;I1476&amp;J1476</f>
        <v/>
      </c>
    </row>
    <row r="1477" ht="16.5" customHeight="1" s="17">
      <c r="B1477" s="16" t="n">
        <v>44053</v>
      </c>
      <c r="C1477" s="20" t="inlineStr">
        <is>
          <t>월</t>
        </is>
      </c>
      <c r="E1477" s="20" t="inlineStr">
        <is>
          <t>고체향수</t>
        </is>
      </c>
      <c r="F1477" s="20" t="inlineStr">
        <is>
          <t>카페24</t>
        </is>
      </c>
      <c r="H1477" s="20" t="n">
        <v>2</v>
      </c>
      <c r="I1477" s="20" t="inlineStr">
        <is>
          <t>이그나이트 + 스테이포에버</t>
        </is>
      </c>
      <c r="J1477" s="20" t="n">
        <v>200720</v>
      </c>
      <c r="L1477" s="20">
        <f>VLOOKUP($O1477,매칭테이블!$G:$J,2,0)*H1477</f>
        <v/>
      </c>
      <c r="M1477" s="20">
        <f>L1477-L1477*VLOOKUP($O1477,매칭테이블!$G:$J,3,0)</f>
        <v/>
      </c>
      <c r="N1477" s="20">
        <f>VLOOKUP($O1477,매칭테이블!$G:$J,4,0)*H1477</f>
        <v/>
      </c>
      <c r="O1477" s="20">
        <f>F1477&amp;E1477&amp;I1477&amp;J1477</f>
        <v/>
      </c>
    </row>
    <row r="1478" ht="16.5" customHeight="1" s="17">
      <c r="B1478" s="16" t="n">
        <v>44053</v>
      </c>
      <c r="C1478" s="20" t="inlineStr">
        <is>
          <t>월</t>
        </is>
      </c>
      <c r="E1478" s="20" t="inlineStr">
        <is>
          <t>고체향수</t>
        </is>
      </c>
      <c r="F1478" s="20" t="inlineStr">
        <is>
          <t>카페24</t>
        </is>
      </c>
      <c r="H1478" s="20" t="n">
        <v>69</v>
      </c>
      <c r="I1478" s="20" t="inlineStr">
        <is>
          <t>스테이포에버</t>
        </is>
      </c>
      <c r="J1478" s="20" t="n">
        <v>200720</v>
      </c>
      <c r="L1478" s="20">
        <f>VLOOKUP($O1478,매칭테이블!$G:$J,2,0)*H1478</f>
        <v/>
      </c>
      <c r="M1478" s="20">
        <f>L1478-L1478*VLOOKUP($O1478,매칭테이블!$G:$J,3,0)</f>
        <v/>
      </c>
      <c r="N1478" s="20">
        <f>VLOOKUP($O1478,매칭테이블!$G:$J,4,0)*H1478</f>
        <v/>
      </c>
      <c r="O1478" s="20">
        <f>F1478&amp;E1478&amp;I1478&amp;J1478</f>
        <v/>
      </c>
    </row>
    <row r="1479" ht="16.5" customHeight="1" s="17">
      <c r="B1479" s="16" t="n">
        <v>44053</v>
      </c>
      <c r="C1479" s="20" t="inlineStr">
        <is>
          <t>월</t>
        </is>
      </c>
      <c r="E1479" s="20" t="inlineStr">
        <is>
          <t>고체향수</t>
        </is>
      </c>
      <c r="F1479" s="20" t="inlineStr">
        <is>
          <t>카페24</t>
        </is>
      </c>
      <c r="H1479" s="20" t="n">
        <v>14</v>
      </c>
      <c r="I1479" s="20" t="inlineStr">
        <is>
          <t>스테이포에버 2set</t>
        </is>
      </c>
      <c r="J1479" s="20" t="n">
        <v>200720</v>
      </c>
      <c r="L1479" s="20">
        <f>VLOOKUP($O1479,매칭테이블!$G:$J,2,0)*H1479</f>
        <v/>
      </c>
      <c r="M1479" s="20">
        <f>L1479-L1479*VLOOKUP($O1479,매칭테이블!$G:$J,3,0)</f>
        <v/>
      </c>
      <c r="N1479" s="20">
        <f>VLOOKUP($O1479,매칭테이블!$G:$J,4,0)*H1479</f>
        <v/>
      </c>
      <c r="O1479" s="20">
        <f>F1479&amp;E1479&amp;I1479&amp;J1479</f>
        <v/>
      </c>
    </row>
    <row r="1480" ht="16.5" customHeight="1" s="17">
      <c r="B1480" s="16" t="n">
        <v>44053</v>
      </c>
      <c r="C1480" s="20" t="inlineStr">
        <is>
          <t>월</t>
        </is>
      </c>
      <c r="E1480" s="20" t="inlineStr">
        <is>
          <t>고체향수</t>
        </is>
      </c>
      <c r="F1480" s="20" t="inlineStr">
        <is>
          <t>카페24</t>
        </is>
      </c>
      <c r="H1480" s="20" t="n">
        <v>1</v>
      </c>
      <c r="I1480" s="20" t="inlineStr">
        <is>
          <t>이그나이트</t>
        </is>
      </c>
      <c r="J1480" s="20" t="n">
        <v>200720</v>
      </c>
      <c r="L1480" s="20">
        <f>VLOOKUP($O1480,매칭테이블!$G:$J,2,0)*H1480</f>
        <v/>
      </c>
      <c r="M1480" s="20">
        <f>L1480-L1480*VLOOKUP($O1480,매칭테이블!$G:$J,3,0)</f>
        <v/>
      </c>
      <c r="N1480" s="20">
        <f>VLOOKUP($O1480,매칭테이블!$G:$J,4,0)*H1480</f>
        <v/>
      </c>
      <c r="O1480" s="20">
        <f>F1480&amp;E1480&amp;I1480&amp;J1480</f>
        <v/>
      </c>
    </row>
    <row r="1481" ht="16.5" customHeight="1" s="17">
      <c r="B1481" s="16" t="n">
        <v>44053</v>
      </c>
      <c r="C1481" s="20" t="inlineStr">
        <is>
          <t>월</t>
        </is>
      </c>
      <c r="E1481" s="20" t="inlineStr">
        <is>
          <t>쇼핑백</t>
        </is>
      </c>
      <c r="F1481" s="20" t="inlineStr">
        <is>
          <t>카페24</t>
        </is>
      </c>
      <c r="H1481" s="20" t="n">
        <v>1</v>
      </c>
      <c r="I1481" s="20" t="inlineStr">
        <is>
          <t>유즈쇼핑백</t>
        </is>
      </c>
      <c r="J1481" s="20" t="n">
        <v>200720</v>
      </c>
      <c r="L1481" s="20">
        <f>VLOOKUP($O1481,매칭테이블!$G:$J,2,0)*H1481</f>
        <v/>
      </c>
      <c r="M1481" s="20">
        <f>L1481-L1481*VLOOKUP($O1481,매칭테이블!$G:$J,3,0)</f>
        <v/>
      </c>
      <c r="N1481" s="20">
        <f>VLOOKUP($O1481,매칭테이블!$G:$J,4,0)*H1481</f>
        <v/>
      </c>
      <c r="O1481" s="20">
        <f>F1481&amp;E1481&amp;I1481&amp;J1481</f>
        <v/>
      </c>
    </row>
    <row r="1482" ht="16.5" customHeight="1" s="17">
      <c r="B1482" s="16" t="n">
        <v>44054</v>
      </c>
      <c r="C1482" s="20" t="inlineStr">
        <is>
          <t>화</t>
        </is>
      </c>
      <c r="E1482" s="20" t="inlineStr">
        <is>
          <t>고체향수</t>
        </is>
      </c>
      <c r="F1482" s="20" t="inlineStr">
        <is>
          <t>유즈 CS</t>
        </is>
      </c>
      <c r="H1482" s="20" t="n">
        <v>1</v>
      </c>
      <c r="I1482" s="20" t="inlineStr">
        <is>
          <t>이그나이트</t>
        </is>
      </c>
      <c r="J1482" s="20" t="n">
        <v>200520</v>
      </c>
      <c r="L1482" s="20">
        <f>VLOOKUP($O1482,매칭테이블!$G:$J,2,0)*H1482</f>
        <v/>
      </c>
      <c r="M1482" s="20">
        <f>L1482-L1482*VLOOKUP($O1482,매칭테이블!$G:$J,3,0)</f>
        <v/>
      </c>
      <c r="N1482" s="20">
        <f>VLOOKUP($O1482,매칭테이블!$G:$J,4,0)*H1482</f>
        <v/>
      </c>
      <c r="O1482" s="20">
        <f>F1482&amp;E1482&amp;I1482&amp;J1482</f>
        <v/>
      </c>
    </row>
    <row r="1483" ht="16.5" customHeight="1" s="17">
      <c r="B1483" s="16" t="n">
        <v>44054</v>
      </c>
      <c r="C1483" s="20" t="inlineStr">
        <is>
          <t>화</t>
        </is>
      </c>
      <c r="E1483" s="20" t="inlineStr">
        <is>
          <t>고체향수</t>
        </is>
      </c>
      <c r="F1483" s="20" t="inlineStr">
        <is>
          <t>카페24</t>
        </is>
      </c>
      <c r="H1483" s="20" t="n">
        <v>2</v>
      </c>
      <c r="I1483" s="20" t="inlineStr">
        <is>
          <t>이그나이트 + 스테이포에버</t>
        </is>
      </c>
      <c r="J1483" s="20" t="n">
        <v>200720</v>
      </c>
      <c r="L1483" s="20">
        <f>VLOOKUP($O1483,매칭테이블!$G:$J,2,0)*H1483</f>
        <v/>
      </c>
      <c r="M1483" s="20">
        <f>L1483-L1483*VLOOKUP($O1483,매칭테이블!$G:$J,3,0)</f>
        <v/>
      </c>
      <c r="N1483" s="20">
        <f>VLOOKUP($O1483,매칭테이블!$G:$J,4,0)*H1483</f>
        <v/>
      </c>
      <c r="O1483" s="20">
        <f>F1483&amp;E1483&amp;I1483&amp;J1483</f>
        <v/>
      </c>
    </row>
    <row r="1484" ht="16.5" customHeight="1" s="17">
      <c r="B1484" s="16" t="n">
        <v>44054</v>
      </c>
      <c r="C1484" s="20" t="inlineStr">
        <is>
          <t>화</t>
        </is>
      </c>
      <c r="E1484" s="20" t="inlineStr">
        <is>
          <t>고체향수</t>
        </is>
      </c>
      <c r="F1484" s="20" t="inlineStr">
        <is>
          <t>카페24</t>
        </is>
      </c>
      <c r="H1484" s="20" t="n">
        <v>64</v>
      </c>
      <c r="I1484" s="20" t="inlineStr">
        <is>
          <t>스테이포에버</t>
        </is>
      </c>
      <c r="J1484" s="20" t="n">
        <v>200720</v>
      </c>
      <c r="L1484" s="20">
        <f>VLOOKUP($O1484,매칭테이블!$G:$J,2,0)*H1484</f>
        <v/>
      </c>
      <c r="M1484" s="20">
        <f>L1484-L1484*VLOOKUP($O1484,매칭테이블!$G:$J,3,0)</f>
        <v/>
      </c>
      <c r="N1484" s="20">
        <f>VLOOKUP($O1484,매칭테이블!$G:$J,4,0)*H1484</f>
        <v/>
      </c>
      <c r="O1484" s="20">
        <f>F1484&amp;E1484&amp;I1484&amp;J1484</f>
        <v/>
      </c>
    </row>
    <row r="1485" ht="16.5" customHeight="1" s="17">
      <c r="B1485" s="16" t="n">
        <v>44054</v>
      </c>
      <c r="C1485" s="20" t="inlineStr">
        <is>
          <t>화</t>
        </is>
      </c>
      <c r="E1485" s="20" t="inlineStr">
        <is>
          <t>고체향수</t>
        </is>
      </c>
      <c r="F1485" s="20" t="inlineStr">
        <is>
          <t>카페24</t>
        </is>
      </c>
      <c r="H1485" s="20" t="n">
        <v>7</v>
      </c>
      <c r="I1485" s="20" t="inlineStr">
        <is>
          <t>스테이포에버 2set</t>
        </is>
      </c>
      <c r="J1485" s="20" t="n">
        <v>200720</v>
      </c>
      <c r="L1485" s="20">
        <f>VLOOKUP($O1485,매칭테이블!$G:$J,2,0)*H1485</f>
        <v/>
      </c>
      <c r="M1485" s="20">
        <f>L1485-L1485*VLOOKUP($O1485,매칭테이블!$G:$J,3,0)</f>
        <v/>
      </c>
      <c r="N1485" s="20">
        <f>VLOOKUP($O1485,매칭테이블!$G:$J,4,0)*H1485</f>
        <v/>
      </c>
      <c r="O1485" s="20">
        <f>F1485&amp;E1485&amp;I1485&amp;J1485</f>
        <v/>
      </c>
    </row>
    <row r="1486" ht="16.5" customHeight="1" s="17">
      <c r="B1486" s="16" t="n">
        <v>44054</v>
      </c>
      <c r="C1486" s="20" t="inlineStr">
        <is>
          <t>화</t>
        </is>
      </c>
      <c r="E1486" s="20" t="inlineStr">
        <is>
          <t>쇼핑백</t>
        </is>
      </c>
      <c r="F1486" s="20" t="inlineStr">
        <is>
          <t>카페24</t>
        </is>
      </c>
      <c r="H1486" s="20" t="n">
        <v>2</v>
      </c>
      <c r="I1486" s="20" t="inlineStr">
        <is>
          <t>유즈쇼핑백</t>
        </is>
      </c>
      <c r="J1486" s="20" t="n">
        <v>200720</v>
      </c>
      <c r="L1486" s="20">
        <f>VLOOKUP($O1486,매칭테이블!$G:$J,2,0)*H1486</f>
        <v/>
      </c>
      <c r="M1486" s="20">
        <f>L1486-L1486*VLOOKUP($O1486,매칭테이블!$G:$J,3,0)</f>
        <v/>
      </c>
      <c r="N1486" s="20">
        <f>VLOOKUP($O1486,매칭테이블!$G:$J,4,0)*H1486</f>
        <v/>
      </c>
      <c r="O1486" s="20">
        <f>F1486&amp;E1486&amp;I1486&amp;J1486</f>
        <v/>
      </c>
    </row>
    <row r="1487" ht="16.5" customHeight="1" s="17">
      <c r="B1487" s="16" t="n">
        <v>44055</v>
      </c>
      <c r="C1487" s="20" t="inlineStr">
        <is>
          <t>수</t>
        </is>
      </c>
      <c r="E1487" s="20" t="inlineStr">
        <is>
          <t>고체향수</t>
        </is>
      </c>
      <c r="F1487" s="20" t="inlineStr">
        <is>
          <t>카페24</t>
        </is>
      </c>
      <c r="H1487" s="20" t="n">
        <v>7</v>
      </c>
      <c r="I1487" s="20" t="inlineStr">
        <is>
          <t>이그나이트 + 스테이포에버</t>
        </is>
      </c>
      <c r="J1487" s="20" t="n">
        <v>200720</v>
      </c>
      <c r="L1487" s="20">
        <f>VLOOKUP($O1487,매칭테이블!$G:$J,2,0)*H1487</f>
        <v/>
      </c>
      <c r="M1487" s="20">
        <f>L1487-L1487*VLOOKUP($O1487,매칭테이블!$G:$J,3,0)</f>
        <v/>
      </c>
      <c r="N1487" s="20">
        <f>VLOOKUP($O1487,매칭테이블!$G:$J,4,0)*H1487</f>
        <v/>
      </c>
      <c r="O1487" s="20">
        <f>F1487&amp;E1487&amp;I1487&amp;J1487</f>
        <v/>
      </c>
    </row>
    <row r="1488" ht="16.5" customHeight="1" s="17">
      <c r="B1488" s="16" t="n">
        <v>44055</v>
      </c>
      <c r="C1488" s="20" t="inlineStr">
        <is>
          <t>수</t>
        </is>
      </c>
      <c r="E1488" s="20" t="inlineStr">
        <is>
          <t>고체향수</t>
        </is>
      </c>
      <c r="F1488" s="20" t="inlineStr">
        <is>
          <t>카페24</t>
        </is>
      </c>
      <c r="H1488" s="20" t="n">
        <v>59</v>
      </c>
      <c r="I1488" s="20" t="inlineStr">
        <is>
          <t>스테이포에버</t>
        </is>
      </c>
      <c r="J1488" s="20" t="n">
        <v>200720</v>
      </c>
      <c r="L1488" s="20">
        <f>VLOOKUP($O1488,매칭테이블!$G:$J,2,0)*H1488</f>
        <v/>
      </c>
      <c r="M1488" s="20">
        <f>L1488-L1488*VLOOKUP($O1488,매칭테이블!$G:$J,3,0)</f>
        <v/>
      </c>
      <c r="N1488" s="20">
        <f>VLOOKUP($O1488,매칭테이블!$G:$J,4,0)*H1488</f>
        <v/>
      </c>
      <c r="O1488" s="20">
        <f>F1488&amp;E1488&amp;I1488&amp;J1488</f>
        <v/>
      </c>
    </row>
    <row r="1489" ht="16.5" customHeight="1" s="17">
      <c r="B1489" s="16" t="n">
        <v>44055</v>
      </c>
      <c r="C1489" s="20" t="inlineStr">
        <is>
          <t>수</t>
        </is>
      </c>
      <c r="E1489" s="20" t="inlineStr">
        <is>
          <t>고체향수</t>
        </is>
      </c>
      <c r="F1489" s="20" t="inlineStr">
        <is>
          <t>카페24</t>
        </is>
      </c>
      <c r="H1489" s="20" t="n">
        <v>8</v>
      </c>
      <c r="I1489" s="20" t="inlineStr">
        <is>
          <t>스테이포에버 2set</t>
        </is>
      </c>
      <c r="J1489" s="20" t="n">
        <v>200720</v>
      </c>
      <c r="L1489" s="20">
        <f>VLOOKUP($O1489,매칭테이블!$G:$J,2,0)*H1489</f>
        <v/>
      </c>
      <c r="M1489" s="20">
        <f>L1489-L1489*VLOOKUP($O1489,매칭테이블!$G:$J,3,0)</f>
        <v/>
      </c>
      <c r="N1489" s="20">
        <f>VLOOKUP($O1489,매칭테이블!$G:$J,4,0)*H1489</f>
        <v/>
      </c>
      <c r="O1489" s="20">
        <f>F1489&amp;E1489&amp;I1489&amp;J1489</f>
        <v/>
      </c>
    </row>
    <row r="1490" ht="16.5" customHeight="1" s="17">
      <c r="B1490" s="16" t="n">
        <v>44055</v>
      </c>
      <c r="C1490" s="20" t="inlineStr">
        <is>
          <t>수</t>
        </is>
      </c>
      <c r="E1490" s="20" t="inlineStr">
        <is>
          <t>고체향수</t>
        </is>
      </c>
      <c r="F1490" s="20" t="inlineStr">
        <is>
          <t>카페24</t>
        </is>
      </c>
      <c r="H1490" s="20" t="n">
        <v>1</v>
      </c>
      <c r="I1490" s="20" t="inlineStr">
        <is>
          <t>이그나이트</t>
        </is>
      </c>
      <c r="J1490" s="20" t="n">
        <v>200720</v>
      </c>
      <c r="L1490" s="20">
        <f>VLOOKUP($O1490,매칭테이블!$G:$J,2,0)*H1490</f>
        <v/>
      </c>
      <c r="M1490" s="20">
        <f>L1490-L1490*VLOOKUP($O1490,매칭테이블!$G:$J,3,0)</f>
        <v/>
      </c>
      <c r="N1490" s="20">
        <f>VLOOKUP($O1490,매칭테이블!$G:$J,4,0)*H1490</f>
        <v/>
      </c>
      <c r="O1490" s="20">
        <f>F1490&amp;E1490&amp;I1490&amp;J1490</f>
        <v/>
      </c>
    </row>
    <row r="1491" ht="16.5" customHeight="1" s="17">
      <c r="B1491" s="16" t="n">
        <v>44055</v>
      </c>
      <c r="C1491" s="20" t="inlineStr">
        <is>
          <t>수</t>
        </is>
      </c>
      <c r="E1491" s="20" t="inlineStr">
        <is>
          <t>고체향수</t>
        </is>
      </c>
      <c r="F1491" s="20" t="inlineStr">
        <is>
          <t>카페24</t>
        </is>
      </c>
      <c r="H1491" s="20" t="n">
        <v>1</v>
      </c>
      <c r="I1491" s="20" t="inlineStr">
        <is>
          <t>이그나이트 2set</t>
        </is>
      </c>
      <c r="J1491" s="20" t="n">
        <v>200720</v>
      </c>
      <c r="L1491" s="20">
        <f>VLOOKUP($O1491,매칭테이블!$G:$J,2,0)*H1491</f>
        <v/>
      </c>
      <c r="M1491" s="20">
        <f>L1491-L1491*VLOOKUP($O1491,매칭테이블!$G:$J,3,0)</f>
        <v/>
      </c>
      <c r="N1491" s="20">
        <f>VLOOKUP($O1491,매칭테이블!$G:$J,4,0)*H1491</f>
        <v/>
      </c>
      <c r="O1491" s="20">
        <f>F1491&amp;E1491&amp;I1491&amp;J1491</f>
        <v/>
      </c>
    </row>
    <row r="1492" ht="16.5" customHeight="1" s="17">
      <c r="B1492" s="16" t="n">
        <v>44055</v>
      </c>
      <c r="C1492" s="20" t="inlineStr">
        <is>
          <t>수</t>
        </is>
      </c>
      <c r="E1492" s="20" t="inlineStr">
        <is>
          <t>쇼핑백</t>
        </is>
      </c>
      <c r="F1492" s="20" t="inlineStr">
        <is>
          <t>카페24</t>
        </is>
      </c>
      <c r="H1492" s="20" t="n">
        <v>2</v>
      </c>
      <c r="I1492" s="20" t="inlineStr">
        <is>
          <t>유즈쇼핑백</t>
        </is>
      </c>
      <c r="J1492" s="20" t="n">
        <v>200720</v>
      </c>
      <c r="L1492" s="20">
        <f>VLOOKUP($O1492,매칭테이블!$G:$J,2,0)*H1492</f>
        <v/>
      </c>
      <c r="M1492" s="20">
        <f>L1492-L1492*VLOOKUP($O1492,매칭테이블!$G:$J,3,0)</f>
        <v/>
      </c>
      <c r="N1492" s="20">
        <f>VLOOKUP($O1492,매칭테이블!$G:$J,4,0)*H1492</f>
        <v/>
      </c>
      <c r="O1492" s="20">
        <f>F1492&amp;E1492&amp;I1492&amp;J1492</f>
        <v/>
      </c>
    </row>
    <row r="1493" ht="16.5" customHeight="1" s="17">
      <c r="B1493" s="16" t="n">
        <v>44056</v>
      </c>
      <c r="C1493" s="20" t="inlineStr">
        <is>
          <t>목</t>
        </is>
      </c>
      <c r="E1493" s="20" t="inlineStr">
        <is>
          <t>고체향수</t>
        </is>
      </c>
      <c r="F1493" s="20" t="inlineStr">
        <is>
          <t>카페24</t>
        </is>
      </c>
      <c r="H1493" s="20" t="n">
        <v>2</v>
      </c>
      <c r="I1493" s="20" t="inlineStr">
        <is>
          <t>이그나이트 + 스테이포에버</t>
        </is>
      </c>
      <c r="J1493" s="20" t="n">
        <v>200720</v>
      </c>
      <c r="L1493" s="20">
        <f>VLOOKUP($O1493,매칭테이블!$G:$J,2,0)*H1493</f>
        <v/>
      </c>
      <c r="M1493" s="20">
        <f>L1493-L1493*VLOOKUP($O1493,매칭테이블!$G:$J,3,0)</f>
        <v/>
      </c>
      <c r="N1493" s="20">
        <f>VLOOKUP($O1493,매칭테이블!$G:$J,4,0)*H1493</f>
        <v/>
      </c>
      <c r="O1493" s="20">
        <f>F1493&amp;E1493&amp;I1493&amp;J1493</f>
        <v/>
      </c>
    </row>
    <row r="1494" ht="16.5" customHeight="1" s="17">
      <c r="B1494" s="16" t="n">
        <v>44056</v>
      </c>
      <c r="C1494" s="20" t="inlineStr">
        <is>
          <t>목</t>
        </is>
      </c>
      <c r="E1494" s="20" t="inlineStr">
        <is>
          <t>고체향수</t>
        </is>
      </c>
      <c r="F1494" s="20" t="inlineStr">
        <is>
          <t>카페24</t>
        </is>
      </c>
      <c r="H1494" s="20" t="n">
        <v>49</v>
      </c>
      <c r="I1494" s="20" t="inlineStr">
        <is>
          <t>스테이포에버</t>
        </is>
      </c>
      <c r="J1494" s="20" t="n">
        <v>200720</v>
      </c>
      <c r="L1494" s="20">
        <f>VLOOKUP($O1494,매칭테이블!$G:$J,2,0)*H1494</f>
        <v/>
      </c>
      <c r="M1494" s="20">
        <f>L1494-L1494*VLOOKUP($O1494,매칭테이블!$G:$J,3,0)</f>
        <v/>
      </c>
      <c r="N1494" s="20">
        <f>VLOOKUP($O1494,매칭테이블!$G:$J,4,0)*H1494</f>
        <v/>
      </c>
      <c r="O1494" s="20">
        <f>F1494&amp;E1494&amp;I1494&amp;J1494</f>
        <v/>
      </c>
    </row>
    <row r="1495" ht="16.5" customHeight="1" s="17">
      <c r="B1495" s="16" t="n">
        <v>44056</v>
      </c>
      <c r="C1495" s="20" t="inlineStr">
        <is>
          <t>목</t>
        </is>
      </c>
      <c r="E1495" s="20" t="inlineStr">
        <is>
          <t>고체향수</t>
        </is>
      </c>
      <c r="F1495" s="20" t="inlineStr">
        <is>
          <t>카페24</t>
        </is>
      </c>
      <c r="H1495" s="20" t="n">
        <v>10</v>
      </c>
      <c r="I1495" s="20" t="inlineStr">
        <is>
          <t>스테이포에버 2set</t>
        </is>
      </c>
      <c r="J1495" s="20" t="n">
        <v>200720</v>
      </c>
      <c r="L1495" s="20">
        <f>VLOOKUP($O1495,매칭테이블!$G:$J,2,0)*H1495</f>
        <v/>
      </c>
      <c r="M1495" s="20">
        <f>L1495-L1495*VLOOKUP($O1495,매칭테이블!$G:$J,3,0)</f>
        <v/>
      </c>
      <c r="N1495" s="20">
        <f>VLOOKUP($O1495,매칭테이블!$G:$J,4,0)*H1495</f>
        <v/>
      </c>
      <c r="O1495" s="20">
        <f>F1495&amp;E1495&amp;I1495&amp;J1495</f>
        <v/>
      </c>
    </row>
    <row r="1496" ht="16.5" customHeight="1" s="17">
      <c r="B1496" s="16" t="n">
        <v>44056</v>
      </c>
      <c r="C1496" s="20" t="inlineStr">
        <is>
          <t>목</t>
        </is>
      </c>
      <c r="E1496" s="20" t="inlineStr">
        <is>
          <t>고체향수</t>
        </is>
      </c>
      <c r="F1496" s="20" t="inlineStr">
        <is>
          <t>카페24</t>
        </is>
      </c>
      <c r="H1496" s="20" t="n">
        <v>1</v>
      </c>
      <c r="I1496" s="20" t="inlineStr">
        <is>
          <t>이그나이트</t>
        </is>
      </c>
      <c r="J1496" s="20" t="n">
        <v>200720</v>
      </c>
      <c r="L1496" s="20">
        <f>VLOOKUP($O1496,매칭테이블!$G:$J,2,0)*H1496</f>
        <v/>
      </c>
      <c r="M1496" s="20">
        <f>L1496-L1496*VLOOKUP($O1496,매칭테이블!$G:$J,3,0)</f>
        <v/>
      </c>
      <c r="N1496" s="20">
        <f>VLOOKUP($O1496,매칭테이블!$G:$J,4,0)*H1496</f>
        <v/>
      </c>
      <c r="O1496" s="20">
        <f>F1496&amp;E1496&amp;I1496&amp;J1496</f>
        <v/>
      </c>
    </row>
    <row r="1497" ht="16.5" customHeight="1" s="17">
      <c r="B1497" s="16" t="n">
        <v>44057</v>
      </c>
      <c r="C1497" s="20" t="inlineStr">
        <is>
          <t>금</t>
        </is>
      </c>
      <c r="E1497" s="20" t="inlineStr">
        <is>
          <t>고체향수</t>
        </is>
      </c>
      <c r="F1497" s="20" t="inlineStr">
        <is>
          <t>카페24</t>
        </is>
      </c>
      <c r="H1497" s="20" t="n">
        <v>3</v>
      </c>
      <c r="I1497" s="20" t="inlineStr">
        <is>
          <t>이그나이트 + 스테이포에버</t>
        </is>
      </c>
      <c r="J1497" s="20" t="n">
        <v>200720</v>
      </c>
      <c r="L1497" s="20">
        <f>VLOOKUP($O1497,매칭테이블!$G:$J,2,0)*H1497</f>
        <v/>
      </c>
      <c r="M1497" s="20">
        <f>L1497-L1497*VLOOKUP($O1497,매칭테이블!$G:$J,3,0)</f>
        <v/>
      </c>
      <c r="N1497" s="20">
        <f>VLOOKUP($O1497,매칭테이블!$G:$J,4,0)*H1497</f>
        <v/>
      </c>
      <c r="O1497" s="20">
        <f>F1497&amp;E1497&amp;I1497&amp;J1497</f>
        <v/>
      </c>
    </row>
    <row r="1498" ht="16.5" customHeight="1" s="17">
      <c r="B1498" s="16" t="n">
        <v>44057</v>
      </c>
      <c r="C1498" s="20" t="inlineStr">
        <is>
          <t>금</t>
        </is>
      </c>
      <c r="E1498" s="20" t="inlineStr">
        <is>
          <t>고체향수</t>
        </is>
      </c>
      <c r="F1498" s="20" t="inlineStr">
        <is>
          <t>카페24</t>
        </is>
      </c>
      <c r="H1498" s="20" t="n">
        <v>37</v>
      </c>
      <c r="I1498" s="20" t="inlineStr">
        <is>
          <t>스테이포에버</t>
        </is>
      </c>
      <c r="J1498" s="20" t="n">
        <v>200720</v>
      </c>
      <c r="L1498" s="20">
        <f>VLOOKUP($O1498,매칭테이블!$G:$J,2,0)*H1498</f>
        <v/>
      </c>
      <c r="M1498" s="20">
        <f>L1498-L1498*VLOOKUP($O1498,매칭테이블!$G:$J,3,0)</f>
        <v/>
      </c>
      <c r="N1498" s="20">
        <f>VLOOKUP($O1498,매칭테이블!$G:$J,4,0)*H1498</f>
        <v/>
      </c>
      <c r="O1498" s="20">
        <f>F1498&amp;E1498&amp;I1498&amp;J1498</f>
        <v/>
      </c>
    </row>
    <row r="1499" ht="16.5" customHeight="1" s="17">
      <c r="B1499" s="16" t="n">
        <v>44057</v>
      </c>
      <c r="C1499" s="20" t="inlineStr">
        <is>
          <t>금</t>
        </is>
      </c>
      <c r="E1499" s="20" t="inlineStr">
        <is>
          <t>고체향수</t>
        </is>
      </c>
      <c r="F1499" s="20" t="inlineStr">
        <is>
          <t>카페24</t>
        </is>
      </c>
      <c r="H1499" s="20" t="n">
        <v>10</v>
      </c>
      <c r="I1499" s="20" t="inlineStr">
        <is>
          <t>스테이포에버 2set</t>
        </is>
      </c>
      <c r="J1499" s="20" t="n">
        <v>200720</v>
      </c>
      <c r="L1499" s="20">
        <f>VLOOKUP($O1499,매칭테이블!$G:$J,2,0)*H1499</f>
        <v/>
      </c>
      <c r="M1499" s="20">
        <f>L1499-L1499*VLOOKUP($O1499,매칭테이블!$G:$J,3,0)</f>
        <v/>
      </c>
      <c r="N1499" s="20">
        <f>VLOOKUP($O1499,매칭테이블!$G:$J,4,0)*H1499</f>
        <v/>
      </c>
      <c r="O1499" s="20">
        <f>F1499&amp;E1499&amp;I1499&amp;J1499</f>
        <v/>
      </c>
    </row>
    <row r="1500" ht="16.5" customHeight="1" s="17">
      <c r="B1500" s="16" t="n">
        <v>44057</v>
      </c>
      <c r="C1500" s="20" t="inlineStr">
        <is>
          <t>금</t>
        </is>
      </c>
      <c r="E1500" s="20" t="inlineStr">
        <is>
          <t>고체향수</t>
        </is>
      </c>
      <c r="F1500" s="20" t="inlineStr">
        <is>
          <t>카페24</t>
        </is>
      </c>
      <c r="H1500" s="20" t="n">
        <v>1</v>
      </c>
      <c r="I1500" s="20" t="inlineStr">
        <is>
          <t>이그나이트</t>
        </is>
      </c>
      <c r="J1500" s="20" t="n">
        <v>200720</v>
      </c>
      <c r="L1500" s="20">
        <f>VLOOKUP($O1500,매칭테이블!$G:$J,2,0)*H1500</f>
        <v/>
      </c>
      <c r="M1500" s="20">
        <f>L1500-L1500*VLOOKUP($O1500,매칭테이블!$G:$J,3,0)</f>
        <v/>
      </c>
      <c r="N1500" s="20">
        <f>VLOOKUP($O1500,매칭테이블!$G:$J,4,0)*H1500</f>
        <v/>
      </c>
      <c r="O1500" s="20">
        <f>F1500&amp;E1500&amp;I1500&amp;J1500</f>
        <v/>
      </c>
    </row>
    <row r="1501" ht="16.5" customHeight="1" s="17">
      <c r="B1501" s="16" t="n">
        <v>44057</v>
      </c>
      <c r="C1501" s="20" t="inlineStr">
        <is>
          <t>금</t>
        </is>
      </c>
      <c r="E1501" s="20" t="inlineStr">
        <is>
          <t>쇼핑백</t>
        </is>
      </c>
      <c r="F1501" s="20" t="inlineStr">
        <is>
          <t>카페24</t>
        </is>
      </c>
      <c r="H1501" s="20" t="n">
        <v>3</v>
      </c>
      <c r="I1501" s="20" t="inlineStr">
        <is>
          <t>유즈쇼핑백</t>
        </is>
      </c>
      <c r="J1501" s="20" t="n">
        <v>200720</v>
      </c>
      <c r="L1501" s="20">
        <f>VLOOKUP($O1501,매칭테이블!$G:$J,2,0)*H1501</f>
        <v/>
      </c>
      <c r="M1501" s="20">
        <f>L1501-L1501*VLOOKUP($O1501,매칭테이블!$G:$J,3,0)</f>
        <v/>
      </c>
      <c r="N1501" s="20">
        <f>VLOOKUP($O1501,매칭테이블!$G:$J,4,0)*H1501</f>
        <v/>
      </c>
      <c r="O1501" s="20">
        <f>F1501&amp;E1501&amp;I1501&amp;J1501</f>
        <v/>
      </c>
    </row>
    <row r="1502" ht="16.5" customHeight="1" s="17">
      <c r="B1502" s="16" t="n">
        <v>44058</v>
      </c>
      <c r="C1502" s="20" t="inlineStr">
        <is>
          <t>토</t>
        </is>
      </c>
      <c r="E1502" s="20" t="inlineStr">
        <is>
          <t>고체향수</t>
        </is>
      </c>
      <c r="F1502" s="20" t="inlineStr">
        <is>
          <t>카페24</t>
        </is>
      </c>
      <c r="H1502" s="20" t="n">
        <v>6</v>
      </c>
      <c r="I1502" s="20" t="inlineStr">
        <is>
          <t>이그나이트 + 스테이포에버</t>
        </is>
      </c>
      <c r="J1502" s="20" t="n">
        <v>200720</v>
      </c>
      <c r="L1502" s="20">
        <f>VLOOKUP($O1502,매칭테이블!$G:$J,2,0)*H1502</f>
        <v/>
      </c>
      <c r="M1502" s="20">
        <f>L1502-L1502*VLOOKUP($O1502,매칭테이블!$G:$J,3,0)</f>
        <v/>
      </c>
      <c r="N1502" s="20">
        <f>VLOOKUP($O1502,매칭테이블!$G:$J,4,0)*H1502</f>
        <v/>
      </c>
      <c r="O1502" s="20">
        <f>F1502&amp;E1502&amp;I1502&amp;J1502</f>
        <v/>
      </c>
    </row>
    <row r="1503" ht="16.5" customHeight="1" s="17">
      <c r="B1503" s="16" t="n">
        <v>44058</v>
      </c>
      <c r="C1503" s="20" t="inlineStr">
        <is>
          <t>토</t>
        </is>
      </c>
      <c r="E1503" s="20" t="inlineStr">
        <is>
          <t>고체향수</t>
        </is>
      </c>
      <c r="F1503" s="20" t="inlineStr">
        <is>
          <t>카페24</t>
        </is>
      </c>
      <c r="H1503" s="20" t="n">
        <v>35</v>
      </c>
      <c r="I1503" s="20" t="inlineStr">
        <is>
          <t>스테이포에버</t>
        </is>
      </c>
      <c r="J1503" s="20" t="n">
        <v>200720</v>
      </c>
      <c r="L1503" s="20">
        <f>VLOOKUP($O1503,매칭테이블!$G:$J,2,0)*H1503</f>
        <v/>
      </c>
      <c r="M1503" s="20">
        <f>L1503-L1503*VLOOKUP($O1503,매칭테이블!$G:$J,3,0)</f>
        <v/>
      </c>
      <c r="N1503" s="20">
        <f>VLOOKUP($O1503,매칭테이블!$G:$J,4,0)*H1503</f>
        <v/>
      </c>
      <c r="O1503" s="20">
        <f>F1503&amp;E1503&amp;I1503&amp;J1503</f>
        <v/>
      </c>
    </row>
    <row r="1504" ht="16.5" customHeight="1" s="17">
      <c r="B1504" s="16" t="n">
        <v>44058</v>
      </c>
      <c r="C1504" s="20" t="inlineStr">
        <is>
          <t>토</t>
        </is>
      </c>
      <c r="E1504" s="20" t="inlineStr">
        <is>
          <t>고체향수</t>
        </is>
      </c>
      <c r="F1504" s="20" t="inlineStr">
        <is>
          <t>카페24</t>
        </is>
      </c>
      <c r="H1504" s="20" t="n">
        <v>3</v>
      </c>
      <c r="I1504" s="20" t="inlineStr">
        <is>
          <t>스테이포에버 2set</t>
        </is>
      </c>
      <c r="J1504" s="20" t="n">
        <v>200720</v>
      </c>
      <c r="L1504" s="20">
        <f>VLOOKUP($O1504,매칭테이블!$G:$J,2,0)*H1504</f>
        <v/>
      </c>
      <c r="M1504" s="20">
        <f>L1504-L1504*VLOOKUP($O1504,매칭테이블!$G:$J,3,0)</f>
        <v/>
      </c>
      <c r="N1504" s="20">
        <f>VLOOKUP($O1504,매칭테이블!$G:$J,4,0)*H1504</f>
        <v/>
      </c>
      <c r="O1504" s="20">
        <f>F1504&amp;E1504&amp;I1504&amp;J1504</f>
        <v/>
      </c>
    </row>
    <row r="1505" ht="16.5" customHeight="1" s="17">
      <c r="B1505" s="16" t="n">
        <v>44058</v>
      </c>
      <c r="C1505" s="20" t="inlineStr">
        <is>
          <t>토</t>
        </is>
      </c>
      <c r="E1505" s="20" t="inlineStr">
        <is>
          <t>쇼핑백</t>
        </is>
      </c>
      <c r="F1505" s="20" t="inlineStr">
        <is>
          <t>카페24</t>
        </is>
      </c>
      <c r="H1505" s="20" t="n">
        <v>2</v>
      </c>
      <c r="I1505" s="20" t="inlineStr">
        <is>
          <t>유즈쇼핑백</t>
        </is>
      </c>
      <c r="J1505" s="20" t="n">
        <v>200720</v>
      </c>
      <c r="L1505" s="20">
        <f>VLOOKUP($O1505,매칭테이블!$G:$J,2,0)*H1505</f>
        <v/>
      </c>
      <c r="M1505" s="20">
        <f>L1505-L1505*VLOOKUP($O1505,매칭테이블!$G:$J,3,0)</f>
        <v/>
      </c>
      <c r="N1505" s="20">
        <f>VLOOKUP($O1505,매칭테이블!$G:$J,4,0)*H1505</f>
        <v/>
      </c>
      <c r="O1505" s="20">
        <f>F1505&amp;E1505&amp;I1505&amp;J1505</f>
        <v/>
      </c>
    </row>
    <row r="1506" ht="16.5" customHeight="1" s="17">
      <c r="B1506" s="16" t="n">
        <v>44059</v>
      </c>
      <c r="C1506" s="20" t="inlineStr">
        <is>
          <t>일</t>
        </is>
      </c>
      <c r="E1506" s="20" t="inlineStr">
        <is>
          <t>고체향수</t>
        </is>
      </c>
      <c r="F1506" s="20" t="inlineStr">
        <is>
          <t>카페24</t>
        </is>
      </c>
      <c r="H1506" s="20" t="n">
        <v>1</v>
      </c>
      <c r="I1506" s="20" t="inlineStr">
        <is>
          <t>이그나이트 + 스테이포에버</t>
        </is>
      </c>
      <c r="J1506" s="20" t="n">
        <v>200720</v>
      </c>
      <c r="L1506" s="20">
        <f>VLOOKUP($O1506,매칭테이블!$G:$J,2,0)*H1506</f>
        <v/>
      </c>
      <c r="M1506" s="20">
        <f>L1506-L1506*VLOOKUP($O1506,매칭테이블!$G:$J,3,0)</f>
        <v/>
      </c>
      <c r="N1506" s="20">
        <f>VLOOKUP($O1506,매칭테이블!$G:$J,4,0)*H1506</f>
        <v/>
      </c>
      <c r="O1506" s="20">
        <f>F1506&amp;E1506&amp;I1506&amp;J1506</f>
        <v/>
      </c>
    </row>
    <row r="1507" ht="16.5" customHeight="1" s="17">
      <c r="B1507" s="16" t="n">
        <v>44059</v>
      </c>
      <c r="C1507" s="20" t="inlineStr">
        <is>
          <t>일</t>
        </is>
      </c>
      <c r="E1507" s="20" t="inlineStr">
        <is>
          <t>고체향수</t>
        </is>
      </c>
      <c r="F1507" s="20" t="inlineStr">
        <is>
          <t>카페24</t>
        </is>
      </c>
      <c r="H1507" s="20" t="n">
        <v>38</v>
      </c>
      <c r="I1507" s="20" t="inlineStr">
        <is>
          <t>스테이포에버</t>
        </is>
      </c>
      <c r="J1507" s="20" t="n">
        <v>200720</v>
      </c>
      <c r="L1507" s="20">
        <f>VLOOKUP($O1507,매칭테이블!$G:$J,2,0)*H1507</f>
        <v/>
      </c>
      <c r="M1507" s="20">
        <f>L1507-L1507*VLOOKUP($O1507,매칭테이블!$G:$J,3,0)</f>
        <v/>
      </c>
      <c r="N1507" s="20">
        <f>VLOOKUP($O1507,매칭테이블!$G:$J,4,0)*H1507</f>
        <v/>
      </c>
      <c r="O1507" s="20">
        <f>F1507&amp;E1507&amp;I1507&amp;J1507</f>
        <v/>
      </c>
    </row>
    <row r="1508" ht="16.5" customHeight="1" s="17">
      <c r="B1508" s="16" t="n">
        <v>44059</v>
      </c>
      <c r="C1508" s="20" t="inlineStr">
        <is>
          <t>일</t>
        </is>
      </c>
      <c r="E1508" s="20" t="inlineStr">
        <is>
          <t>고체향수</t>
        </is>
      </c>
      <c r="F1508" s="20" t="inlineStr">
        <is>
          <t>카페24</t>
        </is>
      </c>
      <c r="H1508" s="20" t="n">
        <v>7</v>
      </c>
      <c r="I1508" s="20" t="inlineStr">
        <is>
          <t>스테이포에버 2set</t>
        </is>
      </c>
      <c r="J1508" s="20" t="n">
        <v>200720</v>
      </c>
      <c r="L1508" s="20">
        <f>VLOOKUP($O1508,매칭테이블!$G:$J,2,0)*H1508</f>
        <v/>
      </c>
      <c r="M1508" s="20">
        <f>L1508-L1508*VLOOKUP($O1508,매칭테이블!$G:$J,3,0)</f>
        <v/>
      </c>
      <c r="N1508" s="20">
        <f>VLOOKUP($O1508,매칭테이블!$G:$J,4,0)*H1508</f>
        <v/>
      </c>
      <c r="O1508" s="20">
        <f>F1508&amp;E1508&amp;I1508&amp;J1508</f>
        <v/>
      </c>
    </row>
    <row r="1509" ht="16.5" customHeight="1" s="17">
      <c r="B1509" s="16" t="n">
        <v>44059</v>
      </c>
      <c r="C1509" s="20" t="inlineStr">
        <is>
          <t>일</t>
        </is>
      </c>
      <c r="E1509" s="20" t="inlineStr">
        <is>
          <t>고체향수</t>
        </is>
      </c>
      <c r="F1509" s="20" t="inlineStr">
        <is>
          <t>카페24</t>
        </is>
      </c>
      <c r="H1509" s="20" t="n">
        <v>2</v>
      </c>
      <c r="I1509" s="20" t="inlineStr">
        <is>
          <t>이그나이트</t>
        </is>
      </c>
      <c r="J1509" s="20" t="n">
        <v>200720</v>
      </c>
      <c r="L1509" s="20">
        <f>VLOOKUP($O1509,매칭테이블!$G:$J,2,0)*H1509</f>
        <v/>
      </c>
      <c r="M1509" s="20">
        <f>L1509-L1509*VLOOKUP($O1509,매칭테이블!$G:$J,3,0)</f>
        <v/>
      </c>
      <c r="N1509" s="20">
        <f>VLOOKUP($O1509,매칭테이블!$G:$J,4,0)*H1509</f>
        <v/>
      </c>
      <c r="O1509" s="20">
        <f>F1509&amp;E1509&amp;I1509&amp;J1509</f>
        <v/>
      </c>
    </row>
    <row r="1510" ht="16.5" customHeight="1" s="17">
      <c r="B1510" s="16" t="n">
        <v>44059</v>
      </c>
      <c r="C1510" s="20" t="inlineStr">
        <is>
          <t>일</t>
        </is>
      </c>
      <c r="E1510" s="20" t="inlineStr">
        <is>
          <t>쇼핑백</t>
        </is>
      </c>
      <c r="F1510" s="20" t="inlineStr">
        <is>
          <t>카페24</t>
        </is>
      </c>
      <c r="H1510" s="20" t="n">
        <v>2</v>
      </c>
      <c r="I1510" s="20" t="inlineStr">
        <is>
          <t>유즈쇼핑백</t>
        </is>
      </c>
      <c r="J1510" s="20" t="n">
        <v>200720</v>
      </c>
      <c r="L1510" s="20">
        <f>VLOOKUP($O1510,매칭테이블!$G:$J,2,0)*H1510</f>
        <v/>
      </c>
      <c r="M1510" s="20">
        <f>L1510-L1510*VLOOKUP($O1510,매칭테이블!$G:$J,3,0)</f>
        <v/>
      </c>
      <c r="N1510" s="20">
        <f>VLOOKUP($O1510,매칭테이블!$G:$J,4,0)*H1510</f>
        <v/>
      </c>
      <c r="O1510" s="20">
        <f>F1510&amp;E1510&amp;I1510&amp;J1510</f>
        <v/>
      </c>
    </row>
    <row r="1511" ht="16.5" customHeight="1" s="17">
      <c r="B1511" s="16" t="n">
        <v>44060</v>
      </c>
      <c r="C1511" s="20" t="inlineStr">
        <is>
          <t>월</t>
        </is>
      </c>
      <c r="E1511" s="20" t="inlineStr">
        <is>
          <t>고체향수</t>
        </is>
      </c>
      <c r="F1511" s="20" t="inlineStr">
        <is>
          <t>카페24</t>
        </is>
      </c>
      <c r="H1511" s="20" t="n">
        <v>51</v>
      </c>
      <c r="I1511" s="20" t="inlineStr">
        <is>
          <t>스테이포에버</t>
        </is>
      </c>
      <c r="J1511" s="20" t="n">
        <v>200720</v>
      </c>
      <c r="L1511" s="20">
        <f>VLOOKUP($O1511,매칭테이블!$G:$J,2,0)*H1511</f>
        <v/>
      </c>
      <c r="M1511" s="20">
        <f>L1511-L1511*VLOOKUP($O1511,매칭테이블!$G:$J,3,0)</f>
        <v/>
      </c>
      <c r="N1511" s="20">
        <f>VLOOKUP($O1511,매칭테이블!$G:$J,4,0)*H1511</f>
        <v/>
      </c>
      <c r="O1511" s="20">
        <f>F1511&amp;E1511&amp;I1511&amp;J1511</f>
        <v/>
      </c>
    </row>
    <row r="1512" ht="16.5" customHeight="1" s="17">
      <c r="B1512" s="16" t="n">
        <v>44060</v>
      </c>
      <c r="C1512" s="20" t="inlineStr">
        <is>
          <t>월</t>
        </is>
      </c>
      <c r="E1512" s="20" t="inlineStr">
        <is>
          <t>고체향수</t>
        </is>
      </c>
      <c r="F1512" s="20" t="inlineStr">
        <is>
          <t>카페24</t>
        </is>
      </c>
      <c r="H1512" s="20" t="n">
        <v>9</v>
      </c>
      <c r="I1512" s="20" t="inlineStr">
        <is>
          <t>스테이포에버 2set</t>
        </is>
      </c>
      <c r="J1512" s="20" t="n">
        <v>200720</v>
      </c>
      <c r="L1512" s="20">
        <f>VLOOKUP($O1512,매칭테이블!$G:$J,2,0)*H1512</f>
        <v/>
      </c>
      <c r="M1512" s="20">
        <f>L1512-L1512*VLOOKUP($O1512,매칭테이블!$G:$J,3,0)</f>
        <v/>
      </c>
      <c r="N1512" s="20">
        <f>VLOOKUP($O1512,매칭테이블!$G:$J,4,0)*H1512</f>
        <v/>
      </c>
      <c r="O1512" s="20">
        <f>F1512&amp;E1512&amp;I1512&amp;J1512</f>
        <v/>
      </c>
    </row>
    <row r="1513" ht="16.5" customHeight="1" s="17">
      <c r="B1513" s="16" t="n">
        <v>44060</v>
      </c>
      <c r="C1513" s="20" t="inlineStr">
        <is>
          <t>월</t>
        </is>
      </c>
      <c r="E1513" s="20" t="inlineStr">
        <is>
          <t>고체향수</t>
        </is>
      </c>
      <c r="F1513" s="20" t="inlineStr">
        <is>
          <t>카페24</t>
        </is>
      </c>
      <c r="H1513" s="20" t="n">
        <v>2</v>
      </c>
      <c r="I1513" s="20" t="inlineStr">
        <is>
          <t>이그나이트</t>
        </is>
      </c>
      <c r="J1513" s="20" t="n">
        <v>200720</v>
      </c>
      <c r="L1513" s="20">
        <f>VLOOKUP($O1513,매칭테이블!$G:$J,2,0)*H1513</f>
        <v/>
      </c>
      <c r="M1513" s="20">
        <f>L1513-L1513*VLOOKUP($O1513,매칭테이블!$G:$J,3,0)</f>
        <v/>
      </c>
      <c r="N1513" s="20">
        <f>VLOOKUP($O1513,매칭테이블!$G:$J,4,0)*H1513</f>
        <v/>
      </c>
      <c r="O1513" s="20">
        <f>F1513&amp;E1513&amp;I1513&amp;J1513</f>
        <v/>
      </c>
    </row>
    <row r="1514" ht="16.5" customHeight="1" s="17">
      <c r="B1514" s="16" t="n">
        <v>44060</v>
      </c>
      <c r="C1514" s="20" t="inlineStr">
        <is>
          <t>월</t>
        </is>
      </c>
      <c r="E1514" s="20" t="inlineStr">
        <is>
          <t>쇼핑백</t>
        </is>
      </c>
      <c r="F1514" s="20" t="inlineStr">
        <is>
          <t>카페24</t>
        </is>
      </c>
      <c r="H1514" s="20" t="n">
        <v>5</v>
      </c>
      <c r="I1514" s="20" t="inlineStr">
        <is>
          <t>유즈쇼핑백</t>
        </is>
      </c>
      <c r="J1514" s="20" t="n">
        <v>200720</v>
      </c>
      <c r="L1514" s="20">
        <f>VLOOKUP($O1514,매칭테이블!$G:$J,2,0)*H1514</f>
        <v/>
      </c>
      <c r="M1514" s="20">
        <f>L1514-L1514*VLOOKUP($O1514,매칭테이블!$G:$J,3,0)</f>
        <v/>
      </c>
      <c r="N1514" s="20">
        <f>VLOOKUP($O1514,매칭테이블!$G:$J,4,0)*H1514</f>
        <v/>
      </c>
      <c r="O1514" s="20">
        <f>F1514&amp;E1514&amp;I1514&amp;J1514</f>
        <v/>
      </c>
    </row>
    <row r="1515" ht="16.5" customHeight="1" s="17">
      <c r="B1515" s="16" t="n">
        <v>44061</v>
      </c>
      <c r="C1515" s="20" t="inlineStr">
        <is>
          <t>화</t>
        </is>
      </c>
      <c r="E1515" s="20" t="inlineStr">
        <is>
          <t>고체향수</t>
        </is>
      </c>
      <c r="F1515" s="20" t="inlineStr">
        <is>
          <t>카페24</t>
        </is>
      </c>
      <c r="H1515" s="20" t="n">
        <v>60</v>
      </c>
      <c r="I1515" s="20" t="inlineStr">
        <is>
          <t>스테이포에버</t>
        </is>
      </c>
      <c r="J1515" s="20" t="n">
        <v>200720</v>
      </c>
      <c r="L1515" s="20">
        <f>VLOOKUP($O1515,매칭테이블!$G:$J,2,0)*H1515</f>
        <v/>
      </c>
      <c r="M1515" s="20">
        <f>L1515-L1515*VLOOKUP($O1515,매칭테이블!$G:$J,3,0)</f>
        <v/>
      </c>
      <c r="N1515" s="20">
        <f>VLOOKUP($O1515,매칭테이블!$G:$J,4,0)*H1515</f>
        <v/>
      </c>
      <c r="O1515" s="20">
        <f>F1515&amp;E1515&amp;I1515&amp;J1515</f>
        <v/>
      </c>
    </row>
    <row r="1516" ht="16.5" customHeight="1" s="17">
      <c r="B1516" s="16" t="n">
        <v>44061</v>
      </c>
      <c r="C1516" s="20" t="inlineStr">
        <is>
          <t>화</t>
        </is>
      </c>
      <c r="E1516" s="20" t="inlineStr">
        <is>
          <t>고체향수</t>
        </is>
      </c>
      <c r="F1516" s="20" t="inlineStr">
        <is>
          <t>카페24</t>
        </is>
      </c>
      <c r="H1516" s="20" t="n">
        <v>13</v>
      </c>
      <c r="I1516" s="20" t="inlineStr">
        <is>
          <t>스테이포에버 2set</t>
        </is>
      </c>
      <c r="J1516" s="20" t="n">
        <v>200720</v>
      </c>
      <c r="L1516" s="20">
        <f>VLOOKUP($O1516,매칭테이블!$G:$J,2,0)*H1516</f>
        <v/>
      </c>
      <c r="M1516" s="20">
        <f>L1516-L1516*VLOOKUP($O1516,매칭테이블!$G:$J,3,0)</f>
        <v/>
      </c>
      <c r="N1516" s="20">
        <f>VLOOKUP($O1516,매칭테이블!$G:$J,4,0)*H1516</f>
        <v/>
      </c>
      <c r="O1516" s="20">
        <f>F1516&amp;E1516&amp;I1516&amp;J1516</f>
        <v/>
      </c>
    </row>
    <row r="1517" ht="16.5" customHeight="1" s="17">
      <c r="B1517" s="16" t="n">
        <v>44061</v>
      </c>
      <c r="C1517" s="20" t="inlineStr">
        <is>
          <t>화</t>
        </is>
      </c>
      <c r="E1517" s="20" t="inlineStr">
        <is>
          <t>고체향수</t>
        </is>
      </c>
      <c r="F1517" s="20" t="inlineStr">
        <is>
          <t>카페24</t>
        </is>
      </c>
      <c r="H1517" s="20" t="n">
        <v>2</v>
      </c>
      <c r="I1517" s="20" t="inlineStr">
        <is>
          <t>이그나이트</t>
        </is>
      </c>
      <c r="J1517" s="20" t="n">
        <v>200720</v>
      </c>
      <c r="L1517" s="20">
        <f>VLOOKUP($O1517,매칭테이블!$G:$J,2,0)*H1517</f>
        <v/>
      </c>
      <c r="M1517" s="20">
        <f>L1517-L1517*VLOOKUP($O1517,매칭테이블!$G:$J,3,0)</f>
        <v/>
      </c>
      <c r="N1517" s="20">
        <f>VLOOKUP($O1517,매칭테이블!$G:$J,4,0)*H1517</f>
        <v/>
      </c>
      <c r="O1517" s="20">
        <f>F1517&amp;E1517&amp;I1517&amp;J1517</f>
        <v/>
      </c>
    </row>
    <row r="1518" ht="16.5" customHeight="1" s="17">
      <c r="B1518" s="16" t="n">
        <v>44061</v>
      </c>
      <c r="C1518" s="20" t="inlineStr">
        <is>
          <t>화</t>
        </is>
      </c>
      <c r="E1518" s="20" t="inlineStr">
        <is>
          <t>쇼핑백</t>
        </is>
      </c>
      <c r="F1518" s="20" t="inlineStr">
        <is>
          <t>카페24</t>
        </is>
      </c>
      <c r="H1518" s="20" t="n">
        <v>1</v>
      </c>
      <c r="I1518" s="20" t="inlineStr">
        <is>
          <t>유즈쇼핑백</t>
        </is>
      </c>
      <c r="J1518" s="20" t="n">
        <v>200720</v>
      </c>
      <c r="L1518" s="20">
        <f>VLOOKUP($O1518,매칭테이블!$G:$J,2,0)*H1518</f>
        <v/>
      </c>
      <c r="M1518" s="20">
        <f>L1518-L1518*VLOOKUP($O1518,매칭테이블!$G:$J,3,0)</f>
        <v/>
      </c>
      <c r="N1518" s="20">
        <f>VLOOKUP($O1518,매칭테이블!$G:$J,4,0)*H1518</f>
        <v/>
      </c>
      <c r="O1518" s="20">
        <f>F1518&amp;E1518&amp;I1518&amp;J1518</f>
        <v/>
      </c>
    </row>
    <row r="1519" ht="16.5" customHeight="1" s="17">
      <c r="B1519" s="16" t="n">
        <v>44062</v>
      </c>
      <c r="C1519" s="20" t="inlineStr">
        <is>
          <t>수</t>
        </is>
      </c>
      <c r="E1519" s="20" t="inlineStr">
        <is>
          <t>고체향수</t>
        </is>
      </c>
      <c r="F1519" s="20" t="inlineStr">
        <is>
          <t>카페24</t>
        </is>
      </c>
      <c r="H1519" s="20" t="n">
        <v>3</v>
      </c>
      <c r="I1519" s="20" t="inlineStr">
        <is>
          <t>이그나이트 + 스테이포에버</t>
        </is>
      </c>
      <c r="J1519" s="20" t="n">
        <v>200720</v>
      </c>
      <c r="L1519" s="20">
        <f>VLOOKUP($O1519,매칭테이블!$G:$J,2,0)*H1519</f>
        <v/>
      </c>
      <c r="M1519" s="20">
        <f>L1519-L1519*VLOOKUP($O1519,매칭테이블!$G:$J,3,0)</f>
        <v/>
      </c>
      <c r="N1519" s="20">
        <f>VLOOKUP($O1519,매칭테이블!$G:$J,4,0)*H1519</f>
        <v/>
      </c>
      <c r="O1519" s="20">
        <f>F1519&amp;E1519&amp;I1519&amp;J1519</f>
        <v/>
      </c>
    </row>
    <row r="1520" ht="16.5" customHeight="1" s="17">
      <c r="B1520" s="16" t="n">
        <v>44062</v>
      </c>
      <c r="C1520" s="20" t="inlineStr">
        <is>
          <t>수</t>
        </is>
      </c>
      <c r="E1520" s="20" t="inlineStr">
        <is>
          <t>고체향수</t>
        </is>
      </c>
      <c r="F1520" s="20" t="inlineStr">
        <is>
          <t>카페24</t>
        </is>
      </c>
      <c r="H1520" s="20" t="n">
        <v>65</v>
      </c>
      <c r="I1520" s="20" t="inlineStr">
        <is>
          <t>스테이포에버</t>
        </is>
      </c>
      <c r="J1520" s="20" t="n">
        <v>200720</v>
      </c>
      <c r="L1520" s="20">
        <f>VLOOKUP($O1520,매칭테이블!$G:$J,2,0)*H1520</f>
        <v/>
      </c>
      <c r="M1520" s="20">
        <f>L1520-L1520*VLOOKUP($O1520,매칭테이블!$G:$J,3,0)</f>
        <v/>
      </c>
      <c r="N1520" s="20">
        <f>VLOOKUP($O1520,매칭테이블!$G:$J,4,0)*H1520</f>
        <v/>
      </c>
      <c r="O1520" s="20">
        <f>F1520&amp;E1520&amp;I1520&amp;J1520</f>
        <v/>
      </c>
    </row>
    <row r="1521" ht="16.5" customHeight="1" s="17">
      <c r="B1521" s="16" t="n">
        <v>44062</v>
      </c>
      <c r="C1521" s="20" t="inlineStr">
        <is>
          <t>수</t>
        </is>
      </c>
      <c r="E1521" s="20" t="inlineStr">
        <is>
          <t>고체향수</t>
        </is>
      </c>
      <c r="F1521" s="20" t="inlineStr">
        <is>
          <t>카페24</t>
        </is>
      </c>
      <c r="H1521" s="20" t="n">
        <v>14</v>
      </c>
      <c r="I1521" s="20" t="inlineStr">
        <is>
          <t>스테이포에버 2set</t>
        </is>
      </c>
      <c r="J1521" s="20" t="n">
        <v>200720</v>
      </c>
      <c r="L1521" s="20">
        <f>VLOOKUP($O1521,매칭테이블!$G:$J,2,0)*H1521</f>
        <v/>
      </c>
      <c r="M1521" s="20">
        <f>L1521-L1521*VLOOKUP($O1521,매칭테이블!$G:$J,3,0)</f>
        <v/>
      </c>
      <c r="N1521" s="20">
        <f>VLOOKUP($O1521,매칭테이블!$G:$J,4,0)*H1521</f>
        <v/>
      </c>
      <c r="O1521" s="20">
        <f>F1521&amp;E1521&amp;I1521&amp;J1521</f>
        <v/>
      </c>
    </row>
    <row r="1522" ht="16.5" customHeight="1" s="17">
      <c r="B1522" s="16" t="n">
        <v>44062</v>
      </c>
      <c r="C1522" s="20" t="inlineStr">
        <is>
          <t>수</t>
        </is>
      </c>
      <c r="E1522" s="20" t="inlineStr">
        <is>
          <t>고체향수</t>
        </is>
      </c>
      <c r="F1522" s="20" t="inlineStr">
        <is>
          <t>카페24</t>
        </is>
      </c>
      <c r="H1522" s="20" t="n">
        <v>4</v>
      </c>
      <c r="I1522" s="20" t="inlineStr">
        <is>
          <t>이그나이트</t>
        </is>
      </c>
      <c r="J1522" s="20" t="n">
        <v>200720</v>
      </c>
      <c r="L1522" s="20">
        <f>VLOOKUP($O1522,매칭테이블!$G:$J,2,0)*H1522</f>
        <v/>
      </c>
      <c r="M1522" s="20">
        <f>L1522-L1522*VLOOKUP($O1522,매칭테이블!$G:$J,3,0)</f>
        <v/>
      </c>
      <c r="N1522" s="20">
        <f>VLOOKUP($O1522,매칭테이블!$G:$J,4,0)*H1522</f>
        <v/>
      </c>
      <c r="O1522" s="20">
        <f>F1522&amp;E1522&amp;I1522&amp;J1522</f>
        <v/>
      </c>
    </row>
    <row r="1523" ht="16.5" customHeight="1" s="17">
      <c r="B1523" s="16" t="n">
        <v>44062</v>
      </c>
      <c r="C1523" s="20" t="inlineStr">
        <is>
          <t>수</t>
        </is>
      </c>
      <c r="E1523" s="20" t="inlineStr">
        <is>
          <t>쇼핑백</t>
        </is>
      </c>
      <c r="F1523" s="20" t="inlineStr">
        <is>
          <t>카페24</t>
        </is>
      </c>
      <c r="H1523" s="20" t="n">
        <v>1</v>
      </c>
      <c r="I1523" s="20" t="inlineStr">
        <is>
          <t>유즈쇼핑백</t>
        </is>
      </c>
      <c r="J1523" s="20" t="n">
        <v>200720</v>
      </c>
      <c r="L1523" s="20">
        <f>VLOOKUP($O1523,매칭테이블!$G:$J,2,0)*H1523</f>
        <v/>
      </c>
      <c r="M1523" s="20">
        <f>L1523-L1523*VLOOKUP($O1523,매칭테이블!$G:$J,3,0)</f>
        <v/>
      </c>
      <c r="N1523" s="20">
        <f>VLOOKUP($O1523,매칭테이블!$G:$J,4,0)*H1523</f>
        <v/>
      </c>
      <c r="O1523" s="20">
        <f>F1523&amp;E1523&amp;I1523&amp;J1523</f>
        <v/>
      </c>
    </row>
    <row r="1524" ht="16.5" customHeight="1" s="17">
      <c r="B1524" s="16" t="n">
        <v>44063</v>
      </c>
      <c r="C1524" s="20" t="inlineStr">
        <is>
          <t>목</t>
        </is>
      </c>
      <c r="E1524" s="20" t="inlineStr">
        <is>
          <t>고체향수</t>
        </is>
      </c>
      <c r="F1524" s="20" t="inlineStr">
        <is>
          <t>카페24</t>
        </is>
      </c>
      <c r="H1524" s="20" t="n">
        <v>2</v>
      </c>
      <c r="I1524" s="20" t="inlineStr">
        <is>
          <t>이그나이트 + 스테이포에버</t>
        </is>
      </c>
      <c r="J1524" s="20" t="n">
        <v>200720</v>
      </c>
      <c r="L1524" s="20">
        <f>VLOOKUP($O1524,매칭테이블!$G:$J,2,0)*H1524</f>
        <v/>
      </c>
      <c r="M1524" s="20">
        <f>L1524-L1524*VLOOKUP($O1524,매칭테이블!$G:$J,3,0)</f>
        <v/>
      </c>
      <c r="N1524" s="20">
        <f>VLOOKUP($O1524,매칭테이블!$G:$J,4,0)*H1524</f>
        <v/>
      </c>
      <c r="O1524" s="20">
        <f>F1524&amp;E1524&amp;I1524&amp;J1524</f>
        <v/>
      </c>
    </row>
    <row r="1525" ht="16.5" customHeight="1" s="17">
      <c r="B1525" s="16" t="n">
        <v>44063</v>
      </c>
      <c r="C1525" s="20" t="inlineStr">
        <is>
          <t>목</t>
        </is>
      </c>
      <c r="E1525" s="20" t="inlineStr">
        <is>
          <t>고체향수</t>
        </is>
      </c>
      <c r="F1525" s="20" t="inlineStr">
        <is>
          <t>카페24</t>
        </is>
      </c>
      <c r="H1525" s="20" t="n">
        <v>69</v>
      </c>
      <c r="I1525" s="20" t="inlineStr">
        <is>
          <t>스테이포에버</t>
        </is>
      </c>
      <c r="J1525" s="20" t="n">
        <v>200720</v>
      </c>
      <c r="L1525" s="20">
        <f>VLOOKUP($O1525,매칭테이블!$G:$J,2,0)*H1525</f>
        <v/>
      </c>
      <c r="M1525" s="20">
        <f>L1525-L1525*VLOOKUP($O1525,매칭테이블!$G:$J,3,0)</f>
        <v/>
      </c>
      <c r="N1525" s="20">
        <f>VLOOKUP($O1525,매칭테이블!$G:$J,4,0)*H1525</f>
        <v/>
      </c>
      <c r="O1525" s="20">
        <f>F1525&amp;E1525&amp;I1525&amp;J1525</f>
        <v/>
      </c>
    </row>
    <row r="1526" ht="16.5" customHeight="1" s="17">
      <c r="B1526" s="16" t="n">
        <v>44063</v>
      </c>
      <c r="C1526" s="20" t="inlineStr">
        <is>
          <t>목</t>
        </is>
      </c>
      <c r="E1526" s="20" t="inlineStr">
        <is>
          <t>고체향수</t>
        </is>
      </c>
      <c r="F1526" s="20" t="inlineStr">
        <is>
          <t>카페24</t>
        </is>
      </c>
      <c r="H1526" s="20" t="n">
        <v>11</v>
      </c>
      <c r="I1526" s="20" t="inlineStr">
        <is>
          <t>스테이포에버 2set</t>
        </is>
      </c>
      <c r="J1526" s="20" t="n">
        <v>200720</v>
      </c>
      <c r="L1526" s="20">
        <f>VLOOKUP($O1526,매칭테이블!$G:$J,2,0)*H1526</f>
        <v/>
      </c>
      <c r="M1526" s="20">
        <f>L1526-L1526*VLOOKUP($O1526,매칭테이블!$G:$J,3,0)</f>
        <v/>
      </c>
      <c r="N1526" s="20">
        <f>VLOOKUP($O1526,매칭테이블!$G:$J,4,0)*H1526</f>
        <v/>
      </c>
      <c r="O1526" s="20">
        <f>F1526&amp;E1526&amp;I1526&amp;J1526</f>
        <v/>
      </c>
    </row>
    <row r="1527" ht="16.5" customHeight="1" s="17">
      <c r="B1527" s="16" t="n">
        <v>44063</v>
      </c>
      <c r="C1527" s="20" t="inlineStr">
        <is>
          <t>목</t>
        </is>
      </c>
      <c r="E1527" s="20" t="inlineStr">
        <is>
          <t>고체향수</t>
        </is>
      </c>
      <c r="F1527" s="20" t="inlineStr">
        <is>
          <t>카페24</t>
        </is>
      </c>
      <c r="H1527" s="20" t="n">
        <v>1</v>
      </c>
      <c r="I1527" s="20" t="inlineStr">
        <is>
          <t>이그나이트</t>
        </is>
      </c>
      <c r="J1527" s="20" t="n">
        <v>200720</v>
      </c>
      <c r="L1527" s="20">
        <f>VLOOKUP($O1527,매칭테이블!$G:$J,2,0)*H1527</f>
        <v/>
      </c>
      <c r="M1527" s="20">
        <f>L1527-L1527*VLOOKUP($O1527,매칭테이블!$G:$J,3,0)</f>
        <v/>
      </c>
      <c r="N1527" s="20">
        <f>VLOOKUP($O1527,매칭테이블!$G:$J,4,0)*H1527</f>
        <v/>
      </c>
      <c r="O1527" s="20">
        <f>F1527&amp;E1527&amp;I1527&amp;J1527</f>
        <v/>
      </c>
    </row>
    <row r="1528" ht="16.5" customHeight="1" s="17">
      <c r="B1528" s="16" t="n">
        <v>44063</v>
      </c>
      <c r="C1528" s="20" t="inlineStr">
        <is>
          <t>목</t>
        </is>
      </c>
      <c r="E1528" s="20" t="inlineStr">
        <is>
          <t>쇼핑백</t>
        </is>
      </c>
      <c r="F1528" s="20" t="inlineStr">
        <is>
          <t>카페24</t>
        </is>
      </c>
      <c r="H1528" s="20" t="n">
        <v>1</v>
      </c>
      <c r="I1528" s="20" t="inlineStr">
        <is>
          <t>유즈쇼핑백</t>
        </is>
      </c>
      <c r="J1528" s="20" t="n">
        <v>200720</v>
      </c>
      <c r="L1528" s="20">
        <f>VLOOKUP($O1528,매칭테이블!$G:$J,2,0)*H1528</f>
        <v/>
      </c>
      <c r="M1528" s="20">
        <f>L1528-L1528*VLOOKUP($O1528,매칭테이블!$G:$J,3,0)</f>
        <v/>
      </c>
      <c r="N1528" s="20">
        <f>VLOOKUP($O1528,매칭테이블!$G:$J,4,0)*H1528</f>
        <v/>
      </c>
      <c r="O1528" s="20">
        <f>F1528&amp;E1528&amp;I1528&amp;J1528</f>
        <v/>
      </c>
    </row>
    <row r="1529" ht="16.5" customHeight="1" s="17">
      <c r="B1529" s="16" t="n">
        <v>44064</v>
      </c>
      <c r="C1529" s="20" t="inlineStr">
        <is>
          <t>금</t>
        </is>
      </c>
      <c r="E1529" s="20" t="inlineStr">
        <is>
          <t>고체향수</t>
        </is>
      </c>
      <c r="F1529" s="20" t="inlineStr">
        <is>
          <t>카페24</t>
        </is>
      </c>
      <c r="H1529" s="20" t="n">
        <v>1</v>
      </c>
      <c r="I1529" s="20" t="inlineStr">
        <is>
          <t>이그나이트 + 스테이포에버</t>
        </is>
      </c>
      <c r="J1529" s="20" t="n">
        <v>200720</v>
      </c>
      <c r="L1529" s="20">
        <f>VLOOKUP($O1529,매칭테이블!$G:$J,2,0)*H1529</f>
        <v/>
      </c>
      <c r="M1529" s="20">
        <f>L1529-L1529*VLOOKUP($O1529,매칭테이블!$G:$J,3,0)</f>
        <v/>
      </c>
      <c r="N1529" s="20">
        <f>VLOOKUP($O1529,매칭테이블!$G:$J,4,0)*H1529</f>
        <v/>
      </c>
      <c r="O1529" s="20">
        <f>F1529&amp;E1529&amp;I1529&amp;J1529</f>
        <v/>
      </c>
    </row>
    <row r="1530" ht="16.5" customHeight="1" s="17">
      <c r="B1530" s="16" t="n">
        <v>44064</v>
      </c>
      <c r="C1530" s="20" t="inlineStr">
        <is>
          <t>금</t>
        </is>
      </c>
      <c r="E1530" s="20" t="inlineStr">
        <is>
          <t>고체향수</t>
        </is>
      </c>
      <c r="F1530" s="20" t="inlineStr">
        <is>
          <t>카페24</t>
        </is>
      </c>
      <c r="H1530" s="20" t="n">
        <v>54</v>
      </c>
      <c r="I1530" s="20" t="inlineStr">
        <is>
          <t>스테이포에버</t>
        </is>
      </c>
      <c r="J1530" s="20" t="n">
        <v>200720</v>
      </c>
      <c r="L1530" s="20">
        <f>VLOOKUP($O1530,매칭테이블!$G:$J,2,0)*H1530</f>
        <v/>
      </c>
      <c r="M1530" s="20">
        <f>L1530-L1530*VLOOKUP($O1530,매칭테이블!$G:$J,3,0)</f>
        <v/>
      </c>
      <c r="N1530" s="20">
        <f>VLOOKUP($O1530,매칭테이블!$G:$J,4,0)*H1530</f>
        <v/>
      </c>
      <c r="O1530" s="20">
        <f>F1530&amp;E1530&amp;I1530&amp;J1530</f>
        <v/>
      </c>
    </row>
    <row r="1531" ht="16.5" customHeight="1" s="17">
      <c r="B1531" s="16" t="n">
        <v>44064</v>
      </c>
      <c r="C1531" s="20" t="inlineStr">
        <is>
          <t>금</t>
        </is>
      </c>
      <c r="E1531" s="20" t="inlineStr">
        <is>
          <t>고체향수</t>
        </is>
      </c>
      <c r="F1531" s="20" t="inlineStr">
        <is>
          <t>카페24</t>
        </is>
      </c>
      <c r="H1531" s="20" t="n">
        <v>10</v>
      </c>
      <c r="I1531" s="20" t="inlineStr">
        <is>
          <t>스테이포에버 2set</t>
        </is>
      </c>
      <c r="J1531" s="20" t="n">
        <v>200720</v>
      </c>
      <c r="L1531" s="20">
        <f>VLOOKUP($O1531,매칭테이블!$G:$J,2,0)*H1531</f>
        <v/>
      </c>
      <c r="M1531" s="20">
        <f>L1531-L1531*VLOOKUP($O1531,매칭테이블!$G:$J,3,0)</f>
        <v/>
      </c>
      <c r="N1531" s="20">
        <f>VLOOKUP($O1531,매칭테이블!$G:$J,4,0)*H1531</f>
        <v/>
      </c>
      <c r="O1531" s="20">
        <f>F1531&amp;E1531&amp;I1531&amp;J1531</f>
        <v/>
      </c>
    </row>
    <row r="1532" ht="16.5" customHeight="1" s="17">
      <c r="B1532" s="16" t="n">
        <v>44064</v>
      </c>
      <c r="C1532" s="20" t="inlineStr">
        <is>
          <t>금</t>
        </is>
      </c>
      <c r="E1532" s="20" t="inlineStr">
        <is>
          <t>고체향수</t>
        </is>
      </c>
      <c r="F1532" s="20" t="inlineStr">
        <is>
          <t>카페24</t>
        </is>
      </c>
      <c r="H1532" s="20" t="n">
        <v>1</v>
      </c>
      <c r="I1532" s="20" t="inlineStr">
        <is>
          <t>이그나이트 2set</t>
        </is>
      </c>
      <c r="J1532" s="20" t="n">
        <v>200720</v>
      </c>
      <c r="L1532" s="20">
        <f>VLOOKUP($O1532,매칭테이블!$G:$J,2,0)*H1532</f>
        <v/>
      </c>
      <c r="M1532" s="20">
        <f>L1532-L1532*VLOOKUP($O1532,매칭테이블!$G:$J,3,0)</f>
        <v/>
      </c>
      <c r="N1532" s="20">
        <f>VLOOKUP($O1532,매칭테이블!$G:$J,4,0)*H1532</f>
        <v/>
      </c>
      <c r="O1532" s="20">
        <f>F1532&amp;E1532&amp;I1532&amp;J1532</f>
        <v/>
      </c>
    </row>
    <row r="1533" ht="16.5" customHeight="1" s="17">
      <c r="B1533" s="16" t="n">
        <v>44064</v>
      </c>
      <c r="C1533" s="20" t="inlineStr">
        <is>
          <t>금</t>
        </is>
      </c>
      <c r="E1533" s="20" t="inlineStr">
        <is>
          <t>쇼핑백</t>
        </is>
      </c>
      <c r="F1533" s="20" t="inlineStr">
        <is>
          <t>카페24</t>
        </is>
      </c>
      <c r="H1533" s="20" t="n">
        <v>3</v>
      </c>
      <c r="I1533" s="20" t="inlineStr">
        <is>
          <t>유즈쇼핑백</t>
        </is>
      </c>
      <c r="J1533" s="20" t="n">
        <v>200720</v>
      </c>
      <c r="L1533" s="20">
        <f>VLOOKUP($O1533,매칭테이블!$G:$J,2,0)*H1533</f>
        <v/>
      </c>
      <c r="M1533" s="20">
        <f>L1533-L1533*VLOOKUP($O1533,매칭테이블!$G:$J,3,0)</f>
        <v/>
      </c>
      <c r="N1533" s="20">
        <f>VLOOKUP($O1533,매칭테이블!$G:$J,4,0)*H1533</f>
        <v/>
      </c>
      <c r="O1533" s="20">
        <f>F1533&amp;E1533&amp;I1533&amp;J1533</f>
        <v/>
      </c>
    </row>
    <row r="1534" ht="16.5" customHeight="1" s="17">
      <c r="B1534" s="16" t="n">
        <v>44065</v>
      </c>
      <c r="C1534" s="20" t="inlineStr">
        <is>
          <t>토</t>
        </is>
      </c>
      <c r="E1534" s="20" t="inlineStr">
        <is>
          <t>고체향수</t>
        </is>
      </c>
      <c r="F1534" s="20" t="inlineStr">
        <is>
          <t>카페24</t>
        </is>
      </c>
      <c r="H1534" s="20" t="n">
        <v>2</v>
      </c>
      <c r="I1534" s="20" t="inlineStr">
        <is>
          <t>이그나이트 + 스테이포에버</t>
        </is>
      </c>
      <c r="J1534" s="20" t="n">
        <v>200720</v>
      </c>
      <c r="L1534" s="20">
        <f>VLOOKUP($O1534,매칭테이블!$G:$J,2,0)*H1534</f>
        <v/>
      </c>
      <c r="M1534" s="20">
        <f>L1534-L1534*VLOOKUP($O1534,매칭테이블!$G:$J,3,0)</f>
        <v/>
      </c>
      <c r="N1534" s="20">
        <f>VLOOKUP($O1534,매칭테이블!$G:$J,4,0)*H1534</f>
        <v/>
      </c>
      <c r="O1534" s="20">
        <f>F1534&amp;E1534&amp;I1534&amp;J1534</f>
        <v/>
      </c>
    </row>
    <row r="1535" ht="16.5" customHeight="1" s="17">
      <c r="B1535" s="16" t="n">
        <v>44065</v>
      </c>
      <c r="C1535" s="20" t="inlineStr">
        <is>
          <t>토</t>
        </is>
      </c>
      <c r="E1535" s="20" t="inlineStr">
        <is>
          <t>고체향수</t>
        </is>
      </c>
      <c r="F1535" s="20" t="inlineStr">
        <is>
          <t>카페24</t>
        </is>
      </c>
      <c r="H1535" s="20" t="n">
        <v>49</v>
      </c>
      <c r="I1535" s="20" t="inlineStr">
        <is>
          <t>스테이포에버</t>
        </is>
      </c>
      <c r="J1535" s="20" t="n">
        <v>200720</v>
      </c>
      <c r="L1535" s="20">
        <f>VLOOKUP($O1535,매칭테이블!$G:$J,2,0)*H1535</f>
        <v/>
      </c>
      <c r="M1535" s="20">
        <f>L1535-L1535*VLOOKUP($O1535,매칭테이블!$G:$J,3,0)</f>
        <v/>
      </c>
      <c r="N1535" s="20">
        <f>VLOOKUP($O1535,매칭테이블!$G:$J,4,0)*H1535</f>
        <v/>
      </c>
      <c r="O1535" s="20">
        <f>F1535&amp;E1535&amp;I1535&amp;J1535</f>
        <v/>
      </c>
    </row>
    <row r="1536" ht="16.5" customHeight="1" s="17">
      <c r="B1536" s="16" t="n">
        <v>44065</v>
      </c>
      <c r="C1536" s="20" t="inlineStr">
        <is>
          <t>토</t>
        </is>
      </c>
      <c r="E1536" s="20" t="inlineStr">
        <is>
          <t>고체향수</t>
        </is>
      </c>
      <c r="F1536" s="20" t="inlineStr">
        <is>
          <t>카페24</t>
        </is>
      </c>
      <c r="H1536" s="20" t="n">
        <v>13</v>
      </c>
      <c r="I1536" s="20" t="inlineStr">
        <is>
          <t>스테이포에버 2set</t>
        </is>
      </c>
      <c r="J1536" s="20" t="n">
        <v>200720</v>
      </c>
      <c r="L1536" s="20">
        <f>VLOOKUP($O1536,매칭테이블!$G:$J,2,0)*H1536</f>
        <v/>
      </c>
      <c r="M1536" s="20">
        <f>L1536-L1536*VLOOKUP($O1536,매칭테이블!$G:$J,3,0)</f>
        <v/>
      </c>
      <c r="N1536" s="20">
        <f>VLOOKUP($O1536,매칭테이블!$G:$J,4,0)*H1536</f>
        <v/>
      </c>
      <c r="O1536" s="20">
        <f>F1536&amp;E1536&amp;I1536&amp;J1536</f>
        <v/>
      </c>
    </row>
    <row r="1537" ht="16.5" customHeight="1" s="17">
      <c r="B1537" s="16" t="n">
        <v>44065</v>
      </c>
      <c r="C1537" s="20" t="inlineStr">
        <is>
          <t>토</t>
        </is>
      </c>
      <c r="E1537" s="20" t="inlineStr">
        <is>
          <t>고체향수</t>
        </is>
      </c>
      <c r="F1537" s="20" t="inlineStr">
        <is>
          <t>카페24</t>
        </is>
      </c>
      <c r="H1537" s="20" t="n">
        <v>3</v>
      </c>
      <c r="I1537" s="20" t="inlineStr">
        <is>
          <t>이그나이트</t>
        </is>
      </c>
      <c r="J1537" s="20" t="n">
        <v>200720</v>
      </c>
      <c r="L1537" s="20">
        <f>VLOOKUP($O1537,매칭테이블!$G:$J,2,0)*H1537</f>
        <v/>
      </c>
      <c r="M1537" s="20">
        <f>L1537-L1537*VLOOKUP($O1537,매칭테이블!$G:$J,3,0)</f>
        <v/>
      </c>
      <c r="N1537" s="20">
        <f>VLOOKUP($O1537,매칭테이블!$G:$J,4,0)*H1537</f>
        <v/>
      </c>
      <c r="O1537" s="20">
        <f>F1537&amp;E1537&amp;I1537&amp;J1537</f>
        <v/>
      </c>
    </row>
    <row r="1538" ht="16.5" customHeight="1" s="17">
      <c r="B1538" s="16" t="n">
        <v>44065</v>
      </c>
      <c r="C1538" s="20" t="inlineStr">
        <is>
          <t>토</t>
        </is>
      </c>
      <c r="E1538" s="20" t="inlineStr">
        <is>
          <t>고체향수</t>
        </is>
      </c>
      <c r="F1538" s="20" t="inlineStr">
        <is>
          <t>카페24</t>
        </is>
      </c>
      <c r="H1538" s="20" t="n">
        <v>1</v>
      </c>
      <c r="I1538" s="20" t="inlineStr">
        <is>
          <t>이그나이트 2set</t>
        </is>
      </c>
      <c r="J1538" s="20" t="n">
        <v>200720</v>
      </c>
      <c r="L1538" s="20">
        <f>VLOOKUP($O1538,매칭테이블!$G:$J,2,0)*H1538</f>
        <v/>
      </c>
      <c r="M1538" s="20">
        <f>L1538-L1538*VLOOKUP($O1538,매칭테이블!$G:$J,3,0)</f>
        <v/>
      </c>
      <c r="N1538" s="20">
        <f>VLOOKUP($O1538,매칭테이블!$G:$J,4,0)*H1538</f>
        <v/>
      </c>
      <c r="O1538" s="20">
        <f>F1538&amp;E1538&amp;I1538&amp;J1538</f>
        <v/>
      </c>
    </row>
    <row r="1539" ht="16.5" customHeight="1" s="17">
      <c r="B1539" s="16" t="n">
        <v>44065</v>
      </c>
      <c r="C1539" s="20" t="inlineStr">
        <is>
          <t>토</t>
        </is>
      </c>
      <c r="E1539" s="20" t="inlineStr">
        <is>
          <t>쇼핑백</t>
        </is>
      </c>
      <c r="F1539" s="20" t="inlineStr">
        <is>
          <t>카페24</t>
        </is>
      </c>
      <c r="H1539" s="20" t="n">
        <v>2</v>
      </c>
      <c r="I1539" s="20" t="inlineStr">
        <is>
          <t>유즈쇼핑백</t>
        </is>
      </c>
      <c r="J1539" s="20" t="n">
        <v>200720</v>
      </c>
      <c r="L1539" s="20">
        <f>VLOOKUP($O1539,매칭테이블!$G:$J,2,0)*H1539</f>
        <v/>
      </c>
      <c r="M1539" s="20">
        <f>L1539-L1539*VLOOKUP($O1539,매칭테이블!$G:$J,3,0)</f>
        <v/>
      </c>
      <c r="N1539" s="20">
        <f>VLOOKUP($O1539,매칭테이블!$G:$J,4,0)*H1539</f>
        <v/>
      </c>
      <c r="O1539" s="20">
        <f>F1539&amp;E1539&amp;I1539&amp;J1539</f>
        <v/>
      </c>
    </row>
    <row r="1540" ht="16.5" customHeight="1" s="17">
      <c r="B1540" s="16" t="n">
        <v>44066</v>
      </c>
      <c r="C1540" s="20" t="inlineStr">
        <is>
          <t>일</t>
        </is>
      </c>
      <c r="E1540" s="20" t="inlineStr">
        <is>
          <t>고체향수</t>
        </is>
      </c>
      <c r="F1540" s="20" t="inlineStr">
        <is>
          <t>카페24</t>
        </is>
      </c>
      <c r="H1540" s="20" t="n">
        <v>1</v>
      </c>
      <c r="I1540" s="20" t="inlineStr">
        <is>
          <t>이그나이트 + 스테이포에버</t>
        </is>
      </c>
      <c r="J1540" s="20" t="n">
        <v>200720</v>
      </c>
      <c r="L1540" s="20">
        <f>VLOOKUP($O1540,매칭테이블!$G:$J,2,0)*H1540</f>
        <v/>
      </c>
      <c r="M1540" s="20">
        <f>L1540-L1540*VLOOKUP($O1540,매칭테이블!$G:$J,3,0)</f>
        <v/>
      </c>
      <c r="N1540" s="20">
        <f>VLOOKUP($O1540,매칭테이블!$G:$J,4,0)*H1540</f>
        <v/>
      </c>
      <c r="O1540" s="20">
        <f>F1540&amp;E1540&amp;I1540&amp;J1540</f>
        <v/>
      </c>
    </row>
    <row r="1541" ht="16.5" customHeight="1" s="17">
      <c r="B1541" s="16" t="n">
        <v>44066</v>
      </c>
      <c r="C1541" s="20" t="inlineStr">
        <is>
          <t>일</t>
        </is>
      </c>
      <c r="E1541" s="20" t="inlineStr">
        <is>
          <t>고체향수</t>
        </is>
      </c>
      <c r="F1541" s="20" t="inlineStr">
        <is>
          <t>카페24</t>
        </is>
      </c>
      <c r="H1541" s="20" t="n">
        <v>68</v>
      </c>
      <c r="I1541" s="20" t="inlineStr">
        <is>
          <t>스테이포에버</t>
        </is>
      </c>
      <c r="J1541" s="20" t="n">
        <v>200720</v>
      </c>
      <c r="L1541" s="20">
        <f>VLOOKUP($O1541,매칭테이블!$G:$J,2,0)*H1541</f>
        <v/>
      </c>
      <c r="M1541" s="20">
        <f>L1541-L1541*VLOOKUP($O1541,매칭테이블!$G:$J,3,0)</f>
        <v/>
      </c>
      <c r="N1541" s="20">
        <f>VLOOKUP($O1541,매칭테이블!$G:$J,4,0)*H1541</f>
        <v/>
      </c>
      <c r="O1541" s="20">
        <f>F1541&amp;E1541&amp;I1541&amp;J1541</f>
        <v/>
      </c>
    </row>
    <row r="1542" ht="16.5" customHeight="1" s="17">
      <c r="B1542" s="16" t="n">
        <v>44066</v>
      </c>
      <c r="C1542" s="20" t="inlineStr">
        <is>
          <t>일</t>
        </is>
      </c>
      <c r="E1542" s="20" t="inlineStr">
        <is>
          <t>고체향수</t>
        </is>
      </c>
      <c r="F1542" s="20" t="inlineStr">
        <is>
          <t>카페24</t>
        </is>
      </c>
      <c r="H1542" s="20" t="n">
        <v>21</v>
      </c>
      <c r="I1542" s="20" t="inlineStr">
        <is>
          <t>스테이포에버 2set</t>
        </is>
      </c>
      <c r="J1542" s="20" t="n">
        <v>200720</v>
      </c>
      <c r="L1542" s="20">
        <f>VLOOKUP($O1542,매칭테이블!$G:$J,2,0)*H1542</f>
        <v/>
      </c>
      <c r="M1542" s="20">
        <f>L1542-L1542*VLOOKUP($O1542,매칭테이블!$G:$J,3,0)</f>
        <v/>
      </c>
      <c r="N1542" s="20">
        <f>VLOOKUP($O1542,매칭테이블!$G:$J,4,0)*H1542</f>
        <v/>
      </c>
      <c r="O1542" s="20">
        <f>F1542&amp;E1542&amp;I1542&amp;J1542</f>
        <v/>
      </c>
    </row>
    <row r="1543" ht="16.5" customHeight="1" s="17">
      <c r="B1543" s="16" t="n">
        <v>44066</v>
      </c>
      <c r="C1543" s="20" t="inlineStr">
        <is>
          <t>일</t>
        </is>
      </c>
      <c r="E1543" s="20" t="inlineStr">
        <is>
          <t>고체향수</t>
        </is>
      </c>
      <c r="F1543" s="20" t="inlineStr">
        <is>
          <t>카페24</t>
        </is>
      </c>
      <c r="H1543" s="20" t="n">
        <v>2</v>
      </c>
      <c r="I1543" s="20" t="inlineStr">
        <is>
          <t>이그나이트</t>
        </is>
      </c>
      <c r="J1543" s="20" t="n">
        <v>200720</v>
      </c>
      <c r="L1543" s="20">
        <f>VLOOKUP($O1543,매칭테이블!$G:$J,2,0)*H1543</f>
        <v/>
      </c>
      <c r="M1543" s="20">
        <f>L1543-L1543*VLOOKUP($O1543,매칭테이블!$G:$J,3,0)</f>
        <v/>
      </c>
      <c r="N1543" s="20">
        <f>VLOOKUP($O1543,매칭테이블!$G:$J,4,0)*H1543</f>
        <v/>
      </c>
      <c r="O1543" s="20">
        <f>F1543&amp;E1543&amp;I1543&amp;J1543</f>
        <v/>
      </c>
    </row>
    <row r="1544" ht="16.5" customHeight="1" s="17">
      <c r="B1544" s="16" t="n">
        <v>44066</v>
      </c>
      <c r="C1544" s="20" t="inlineStr">
        <is>
          <t>일</t>
        </is>
      </c>
      <c r="E1544" s="20" t="inlineStr">
        <is>
          <t>쇼핑백</t>
        </is>
      </c>
      <c r="F1544" s="20" t="inlineStr">
        <is>
          <t>카페24</t>
        </is>
      </c>
      <c r="H1544" s="20" t="n">
        <v>1</v>
      </c>
      <c r="I1544" s="20" t="inlineStr">
        <is>
          <t>유즈쇼핑백</t>
        </is>
      </c>
      <c r="J1544" s="20" t="n">
        <v>200720</v>
      </c>
      <c r="L1544" s="20">
        <f>VLOOKUP($O1544,매칭테이블!$G:$J,2,0)*H1544</f>
        <v/>
      </c>
      <c r="M1544" s="20">
        <f>L1544-L1544*VLOOKUP($O1544,매칭테이블!$G:$J,3,0)</f>
        <v/>
      </c>
      <c r="N1544" s="20">
        <f>VLOOKUP($O1544,매칭테이블!$G:$J,4,0)*H1544</f>
        <v/>
      </c>
      <c r="O1544" s="20">
        <f>F1544&amp;E1544&amp;I1544&amp;J1544</f>
        <v/>
      </c>
    </row>
    <row r="1545" ht="16.5" customHeight="1" s="17">
      <c r="B1545" s="16" t="n">
        <v>44067</v>
      </c>
      <c r="C1545" s="20" t="inlineStr">
        <is>
          <t>월</t>
        </is>
      </c>
      <c r="E1545" s="20" t="inlineStr">
        <is>
          <t>고체향수</t>
        </is>
      </c>
      <c r="F1545" s="20" t="inlineStr">
        <is>
          <t>카페24</t>
        </is>
      </c>
      <c r="H1545" s="20" t="n">
        <v>4</v>
      </c>
      <c r="I1545" s="20" t="inlineStr">
        <is>
          <t>이그나이트 + 스테이포에버</t>
        </is>
      </c>
      <c r="J1545" s="20" t="n">
        <v>200720</v>
      </c>
      <c r="L1545" s="20">
        <f>VLOOKUP($O1545,매칭테이블!$G:$J,2,0)*H1545</f>
        <v/>
      </c>
      <c r="M1545" s="20">
        <f>L1545-L1545*VLOOKUP($O1545,매칭테이블!$G:$J,3,0)</f>
        <v/>
      </c>
      <c r="N1545" s="20">
        <f>VLOOKUP($O1545,매칭테이블!$G:$J,4,0)*H1545</f>
        <v/>
      </c>
      <c r="O1545" s="20">
        <f>F1545&amp;E1545&amp;I1545&amp;J1545</f>
        <v/>
      </c>
    </row>
    <row r="1546" ht="16.5" customHeight="1" s="17">
      <c r="B1546" s="16" t="n">
        <v>44067</v>
      </c>
      <c r="C1546" s="20" t="inlineStr">
        <is>
          <t>월</t>
        </is>
      </c>
      <c r="E1546" s="20" t="inlineStr">
        <is>
          <t>고체향수</t>
        </is>
      </c>
      <c r="F1546" s="20" t="inlineStr">
        <is>
          <t>카페24</t>
        </is>
      </c>
      <c r="H1546" s="20" t="n">
        <v>58</v>
      </c>
      <c r="I1546" s="20" t="inlineStr">
        <is>
          <t>스테이포에버</t>
        </is>
      </c>
      <c r="J1546" s="20" t="n">
        <v>200720</v>
      </c>
      <c r="L1546" s="20">
        <f>VLOOKUP($O1546,매칭테이블!$G:$J,2,0)*H1546</f>
        <v/>
      </c>
      <c r="M1546" s="20">
        <f>L1546-L1546*VLOOKUP($O1546,매칭테이블!$G:$J,3,0)</f>
        <v/>
      </c>
      <c r="N1546" s="20">
        <f>VLOOKUP($O1546,매칭테이블!$G:$J,4,0)*H1546</f>
        <v/>
      </c>
      <c r="O1546" s="20">
        <f>F1546&amp;E1546&amp;I1546&amp;J1546</f>
        <v/>
      </c>
    </row>
    <row r="1547" ht="16.5" customHeight="1" s="17">
      <c r="B1547" s="16" t="n">
        <v>44067</v>
      </c>
      <c r="C1547" s="20" t="inlineStr">
        <is>
          <t>월</t>
        </is>
      </c>
      <c r="E1547" s="20" t="inlineStr">
        <is>
          <t>고체향수</t>
        </is>
      </c>
      <c r="F1547" s="20" t="inlineStr">
        <is>
          <t>카페24</t>
        </is>
      </c>
      <c r="H1547" s="20" t="n">
        <v>13</v>
      </c>
      <c r="I1547" s="20" t="inlineStr">
        <is>
          <t>스테이포에버 2set</t>
        </is>
      </c>
      <c r="J1547" s="20" t="n">
        <v>200720</v>
      </c>
      <c r="L1547" s="20">
        <f>VLOOKUP($O1547,매칭테이블!$G:$J,2,0)*H1547</f>
        <v/>
      </c>
      <c r="M1547" s="20">
        <f>L1547-L1547*VLOOKUP($O1547,매칭테이블!$G:$J,3,0)</f>
        <v/>
      </c>
      <c r="N1547" s="20">
        <f>VLOOKUP($O1547,매칭테이블!$G:$J,4,0)*H1547</f>
        <v/>
      </c>
      <c r="O1547" s="20">
        <f>F1547&amp;E1547&amp;I1547&amp;J1547</f>
        <v/>
      </c>
    </row>
    <row r="1548" ht="16.5" customHeight="1" s="17">
      <c r="B1548" s="16" t="n">
        <v>44067</v>
      </c>
      <c r="C1548" s="20" t="inlineStr">
        <is>
          <t>월</t>
        </is>
      </c>
      <c r="E1548" s="20" t="inlineStr">
        <is>
          <t>고체향수</t>
        </is>
      </c>
      <c r="F1548" s="20" t="inlineStr">
        <is>
          <t>카페24</t>
        </is>
      </c>
      <c r="H1548" s="20" t="n">
        <v>1</v>
      </c>
      <c r="I1548" s="20" t="inlineStr">
        <is>
          <t>이그나이트</t>
        </is>
      </c>
      <c r="J1548" s="20" t="n">
        <v>200720</v>
      </c>
      <c r="L1548" s="20">
        <f>VLOOKUP($O1548,매칭테이블!$G:$J,2,0)*H1548</f>
        <v/>
      </c>
      <c r="M1548" s="20">
        <f>L1548-L1548*VLOOKUP($O1548,매칭테이블!$G:$J,3,0)</f>
        <v/>
      </c>
      <c r="N1548" s="20">
        <f>VLOOKUP($O1548,매칭테이블!$G:$J,4,0)*H1548</f>
        <v/>
      </c>
      <c r="O1548" s="20">
        <f>F1548&amp;E1548&amp;I1548&amp;J1548</f>
        <v/>
      </c>
    </row>
    <row r="1549" ht="16.5" customHeight="1" s="17">
      <c r="B1549" s="16" t="n">
        <v>44067</v>
      </c>
      <c r="C1549" s="20" t="inlineStr">
        <is>
          <t>월</t>
        </is>
      </c>
      <c r="E1549" s="20" t="inlineStr">
        <is>
          <t>쇼핑백</t>
        </is>
      </c>
      <c r="F1549" s="20" t="inlineStr">
        <is>
          <t>카페24</t>
        </is>
      </c>
      <c r="H1549" s="20" t="n">
        <v>2</v>
      </c>
      <c r="I1549" s="20" t="inlineStr">
        <is>
          <t>유즈쇼핑백</t>
        </is>
      </c>
      <c r="J1549" s="20" t="n">
        <v>200720</v>
      </c>
      <c r="L1549" s="20">
        <f>VLOOKUP($O1549,매칭테이블!$G:$J,2,0)*H1549</f>
        <v/>
      </c>
      <c r="M1549" s="20">
        <f>L1549-L1549*VLOOKUP($O1549,매칭테이블!$G:$J,3,0)</f>
        <v/>
      </c>
      <c r="N1549" s="20">
        <f>VLOOKUP($O1549,매칭테이블!$G:$J,4,0)*H1549</f>
        <v/>
      </c>
      <c r="O1549" s="20">
        <f>F1549&amp;E1549&amp;I1549&amp;J1549</f>
        <v/>
      </c>
    </row>
    <row r="1550" ht="16.5" customHeight="1" s="17">
      <c r="B1550" s="16" t="n">
        <v>44068</v>
      </c>
      <c r="C1550" s="20" t="inlineStr">
        <is>
          <t>화</t>
        </is>
      </c>
      <c r="E1550" s="20" t="inlineStr">
        <is>
          <t>고체향수</t>
        </is>
      </c>
      <c r="F1550" s="20" t="inlineStr">
        <is>
          <t>카페24</t>
        </is>
      </c>
      <c r="H1550" s="20" t="n">
        <v>1</v>
      </c>
      <c r="I1550" s="20" t="inlineStr">
        <is>
          <t>이그나이트 + 스테이포에버</t>
        </is>
      </c>
      <c r="J1550" s="20" t="n">
        <v>200720</v>
      </c>
      <c r="L1550" s="20">
        <f>VLOOKUP($O1550,매칭테이블!$G:$J,2,0)*H1550</f>
        <v/>
      </c>
      <c r="M1550" s="20">
        <f>L1550-L1550*VLOOKUP($O1550,매칭테이블!$G:$J,3,0)</f>
        <v/>
      </c>
      <c r="N1550" s="20">
        <f>VLOOKUP($O1550,매칭테이블!$G:$J,4,0)*H1550</f>
        <v/>
      </c>
      <c r="O1550" s="20">
        <f>F1550&amp;E1550&amp;I1550&amp;J1550</f>
        <v/>
      </c>
    </row>
    <row r="1551" ht="16.5" customHeight="1" s="17">
      <c r="B1551" s="16" t="n">
        <v>44068</v>
      </c>
      <c r="C1551" s="20" t="inlineStr">
        <is>
          <t>화</t>
        </is>
      </c>
      <c r="E1551" s="20" t="inlineStr">
        <is>
          <t>고체향수</t>
        </is>
      </c>
      <c r="F1551" s="20" t="inlineStr">
        <is>
          <t>카페24</t>
        </is>
      </c>
      <c r="H1551" s="20" t="n">
        <v>66</v>
      </c>
      <c r="I1551" s="20" t="inlineStr">
        <is>
          <t>스테이포에버</t>
        </is>
      </c>
      <c r="J1551" s="20" t="n">
        <v>200720</v>
      </c>
      <c r="L1551" s="20">
        <f>VLOOKUP($O1551,매칭테이블!$G:$J,2,0)*H1551</f>
        <v/>
      </c>
      <c r="M1551" s="20">
        <f>L1551-L1551*VLOOKUP($O1551,매칭테이블!$G:$J,3,0)</f>
        <v/>
      </c>
      <c r="N1551" s="20">
        <f>VLOOKUP($O1551,매칭테이블!$G:$J,4,0)*H1551</f>
        <v/>
      </c>
      <c r="O1551" s="20">
        <f>F1551&amp;E1551&amp;I1551&amp;J1551</f>
        <v/>
      </c>
    </row>
    <row r="1552" ht="16.5" customHeight="1" s="17">
      <c r="B1552" s="16" t="n">
        <v>44068</v>
      </c>
      <c r="C1552" s="20" t="inlineStr">
        <is>
          <t>화</t>
        </is>
      </c>
      <c r="E1552" s="20" t="inlineStr">
        <is>
          <t>고체향수</t>
        </is>
      </c>
      <c r="F1552" s="20" t="inlineStr">
        <is>
          <t>카페24</t>
        </is>
      </c>
      <c r="H1552" s="20" t="n">
        <v>7</v>
      </c>
      <c r="I1552" s="20" t="inlineStr">
        <is>
          <t>스테이포에버 2set</t>
        </is>
      </c>
      <c r="J1552" s="20" t="n">
        <v>200720</v>
      </c>
      <c r="L1552" s="20">
        <f>VLOOKUP($O1552,매칭테이블!$G:$J,2,0)*H1552</f>
        <v/>
      </c>
      <c r="M1552" s="20">
        <f>L1552-L1552*VLOOKUP($O1552,매칭테이블!$G:$J,3,0)</f>
        <v/>
      </c>
      <c r="N1552" s="20">
        <f>VLOOKUP($O1552,매칭테이블!$G:$J,4,0)*H1552</f>
        <v/>
      </c>
      <c r="O1552" s="20">
        <f>F1552&amp;E1552&amp;I1552&amp;J1552</f>
        <v/>
      </c>
    </row>
    <row r="1553" ht="16.5" customHeight="1" s="17">
      <c r="B1553" s="16" t="n">
        <v>44068</v>
      </c>
      <c r="C1553" s="20" t="inlineStr">
        <is>
          <t>화</t>
        </is>
      </c>
      <c r="E1553" s="20" t="inlineStr">
        <is>
          <t>쇼핑백</t>
        </is>
      </c>
      <c r="F1553" s="20" t="inlineStr">
        <is>
          <t>카페24</t>
        </is>
      </c>
      <c r="H1553" s="20" t="n">
        <v>3</v>
      </c>
      <c r="I1553" s="20" t="inlineStr">
        <is>
          <t>유즈쇼핑백</t>
        </is>
      </c>
      <c r="J1553" s="20" t="n">
        <v>200720</v>
      </c>
      <c r="L1553" s="20">
        <f>VLOOKUP($O1553,매칭테이블!$G:$J,2,0)*H1553</f>
        <v/>
      </c>
      <c r="M1553" s="20">
        <f>L1553-L1553*VLOOKUP($O1553,매칭테이블!$G:$J,3,0)</f>
        <v/>
      </c>
      <c r="N1553" s="20">
        <f>VLOOKUP($O1553,매칭테이블!$G:$J,4,0)*H1553</f>
        <v/>
      </c>
      <c r="O1553" s="20">
        <f>F1553&amp;E1553&amp;I1553&amp;J1553</f>
        <v/>
      </c>
    </row>
    <row r="1554" ht="16.5" customHeight="1" s="17">
      <c r="B1554" s="16" t="n">
        <v>44069</v>
      </c>
      <c r="C1554" s="20" t="inlineStr">
        <is>
          <t>수</t>
        </is>
      </c>
      <c r="E1554" s="20" t="inlineStr">
        <is>
          <t>고체향수</t>
        </is>
      </c>
      <c r="F1554" s="20" t="inlineStr">
        <is>
          <t>카페24</t>
        </is>
      </c>
      <c r="H1554" s="20" t="n">
        <v>3</v>
      </c>
      <c r="I1554" s="20" t="inlineStr">
        <is>
          <t>이그나이트 + 스테이포에버</t>
        </is>
      </c>
      <c r="J1554" s="20" t="n">
        <v>200720</v>
      </c>
      <c r="L1554" s="20">
        <f>VLOOKUP($O1554,매칭테이블!$G:$J,2,0)*H1554</f>
        <v/>
      </c>
      <c r="M1554" s="20">
        <f>L1554-L1554*VLOOKUP($O1554,매칭테이블!$G:$J,3,0)</f>
        <v/>
      </c>
      <c r="N1554" s="20">
        <f>VLOOKUP($O1554,매칭테이블!$G:$J,4,0)*H1554</f>
        <v/>
      </c>
      <c r="O1554" s="20">
        <f>F1554&amp;E1554&amp;I1554&amp;J1554</f>
        <v/>
      </c>
    </row>
    <row r="1555" ht="16.5" customHeight="1" s="17">
      <c r="B1555" s="16" t="n">
        <v>44069</v>
      </c>
      <c r="C1555" s="20" t="inlineStr">
        <is>
          <t>수</t>
        </is>
      </c>
      <c r="E1555" s="20" t="inlineStr">
        <is>
          <t>고체향수</t>
        </is>
      </c>
      <c r="F1555" s="20" t="inlineStr">
        <is>
          <t>카페24</t>
        </is>
      </c>
      <c r="H1555" s="20" t="n">
        <v>71</v>
      </c>
      <c r="I1555" s="20" t="inlineStr">
        <is>
          <t>스테이포에버</t>
        </is>
      </c>
      <c r="J1555" s="20" t="n">
        <v>200720</v>
      </c>
      <c r="L1555" s="20">
        <f>VLOOKUP($O1555,매칭테이블!$G:$J,2,0)*H1555</f>
        <v/>
      </c>
      <c r="M1555" s="20">
        <f>L1555-L1555*VLOOKUP($O1555,매칭테이블!$G:$J,3,0)</f>
        <v/>
      </c>
      <c r="N1555" s="20">
        <f>VLOOKUP($O1555,매칭테이블!$G:$J,4,0)*H1555</f>
        <v/>
      </c>
      <c r="O1555" s="20">
        <f>F1555&amp;E1555&amp;I1555&amp;J1555</f>
        <v/>
      </c>
    </row>
    <row r="1556" ht="16.5" customHeight="1" s="17">
      <c r="B1556" s="16" t="n">
        <v>44069</v>
      </c>
      <c r="C1556" s="20" t="inlineStr">
        <is>
          <t>수</t>
        </is>
      </c>
      <c r="E1556" s="20" t="inlineStr">
        <is>
          <t>고체향수</t>
        </is>
      </c>
      <c r="F1556" s="20" t="inlineStr">
        <is>
          <t>카페24</t>
        </is>
      </c>
      <c r="H1556" s="20" t="n">
        <v>13</v>
      </c>
      <c r="I1556" s="20" t="inlineStr">
        <is>
          <t>스테이포에버 2set</t>
        </is>
      </c>
      <c r="J1556" s="20" t="n">
        <v>200720</v>
      </c>
      <c r="L1556" s="20">
        <f>VLOOKUP($O1556,매칭테이블!$G:$J,2,0)*H1556</f>
        <v/>
      </c>
      <c r="M1556" s="20">
        <f>L1556-L1556*VLOOKUP($O1556,매칭테이블!$G:$J,3,0)</f>
        <v/>
      </c>
      <c r="N1556" s="20">
        <f>VLOOKUP($O1556,매칭테이블!$G:$J,4,0)*H1556</f>
        <v/>
      </c>
      <c r="O1556" s="20">
        <f>F1556&amp;E1556&amp;I1556&amp;J1556</f>
        <v/>
      </c>
    </row>
    <row r="1557" ht="16.5" customHeight="1" s="17">
      <c r="B1557" s="16" t="n">
        <v>44069</v>
      </c>
      <c r="C1557" s="20" t="inlineStr">
        <is>
          <t>수</t>
        </is>
      </c>
      <c r="E1557" s="20" t="inlineStr">
        <is>
          <t>고체향수</t>
        </is>
      </c>
      <c r="F1557" s="20" t="inlineStr">
        <is>
          <t>카페24</t>
        </is>
      </c>
      <c r="H1557" s="20" t="n">
        <v>2</v>
      </c>
      <c r="I1557" s="20" t="inlineStr">
        <is>
          <t>이그나이트</t>
        </is>
      </c>
      <c r="J1557" s="20" t="n">
        <v>200720</v>
      </c>
      <c r="L1557" s="20">
        <f>VLOOKUP($O1557,매칭테이블!$G:$J,2,0)*H1557</f>
        <v/>
      </c>
      <c r="M1557" s="20">
        <f>L1557-L1557*VLOOKUP($O1557,매칭테이블!$G:$J,3,0)</f>
        <v/>
      </c>
      <c r="N1557" s="20">
        <f>VLOOKUP($O1557,매칭테이블!$G:$J,4,0)*H1557</f>
        <v/>
      </c>
      <c r="O1557" s="20">
        <f>F1557&amp;E1557&amp;I1557&amp;J1557</f>
        <v/>
      </c>
    </row>
    <row r="1558" ht="16.5" customHeight="1" s="17">
      <c r="B1558" s="16" t="n">
        <v>44069</v>
      </c>
      <c r="C1558" s="20" t="inlineStr">
        <is>
          <t>수</t>
        </is>
      </c>
      <c r="E1558" s="20" t="inlineStr">
        <is>
          <t>쇼핑백</t>
        </is>
      </c>
      <c r="F1558" s="20" t="inlineStr">
        <is>
          <t>카페24</t>
        </is>
      </c>
      <c r="H1558" s="20" t="n">
        <v>1</v>
      </c>
      <c r="I1558" s="20" t="inlineStr">
        <is>
          <t>유즈쇼핑백</t>
        </is>
      </c>
      <c r="J1558" s="20" t="n">
        <v>200720</v>
      </c>
      <c r="L1558" s="20">
        <f>VLOOKUP($O1558,매칭테이블!$G:$J,2,0)*H1558</f>
        <v/>
      </c>
      <c r="M1558" s="20">
        <f>L1558-L1558*VLOOKUP($O1558,매칭테이블!$G:$J,3,0)</f>
        <v/>
      </c>
      <c r="N1558" s="20">
        <f>VLOOKUP($O1558,매칭테이블!$G:$J,4,0)*H1558</f>
        <v/>
      </c>
      <c r="O1558" s="20">
        <f>F1558&amp;E1558&amp;I1558&amp;J1558</f>
        <v/>
      </c>
    </row>
    <row r="1559" ht="16.5" customHeight="1" s="17">
      <c r="B1559" s="16" t="n">
        <v>44070</v>
      </c>
      <c r="C1559" s="20" t="inlineStr">
        <is>
          <t>목</t>
        </is>
      </c>
      <c r="E1559" s="20" t="inlineStr">
        <is>
          <t>고체향수</t>
        </is>
      </c>
      <c r="F1559" s="20" t="inlineStr">
        <is>
          <t>카페24</t>
        </is>
      </c>
      <c r="H1559" s="20" t="n">
        <v>75</v>
      </c>
      <c r="I1559" s="20" t="inlineStr">
        <is>
          <t>스테이포에버</t>
        </is>
      </c>
      <c r="J1559" s="20" t="n">
        <v>200720</v>
      </c>
      <c r="L1559" s="20">
        <f>VLOOKUP($O1559,매칭테이블!$G:$J,2,0)*H1559</f>
        <v/>
      </c>
      <c r="M1559" s="20">
        <f>L1559-L1559*VLOOKUP($O1559,매칭테이블!$G:$J,3,0)</f>
        <v/>
      </c>
      <c r="N1559" s="20">
        <f>VLOOKUP($O1559,매칭테이블!$G:$J,4,0)*H1559</f>
        <v/>
      </c>
      <c r="O1559" s="20">
        <f>F1559&amp;E1559&amp;I1559&amp;J1559</f>
        <v/>
      </c>
    </row>
    <row r="1560" ht="16.5" customHeight="1" s="17">
      <c r="B1560" s="16" t="n">
        <v>44070</v>
      </c>
      <c r="C1560" s="20" t="inlineStr">
        <is>
          <t>목</t>
        </is>
      </c>
      <c r="E1560" s="20" t="inlineStr">
        <is>
          <t>고체향수</t>
        </is>
      </c>
      <c r="F1560" s="20" t="inlineStr">
        <is>
          <t>카페24</t>
        </is>
      </c>
      <c r="H1560" s="20" t="n">
        <v>18</v>
      </c>
      <c r="I1560" s="20" t="inlineStr">
        <is>
          <t>스테이포에버 2set</t>
        </is>
      </c>
      <c r="J1560" s="20" t="n">
        <v>200720</v>
      </c>
      <c r="L1560" s="20">
        <f>VLOOKUP($O1560,매칭테이블!$G:$J,2,0)*H1560</f>
        <v/>
      </c>
      <c r="M1560" s="20">
        <f>L1560-L1560*VLOOKUP($O1560,매칭테이블!$G:$J,3,0)</f>
        <v/>
      </c>
      <c r="N1560" s="20">
        <f>VLOOKUP($O1560,매칭테이블!$G:$J,4,0)*H1560</f>
        <v/>
      </c>
      <c r="O1560" s="20">
        <f>F1560&amp;E1560&amp;I1560&amp;J1560</f>
        <v/>
      </c>
    </row>
    <row r="1561" ht="16.5" customHeight="1" s="17">
      <c r="B1561" s="16" t="n">
        <v>44070</v>
      </c>
      <c r="C1561" s="20" t="inlineStr">
        <is>
          <t>목</t>
        </is>
      </c>
      <c r="E1561" s="20" t="inlineStr">
        <is>
          <t>고체향수</t>
        </is>
      </c>
      <c r="F1561" s="20" t="inlineStr">
        <is>
          <t>카페24</t>
        </is>
      </c>
      <c r="H1561" s="20" t="n">
        <v>1</v>
      </c>
      <c r="I1561" s="20" t="inlineStr">
        <is>
          <t>이그나이트</t>
        </is>
      </c>
      <c r="J1561" s="20" t="n">
        <v>200720</v>
      </c>
      <c r="L1561" s="20">
        <f>VLOOKUP($O1561,매칭테이블!$G:$J,2,0)*H1561</f>
        <v/>
      </c>
      <c r="M1561" s="20">
        <f>L1561-L1561*VLOOKUP($O1561,매칭테이블!$G:$J,3,0)</f>
        <v/>
      </c>
      <c r="N1561" s="20">
        <f>VLOOKUP($O1561,매칭테이블!$G:$J,4,0)*H1561</f>
        <v/>
      </c>
      <c r="O1561" s="20">
        <f>F1561&amp;E1561&amp;I1561&amp;J1561</f>
        <v/>
      </c>
    </row>
    <row r="1562" ht="16.5" customHeight="1" s="17">
      <c r="B1562" s="16" t="n">
        <v>44070</v>
      </c>
      <c r="C1562" s="20" t="inlineStr">
        <is>
          <t>목</t>
        </is>
      </c>
      <c r="E1562" s="20" t="inlineStr">
        <is>
          <t>쇼핑백</t>
        </is>
      </c>
      <c r="F1562" s="20" t="inlineStr">
        <is>
          <t>카페24</t>
        </is>
      </c>
      <c r="H1562" s="20" t="n">
        <v>1</v>
      </c>
      <c r="I1562" s="20" t="inlineStr">
        <is>
          <t>유즈쇼핑백</t>
        </is>
      </c>
      <c r="J1562" s="20" t="n">
        <v>200720</v>
      </c>
      <c r="L1562" s="20">
        <f>VLOOKUP($O1562,매칭테이블!$G:$J,2,0)*H1562</f>
        <v/>
      </c>
      <c r="M1562" s="20">
        <f>L1562-L1562*VLOOKUP($O1562,매칭테이블!$G:$J,3,0)</f>
        <v/>
      </c>
      <c r="N1562" s="20">
        <f>VLOOKUP($O1562,매칭테이블!$G:$J,4,0)*H1562</f>
        <v/>
      </c>
      <c r="O1562" s="20">
        <f>F1562&amp;E1562&amp;I1562&amp;J1562</f>
        <v/>
      </c>
    </row>
    <row r="1563" ht="16.5" customHeight="1" s="17">
      <c r="B1563" s="16" t="n">
        <v>44071</v>
      </c>
      <c r="C1563" s="20" t="inlineStr">
        <is>
          <t>금</t>
        </is>
      </c>
      <c r="E1563" s="20" t="inlineStr">
        <is>
          <t>쇼핑백</t>
        </is>
      </c>
      <c r="F1563" s="20" t="inlineStr">
        <is>
          <t>유즈 CS</t>
        </is>
      </c>
      <c r="H1563" s="20" t="n">
        <v>50</v>
      </c>
      <c r="I1563" s="20" t="inlineStr">
        <is>
          <t>유즈쇼핑백</t>
        </is>
      </c>
      <c r="J1563" s="20" t="n">
        <v>200520</v>
      </c>
      <c r="L1563" s="20">
        <f>VLOOKUP($O1563,매칭테이블!$G:$J,2,0)*H1563</f>
        <v/>
      </c>
      <c r="M1563" s="20">
        <f>L1563-L1563*VLOOKUP($O1563,매칭테이블!$G:$J,3,0)</f>
        <v/>
      </c>
      <c r="N1563" s="20">
        <f>VLOOKUP($O1563,매칭테이블!$G:$J,4,0)*H1563</f>
        <v/>
      </c>
      <c r="O1563" s="20">
        <f>F1563&amp;E1563&amp;I1563&amp;J1563</f>
        <v/>
      </c>
    </row>
    <row r="1564" ht="16.5" customHeight="1" s="17">
      <c r="B1564" s="16" t="n">
        <v>44071</v>
      </c>
      <c r="C1564" s="20" t="inlineStr">
        <is>
          <t>금</t>
        </is>
      </c>
      <c r="E1564" s="20" t="inlineStr">
        <is>
          <t>고체향수</t>
        </is>
      </c>
      <c r="F1564" s="20" t="inlineStr">
        <is>
          <t>카페24</t>
        </is>
      </c>
      <c r="H1564" s="20" t="n">
        <v>1</v>
      </c>
      <c r="I1564" s="20" t="inlineStr">
        <is>
          <t>이그나이트 + 스테이포에버</t>
        </is>
      </c>
      <c r="J1564" s="20" t="n">
        <v>200720</v>
      </c>
      <c r="L1564" s="20">
        <f>VLOOKUP($O1564,매칭테이블!$G:$J,2,0)*H1564</f>
        <v/>
      </c>
      <c r="M1564" s="20">
        <f>L1564-L1564*VLOOKUP($O1564,매칭테이블!$G:$J,3,0)</f>
        <v/>
      </c>
      <c r="N1564" s="20">
        <f>VLOOKUP($O1564,매칭테이블!$G:$J,4,0)*H1564</f>
        <v/>
      </c>
      <c r="O1564" s="20">
        <f>F1564&amp;E1564&amp;I1564&amp;J1564</f>
        <v/>
      </c>
    </row>
    <row r="1565" ht="16.5" customHeight="1" s="17">
      <c r="B1565" s="16" t="n">
        <v>44071</v>
      </c>
      <c r="C1565" s="20" t="inlineStr">
        <is>
          <t>금</t>
        </is>
      </c>
      <c r="E1565" s="20" t="inlineStr">
        <is>
          <t>고체향수</t>
        </is>
      </c>
      <c r="F1565" s="20" t="inlineStr">
        <is>
          <t>카페24</t>
        </is>
      </c>
      <c r="H1565" s="20" t="n">
        <v>62</v>
      </c>
      <c r="I1565" s="20" t="inlineStr">
        <is>
          <t>스테이포에버</t>
        </is>
      </c>
      <c r="J1565" s="20" t="n">
        <v>200720</v>
      </c>
      <c r="L1565" s="20">
        <f>VLOOKUP($O1565,매칭테이블!$G:$J,2,0)*H1565</f>
        <v/>
      </c>
      <c r="M1565" s="20">
        <f>L1565-L1565*VLOOKUP($O1565,매칭테이블!$G:$J,3,0)</f>
        <v/>
      </c>
      <c r="N1565" s="20">
        <f>VLOOKUP($O1565,매칭테이블!$G:$J,4,0)*H1565</f>
        <v/>
      </c>
      <c r="O1565" s="20">
        <f>F1565&amp;E1565&amp;I1565&amp;J1565</f>
        <v/>
      </c>
    </row>
    <row r="1566" ht="16.5" customHeight="1" s="17">
      <c r="B1566" s="16" t="n">
        <v>44071</v>
      </c>
      <c r="C1566" s="20" t="inlineStr">
        <is>
          <t>금</t>
        </is>
      </c>
      <c r="E1566" s="20" t="inlineStr">
        <is>
          <t>고체향수</t>
        </is>
      </c>
      <c r="F1566" s="20" t="inlineStr">
        <is>
          <t>카페24</t>
        </is>
      </c>
      <c r="H1566" s="20" t="n">
        <v>16</v>
      </c>
      <c r="I1566" s="20" t="inlineStr">
        <is>
          <t>스테이포에버 2set</t>
        </is>
      </c>
      <c r="J1566" s="20" t="n">
        <v>200720</v>
      </c>
      <c r="L1566" s="20">
        <f>VLOOKUP($O1566,매칭테이블!$G:$J,2,0)*H1566</f>
        <v/>
      </c>
      <c r="M1566" s="20">
        <f>L1566-L1566*VLOOKUP($O1566,매칭테이블!$G:$J,3,0)</f>
        <v/>
      </c>
      <c r="N1566" s="20">
        <f>VLOOKUP($O1566,매칭테이블!$G:$J,4,0)*H1566</f>
        <v/>
      </c>
      <c r="O1566" s="20">
        <f>F1566&amp;E1566&amp;I1566&amp;J1566</f>
        <v/>
      </c>
    </row>
    <row r="1567" ht="16.5" customHeight="1" s="17">
      <c r="B1567" s="16" t="n">
        <v>44071</v>
      </c>
      <c r="C1567" s="20" t="inlineStr">
        <is>
          <t>금</t>
        </is>
      </c>
      <c r="E1567" s="20" t="inlineStr">
        <is>
          <t>고체향수</t>
        </is>
      </c>
      <c r="F1567" s="20" t="inlineStr">
        <is>
          <t>카페24</t>
        </is>
      </c>
      <c r="H1567" s="20" t="n">
        <v>1</v>
      </c>
      <c r="I1567" s="20" t="inlineStr">
        <is>
          <t>이그나이트 2set</t>
        </is>
      </c>
      <c r="J1567" s="20" t="n">
        <v>200720</v>
      </c>
      <c r="L1567" s="20">
        <f>VLOOKUP($O1567,매칭테이블!$G:$J,2,0)*H1567</f>
        <v/>
      </c>
      <c r="M1567" s="20">
        <f>L1567-L1567*VLOOKUP($O1567,매칭테이블!$G:$J,3,0)</f>
        <v/>
      </c>
      <c r="N1567" s="20">
        <f>VLOOKUP($O1567,매칭테이블!$G:$J,4,0)*H1567</f>
        <v/>
      </c>
      <c r="O1567" s="20">
        <f>F1567&amp;E1567&amp;I1567&amp;J1567</f>
        <v/>
      </c>
    </row>
    <row r="1568" ht="16.5" customHeight="1" s="17">
      <c r="B1568" s="16" t="n">
        <v>44072</v>
      </c>
      <c r="C1568" s="20" t="inlineStr">
        <is>
          <t>토</t>
        </is>
      </c>
      <c r="E1568" s="20" t="inlineStr">
        <is>
          <t>고체향수</t>
        </is>
      </c>
      <c r="F1568" s="20" t="inlineStr">
        <is>
          <t>카페24</t>
        </is>
      </c>
      <c r="H1568" s="20" t="n">
        <v>1</v>
      </c>
      <c r="I1568" s="20" t="inlineStr">
        <is>
          <t>이그나이트 + 스테이포에버</t>
        </is>
      </c>
      <c r="J1568" s="20" t="n">
        <v>200720</v>
      </c>
      <c r="L1568" s="20">
        <f>VLOOKUP($O1568,매칭테이블!$G:$J,2,0)*H1568</f>
        <v/>
      </c>
      <c r="M1568" s="20">
        <f>L1568-L1568*VLOOKUP($O1568,매칭테이블!$G:$J,3,0)</f>
        <v/>
      </c>
      <c r="N1568" s="20">
        <f>VLOOKUP($O1568,매칭테이블!$G:$J,4,0)*H1568</f>
        <v/>
      </c>
      <c r="O1568" s="20">
        <f>F1568&amp;E1568&amp;I1568&amp;J1568</f>
        <v/>
      </c>
    </row>
    <row r="1569" ht="16.5" customHeight="1" s="17">
      <c r="B1569" s="16" t="n">
        <v>44072</v>
      </c>
      <c r="C1569" s="20" t="inlineStr">
        <is>
          <t>토</t>
        </is>
      </c>
      <c r="E1569" s="20" t="inlineStr">
        <is>
          <t>고체향수</t>
        </is>
      </c>
      <c r="F1569" s="20" t="inlineStr">
        <is>
          <t>카페24</t>
        </is>
      </c>
      <c r="H1569" s="20" t="n">
        <v>68</v>
      </c>
      <c r="I1569" s="20" t="inlineStr">
        <is>
          <t>스테이포에버</t>
        </is>
      </c>
      <c r="J1569" s="20" t="n">
        <v>200720</v>
      </c>
      <c r="L1569" s="20">
        <f>VLOOKUP($O1569,매칭테이블!$G:$J,2,0)*H1569</f>
        <v/>
      </c>
      <c r="M1569" s="20">
        <f>L1569-L1569*VLOOKUP($O1569,매칭테이블!$G:$J,3,0)</f>
        <v/>
      </c>
      <c r="N1569" s="20">
        <f>VLOOKUP($O1569,매칭테이블!$G:$J,4,0)*H1569</f>
        <v/>
      </c>
      <c r="O1569" s="20">
        <f>F1569&amp;E1569&amp;I1569&amp;J1569</f>
        <v/>
      </c>
    </row>
    <row r="1570" ht="16.5" customHeight="1" s="17">
      <c r="B1570" s="16" t="n">
        <v>44072</v>
      </c>
      <c r="C1570" s="20" t="inlineStr">
        <is>
          <t>토</t>
        </is>
      </c>
      <c r="E1570" s="20" t="inlineStr">
        <is>
          <t>고체향수</t>
        </is>
      </c>
      <c r="F1570" s="20" t="inlineStr">
        <is>
          <t>카페24</t>
        </is>
      </c>
      <c r="H1570" s="20" t="n">
        <v>11</v>
      </c>
      <c r="I1570" s="20" t="inlineStr">
        <is>
          <t>스테이포에버 2set</t>
        </is>
      </c>
      <c r="J1570" s="20" t="n">
        <v>200720</v>
      </c>
      <c r="L1570" s="20">
        <f>VLOOKUP($O1570,매칭테이블!$G:$J,2,0)*H1570</f>
        <v/>
      </c>
      <c r="M1570" s="20">
        <f>L1570-L1570*VLOOKUP($O1570,매칭테이블!$G:$J,3,0)</f>
        <v/>
      </c>
      <c r="N1570" s="20">
        <f>VLOOKUP($O1570,매칭테이블!$G:$J,4,0)*H1570</f>
        <v/>
      </c>
      <c r="O1570" s="20">
        <f>F1570&amp;E1570&amp;I1570&amp;J1570</f>
        <v/>
      </c>
    </row>
    <row r="1571" ht="16.5" customHeight="1" s="17">
      <c r="B1571" s="16" t="n">
        <v>44072</v>
      </c>
      <c r="C1571" s="20" t="inlineStr">
        <is>
          <t>토</t>
        </is>
      </c>
      <c r="E1571" s="20" t="inlineStr">
        <is>
          <t>쇼핑백</t>
        </is>
      </c>
      <c r="F1571" s="20" t="inlineStr">
        <is>
          <t>카페24</t>
        </is>
      </c>
      <c r="H1571" s="20" t="n">
        <v>1</v>
      </c>
      <c r="I1571" s="20" t="inlineStr">
        <is>
          <t>유즈쇼핑백</t>
        </is>
      </c>
      <c r="J1571" s="20" t="n">
        <v>200720</v>
      </c>
      <c r="L1571" s="20">
        <f>VLOOKUP($O1571,매칭테이블!$G:$J,2,0)*H1571</f>
        <v/>
      </c>
      <c r="M1571" s="20">
        <f>L1571-L1571*VLOOKUP($O1571,매칭테이블!$G:$J,3,0)</f>
        <v/>
      </c>
      <c r="N1571" s="20">
        <f>VLOOKUP($O1571,매칭테이블!$G:$J,4,0)*H1571</f>
        <v/>
      </c>
      <c r="O1571" s="20">
        <f>F1571&amp;E1571&amp;I1571&amp;J1571</f>
        <v/>
      </c>
    </row>
    <row r="1572" ht="16.5" customHeight="1" s="17">
      <c r="B1572" s="16" t="n">
        <v>44073</v>
      </c>
      <c r="C1572" s="20" t="inlineStr">
        <is>
          <t>일</t>
        </is>
      </c>
      <c r="E1572" s="20" t="inlineStr">
        <is>
          <t>고체향수</t>
        </is>
      </c>
      <c r="F1572" s="20" t="inlineStr">
        <is>
          <t>카페24</t>
        </is>
      </c>
      <c r="H1572" s="20" t="n">
        <v>4</v>
      </c>
      <c r="I1572" s="20" t="inlineStr">
        <is>
          <t>이그나이트 + 스테이포에버</t>
        </is>
      </c>
      <c r="J1572" s="20" t="n">
        <v>200720</v>
      </c>
      <c r="L1572" s="20">
        <f>VLOOKUP($O1572,매칭테이블!$G:$J,2,0)*H1572</f>
        <v/>
      </c>
      <c r="M1572" s="20">
        <f>L1572-L1572*VLOOKUP($O1572,매칭테이블!$G:$J,3,0)</f>
        <v/>
      </c>
      <c r="N1572" s="20">
        <f>VLOOKUP($O1572,매칭테이블!$G:$J,4,0)*H1572</f>
        <v/>
      </c>
      <c r="O1572" s="20">
        <f>F1572&amp;E1572&amp;I1572&amp;J1572</f>
        <v/>
      </c>
    </row>
    <row r="1573" ht="16.5" customHeight="1" s="17">
      <c r="B1573" s="16" t="n">
        <v>44073</v>
      </c>
      <c r="C1573" s="20" t="inlineStr">
        <is>
          <t>일</t>
        </is>
      </c>
      <c r="E1573" s="20" t="inlineStr">
        <is>
          <t>고체향수</t>
        </is>
      </c>
      <c r="F1573" s="20" t="inlineStr">
        <is>
          <t>카페24</t>
        </is>
      </c>
      <c r="H1573" s="20" t="n">
        <v>74</v>
      </c>
      <c r="I1573" s="20" t="inlineStr">
        <is>
          <t>스테이포에버</t>
        </is>
      </c>
      <c r="J1573" s="20" t="n">
        <v>200720</v>
      </c>
      <c r="L1573" s="20">
        <f>VLOOKUP($O1573,매칭테이블!$G:$J,2,0)*H1573</f>
        <v/>
      </c>
      <c r="M1573" s="20">
        <f>L1573-L1573*VLOOKUP($O1573,매칭테이블!$G:$J,3,0)</f>
        <v/>
      </c>
      <c r="N1573" s="20">
        <f>VLOOKUP($O1573,매칭테이블!$G:$J,4,0)*H1573</f>
        <v/>
      </c>
      <c r="O1573" s="20">
        <f>F1573&amp;E1573&amp;I1573&amp;J1573</f>
        <v/>
      </c>
    </row>
    <row r="1574" ht="16.5" customHeight="1" s="17">
      <c r="B1574" s="16" t="n">
        <v>44073</v>
      </c>
      <c r="C1574" s="20" t="inlineStr">
        <is>
          <t>일</t>
        </is>
      </c>
      <c r="E1574" s="20" t="inlineStr">
        <is>
          <t>고체향수</t>
        </is>
      </c>
      <c r="F1574" s="20" t="inlineStr">
        <is>
          <t>카페24</t>
        </is>
      </c>
      <c r="H1574" s="20" t="n">
        <v>15</v>
      </c>
      <c r="I1574" s="20" t="inlineStr">
        <is>
          <t>스테이포에버 2set</t>
        </is>
      </c>
      <c r="J1574" s="20" t="n">
        <v>200720</v>
      </c>
      <c r="L1574" s="20">
        <f>VLOOKUP($O1574,매칭테이블!$G:$J,2,0)*H1574</f>
        <v/>
      </c>
      <c r="M1574" s="20">
        <f>L1574-L1574*VLOOKUP($O1574,매칭테이블!$G:$J,3,0)</f>
        <v/>
      </c>
      <c r="N1574" s="20">
        <f>VLOOKUP($O1574,매칭테이블!$G:$J,4,0)*H1574</f>
        <v/>
      </c>
      <c r="O1574" s="20">
        <f>F1574&amp;E1574&amp;I1574&amp;J1574</f>
        <v/>
      </c>
    </row>
    <row r="1575" ht="16.5" customHeight="1" s="17">
      <c r="B1575" s="16" t="n">
        <v>44073</v>
      </c>
      <c r="C1575" s="20" t="inlineStr">
        <is>
          <t>일</t>
        </is>
      </c>
      <c r="E1575" s="20" t="inlineStr">
        <is>
          <t>고체향수</t>
        </is>
      </c>
      <c r="F1575" s="20" t="inlineStr">
        <is>
          <t>카페24</t>
        </is>
      </c>
      <c r="H1575" s="20" t="n">
        <v>2</v>
      </c>
      <c r="I1575" s="20" t="inlineStr">
        <is>
          <t>이그나이트</t>
        </is>
      </c>
      <c r="J1575" s="20" t="n">
        <v>200720</v>
      </c>
      <c r="L1575" s="20">
        <f>VLOOKUP($O1575,매칭테이블!$G:$J,2,0)*H1575</f>
        <v/>
      </c>
      <c r="M1575" s="20">
        <f>L1575-L1575*VLOOKUP($O1575,매칭테이블!$G:$J,3,0)</f>
        <v/>
      </c>
      <c r="N1575" s="20">
        <f>VLOOKUP($O1575,매칭테이블!$G:$J,4,0)*H1575</f>
        <v/>
      </c>
      <c r="O1575" s="20">
        <f>F1575&amp;E1575&amp;I1575&amp;J1575</f>
        <v/>
      </c>
    </row>
    <row r="1576" ht="16.5" customHeight="1" s="17">
      <c r="B1576" s="16" t="n">
        <v>44073</v>
      </c>
      <c r="C1576" s="20" t="inlineStr">
        <is>
          <t>일</t>
        </is>
      </c>
      <c r="E1576" s="20" t="inlineStr">
        <is>
          <t>고체향수</t>
        </is>
      </c>
      <c r="F1576" s="20" t="inlineStr">
        <is>
          <t>카페24</t>
        </is>
      </c>
      <c r="H1576" s="20" t="n">
        <v>1</v>
      </c>
      <c r="I1576" s="20" t="inlineStr">
        <is>
          <t>이그나이트 2set</t>
        </is>
      </c>
      <c r="J1576" s="20" t="n">
        <v>200720</v>
      </c>
      <c r="L1576" s="20">
        <f>VLOOKUP($O1576,매칭테이블!$G:$J,2,0)*H1576</f>
        <v/>
      </c>
      <c r="M1576" s="20">
        <f>L1576-L1576*VLOOKUP($O1576,매칭테이블!$G:$J,3,0)</f>
        <v/>
      </c>
      <c r="N1576" s="20">
        <f>VLOOKUP($O1576,매칭테이블!$G:$J,4,0)*H1576</f>
        <v/>
      </c>
      <c r="O1576" s="20">
        <f>F1576&amp;E1576&amp;I1576&amp;J1576</f>
        <v/>
      </c>
    </row>
    <row r="1577" ht="16.5" customHeight="1" s="17">
      <c r="B1577" s="16" t="n">
        <v>44073</v>
      </c>
      <c r="C1577" s="20" t="inlineStr">
        <is>
          <t>일</t>
        </is>
      </c>
      <c r="E1577" s="20" t="inlineStr">
        <is>
          <t>쇼핑백</t>
        </is>
      </c>
      <c r="F1577" s="20" t="inlineStr">
        <is>
          <t>카페24</t>
        </is>
      </c>
      <c r="H1577" s="20" t="n">
        <v>2</v>
      </c>
      <c r="I1577" s="20" t="inlineStr">
        <is>
          <t>유즈쇼핑백</t>
        </is>
      </c>
      <c r="J1577" s="20" t="n">
        <v>200720</v>
      </c>
      <c r="L1577" s="20">
        <f>VLOOKUP($O1577,매칭테이블!$G:$J,2,0)*H1577</f>
        <v/>
      </c>
      <c r="M1577" s="20">
        <f>L1577-L1577*VLOOKUP($O1577,매칭테이블!$G:$J,3,0)</f>
        <v/>
      </c>
      <c r="N1577" s="20">
        <f>VLOOKUP($O1577,매칭테이블!$G:$J,4,0)*H1577</f>
        <v/>
      </c>
      <c r="O1577" s="20">
        <f>F1577&amp;E1577&amp;I1577&amp;J1577</f>
        <v/>
      </c>
    </row>
    <row r="1578" ht="16.5" customHeight="1" s="17">
      <c r="B1578" s="16" t="n">
        <v>44074</v>
      </c>
      <c r="C1578" s="20" t="inlineStr">
        <is>
          <t>월</t>
        </is>
      </c>
      <c r="E1578" s="20" t="inlineStr">
        <is>
          <t>고체향수</t>
        </is>
      </c>
      <c r="F1578" s="20" t="inlineStr">
        <is>
          <t>카페24</t>
        </is>
      </c>
      <c r="H1578" s="20" t="n">
        <v>2</v>
      </c>
      <c r="I1578" s="20" t="inlineStr">
        <is>
          <t>이그나이트 + 스테이포에버</t>
        </is>
      </c>
      <c r="J1578" s="20" t="n">
        <v>200720</v>
      </c>
      <c r="L1578" s="20">
        <f>VLOOKUP($O1578,매칭테이블!$G:$J,2,0)*H1578</f>
        <v/>
      </c>
      <c r="M1578" s="20">
        <f>L1578-L1578*VLOOKUP($O1578,매칭테이블!$G:$J,3,0)</f>
        <v/>
      </c>
      <c r="N1578" s="20">
        <f>VLOOKUP($O1578,매칭테이블!$G:$J,4,0)*H1578</f>
        <v/>
      </c>
      <c r="O1578" s="20">
        <f>F1578&amp;E1578&amp;I1578&amp;J1578</f>
        <v/>
      </c>
    </row>
    <row r="1579" ht="16.5" customHeight="1" s="17">
      <c r="B1579" s="16" t="n">
        <v>44074</v>
      </c>
      <c r="C1579" s="20" t="inlineStr">
        <is>
          <t>월</t>
        </is>
      </c>
      <c r="E1579" s="20" t="inlineStr">
        <is>
          <t>고체향수</t>
        </is>
      </c>
      <c r="F1579" s="20" t="inlineStr">
        <is>
          <t>카페24</t>
        </is>
      </c>
      <c r="H1579" s="20" t="n">
        <v>83</v>
      </c>
      <c r="I1579" s="20" t="inlineStr">
        <is>
          <t>스테이포에버</t>
        </is>
      </c>
      <c r="J1579" s="20" t="n">
        <v>200720</v>
      </c>
      <c r="L1579" s="20">
        <f>VLOOKUP($O1579,매칭테이블!$G:$J,2,0)*H1579</f>
        <v/>
      </c>
      <c r="M1579" s="20">
        <f>L1579-L1579*VLOOKUP($O1579,매칭테이블!$G:$J,3,0)</f>
        <v/>
      </c>
      <c r="N1579" s="20">
        <f>VLOOKUP($O1579,매칭테이블!$G:$J,4,0)*H1579</f>
        <v/>
      </c>
      <c r="O1579" s="20">
        <f>F1579&amp;E1579&amp;I1579&amp;J1579</f>
        <v/>
      </c>
    </row>
    <row r="1580" ht="16.5" customHeight="1" s="17">
      <c r="B1580" s="16" t="n">
        <v>44074</v>
      </c>
      <c r="C1580" s="20" t="inlineStr">
        <is>
          <t>월</t>
        </is>
      </c>
      <c r="E1580" s="20" t="inlineStr">
        <is>
          <t>고체향수</t>
        </is>
      </c>
      <c r="F1580" s="20" t="inlineStr">
        <is>
          <t>카페24</t>
        </is>
      </c>
      <c r="H1580" s="20" t="n">
        <v>10</v>
      </c>
      <c r="I1580" s="20" t="inlineStr">
        <is>
          <t>스테이포에버 2set</t>
        </is>
      </c>
      <c r="J1580" s="20" t="n">
        <v>200720</v>
      </c>
      <c r="L1580" s="20">
        <f>VLOOKUP($O1580,매칭테이블!$G:$J,2,0)*H1580</f>
        <v/>
      </c>
      <c r="M1580" s="20">
        <f>L1580-L1580*VLOOKUP($O1580,매칭테이블!$G:$J,3,0)</f>
        <v/>
      </c>
      <c r="N1580" s="20">
        <f>VLOOKUP($O1580,매칭테이블!$G:$J,4,0)*H1580</f>
        <v/>
      </c>
      <c r="O1580" s="20">
        <f>F1580&amp;E1580&amp;I1580&amp;J1580</f>
        <v/>
      </c>
    </row>
    <row r="1581" ht="16.5" customHeight="1" s="17">
      <c r="B1581" s="16" t="n">
        <v>44074</v>
      </c>
      <c r="C1581" s="20" t="inlineStr">
        <is>
          <t>월</t>
        </is>
      </c>
      <c r="E1581" s="20" t="inlineStr">
        <is>
          <t>고체향수</t>
        </is>
      </c>
      <c r="F1581" s="20" t="inlineStr">
        <is>
          <t>카페24</t>
        </is>
      </c>
      <c r="H1581" s="20" t="n">
        <v>1</v>
      </c>
      <c r="I1581" s="20" t="inlineStr">
        <is>
          <t>이그나이트</t>
        </is>
      </c>
      <c r="J1581" s="20" t="n">
        <v>200720</v>
      </c>
      <c r="L1581" s="20">
        <f>VLOOKUP($O1581,매칭테이블!$G:$J,2,0)*H1581</f>
        <v/>
      </c>
      <c r="M1581" s="20">
        <f>L1581-L1581*VLOOKUP($O1581,매칭테이블!$G:$J,3,0)</f>
        <v/>
      </c>
      <c r="N1581" s="20">
        <f>VLOOKUP($O1581,매칭테이블!$G:$J,4,0)*H1581</f>
        <v/>
      </c>
      <c r="O1581" s="20">
        <f>F1581&amp;E1581&amp;I1581&amp;J1581</f>
        <v/>
      </c>
    </row>
    <row r="1582" ht="16.5" customHeight="1" s="17">
      <c r="B1582" s="16" t="n">
        <v>44074</v>
      </c>
      <c r="C1582" s="20" t="inlineStr">
        <is>
          <t>월</t>
        </is>
      </c>
      <c r="E1582" s="20" t="inlineStr">
        <is>
          <t>고체향수</t>
        </is>
      </c>
      <c r="F1582" s="20" t="inlineStr">
        <is>
          <t>카페24</t>
        </is>
      </c>
      <c r="H1582" s="20" t="n">
        <v>1</v>
      </c>
      <c r="I1582" s="20" t="inlineStr">
        <is>
          <t>이그나이트 2set</t>
        </is>
      </c>
      <c r="J1582" s="20" t="n">
        <v>200720</v>
      </c>
      <c r="L1582" s="20">
        <f>VLOOKUP($O1582,매칭테이블!$G:$J,2,0)*H1582</f>
        <v/>
      </c>
      <c r="M1582" s="20">
        <f>L1582-L1582*VLOOKUP($O1582,매칭테이블!$G:$J,3,0)</f>
        <v/>
      </c>
      <c r="N1582" s="20">
        <f>VLOOKUP($O1582,매칭테이블!$G:$J,4,0)*H1582</f>
        <v/>
      </c>
      <c r="O1582" s="20">
        <f>F1582&amp;E1582&amp;I1582&amp;J1582</f>
        <v/>
      </c>
    </row>
    <row r="1583" ht="16.5" customHeight="1" s="17">
      <c r="B1583" s="16" t="n">
        <v>44074</v>
      </c>
      <c r="C1583" s="20" t="inlineStr">
        <is>
          <t>월</t>
        </is>
      </c>
      <c r="E1583" s="20" t="inlineStr">
        <is>
          <t>쇼핑백</t>
        </is>
      </c>
      <c r="F1583" s="20" t="inlineStr">
        <is>
          <t>카페24</t>
        </is>
      </c>
      <c r="H1583" s="20" t="n">
        <v>1</v>
      </c>
      <c r="I1583" s="20" t="inlineStr">
        <is>
          <t>유즈쇼핑백</t>
        </is>
      </c>
      <c r="J1583" s="20" t="n">
        <v>200720</v>
      </c>
      <c r="L1583" s="20">
        <f>VLOOKUP($O1583,매칭테이블!$G:$J,2,0)*H1583</f>
        <v/>
      </c>
      <c r="M1583" s="20">
        <f>L1583-L1583*VLOOKUP($O1583,매칭테이블!$G:$J,3,0)</f>
        <v/>
      </c>
      <c r="N1583" s="20">
        <f>VLOOKUP($O1583,매칭테이블!$G:$J,4,0)*H1583</f>
        <v/>
      </c>
      <c r="O1583" s="20">
        <f>F1583&amp;E1583&amp;I1583&amp;J1583</f>
        <v/>
      </c>
    </row>
    <row r="1584" ht="16.5" customHeight="1" s="17">
      <c r="B1584" s="16" t="n">
        <v>44075</v>
      </c>
      <c r="C1584" s="20" t="inlineStr">
        <is>
          <t>화</t>
        </is>
      </c>
      <c r="E1584" s="20" t="inlineStr">
        <is>
          <t>고체향수</t>
        </is>
      </c>
      <c r="F1584" s="20" t="inlineStr">
        <is>
          <t>카페24</t>
        </is>
      </c>
      <c r="H1584" s="20" t="n">
        <v>1</v>
      </c>
      <c r="I1584" s="20" t="inlineStr">
        <is>
          <t>이그나이트 + 스테이포에버</t>
        </is>
      </c>
      <c r="J1584" s="20" t="n">
        <v>200720</v>
      </c>
      <c r="L1584" s="20">
        <f>VLOOKUP($O1584,매칭테이블!$G:$J,2,0)*H1584</f>
        <v/>
      </c>
      <c r="M1584" s="20">
        <f>L1584-L1584*VLOOKUP($O1584,매칭테이블!$G:$J,3,0)</f>
        <v/>
      </c>
      <c r="N1584" s="20">
        <f>VLOOKUP($O1584,매칭테이블!$G:$J,4,0)*H1584</f>
        <v/>
      </c>
      <c r="O1584" s="20">
        <f>F1584&amp;E1584&amp;I1584&amp;J1584</f>
        <v/>
      </c>
    </row>
    <row r="1585" ht="16.5" customHeight="1" s="17">
      <c r="B1585" s="16" t="n">
        <v>44075</v>
      </c>
      <c r="C1585" s="20" t="inlineStr">
        <is>
          <t>화</t>
        </is>
      </c>
      <c r="E1585" s="20" t="inlineStr">
        <is>
          <t>고체향수</t>
        </is>
      </c>
      <c r="F1585" s="20" t="inlineStr">
        <is>
          <t>카페24</t>
        </is>
      </c>
      <c r="H1585" s="20" t="n">
        <v>85</v>
      </c>
      <c r="I1585" s="20" t="inlineStr">
        <is>
          <t>스테이포에버</t>
        </is>
      </c>
      <c r="J1585" s="20" t="n">
        <v>200720</v>
      </c>
      <c r="L1585" s="20">
        <f>VLOOKUP($O1585,매칭테이블!$G:$J,2,0)*H1585</f>
        <v/>
      </c>
      <c r="M1585" s="20">
        <f>L1585-L1585*VLOOKUP($O1585,매칭테이블!$G:$J,3,0)</f>
        <v/>
      </c>
      <c r="N1585" s="20">
        <f>VLOOKUP($O1585,매칭테이블!$G:$J,4,0)*H1585</f>
        <v/>
      </c>
      <c r="O1585" s="20">
        <f>F1585&amp;E1585&amp;I1585&amp;J1585</f>
        <v/>
      </c>
    </row>
    <row r="1586" ht="16.5" customHeight="1" s="17">
      <c r="B1586" s="16" t="n">
        <v>44075</v>
      </c>
      <c r="C1586" s="20" t="inlineStr">
        <is>
          <t>화</t>
        </is>
      </c>
      <c r="E1586" s="20" t="inlineStr">
        <is>
          <t>고체향수</t>
        </is>
      </c>
      <c r="F1586" s="20" t="inlineStr">
        <is>
          <t>카페24</t>
        </is>
      </c>
      <c r="H1586" s="20" t="n">
        <v>17</v>
      </c>
      <c r="I1586" s="20" t="inlineStr">
        <is>
          <t>스테이포에버 2set</t>
        </is>
      </c>
      <c r="J1586" s="20" t="n">
        <v>200720</v>
      </c>
      <c r="L1586" s="20">
        <f>VLOOKUP($O1586,매칭테이블!$G:$J,2,0)*H1586</f>
        <v/>
      </c>
      <c r="M1586" s="20">
        <f>L1586-L1586*VLOOKUP($O1586,매칭테이블!$G:$J,3,0)</f>
        <v/>
      </c>
      <c r="N1586" s="20">
        <f>VLOOKUP($O1586,매칭테이블!$G:$J,4,0)*H1586</f>
        <v/>
      </c>
      <c r="O1586" s="20">
        <f>F1586&amp;E1586&amp;I1586&amp;J1586</f>
        <v/>
      </c>
    </row>
    <row r="1587" ht="16.5" customHeight="1" s="17">
      <c r="B1587" s="16" t="n">
        <v>44075</v>
      </c>
      <c r="C1587" s="20" t="inlineStr">
        <is>
          <t>화</t>
        </is>
      </c>
      <c r="E1587" s="20" t="inlineStr">
        <is>
          <t>고체향수</t>
        </is>
      </c>
      <c r="F1587" s="20" t="inlineStr">
        <is>
          <t>카페24</t>
        </is>
      </c>
      <c r="H1587" s="20" t="n">
        <v>5</v>
      </c>
      <c r="I1587" s="20" t="inlineStr">
        <is>
          <t>이그나이트</t>
        </is>
      </c>
      <c r="J1587" s="20" t="n">
        <v>200720</v>
      </c>
      <c r="L1587" s="20">
        <f>VLOOKUP($O1587,매칭테이블!$G:$J,2,0)*H1587</f>
        <v/>
      </c>
      <c r="M1587" s="20">
        <f>L1587-L1587*VLOOKUP($O1587,매칭테이블!$G:$J,3,0)</f>
        <v/>
      </c>
      <c r="N1587" s="20">
        <f>VLOOKUP($O1587,매칭테이블!$G:$J,4,0)*H1587</f>
        <v/>
      </c>
      <c r="O1587" s="20">
        <f>F1587&amp;E1587&amp;I1587&amp;J1587</f>
        <v/>
      </c>
    </row>
    <row r="1588" ht="16.5" customHeight="1" s="17">
      <c r="B1588" s="16" t="n">
        <v>44075</v>
      </c>
      <c r="C1588" s="20" t="inlineStr">
        <is>
          <t>화</t>
        </is>
      </c>
      <c r="E1588" s="20" t="inlineStr">
        <is>
          <t>고체향수</t>
        </is>
      </c>
      <c r="F1588" s="20" t="inlineStr">
        <is>
          <t>카페24</t>
        </is>
      </c>
      <c r="H1588" s="20" t="n">
        <v>1</v>
      </c>
      <c r="I1588" s="20" t="inlineStr">
        <is>
          <t>이그나이트 2set</t>
        </is>
      </c>
      <c r="J1588" s="20" t="n">
        <v>200720</v>
      </c>
      <c r="L1588" s="20">
        <f>VLOOKUP($O1588,매칭테이블!$G:$J,2,0)*H1588</f>
        <v/>
      </c>
      <c r="M1588" s="20">
        <f>L1588-L1588*VLOOKUP($O1588,매칭테이블!$G:$J,3,0)</f>
        <v/>
      </c>
      <c r="N1588" s="20">
        <f>VLOOKUP($O1588,매칭테이블!$G:$J,4,0)*H1588</f>
        <v/>
      </c>
      <c r="O1588" s="20">
        <f>F1588&amp;E1588&amp;I1588&amp;J1588</f>
        <v/>
      </c>
    </row>
    <row r="1589" ht="16.5" customHeight="1" s="17">
      <c r="B1589" s="16" t="n">
        <v>44075</v>
      </c>
      <c r="C1589" s="20" t="inlineStr">
        <is>
          <t>화</t>
        </is>
      </c>
      <c r="E1589" s="20" t="inlineStr">
        <is>
          <t>쇼핑백</t>
        </is>
      </c>
      <c r="F1589" s="20" t="inlineStr">
        <is>
          <t>카페24</t>
        </is>
      </c>
      <c r="H1589" s="20" t="n">
        <v>2</v>
      </c>
      <c r="I1589" s="20" t="inlineStr">
        <is>
          <t>유즈쇼핑백</t>
        </is>
      </c>
      <c r="J1589" s="20" t="n">
        <v>200720</v>
      </c>
      <c r="L1589" s="20">
        <f>VLOOKUP($O1589,매칭테이블!$G:$J,2,0)*H1589</f>
        <v/>
      </c>
      <c r="M1589" s="20">
        <f>L1589-L1589*VLOOKUP($O1589,매칭테이블!$G:$J,3,0)</f>
        <v/>
      </c>
      <c r="N1589" s="20">
        <f>VLOOKUP($O1589,매칭테이블!$G:$J,4,0)*H1589</f>
        <v/>
      </c>
      <c r="O1589" s="20">
        <f>F1589&amp;E1589&amp;I1589&amp;J1589</f>
        <v/>
      </c>
    </row>
    <row r="1590" ht="16.5" customHeight="1" s="17">
      <c r="B1590" s="16" t="n">
        <v>44076</v>
      </c>
      <c r="C1590" s="20" t="inlineStr">
        <is>
          <t>수</t>
        </is>
      </c>
      <c r="E1590" s="20" t="inlineStr">
        <is>
          <t>고체향수</t>
        </is>
      </c>
      <c r="F1590" s="20" t="inlineStr">
        <is>
          <t>카페24</t>
        </is>
      </c>
      <c r="H1590" s="20" t="n">
        <v>3</v>
      </c>
      <c r="I1590" s="20" t="inlineStr">
        <is>
          <t>이그나이트 + 스테이포에버</t>
        </is>
      </c>
      <c r="J1590" s="20" t="n">
        <v>200720</v>
      </c>
      <c r="L1590" s="20">
        <f>VLOOKUP($O1590,매칭테이블!$G:$J,2,0)*H1590</f>
        <v/>
      </c>
      <c r="M1590" s="20">
        <f>L1590-L1590*VLOOKUP($O1590,매칭테이블!$G:$J,3,0)</f>
        <v/>
      </c>
      <c r="N1590" s="20">
        <f>VLOOKUP($O1590,매칭테이블!$G:$J,4,0)*H1590</f>
        <v/>
      </c>
      <c r="O1590" s="20">
        <f>F1590&amp;E1590&amp;I1590&amp;J1590</f>
        <v/>
      </c>
    </row>
    <row r="1591" ht="16.5" customHeight="1" s="17">
      <c r="B1591" s="16" t="n">
        <v>44076</v>
      </c>
      <c r="C1591" s="20" t="inlineStr">
        <is>
          <t>수</t>
        </is>
      </c>
      <c r="E1591" s="20" t="inlineStr">
        <is>
          <t>고체향수</t>
        </is>
      </c>
      <c r="F1591" s="20" t="inlineStr">
        <is>
          <t>카페24</t>
        </is>
      </c>
      <c r="H1591" s="20" t="n">
        <v>88</v>
      </c>
      <c r="I1591" s="20" t="inlineStr">
        <is>
          <t>스테이포에버</t>
        </is>
      </c>
      <c r="J1591" s="20" t="n">
        <v>200720</v>
      </c>
      <c r="L1591" s="20">
        <f>VLOOKUP($O1591,매칭테이블!$G:$J,2,0)*H1591</f>
        <v/>
      </c>
      <c r="M1591" s="20">
        <f>L1591-L1591*VLOOKUP($O1591,매칭테이블!$G:$J,3,0)</f>
        <v/>
      </c>
      <c r="N1591" s="20">
        <f>VLOOKUP($O1591,매칭테이블!$G:$J,4,0)*H1591</f>
        <v/>
      </c>
      <c r="O1591" s="20">
        <f>F1591&amp;E1591&amp;I1591&amp;J1591</f>
        <v/>
      </c>
    </row>
    <row r="1592" ht="16.5" customHeight="1" s="17">
      <c r="B1592" s="16" t="n">
        <v>44076</v>
      </c>
      <c r="C1592" s="20" t="inlineStr">
        <is>
          <t>수</t>
        </is>
      </c>
      <c r="E1592" s="20" t="inlineStr">
        <is>
          <t>고체향수</t>
        </is>
      </c>
      <c r="F1592" s="20" t="inlineStr">
        <is>
          <t>카페24</t>
        </is>
      </c>
      <c r="H1592" s="20" t="n">
        <v>10</v>
      </c>
      <c r="I1592" s="20" t="inlineStr">
        <is>
          <t>스테이포에버 2set</t>
        </is>
      </c>
      <c r="J1592" s="20" t="n">
        <v>200720</v>
      </c>
      <c r="L1592" s="20">
        <f>VLOOKUP($O1592,매칭테이블!$G:$J,2,0)*H1592</f>
        <v/>
      </c>
      <c r="M1592" s="20">
        <f>L1592-L1592*VLOOKUP($O1592,매칭테이블!$G:$J,3,0)</f>
        <v/>
      </c>
      <c r="N1592" s="20">
        <f>VLOOKUP($O1592,매칭테이블!$G:$J,4,0)*H1592</f>
        <v/>
      </c>
      <c r="O1592" s="20">
        <f>F1592&amp;E1592&amp;I1592&amp;J1592</f>
        <v/>
      </c>
    </row>
    <row r="1593" ht="16.5" customHeight="1" s="17">
      <c r="B1593" s="16" t="n">
        <v>44076</v>
      </c>
      <c r="C1593" s="20" t="inlineStr">
        <is>
          <t>수</t>
        </is>
      </c>
      <c r="E1593" s="20" t="inlineStr">
        <is>
          <t>고체향수</t>
        </is>
      </c>
      <c r="F1593" s="20" t="inlineStr">
        <is>
          <t>카페24</t>
        </is>
      </c>
      <c r="H1593" s="20" t="n">
        <v>2</v>
      </c>
      <c r="I1593" s="20" t="inlineStr">
        <is>
          <t>이그나이트</t>
        </is>
      </c>
      <c r="J1593" s="20" t="n">
        <v>200720</v>
      </c>
      <c r="L1593" s="20">
        <f>VLOOKUP($O1593,매칭테이블!$G:$J,2,0)*H1593</f>
        <v/>
      </c>
      <c r="M1593" s="20">
        <f>L1593-L1593*VLOOKUP($O1593,매칭테이블!$G:$J,3,0)</f>
        <v/>
      </c>
      <c r="N1593" s="20">
        <f>VLOOKUP($O1593,매칭테이블!$G:$J,4,0)*H1593</f>
        <v/>
      </c>
      <c r="O1593" s="20">
        <f>F1593&amp;E1593&amp;I1593&amp;J1593</f>
        <v/>
      </c>
    </row>
    <row r="1594" ht="16.5" customHeight="1" s="17">
      <c r="B1594" s="16" t="n">
        <v>44076</v>
      </c>
      <c r="C1594" s="20" t="inlineStr">
        <is>
          <t>수</t>
        </is>
      </c>
      <c r="E1594" s="20" t="inlineStr">
        <is>
          <t>고체향수</t>
        </is>
      </c>
      <c r="F1594" s="20" t="inlineStr">
        <is>
          <t>카페24</t>
        </is>
      </c>
      <c r="H1594" s="20" t="n">
        <v>3</v>
      </c>
      <c r="I1594" s="20" t="inlineStr">
        <is>
          <t>이그나이트 2set</t>
        </is>
      </c>
      <c r="J1594" s="20" t="n">
        <v>200720</v>
      </c>
      <c r="L1594" s="20">
        <f>VLOOKUP($O1594,매칭테이블!$G:$J,2,0)*H1594</f>
        <v/>
      </c>
      <c r="M1594" s="20">
        <f>L1594-L1594*VLOOKUP($O1594,매칭테이블!$G:$J,3,0)</f>
        <v/>
      </c>
      <c r="N1594" s="20">
        <f>VLOOKUP($O1594,매칭테이블!$G:$J,4,0)*H1594</f>
        <v/>
      </c>
      <c r="O1594" s="20">
        <f>F1594&amp;E1594&amp;I1594&amp;J1594</f>
        <v/>
      </c>
    </row>
    <row r="1595" ht="16.5" customHeight="1" s="17">
      <c r="B1595" s="16" t="n">
        <v>44076</v>
      </c>
      <c r="C1595" s="20" t="inlineStr">
        <is>
          <t>수</t>
        </is>
      </c>
      <c r="E1595" s="20" t="inlineStr">
        <is>
          <t>쇼핑백</t>
        </is>
      </c>
      <c r="F1595" s="20" t="inlineStr">
        <is>
          <t>카페24</t>
        </is>
      </c>
      <c r="H1595" s="20" t="n">
        <v>3</v>
      </c>
      <c r="I1595" s="20" t="inlineStr">
        <is>
          <t>유즈쇼핑백</t>
        </is>
      </c>
      <c r="J1595" s="20" t="n">
        <v>200720</v>
      </c>
      <c r="L1595" s="20">
        <f>VLOOKUP($O1595,매칭테이블!$G:$J,2,0)*H1595</f>
        <v/>
      </c>
      <c r="M1595" s="20">
        <f>L1595-L1595*VLOOKUP($O1595,매칭테이블!$G:$J,3,0)</f>
        <v/>
      </c>
      <c r="N1595" s="20">
        <f>VLOOKUP($O1595,매칭테이블!$G:$J,4,0)*H1595</f>
        <v/>
      </c>
      <c r="O1595" s="20">
        <f>F1595&amp;E1595&amp;I1595&amp;J1595</f>
        <v/>
      </c>
    </row>
    <row r="1596" ht="16.5" customHeight="1" s="17">
      <c r="B1596" s="16" t="n">
        <v>44077</v>
      </c>
      <c r="C1596" s="20" t="inlineStr">
        <is>
          <t>목</t>
        </is>
      </c>
      <c r="E1596" s="20" t="inlineStr">
        <is>
          <t>고체향수</t>
        </is>
      </c>
      <c r="F1596" s="20" t="inlineStr">
        <is>
          <t>카페24</t>
        </is>
      </c>
      <c r="H1596" s="20" t="n">
        <v>3</v>
      </c>
      <c r="I1596" s="20" t="inlineStr">
        <is>
          <t>이그나이트 + 스테이포에버</t>
        </is>
      </c>
      <c r="J1596" s="20" t="n">
        <v>200720</v>
      </c>
      <c r="L1596" s="20">
        <f>VLOOKUP($O1596,매칭테이블!$G:$J,2,0)*H1596</f>
        <v/>
      </c>
      <c r="M1596" s="20">
        <f>L1596-L1596*VLOOKUP($O1596,매칭테이블!$G:$J,3,0)</f>
        <v/>
      </c>
      <c r="N1596" s="20">
        <f>VLOOKUP($O1596,매칭테이블!$G:$J,4,0)*H1596</f>
        <v/>
      </c>
      <c r="O1596" s="20">
        <f>F1596&amp;E1596&amp;I1596&amp;J1596</f>
        <v/>
      </c>
    </row>
    <row r="1597" ht="16.5" customHeight="1" s="17">
      <c r="B1597" s="16" t="n">
        <v>44077</v>
      </c>
      <c r="C1597" s="20" t="inlineStr">
        <is>
          <t>목</t>
        </is>
      </c>
      <c r="E1597" s="20" t="inlineStr">
        <is>
          <t>고체향수</t>
        </is>
      </c>
      <c r="F1597" s="20" t="inlineStr">
        <is>
          <t>카페24</t>
        </is>
      </c>
      <c r="H1597" s="20" t="n">
        <v>66</v>
      </c>
      <c r="I1597" s="20" t="inlineStr">
        <is>
          <t>스테이포에버</t>
        </is>
      </c>
      <c r="J1597" s="20" t="n">
        <v>200720</v>
      </c>
      <c r="L1597" s="20">
        <f>VLOOKUP($O1597,매칭테이블!$G:$J,2,0)*H1597</f>
        <v/>
      </c>
      <c r="M1597" s="20">
        <f>L1597-L1597*VLOOKUP($O1597,매칭테이블!$G:$J,3,0)</f>
        <v/>
      </c>
      <c r="N1597" s="20">
        <f>VLOOKUP($O1597,매칭테이블!$G:$J,4,0)*H1597</f>
        <v/>
      </c>
      <c r="O1597" s="20">
        <f>F1597&amp;E1597&amp;I1597&amp;J1597</f>
        <v/>
      </c>
    </row>
    <row r="1598" ht="16.5" customHeight="1" s="17">
      <c r="B1598" s="16" t="n">
        <v>44077</v>
      </c>
      <c r="C1598" s="20" t="inlineStr">
        <is>
          <t>목</t>
        </is>
      </c>
      <c r="E1598" s="20" t="inlineStr">
        <is>
          <t>고체향수</t>
        </is>
      </c>
      <c r="F1598" s="20" t="inlineStr">
        <is>
          <t>카페24</t>
        </is>
      </c>
      <c r="H1598" s="20" t="n">
        <v>16</v>
      </c>
      <c r="I1598" s="20" t="inlineStr">
        <is>
          <t>스테이포에버 2set</t>
        </is>
      </c>
      <c r="J1598" s="20" t="n">
        <v>200720</v>
      </c>
      <c r="L1598" s="20">
        <f>VLOOKUP($O1598,매칭테이블!$G:$J,2,0)*H1598</f>
        <v/>
      </c>
      <c r="M1598" s="20">
        <f>L1598-L1598*VLOOKUP($O1598,매칭테이블!$G:$J,3,0)</f>
        <v/>
      </c>
      <c r="N1598" s="20">
        <f>VLOOKUP($O1598,매칭테이블!$G:$J,4,0)*H1598</f>
        <v/>
      </c>
      <c r="O1598" s="20">
        <f>F1598&amp;E1598&amp;I1598&amp;J1598</f>
        <v/>
      </c>
    </row>
    <row r="1599" ht="16.5" customHeight="1" s="17">
      <c r="B1599" s="16" t="n">
        <v>44077</v>
      </c>
      <c r="C1599" s="20" t="inlineStr">
        <is>
          <t>목</t>
        </is>
      </c>
      <c r="E1599" s="20" t="inlineStr">
        <is>
          <t>고체향수</t>
        </is>
      </c>
      <c r="F1599" s="20" t="inlineStr">
        <is>
          <t>카페24</t>
        </is>
      </c>
      <c r="H1599" s="20" t="n">
        <v>1</v>
      </c>
      <c r="I1599" s="20" t="inlineStr">
        <is>
          <t>이그나이트</t>
        </is>
      </c>
      <c r="J1599" s="20" t="n">
        <v>200720</v>
      </c>
      <c r="L1599" s="20">
        <f>VLOOKUP($O1599,매칭테이블!$G:$J,2,0)*H1599</f>
        <v/>
      </c>
      <c r="M1599" s="20">
        <f>L1599-L1599*VLOOKUP($O1599,매칭테이블!$G:$J,3,0)</f>
        <v/>
      </c>
      <c r="N1599" s="20">
        <f>VLOOKUP($O1599,매칭테이블!$G:$J,4,0)*H1599</f>
        <v/>
      </c>
      <c r="O1599" s="20">
        <f>F1599&amp;E1599&amp;I1599&amp;J1599</f>
        <v/>
      </c>
    </row>
    <row r="1600" ht="16.5" customHeight="1" s="17">
      <c r="B1600" s="16" t="n">
        <v>44077</v>
      </c>
      <c r="C1600" s="20" t="inlineStr">
        <is>
          <t>목</t>
        </is>
      </c>
      <c r="E1600" s="20" t="inlineStr">
        <is>
          <t>고체향수</t>
        </is>
      </c>
      <c r="F1600" s="20" t="inlineStr">
        <is>
          <t>카페24</t>
        </is>
      </c>
      <c r="H1600" s="20" t="n">
        <v>1</v>
      </c>
      <c r="I1600" s="20" t="inlineStr">
        <is>
          <t>이그나이트 2set</t>
        </is>
      </c>
      <c r="J1600" s="20" t="n">
        <v>200720</v>
      </c>
      <c r="L1600" s="20">
        <f>VLOOKUP($O1600,매칭테이블!$G:$J,2,0)*H1600</f>
        <v/>
      </c>
      <c r="M1600" s="20">
        <f>L1600-L1600*VLOOKUP($O1600,매칭테이블!$G:$J,3,0)</f>
        <v/>
      </c>
      <c r="N1600" s="20">
        <f>VLOOKUP($O1600,매칭테이블!$G:$J,4,0)*H1600</f>
        <v/>
      </c>
      <c r="O1600" s="20">
        <f>F1600&amp;E1600&amp;I1600&amp;J1600</f>
        <v/>
      </c>
    </row>
    <row r="1601" ht="16.5" customHeight="1" s="17">
      <c r="B1601" s="16" t="n">
        <v>44077</v>
      </c>
      <c r="C1601" s="20" t="inlineStr">
        <is>
          <t>목</t>
        </is>
      </c>
      <c r="E1601" s="20" t="inlineStr">
        <is>
          <t>쇼핑백</t>
        </is>
      </c>
      <c r="F1601" s="20" t="inlineStr">
        <is>
          <t>카페24</t>
        </is>
      </c>
      <c r="H1601" s="20" t="n">
        <v>2</v>
      </c>
      <c r="I1601" s="20" t="inlineStr">
        <is>
          <t>유즈쇼핑백</t>
        </is>
      </c>
      <c r="J1601" s="20" t="n">
        <v>200720</v>
      </c>
      <c r="L1601" s="20">
        <f>VLOOKUP($O1601,매칭테이블!$G:$J,2,0)*H1601</f>
        <v/>
      </c>
      <c r="M1601" s="20">
        <f>L1601-L1601*VLOOKUP($O1601,매칭테이블!$G:$J,3,0)</f>
        <v/>
      </c>
      <c r="N1601" s="20">
        <f>VLOOKUP($O1601,매칭테이블!$G:$J,4,0)*H1601</f>
        <v/>
      </c>
      <c r="O1601" s="20">
        <f>F1601&amp;E1601&amp;I1601&amp;J1601</f>
        <v/>
      </c>
    </row>
    <row r="1602" ht="16.5" customHeight="1" s="17">
      <c r="B1602" s="16" t="n">
        <v>44078</v>
      </c>
      <c r="C1602" s="20" t="inlineStr">
        <is>
          <t>금</t>
        </is>
      </c>
      <c r="E1602" s="20" t="inlineStr">
        <is>
          <t>고체향수</t>
        </is>
      </c>
      <c r="F1602" s="20" t="inlineStr">
        <is>
          <t>카페24</t>
        </is>
      </c>
      <c r="H1602" s="20" t="n">
        <v>4</v>
      </c>
      <c r="I1602" s="20" t="inlineStr">
        <is>
          <t>이그나이트 + 스테이포에버</t>
        </is>
      </c>
      <c r="J1602" s="20" t="n">
        <v>200720</v>
      </c>
      <c r="L1602" s="20">
        <f>VLOOKUP($O1602,매칭테이블!$G:$J,2,0)*H1602</f>
        <v/>
      </c>
      <c r="M1602" s="20">
        <f>L1602-L1602*VLOOKUP($O1602,매칭테이블!$G:$J,3,0)</f>
        <v/>
      </c>
      <c r="N1602" s="20">
        <f>VLOOKUP($O1602,매칭테이블!$G:$J,4,0)*H1602</f>
        <v/>
      </c>
      <c r="O1602" s="20">
        <f>F1602&amp;E1602&amp;I1602&amp;J1602</f>
        <v/>
      </c>
    </row>
    <row r="1603" ht="16.5" customHeight="1" s="17">
      <c r="B1603" s="16" t="n">
        <v>44078</v>
      </c>
      <c r="C1603" s="20" t="inlineStr">
        <is>
          <t>금</t>
        </is>
      </c>
      <c r="E1603" s="20" t="inlineStr">
        <is>
          <t>고체향수</t>
        </is>
      </c>
      <c r="F1603" s="20" t="inlineStr">
        <is>
          <t>카페24</t>
        </is>
      </c>
      <c r="H1603" s="20" t="n">
        <v>79</v>
      </c>
      <c r="I1603" s="20" t="inlineStr">
        <is>
          <t>스테이포에버</t>
        </is>
      </c>
      <c r="J1603" s="20" t="n">
        <v>200720</v>
      </c>
      <c r="L1603" s="20">
        <f>VLOOKUP($O1603,매칭테이블!$G:$J,2,0)*H1603</f>
        <v/>
      </c>
      <c r="M1603" s="20">
        <f>L1603-L1603*VLOOKUP($O1603,매칭테이블!$G:$J,3,0)</f>
        <v/>
      </c>
      <c r="N1603" s="20">
        <f>VLOOKUP($O1603,매칭테이블!$G:$J,4,0)*H1603</f>
        <v/>
      </c>
      <c r="O1603" s="20">
        <f>F1603&amp;E1603&amp;I1603&amp;J1603</f>
        <v/>
      </c>
    </row>
    <row r="1604" ht="16.5" customHeight="1" s="17">
      <c r="B1604" s="16" t="n">
        <v>44078</v>
      </c>
      <c r="C1604" s="20" t="inlineStr">
        <is>
          <t>금</t>
        </is>
      </c>
      <c r="E1604" s="20" t="inlineStr">
        <is>
          <t>고체향수</t>
        </is>
      </c>
      <c r="F1604" s="20" t="inlineStr">
        <is>
          <t>카페24</t>
        </is>
      </c>
      <c r="H1604" s="20" t="n">
        <v>13</v>
      </c>
      <c r="I1604" s="20" t="inlineStr">
        <is>
          <t>스테이포에버 2set</t>
        </is>
      </c>
      <c r="J1604" s="20" t="n">
        <v>200720</v>
      </c>
      <c r="L1604" s="20">
        <f>VLOOKUP($O1604,매칭테이블!$G:$J,2,0)*H1604</f>
        <v/>
      </c>
      <c r="M1604" s="20">
        <f>L1604-L1604*VLOOKUP($O1604,매칭테이블!$G:$J,3,0)</f>
        <v/>
      </c>
      <c r="N1604" s="20">
        <f>VLOOKUP($O1604,매칭테이블!$G:$J,4,0)*H1604</f>
        <v/>
      </c>
      <c r="O1604" s="20">
        <f>F1604&amp;E1604&amp;I1604&amp;J1604</f>
        <v/>
      </c>
    </row>
    <row r="1605" ht="16.5" customHeight="1" s="17">
      <c r="B1605" s="16" t="n">
        <v>44078</v>
      </c>
      <c r="C1605" s="20" t="inlineStr">
        <is>
          <t>금</t>
        </is>
      </c>
      <c r="E1605" s="20" t="inlineStr">
        <is>
          <t>고체향수</t>
        </is>
      </c>
      <c r="F1605" s="20" t="inlineStr">
        <is>
          <t>카페24</t>
        </is>
      </c>
      <c r="H1605" s="20" t="n">
        <v>1</v>
      </c>
      <c r="I1605" s="20" t="inlineStr">
        <is>
          <t>이그나이트 2set</t>
        </is>
      </c>
      <c r="J1605" s="20" t="n">
        <v>200720</v>
      </c>
      <c r="L1605" s="20">
        <f>VLOOKUP($O1605,매칭테이블!$G:$J,2,0)*H1605</f>
        <v/>
      </c>
      <c r="M1605" s="20">
        <f>L1605-L1605*VLOOKUP($O1605,매칭테이블!$G:$J,3,0)</f>
        <v/>
      </c>
      <c r="N1605" s="20">
        <f>VLOOKUP($O1605,매칭테이블!$G:$J,4,0)*H1605</f>
        <v/>
      </c>
      <c r="O1605" s="20">
        <f>F1605&amp;E1605&amp;I1605&amp;J1605</f>
        <v/>
      </c>
    </row>
    <row r="1606" ht="16.5" customHeight="1" s="17">
      <c r="B1606" s="16" t="n">
        <v>44079</v>
      </c>
      <c r="C1606" s="20" t="inlineStr">
        <is>
          <t>토</t>
        </is>
      </c>
      <c r="E1606" s="20" t="inlineStr">
        <is>
          <t>고체향수</t>
        </is>
      </c>
      <c r="F1606" s="20" t="inlineStr">
        <is>
          <t>카페24</t>
        </is>
      </c>
      <c r="H1606" s="20" t="n">
        <v>4</v>
      </c>
      <c r="I1606" s="20" t="inlineStr">
        <is>
          <t>이그나이트 + 스테이포에버</t>
        </is>
      </c>
      <c r="J1606" s="20" t="n">
        <v>200720</v>
      </c>
      <c r="L1606" s="20">
        <f>VLOOKUP($O1606,매칭테이블!$G:$J,2,0)*H1606</f>
        <v/>
      </c>
      <c r="M1606" s="20">
        <f>L1606-L1606*VLOOKUP($O1606,매칭테이블!$G:$J,3,0)</f>
        <v/>
      </c>
      <c r="N1606" s="20">
        <f>VLOOKUP($O1606,매칭테이블!$G:$J,4,0)*H1606</f>
        <v/>
      </c>
      <c r="O1606" s="20">
        <f>F1606&amp;E1606&amp;I1606&amp;J1606</f>
        <v/>
      </c>
    </row>
    <row r="1607" ht="16.5" customHeight="1" s="17">
      <c r="B1607" s="16" t="n">
        <v>44079</v>
      </c>
      <c r="C1607" s="20" t="inlineStr">
        <is>
          <t>토</t>
        </is>
      </c>
      <c r="E1607" s="20" t="inlineStr">
        <is>
          <t>고체향수</t>
        </is>
      </c>
      <c r="F1607" s="20" t="inlineStr">
        <is>
          <t>카페24</t>
        </is>
      </c>
      <c r="H1607" s="20" t="n">
        <v>67</v>
      </c>
      <c r="I1607" s="20" t="inlineStr">
        <is>
          <t>스테이포에버</t>
        </is>
      </c>
      <c r="J1607" s="20" t="n">
        <v>200720</v>
      </c>
      <c r="L1607" s="20">
        <f>VLOOKUP($O1607,매칭테이블!$G:$J,2,0)*H1607</f>
        <v/>
      </c>
      <c r="M1607" s="20">
        <f>L1607-L1607*VLOOKUP($O1607,매칭테이블!$G:$J,3,0)</f>
        <v/>
      </c>
      <c r="N1607" s="20">
        <f>VLOOKUP($O1607,매칭테이블!$G:$J,4,0)*H1607</f>
        <v/>
      </c>
      <c r="O1607" s="20">
        <f>F1607&amp;E1607&amp;I1607&amp;J1607</f>
        <v/>
      </c>
    </row>
    <row r="1608" ht="16.5" customHeight="1" s="17">
      <c r="B1608" s="16" t="n">
        <v>44079</v>
      </c>
      <c r="C1608" s="20" t="inlineStr">
        <is>
          <t>토</t>
        </is>
      </c>
      <c r="E1608" s="20" t="inlineStr">
        <is>
          <t>고체향수</t>
        </is>
      </c>
      <c r="F1608" s="20" t="inlineStr">
        <is>
          <t>카페24</t>
        </is>
      </c>
      <c r="H1608" s="20" t="n">
        <v>9</v>
      </c>
      <c r="I1608" s="20" t="inlineStr">
        <is>
          <t>스테이포에버 2set</t>
        </is>
      </c>
      <c r="J1608" s="20" t="n">
        <v>200720</v>
      </c>
      <c r="L1608" s="20">
        <f>VLOOKUP($O1608,매칭테이블!$G:$J,2,0)*H1608</f>
        <v/>
      </c>
      <c r="M1608" s="20">
        <f>L1608-L1608*VLOOKUP($O1608,매칭테이블!$G:$J,3,0)</f>
        <v/>
      </c>
      <c r="N1608" s="20">
        <f>VLOOKUP($O1608,매칭테이블!$G:$J,4,0)*H1608</f>
        <v/>
      </c>
      <c r="O1608" s="20">
        <f>F1608&amp;E1608&amp;I1608&amp;J1608</f>
        <v/>
      </c>
    </row>
    <row r="1609" ht="16.5" customHeight="1" s="17">
      <c r="B1609" s="16" t="n">
        <v>44079</v>
      </c>
      <c r="C1609" s="20" t="inlineStr">
        <is>
          <t>토</t>
        </is>
      </c>
      <c r="E1609" s="20" t="inlineStr">
        <is>
          <t>쇼핑백</t>
        </is>
      </c>
      <c r="F1609" s="20" t="inlineStr">
        <is>
          <t>카페24</t>
        </is>
      </c>
      <c r="H1609" s="20" t="n">
        <v>2</v>
      </c>
      <c r="I1609" s="20" t="inlineStr">
        <is>
          <t>유즈쇼핑백</t>
        </is>
      </c>
      <c r="J1609" s="20" t="n">
        <v>200720</v>
      </c>
      <c r="L1609" s="20">
        <f>VLOOKUP($O1609,매칭테이블!$G:$J,2,0)*H1609</f>
        <v/>
      </c>
      <c r="M1609" s="20">
        <f>L1609-L1609*VLOOKUP($O1609,매칭테이블!$G:$J,3,0)</f>
        <v/>
      </c>
      <c r="N1609" s="20">
        <f>VLOOKUP($O1609,매칭테이블!$G:$J,4,0)*H1609</f>
        <v/>
      </c>
      <c r="O1609" s="20">
        <f>F1609&amp;E1609&amp;I1609&amp;J1609</f>
        <v/>
      </c>
    </row>
    <row r="1610" ht="16.5" customHeight="1" s="17">
      <c r="B1610" s="16" t="n">
        <v>44080</v>
      </c>
      <c r="C1610" s="20" t="inlineStr">
        <is>
          <t>일</t>
        </is>
      </c>
      <c r="E1610" s="20" t="inlineStr">
        <is>
          <t>고체향수</t>
        </is>
      </c>
      <c r="F1610" s="20" t="inlineStr">
        <is>
          <t>카페24</t>
        </is>
      </c>
      <c r="H1610" s="20" t="n">
        <v>3</v>
      </c>
      <c r="I1610" s="20" t="inlineStr">
        <is>
          <t>이그나이트 + 스테이포에버</t>
        </is>
      </c>
      <c r="J1610" s="20" t="n">
        <v>200720</v>
      </c>
      <c r="L1610" s="20">
        <f>VLOOKUP($O1610,매칭테이블!$G:$J,2,0)*H1610</f>
        <v/>
      </c>
      <c r="M1610" s="20">
        <f>L1610-L1610*VLOOKUP($O1610,매칭테이블!$G:$J,3,0)</f>
        <v/>
      </c>
      <c r="N1610" s="20">
        <f>VLOOKUP($O1610,매칭테이블!$G:$J,4,0)*H1610</f>
        <v/>
      </c>
      <c r="O1610" s="20">
        <f>F1610&amp;E1610&amp;I1610&amp;J1610</f>
        <v/>
      </c>
    </row>
    <row r="1611" ht="16.5" customHeight="1" s="17">
      <c r="B1611" s="16" t="n">
        <v>44080</v>
      </c>
      <c r="C1611" s="20" t="inlineStr">
        <is>
          <t>일</t>
        </is>
      </c>
      <c r="E1611" s="20" t="inlineStr">
        <is>
          <t>고체향수</t>
        </is>
      </c>
      <c r="F1611" s="20" t="inlineStr">
        <is>
          <t>카페24</t>
        </is>
      </c>
      <c r="H1611" s="20" t="n">
        <v>1</v>
      </c>
      <c r="I1611" s="20" t="inlineStr">
        <is>
          <t>이그나이트 + 스테이포에버 2set</t>
        </is>
      </c>
      <c r="J1611" s="20" t="n">
        <v>200720</v>
      </c>
      <c r="L1611" s="20">
        <f>VLOOKUP($O1611,매칭테이블!$G:$J,2,0)*H1611</f>
        <v/>
      </c>
      <c r="M1611" s="20">
        <f>L1611-L1611*VLOOKUP($O1611,매칭테이블!$G:$J,3,0)</f>
        <v/>
      </c>
      <c r="N1611" s="20">
        <f>VLOOKUP($O1611,매칭테이블!$G:$J,4,0)*H1611</f>
        <v/>
      </c>
      <c r="O1611" s="20">
        <f>F1611&amp;E1611&amp;I1611&amp;J1611</f>
        <v/>
      </c>
    </row>
    <row r="1612" ht="16.5" customHeight="1" s="17">
      <c r="B1612" s="16" t="n">
        <v>44080</v>
      </c>
      <c r="C1612" s="20" t="inlineStr">
        <is>
          <t>일</t>
        </is>
      </c>
      <c r="E1612" s="20" t="inlineStr">
        <is>
          <t>고체향수</t>
        </is>
      </c>
      <c r="F1612" s="20" t="inlineStr">
        <is>
          <t>카페24</t>
        </is>
      </c>
      <c r="H1612" s="20" t="n">
        <v>72</v>
      </c>
      <c r="I1612" s="20" t="inlineStr">
        <is>
          <t>스테이포에버</t>
        </is>
      </c>
      <c r="J1612" s="20" t="n">
        <v>200720</v>
      </c>
      <c r="L1612" s="20">
        <f>VLOOKUP($O1612,매칭테이블!$G:$J,2,0)*H1612</f>
        <v/>
      </c>
      <c r="M1612" s="20">
        <f>L1612-L1612*VLOOKUP($O1612,매칭테이블!$G:$J,3,0)</f>
        <v/>
      </c>
      <c r="N1612" s="20">
        <f>VLOOKUP($O1612,매칭테이블!$G:$J,4,0)*H1612</f>
        <v/>
      </c>
      <c r="O1612" s="20">
        <f>F1612&amp;E1612&amp;I1612&amp;J1612</f>
        <v/>
      </c>
    </row>
    <row r="1613" ht="16.5" customHeight="1" s="17">
      <c r="B1613" s="16" t="n">
        <v>44080</v>
      </c>
      <c r="C1613" s="20" t="inlineStr">
        <is>
          <t>일</t>
        </is>
      </c>
      <c r="E1613" s="20" t="inlineStr">
        <is>
          <t>고체향수</t>
        </is>
      </c>
      <c r="F1613" s="20" t="inlineStr">
        <is>
          <t>카페24</t>
        </is>
      </c>
      <c r="H1613" s="20" t="n">
        <v>7</v>
      </c>
      <c r="I1613" s="20" t="inlineStr">
        <is>
          <t>스테이포에버 2set</t>
        </is>
      </c>
      <c r="J1613" s="20" t="n">
        <v>200720</v>
      </c>
      <c r="L1613" s="20">
        <f>VLOOKUP($O1613,매칭테이블!$G:$J,2,0)*H1613</f>
        <v/>
      </c>
      <c r="M1613" s="20">
        <f>L1613-L1613*VLOOKUP($O1613,매칭테이블!$G:$J,3,0)</f>
        <v/>
      </c>
      <c r="N1613" s="20">
        <f>VLOOKUP($O1613,매칭테이블!$G:$J,4,0)*H1613</f>
        <v/>
      </c>
      <c r="O1613" s="20">
        <f>F1613&amp;E1613&amp;I1613&amp;J1613</f>
        <v/>
      </c>
    </row>
    <row r="1614" ht="16.5" customHeight="1" s="17">
      <c r="B1614" s="16" t="n">
        <v>44080</v>
      </c>
      <c r="C1614" s="20" t="inlineStr">
        <is>
          <t>일</t>
        </is>
      </c>
      <c r="E1614" s="20" t="inlineStr">
        <is>
          <t>쇼핑백</t>
        </is>
      </c>
      <c r="F1614" s="20" t="inlineStr">
        <is>
          <t>카페24</t>
        </is>
      </c>
      <c r="H1614" s="20" t="n">
        <v>1</v>
      </c>
      <c r="I1614" s="20" t="inlineStr">
        <is>
          <t>유즈쇼핑백</t>
        </is>
      </c>
      <c r="J1614" s="20" t="n">
        <v>200720</v>
      </c>
      <c r="L1614" s="20">
        <f>VLOOKUP($O1614,매칭테이블!$G:$J,2,0)*H1614</f>
        <v/>
      </c>
      <c r="M1614" s="20">
        <f>L1614-L1614*VLOOKUP($O1614,매칭테이블!$G:$J,3,0)</f>
        <v/>
      </c>
      <c r="N1614" s="20">
        <f>VLOOKUP($O1614,매칭테이블!$G:$J,4,0)*H1614</f>
        <v/>
      </c>
      <c r="O1614" s="20">
        <f>F1614&amp;E1614&amp;I1614&amp;J1614</f>
        <v/>
      </c>
    </row>
    <row r="1615" ht="19.35" customHeight="1" s="17">
      <c r="B1615" s="16" t="n">
        <v>44081</v>
      </c>
      <c r="C1615" s="20" t="inlineStr">
        <is>
          <t>월</t>
        </is>
      </c>
      <c r="E1615" s="20" t="inlineStr">
        <is>
          <t>고체향수</t>
        </is>
      </c>
      <c r="F1615" s="20" t="inlineStr">
        <is>
          <t>유즈 CS</t>
        </is>
      </c>
      <c r="H1615" s="20" t="n">
        <v>1</v>
      </c>
      <c r="I1615" s="20" t="inlineStr">
        <is>
          <t>스테이포에버</t>
        </is>
      </c>
      <c r="J1615" s="20" t="n">
        <v>200520</v>
      </c>
      <c r="L1615" s="20">
        <f>VLOOKUP($O1615,매칭테이블!$G:$J,2,0)*H1615</f>
        <v/>
      </c>
      <c r="M1615" s="20">
        <f>L1615-L1615*VLOOKUP($O1615,매칭테이블!$G:$J,3,0)</f>
        <v/>
      </c>
      <c r="N1615" s="20">
        <f>VLOOKUP($O1615,매칭테이블!$G:$J,4,0)*H1615</f>
        <v/>
      </c>
      <c r="O1615" s="20">
        <f>F1615&amp;E1615&amp;I1615&amp;J1615</f>
        <v/>
      </c>
    </row>
    <row r="1616" ht="16.5" customHeight="1" s="17">
      <c r="B1616" s="16" t="n">
        <v>44081</v>
      </c>
      <c r="C1616" s="20" t="inlineStr">
        <is>
          <t>월</t>
        </is>
      </c>
      <c r="E1616" s="20" t="inlineStr">
        <is>
          <t>고체향수</t>
        </is>
      </c>
      <c r="F1616" s="20" t="inlineStr">
        <is>
          <t>카페24</t>
        </is>
      </c>
      <c r="H1616" s="20" t="n">
        <v>3</v>
      </c>
      <c r="I1616" s="20" t="inlineStr">
        <is>
          <t>이그나이트 + 스테이포에버</t>
        </is>
      </c>
      <c r="J1616" s="20" t="n">
        <v>200720</v>
      </c>
      <c r="L1616" s="20">
        <f>VLOOKUP($O1616,매칭테이블!$G:$J,2,0)*H1616</f>
        <v/>
      </c>
      <c r="M1616" s="20">
        <f>L1616-L1616*VLOOKUP($O1616,매칭테이블!$G:$J,3,0)</f>
        <v/>
      </c>
      <c r="N1616" s="20">
        <f>VLOOKUP($O1616,매칭테이블!$G:$J,4,0)*H1616</f>
        <v/>
      </c>
      <c r="O1616" s="20">
        <f>F1616&amp;E1616&amp;I1616&amp;J1616</f>
        <v/>
      </c>
    </row>
    <row r="1617" ht="16.5" customHeight="1" s="17">
      <c r="B1617" s="16" t="n">
        <v>44081</v>
      </c>
      <c r="C1617" s="20" t="inlineStr">
        <is>
          <t>월</t>
        </is>
      </c>
      <c r="E1617" s="20" t="inlineStr">
        <is>
          <t>고체향수</t>
        </is>
      </c>
      <c r="F1617" s="20" t="inlineStr">
        <is>
          <t>카페24</t>
        </is>
      </c>
      <c r="H1617" s="20" t="n">
        <v>71</v>
      </c>
      <c r="I1617" s="20" t="inlineStr">
        <is>
          <t>스테이포에버</t>
        </is>
      </c>
      <c r="J1617" s="20" t="n">
        <v>200720</v>
      </c>
      <c r="L1617" s="20">
        <f>VLOOKUP($O1617,매칭테이블!$G:$J,2,0)*H1617</f>
        <v/>
      </c>
      <c r="M1617" s="20">
        <f>L1617-L1617*VLOOKUP($O1617,매칭테이블!$G:$J,3,0)</f>
        <v/>
      </c>
      <c r="N1617" s="20">
        <f>VLOOKUP($O1617,매칭테이블!$G:$J,4,0)*H1617</f>
        <v/>
      </c>
      <c r="O1617" s="20">
        <f>F1617&amp;E1617&amp;I1617&amp;J1617</f>
        <v/>
      </c>
    </row>
    <row r="1618" ht="16.5" customHeight="1" s="17">
      <c r="B1618" s="16" t="n">
        <v>44081</v>
      </c>
      <c r="C1618" s="20" t="inlineStr">
        <is>
          <t>월</t>
        </is>
      </c>
      <c r="E1618" s="20" t="inlineStr">
        <is>
          <t>고체향수</t>
        </is>
      </c>
      <c r="F1618" s="20" t="inlineStr">
        <is>
          <t>카페24</t>
        </is>
      </c>
      <c r="H1618" s="20" t="n">
        <v>8</v>
      </c>
      <c r="I1618" s="20" t="inlineStr">
        <is>
          <t>스테이포에버 2set</t>
        </is>
      </c>
      <c r="J1618" s="20" t="n">
        <v>200720</v>
      </c>
      <c r="L1618" s="20">
        <f>VLOOKUP($O1618,매칭테이블!$G:$J,2,0)*H1618</f>
        <v/>
      </c>
      <c r="M1618" s="20">
        <f>L1618-L1618*VLOOKUP($O1618,매칭테이블!$G:$J,3,0)</f>
        <v/>
      </c>
      <c r="N1618" s="20">
        <f>VLOOKUP($O1618,매칭테이블!$G:$J,4,0)*H1618</f>
        <v/>
      </c>
      <c r="O1618" s="20">
        <f>F1618&amp;E1618&amp;I1618&amp;J1618</f>
        <v/>
      </c>
    </row>
    <row r="1619" ht="16.5" customHeight="1" s="17">
      <c r="B1619" s="16" t="n">
        <v>44081</v>
      </c>
      <c r="C1619" s="20" t="inlineStr">
        <is>
          <t>월</t>
        </is>
      </c>
      <c r="E1619" s="20" t="inlineStr">
        <is>
          <t>고체향수</t>
        </is>
      </c>
      <c r="F1619" s="20" t="inlineStr">
        <is>
          <t>카페24</t>
        </is>
      </c>
      <c r="H1619" s="20" t="n">
        <v>1</v>
      </c>
      <c r="I1619" s="20" t="inlineStr">
        <is>
          <t>이그나이트</t>
        </is>
      </c>
      <c r="J1619" s="20" t="n">
        <v>200720</v>
      </c>
      <c r="L1619" s="20">
        <f>VLOOKUP($O1619,매칭테이블!$G:$J,2,0)*H1619</f>
        <v/>
      </c>
      <c r="M1619" s="20">
        <f>L1619-L1619*VLOOKUP($O1619,매칭테이블!$G:$J,3,0)</f>
        <v/>
      </c>
      <c r="N1619" s="20">
        <f>VLOOKUP($O1619,매칭테이블!$G:$J,4,0)*H1619</f>
        <v/>
      </c>
      <c r="O1619" s="20">
        <f>F1619&amp;E1619&amp;I1619&amp;J1619</f>
        <v/>
      </c>
    </row>
    <row r="1620" ht="16.5" customHeight="1" s="17">
      <c r="B1620" s="16" t="n">
        <v>44081</v>
      </c>
      <c r="C1620" s="20" t="inlineStr">
        <is>
          <t>월</t>
        </is>
      </c>
      <c r="E1620" s="20" t="inlineStr">
        <is>
          <t>쇼핑백</t>
        </is>
      </c>
      <c r="F1620" s="20" t="inlineStr">
        <is>
          <t>카페24</t>
        </is>
      </c>
      <c r="H1620" s="20" t="n">
        <v>4</v>
      </c>
      <c r="I1620" s="20" t="inlineStr">
        <is>
          <t>유즈쇼핑백</t>
        </is>
      </c>
      <c r="J1620" s="20" t="n">
        <v>200720</v>
      </c>
      <c r="L1620" s="20">
        <f>VLOOKUP($O1620,매칭테이블!$G:$J,2,0)*H1620</f>
        <v/>
      </c>
      <c r="M1620" s="20">
        <f>L1620-L1620*VLOOKUP($O1620,매칭테이블!$G:$J,3,0)</f>
        <v/>
      </c>
      <c r="N1620" s="20">
        <f>VLOOKUP($O1620,매칭테이블!$G:$J,4,0)*H1620</f>
        <v/>
      </c>
      <c r="O1620" s="20">
        <f>F1620&amp;E1620&amp;I1620&amp;J1620</f>
        <v/>
      </c>
    </row>
    <row r="1621" ht="18" customHeight="1" s="17">
      <c r="B1621" s="16" t="n">
        <v>44082</v>
      </c>
      <c r="C1621" s="20" t="inlineStr">
        <is>
          <t>화</t>
        </is>
      </c>
      <c r="E1621" s="20" t="inlineStr">
        <is>
          <t>고체향수</t>
        </is>
      </c>
      <c r="F1621" s="20" t="inlineStr">
        <is>
          <t>유즈 CS</t>
        </is>
      </c>
      <c r="H1621" s="20" t="n">
        <v>3</v>
      </c>
      <c r="I1621" s="20" t="inlineStr">
        <is>
          <t>스테이포에버</t>
        </is>
      </c>
      <c r="J1621" s="20" t="n">
        <v>200520</v>
      </c>
      <c r="L1621" s="20">
        <f>VLOOKUP($O1621,매칭테이블!$G:$J,2,0)*H1621</f>
        <v/>
      </c>
      <c r="M1621" s="20">
        <f>L1621-L1621*VLOOKUP($O1621,매칭테이블!$G:$J,3,0)</f>
        <v/>
      </c>
      <c r="N1621" s="20">
        <f>VLOOKUP($O1621,매칭테이블!$G:$J,4,0)*H1621</f>
        <v/>
      </c>
      <c r="O1621" s="20">
        <f>F1621&amp;E1621&amp;I1621&amp;J1621</f>
        <v/>
      </c>
    </row>
    <row r="1622" ht="16.5" customHeight="1" s="17">
      <c r="B1622" s="16" t="n">
        <v>44082</v>
      </c>
      <c r="C1622" s="20" t="inlineStr">
        <is>
          <t>화</t>
        </is>
      </c>
      <c r="E1622" s="20" t="inlineStr">
        <is>
          <t>고체향수</t>
        </is>
      </c>
      <c r="F1622" s="20" t="inlineStr">
        <is>
          <t>유즈 CS</t>
        </is>
      </c>
      <c r="H1622" s="20" t="n">
        <v>3</v>
      </c>
      <c r="I1622" s="20" t="inlineStr">
        <is>
          <t>이그나이트</t>
        </is>
      </c>
      <c r="J1622" s="20" t="n">
        <v>200520</v>
      </c>
      <c r="L1622" s="20">
        <f>VLOOKUP($O1622,매칭테이블!$G:$J,2,0)*H1622</f>
        <v/>
      </c>
      <c r="M1622" s="20">
        <f>L1622-L1622*VLOOKUP($O1622,매칭테이블!$G:$J,3,0)</f>
        <v/>
      </c>
      <c r="N1622" s="20">
        <f>VLOOKUP($O1622,매칭테이블!$G:$J,4,0)*H1622</f>
        <v/>
      </c>
      <c r="O1622" s="20">
        <f>F1622&amp;E1622&amp;I1622&amp;J1622</f>
        <v/>
      </c>
    </row>
    <row r="1623" ht="16.5" customHeight="1" s="17">
      <c r="B1623" s="16" t="n">
        <v>44082</v>
      </c>
      <c r="C1623" s="20" t="inlineStr">
        <is>
          <t>화</t>
        </is>
      </c>
      <c r="E1623" s="20" t="inlineStr">
        <is>
          <t>고체향수</t>
        </is>
      </c>
      <c r="F1623" s="20" t="inlineStr">
        <is>
          <t>카페24</t>
        </is>
      </c>
      <c r="H1623" s="20" t="n">
        <v>9</v>
      </c>
      <c r="I1623" s="20" t="inlineStr">
        <is>
          <t>이그나이트 + 스테이포에버</t>
        </is>
      </c>
      <c r="J1623" s="20" t="n">
        <v>200720</v>
      </c>
      <c r="L1623" s="20">
        <f>VLOOKUP($O1623,매칭테이블!$G:$J,2,0)*H1623</f>
        <v/>
      </c>
      <c r="M1623" s="20">
        <f>L1623-L1623*VLOOKUP($O1623,매칭테이블!$G:$J,3,0)</f>
        <v/>
      </c>
      <c r="N1623" s="20">
        <f>VLOOKUP($O1623,매칭테이블!$G:$J,4,0)*H1623</f>
        <v/>
      </c>
      <c r="O1623" s="20">
        <f>F1623&amp;E1623&amp;I1623&amp;J1623</f>
        <v/>
      </c>
    </row>
    <row r="1624" ht="16.5" customHeight="1" s="17">
      <c r="B1624" s="16" t="n">
        <v>44082</v>
      </c>
      <c r="C1624" s="20" t="inlineStr">
        <is>
          <t>화</t>
        </is>
      </c>
      <c r="E1624" s="20" t="inlineStr">
        <is>
          <t>고체향수</t>
        </is>
      </c>
      <c r="F1624" s="20" t="inlineStr">
        <is>
          <t>카페24</t>
        </is>
      </c>
      <c r="H1624" s="20" t="n">
        <v>60</v>
      </c>
      <c r="I1624" s="20" t="inlineStr">
        <is>
          <t>스테이포에버</t>
        </is>
      </c>
      <c r="J1624" s="20" t="n">
        <v>200720</v>
      </c>
      <c r="L1624" s="20">
        <f>VLOOKUP($O1624,매칭테이블!$G:$J,2,0)*H1624</f>
        <v/>
      </c>
      <c r="M1624" s="20">
        <f>L1624-L1624*VLOOKUP($O1624,매칭테이블!$G:$J,3,0)</f>
        <v/>
      </c>
      <c r="N1624" s="20">
        <f>VLOOKUP($O1624,매칭테이블!$G:$J,4,0)*H1624</f>
        <v/>
      </c>
      <c r="O1624" s="20">
        <f>F1624&amp;E1624&amp;I1624&amp;J1624</f>
        <v/>
      </c>
    </row>
    <row r="1625" ht="16.5" customHeight="1" s="17">
      <c r="B1625" s="16" t="n">
        <v>44082</v>
      </c>
      <c r="C1625" s="20" t="inlineStr">
        <is>
          <t>화</t>
        </is>
      </c>
      <c r="E1625" s="20" t="inlineStr">
        <is>
          <t>고체향수</t>
        </is>
      </c>
      <c r="F1625" s="20" t="inlineStr">
        <is>
          <t>카페24</t>
        </is>
      </c>
      <c r="H1625" s="20" t="n">
        <v>8</v>
      </c>
      <c r="I1625" s="20" t="inlineStr">
        <is>
          <t>스테이포에버 2set</t>
        </is>
      </c>
      <c r="J1625" s="20" t="n">
        <v>200720</v>
      </c>
      <c r="L1625" s="20">
        <f>VLOOKUP($O1625,매칭테이블!$G:$J,2,0)*H1625</f>
        <v/>
      </c>
      <c r="M1625" s="20">
        <f>L1625-L1625*VLOOKUP($O1625,매칭테이블!$G:$J,3,0)</f>
        <v/>
      </c>
      <c r="N1625" s="20">
        <f>VLOOKUP($O1625,매칭테이블!$G:$J,4,0)*H1625</f>
        <v/>
      </c>
      <c r="O1625" s="20">
        <f>F1625&amp;E1625&amp;I1625&amp;J1625</f>
        <v/>
      </c>
    </row>
    <row r="1626" ht="16.5" customHeight="1" s="17">
      <c r="B1626" s="16" t="n">
        <v>44082</v>
      </c>
      <c r="C1626" s="20" t="inlineStr">
        <is>
          <t>화</t>
        </is>
      </c>
      <c r="E1626" s="20" t="inlineStr">
        <is>
          <t>고체향수</t>
        </is>
      </c>
      <c r="F1626" s="20" t="inlineStr">
        <is>
          <t>카페24</t>
        </is>
      </c>
      <c r="H1626" s="20" t="n">
        <v>1</v>
      </c>
      <c r="I1626" s="20" t="inlineStr">
        <is>
          <t>이그나이트 2set</t>
        </is>
      </c>
      <c r="J1626" s="20" t="n">
        <v>200720</v>
      </c>
      <c r="L1626" s="20">
        <f>VLOOKUP($O1626,매칭테이블!$G:$J,2,0)*H1626</f>
        <v/>
      </c>
      <c r="M1626" s="20">
        <f>L1626-L1626*VLOOKUP($O1626,매칭테이블!$G:$J,3,0)</f>
        <v/>
      </c>
      <c r="N1626" s="20">
        <f>VLOOKUP($O1626,매칭테이블!$G:$J,4,0)*H1626</f>
        <v/>
      </c>
      <c r="O1626" s="20">
        <f>F1626&amp;E1626&amp;I1626&amp;J1626</f>
        <v/>
      </c>
    </row>
    <row r="1627" ht="16.5" customHeight="1" s="17">
      <c r="B1627" s="16" t="n">
        <v>44082</v>
      </c>
      <c r="C1627" s="20" t="inlineStr">
        <is>
          <t>화</t>
        </is>
      </c>
      <c r="E1627" s="20" t="inlineStr">
        <is>
          <t>쇼핑백</t>
        </is>
      </c>
      <c r="F1627" s="20" t="inlineStr">
        <is>
          <t>카페24</t>
        </is>
      </c>
      <c r="H1627" s="20" t="n">
        <v>7</v>
      </c>
      <c r="I1627" s="20" t="inlineStr">
        <is>
          <t>유즈쇼핑백</t>
        </is>
      </c>
      <c r="J1627" s="20" t="n">
        <v>200720</v>
      </c>
      <c r="L1627" s="20">
        <f>VLOOKUP($O1627,매칭테이블!$G:$J,2,0)*H1627</f>
        <v/>
      </c>
      <c r="M1627" s="20">
        <f>L1627-L1627*VLOOKUP($O1627,매칭테이블!$G:$J,3,0)</f>
        <v/>
      </c>
      <c r="N1627" s="20">
        <f>VLOOKUP($O1627,매칭테이블!$G:$J,4,0)*H1627</f>
        <v/>
      </c>
      <c r="O1627" s="20">
        <f>F1627&amp;E1627&amp;I1627&amp;J1627</f>
        <v/>
      </c>
    </row>
    <row r="1628" ht="16.5" customHeight="1" s="17">
      <c r="B1628" s="16" t="n">
        <v>44083</v>
      </c>
      <c r="C1628" s="20" t="inlineStr">
        <is>
          <t>수</t>
        </is>
      </c>
      <c r="E1628" s="20" t="inlineStr">
        <is>
          <t>고체향수</t>
        </is>
      </c>
      <c r="F1628" s="20" t="inlineStr">
        <is>
          <t>유즈 CS</t>
        </is>
      </c>
      <c r="H1628" s="20" t="n">
        <v>11</v>
      </c>
      <c r="I1628" s="20" t="inlineStr">
        <is>
          <t>스테이포에버</t>
        </is>
      </c>
      <c r="J1628" s="20" t="n">
        <v>200520</v>
      </c>
      <c r="L1628" s="20">
        <f>VLOOKUP($O1628,매칭테이블!$G:$J,2,0)*H1628</f>
        <v/>
      </c>
      <c r="M1628" s="20">
        <f>L1628-L1628*VLOOKUP($O1628,매칭테이블!$G:$J,3,0)</f>
        <v/>
      </c>
      <c r="N1628" s="20">
        <f>VLOOKUP($O1628,매칭테이블!$G:$J,4,0)*H1628</f>
        <v/>
      </c>
      <c r="O1628" s="20">
        <f>F1628&amp;E1628&amp;I1628&amp;J1628</f>
        <v/>
      </c>
    </row>
    <row r="1629" ht="16.5" customHeight="1" s="17">
      <c r="B1629" s="16" t="n">
        <v>44083</v>
      </c>
      <c r="C1629" s="20" t="inlineStr">
        <is>
          <t>수</t>
        </is>
      </c>
      <c r="E1629" s="20" t="inlineStr">
        <is>
          <t>고체향수</t>
        </is>
      </c>
      <c r="F1629" s="20" t="inlineStr">
        <is>
          <t>유즈 CS</t>
        </is>
      </c>
      <c r="H1629" s="20" t="n">
        <v>1</v>
      </c>
      <c r="I1629" s="20" t="inlineStr">
        <is>
          <t>이그나이트</t>
        </is>
      </c>
      <c r="J1629" s="20" t="n">
        <v>200520</v>
      </c>
      <c r="L1629" s="20">
        <f>VLOOKUP($O1629,매칭테이블!$G:$J,2,0)*H1629</f>
        <v/>
      </c>
      <c r="M1629" s="20">
        <f>L1629-L1629*VLOOKUP($O1629,매칭테이블!$G:$J,3,0)</f>
        <v/>
      </c>
      <c r="N1629" s="20">
        <f>VLOOKUP($O1629,매칭테이블!$G:$J,4,0)*H1629</f>
        <v/>
      </c>
      <c r="O1629" s="20">
        <f>F1629&amp;E1629&amp;I1629&amp;J1629</f>
        <v/>
      </c>
    </row>
    <row r="1630" ht="16.5" customHeight="1" s="17">
      <c r="B1630" s="16" t="n">
        <v>44083</v>
      </c>
      <c r="C1630" s="20" t="inlineStr">
        <is>
          <t>수</t>
        </is>
      </c>
      <c r="E1630" s="20" t="inlineStr">
        <is>
          <t>고체향수</t>
        </is>
      </c>
      <c r="F1630" s="20" t="inlineStr">
        <is>
          <t>카페24</t>
        </is>
      </c>
      <c r="H1630" s="20" t="n">
        <v>6</v>
      </c>
      <c r="I1630" s="20" t="inlineStr">
        <is>
          <t>이그나이트 + 스테이포에버</t>
        </is>
      </c>
      <c r="J1630" s="20" t="n">
        <v>200720</v>
      </c>
      <c r="L1630" s="20">
        <f>VLOOKUP($O1630,매칭테이블!$G:$J,2,0)*H1630</f>
        <v/>
      </c>
      <c r="M1630" s="20">
        <f>L1630-L1630*VLOOKUP($O1630,매칭테이블!$G:$J,3,0)</f>
        <v/>
      </c>
      <c r="N1630" s="20">
        <f>VLOOKUP($O1630,매칭테이블!$G:$J,4,0)*H1630</f>
        <v/>
      </c>
      <c r="O1630" s="20">
        <f>F1630&amp;E1630&amp;I1630&amp;J1630</f>
        <v/>
      </c>
    </row>
    <row r="1631" ht="16.5" customHeight="1" s="17">
      <c r="B1631" s="16" t="n">
        <v>44083</v>
      </c>
      <c r="C1631" s="20" t="inlineStr">
        <is>
          <t>수</t>
        </is>
      </c>
      <c r="E1631" s="20" t="inlineStr">
        <is>
          <t>고체향수</t>
        </is>
      </c>
      <c r="F1631" s="20" t="inlineStr">
        <is>
          <t>카페24</t>
        </is>
      </c>
      <c r="H1631" s="20" t="n">
        <v>69</v>
      </c>
      <c r="I1631" s="20" t="inlineStr">
        <is>
          <t>스테이포에버</t>
        </is>
      </c>
      <c r="J1631" s="20" t="n">
        <v>200720</v>
      </c>
      <c r="L1631" s="20">
        <f>VLOOKUP($O1631,매칭테이블!$G:$J,2,0)*H1631</f>
        <v/>
      </c>
      <c r="M1631" s="20">
        <f>L1631-L1631*VLOOKUP($O1631,매칭테이블!$G:$J,3,0)</f>
        <v/>
      </c>
      <c r="N1631" s="20">
        <f>VLOOKUP($O1631,매칭테이블!$G:$J,4,0)*H1631</f>
        <v/>
      </c>
      <c r="O1631" s="20">
        <f>F1631&amp;E1631&amp;I1631&amp;J1631</f>
        <v/>
      </c>
    </row>
    <row r="1632" ht="16.5" customHeight="1" s="17">
      <c r="B1632" s="16" t="n">
        <v>44083</v>
      </c>
      <c r="C1632" s="20" t="inlineStr">
        <is>
          <t>수</t>
        </is>
      </c>
      <c r="E1632" s="20" t="inlineStr">
        <is>
          <t>고체향수</t>
        </is>
      </c>
      <c r="F1632" s="20" t="inlineStr">
        <is>
          <t>카페24</t>
        </is>
      </c>
      <c r="H1632" s="20" t="n">
        <v>13</v>
      </c>
      <c r="I1632" s="20" t="inlineStr">
        <is>
          <t>스테이포에버 2set</t>
        </is>
      </c>
      <c r="J1632" s="20" t="n">
        <v>200720</v>
      </c>
      <c r="L1632" s="20">
        <f>VLOOKUP($O1632,매칭테이블!$G:$J,2,0)*H1632</f>
        <v/>
      </c>
      <c r="M1632" s="20">
        <f>L1632-L1632*VLOOKUP($O1632,매칭테이블!$G:$J,3,0)</f>
        <v/>
      </c>
      <c r="N1632" s="20">
        <f>VLOOKUP($O1632,매칭테이블!$G:$J,4,0)*H1632</f>
        <v/>
      </c>
      <c r="O1632" s="20">
        <f>F1632&amp;E1632&amp;I1632&amp;J1632</f>
        <v/>
      </c>
    </row>
    <row r="1633" ht="16.5" customHeight="1" s="17">
      <c r="B1633" s="16" t="n">
        <v>44083</v>
      </c>
      <c r="C1633" s="20" t="inlineStr">
        <is>
          <t>수</t>
        </is>
      </c>
      <c r="E1633" s="20" t="inlineStr">
        <is>
          <t>고체향수</t>
        </is>
      </c>
      <c r="F1633" s="20" t="inlineStr">
        <is>
          <t>카페24</t>
        </is>
      </c>
      <c r="H1633" s="20" t="n">
        <v>1</v>
      </c>
      <c r="I1633" s="20" t="inlineStr">
        <is>
          <t>이그나이트</t>
        </is>
      </c>
      <c r="J1633" s="20" t="n">
        <v>200720</v>
      </c>
      <c r="L1633" s="20">
        <f>VLOOKUP($O1633,매칭테이블!$G:$J,2,0)*H1633</f>
        <v/>
      </c>
      <c r="M1633" s="20">
        <f>L1633-L1633*VLOOKUP($O1633,매칭테이블!$G:$J,3,0)</f>
        <v/>
      </c>
      <c r="N1633" s="20">
        <f>VLOOKUP($O1633,매칭테이블!$G:$J,4,0)*H1633</f>
        <v/>
      </c>
      <c r="O1633" s="20">
        <f>F1633&amp;E1633&amp;I1633&amp;J1633</f>
        <v/>
      </c>
    </row>
    <row r="1634" ht="16.5" customHeight="1" s="17">
      <c r="B1634" s="16" t="n">
        <v>44083</v>
      </c>
      <c r="C1634" s="20" t="inlineStr">
        <is>
          <t>수</t>
        </is>
      </c>
      <c r="E1634" s="20" t="inlineStr">
        <is>
          <t>쇼핑백</t>
        </is>
      </c>
      <c r="F1634" s="20" t="inlineStr">
        <is>
          <t>카페24</t>
        </is>
      </c>
      <c r="H1634" s="20" t="n">
        <v>2</v>
      </c>
      <c r="I1634" s="20" t="inlineStr">
        <is>
          <t>유즈쇼핑백</t>
        </is>
      </c>
      <c r="J1634" s="20" t="n">
        <v>200720</v>
      </c>
      <c r="L1634" s="20">
        <f>VLOOKUP($O1634,매칭테이블!$G:$J,2,0)*H1634</f>
        <v/>
      </c>
      <c r="M1634" s="20">
        <f>L1634-L1634*VLOOKUP($O1634,매칭테이블!$G:$J,3,0)</f>
        <v/>
      </c>
      <c r="N1634" s="20">
        <f>VLOOKUP($O1634,매칭테이블!$G:$J,4,0)*H1634</f>
        <v/>
      </c>
      <c r="O1634" s="20">
        <f>F1634&amp;E1634&amp;I1634&amp;J1634</f>
        <v/>
      </c>
    </row>
    <row r="1635" ht="16.5" customHeight="1" s="17">
      <c r="B1635" s="16" t="n">
        <v>44084</v>
      </c>
      <c r="C1635" s="20" t="inlineStr">
        <is>
          <t>목</t>
        </is>
      </c>
      <c r="E1635" s="20" t="inlineStr">
        <is>
          <t>고체향수</t>
        </is>
      </c>
      <c r="F1635" s="20" t="inlineStr">
        <is>
          <t>유즈 CS</t>
        </is>
      </c>
      <c r="H1635" s="20" t="n">
        <v>9</v>
      </c>
      <c r="I1635" s="20" t="inlineStr">
        <is>
          <t>스테이포에버</t>
        </is>
      </c>
      <c r="J1635" s="20" t="n">
        <v>200520</v>
      </c>
      <c r="L1635" s="20">
        <f>VLOOKUP($O1635,매칭테이블!$G:$J,2,0)*H1635</f>
        <v/>
      </c>
      <c r="M1635" s="20">
        <f>L1635-L1635*VLOOKUP($O1635,매칭테이블!$G:$J,3,0)</f>
        <v/>
      </c>
      <c r="N1635" s="20">
        <f>VLOOKUP($O1635,매칭테이블!$G:$J,4,0)*H1635</f>
        <v/>
      </c>
      <c r="O1635" s="20">
        <f>F1635&amp;E1635&amp;I1635&amp;J1635</f>
        <v/>
      </c>
    </row>
    <row r="1636" ht="16.5" customHeight="1" s="17">
      <c r="B1636" s="16" t="n">
        <v>44084</v>
      </c>
      <c r="C1636" s="20" t="inlineStr">
        <is>
          <t>목</t>
        </is>
      </c>
      <c r="E1636" s="20" t="inlineStr">
        <is>
          <t>고체향수</t>
        </is>
      </c>
      <c r="F1636" s="20" t="inlineStr">
        <is>
          <t>유즈 CS</t>
        </is>
      </c>
      <c r="H1636" s="20" t="n">
        <v>1</v>
      </c>
      <c r="I1636" s="20" t="inlineStr">
        <is>
          <t>이그나이트</t>
        </is>
      </c>
      <c r="J1636" s="20" t="n">
        <v>200520</v>
      </c>
      <c r="L1636" s="20">
        <f>VLOOKUP($O1636,매칭테이블!$G:$J,2,0)*H1636</f>
        <v/>
      </c>
      <c r="M1636" s="20">
        <f>L1636-L1636*VLOOKUP($O1636,매칭테이블!$G:$J,3,0)</f>
        <v/>
      </c>
      <c r="N1636" s="20">
        <f>VLOOKUP($O1636,매칭테이블!$G:$J,4,0)*H1636</f>
        <v/>
      </c>
      <c r="O1636" s="20">
        <f>F1636&amp;E1636&amp;I1636&amp;J1636</f>
        <v/>
      </c>
    </row>
    <row r="1637" ht="16.5" customHeight="1" s="17">
      <c r="B1637" s="16" t="n">
        <v>44084</v>
      </c>
      <c r="C1637" s="20" t="inlineStr">
        <is>
          <t>목</t>
        </is>
      </c>
      <c r="E1637" s="20" t="inlineStr">
        <is>
          <t>고체향수</t>
        </is>
      </c>
      <c r="F1637" s="20" t="inlineStr">
        <is>
          <t>카페24</t>
        </is>
      </c>
      <c r="H1637" s="20" t="n">
        <v>3</v>
      </c>
      <c r="I1637" s="20" t="inlineStr">
        <is>
          <t>이그나이트 + 스테이포에버</t>
        </is>
      </c>
      <c r="J1637" s="20" t="n">
        <v>200720</v>
      </c>
      <c r="L1637" s="20">
        <f>VLOOKUP($O1637,매칭테이블!$G:$J,2,0)*H1637</f>
        <v/>
      </c>
      <c r="M1637" s="20">
        <f>L1637-L1637*VLOOKUP($O1637,매칭테이블!$G:$J,3,0)</f>
        <v/>
      </c>
      <c r="N1637" s="20">
        <f>VLOOKUP($O1637,매칭테이블!$G:$J,4,0)*H1637</f>
        <v/>
      </c>
      <c r="O1637" s="20">
        <f>F1637&amp;E1637&amp;I1637&amp;J1637</f>
        <v/>
      </c>
    </row>
    <row r="1638" ht="16.5" customHeight="1" s="17">
      <c r="B1638" s="16" t="n">
        <v>44084</v>
      </c>
      <c r="C1638" s="20" t="inlineStr">
        <is>
          <t>목</t>
        </is>
      </c>
      <c r="E1638" s="20" t="inlineStr">
        <is>
          <t>고체향수</t>
        </is>
      </c>
      <c r="F1638" s="20" t="inlineStr">
        <is>
          <t>카페24</t>
        </is>
      </c>
      <c r="H1638" s="20" t="n">
        <v>66</v>
      </c>
      <c r="I1638" s="20" t="inlineStr">
        <is>
          <t>스테이포에버</t>
        </is>
      </c>
      <c r="J1638" s="20" t="n">
        <v>200720</v>
      </c>
      <c r="L1638" s="20">
        <f>VLOOKUP($O1638,매칭테이블!$G:$J,2,0)*H1638</f>
        <v/>
      </c>
      <c r="M1638" s="20">
        <f>L1638-L1638*VLOOKUP($O1638,매칭테이블!$G:$J,3,0)</f>
        <v/>
      </c>
      <c r="N1638" s="20">
        <f>VLOOKUP($O1638,매칭테이블!$G:$J,4,0)*H1638</f>
        <v/>
      </c>
      <c r="O1638" s="20">
        <f>F1638&amp;E1638&amp;I1638&amp;J1638</f>
        <v/>
      </c>
    </row>
    <row r="1639" ht="16.5" customHeight="1" s="17">
      <c r="B1639" s="16" t="n">
        <v>44084</v>
      </c>
      <c r="C1639" s="20" t="inlineStr">
        <is>
          <t>목</t>
        </is>
      </c>
      <c r="E1639" s="20" t="inlineStr">
        <is>
          <t>고체향수</t>
        </is>
      </c>
      <c r="F1639" s="20" t="inlineStr">
        <is>
          <t>카페24</t>
        </is>
      </c>
      <c r="H1639" s="20" t="n">
        <v>8</v>
      </c>
      <c r="I1639" s="20" t="inlineStr">
        <is>
          <t>스테이포에버 2set</t>
        </is>
      </c>
      <c r="J1639" s="20" t="n">
        <v>200720</v>
      </c>
      <c r="L1639" s="20">
        <f>VLOOKUP($O1639,매칭테이블!$G:$J,2,0)*H1639</f>
        <v/>
      </c>
      <c r="M1639" s="20">
        <f>L1639-L1639*VLOOKUP($O1639,매칭테이블!$G:$J,3,0)</f>
        <v/>
      </c>
      <c r="N1639" s="20">
        <f>VLOOKUP($O1639,매칭테이블!$G:$J,4,0)*H1639</f>
        <v/>
      </c>
      <c r="O1639" s="20">
        <f>F1639&amp;E1639&amp;I1639&amp;J1639</f>
        <v/>
      </c>
    </row>
    <row r="1640" ht="16.5" customHeight="1" s="17">
      <c r="B1640" s="16" t="n">
        <v>44084</v>
      </c>
      <c r="C1640" s="20" t="inlineStr">
        <is>
          <t>목</t>
        </is>
      </c>
      <c r="E1640" s="20" t="inlineStr">
        <is>
          <t>고체향수</t>
        </is>
      </c>
      <c r="F1640" s="20" t="inlineStr">
        <is>
          <t>카페24</t>
        </is>
      </c>
      <c r="H1640" s="20" t="n">
        <v>3</v>
      </c>
      <c r="I1640" s="20" t="inlineStr">
        <is>
          <t>이그나이트</t>
        </is>
      </c>
      <c r="J1640" s="20" t="n">
        <v>200720</v>
      </c>
      <c r="L1640" s="20">
        <f>VLOOKUP($O1640,매칭테이블!$G:$J,2,0)*H1640</f>
        <v/>
      </c>
      <c r="M1640" s="20">
        <f>L1640-L1640*VLOOKUP($O1640,매칭테이블!$G:$J,3,0)</f>
        <v/>
      </c>
      <c r="N1640" s="20">
        <f>VLOOKUP($O1640,매칭테이블!$G:$J,4,0)*H1640</f>
        <v/>
      </c>
      <c r="O1640" s="20">
        <f>F1640&amp;E1640&amp;I1640&amp;J1640</f>
        <v/>
      </c>
    </row>
    <row r="1641" ht="16.5" customHeight="1" s="17">
      <c r="B1641" s="16" t="n">
        <v>44084</v>
      </c>
      <c r="C1641" s="20" t="inlineStr">
        <is>
          <t>목</t>
        </is>
      </c>
      <c r="E1641" s="20" t="inlineStr">
        <is>
          <t>쇼핑백</t>
        </is>
      </c>
      <c r="F1641" s="20" t="inlineStr">
        <is>
          <t>카페24</t>
        </is>
      </c>
      <c r="H1641" s="20" t="n">
        <v>1</v>
      </c>
      <c r="I1641" s="20" t="inlineStr">
        <is>
          <t>유즈쇼핑백</t>
        </is>
      </c>
      <c r="J1641" s="20" t="n">
        <v>200720</v>
      </c>
      <c r="L1641" s="20">
        <f>VLOOKUP($O1641,매칭테이블!$G:$J,2,0)*H1641</f>
        <v/>
      </c>
      <c r="M1641" s="20">
        <f>L1641-L1641*VLOOKUP($O1641,매칭테이블!$G:$J,3,0)</f>
        <v/>
      </c>
      <c r="N1641" s="20">
        <f>VLOOKUP($O1641,매칭테이블!$G:$J,4,0)*H1641</f>
        <v/>
      </c>
      <c r="O1641" s="20">
        <f>F1641&amp;E1641&amp;I1641&amp;J1641</f>
        <v/>
      </c>
    </row>
    <row r="1642" ht="16.5" customHeight="1" s="17">
      <c r="B1642" s="16" t="n">
        <v>44085</v>
      </c>
      <c r="C1642" s="20" t="inlineStr">
        <is>
          <t>금</t>
        </is>
      </c>
      <c r="E1642" s="20" t="inlineStr">
        <is>
          <t>고체향수</t>
        </is>
      </c>
      <c r="F1642" s="20" t="inlineStr">
        <is>
          <t>카페24</t>
        </is>
      </c>
      <c r="H1642" s="20" t="n">
        <v>5</v>
      </c>
      <c r="I1642" s="20" t="inlineStr">
        <is>
          <t>이그나이트 + 스테이포에버</t>
        </is>
      </c>
      <c r="J1642" s="20" t="n">
        <v>200720</v>
      </c>
      <c r="L1642" s="20">
        <f>VLOOKUP($O1642,매칭테이블!$G:$J,2,0)*H1642</f>
        <v/>
      </c>
      <c r="M1642" s="20">
        <f>L1642-L1642*VLOOKUP($O1642,매칭테이블!$G:$J,3,0)</f>
        <v/>
      </c>
      <c r="N1642" s="20">
        <f>VLOOKUP($O1642,매칭테이블!$G:$J,4,0)*H1642</f>
        <v/>
      </c>
      <c r="O1642" s="20">
        <f>F1642&amp;E1642&amp;I1642&amp;J1642</f>
        <v/>
      </c>
    </row>
    <row r="1643" ht="16.5" customHeight="1" s="17">
      <c r="B1643" s="16" t="n">
        <v>44085</v>
      </c>
      <c r="C1643" s="20" t="inlineStr">
        <is>
          <t>금</t>
        </is>
      </c>
      <c r="E1643" s="20" t="inlineStr">
        <is>
          <t>고체향수</t>
        </is>
      </c>
      <c r="F1643" s="20" t="inlineStr">
        <is>
          <t>카페24</t>
        </is>
      </c>
      <c r="H1643" s="20" t="n">
        <v>66</v>
      </c>
      <c r="I1643" s="20" t="inlineStr">
        <is>
          <t>스테이포에버</t>
        </is>
      </c>
      <c r="J1643" s="20" t="n">
        <v>200720</v>
      </c>
      <c r="L1643" s="20">
        <f>VLOOKUP($O1643,매칭테이블!$G:$J,2,0)*H1643</f>
        <v/>
      </c>
      <c r="M1643" s="20">
        <f>L1643-L1643*VLOOKUP($O1643,매칭테이블!$G:$J,3,0)</f>
        <v/>
      </c>
      <c r="N1643" s="20">
        <f>VLOOKUP($O1643,매칭테이블!$G:$J,4,0)*H1643</f>
        <v/>
      </c>
      <c r="O1643" s="20">
        <f>F1643&amp;E1643&amp;I1643&amp;J1643</f>
        <v/>
      </c>
    </row>
    <row r="1644" ht="16.5" customHeight="1" s="17">
      <c r="B1644" s="16" t="n">
        <v>44085</v>
      </c>
      <c r="C1644" s="20" t="inlineStr">
        <is>
          <t>금</t>
        </is>
      </c>
      <c r="E1644" s="20" t="inlineStr">
        <is>
          <t>고체향수</t>
        </is>
      </c>
      <c r="F1644" s="20" t="inlineStr">
        <is>
          <t>카페24</t>
        </is>
      </c>
      <c r="H1644" s="20" t="n">
        <v>15</v>
      </c>
      <c r="I1644" s="20" t="inlineStr">
        <is>
          <t>스테이포에버 2set</t>
        </is>
      </c>
      <c r="J1644" s="20" t="n">
        <v>200720</v>
      </c>
      <c r="L1644" s="20">
        <f>VLOOKUP($O1644,매칭테이블!$G:$J,2,0)*H1644</f>
        <v/>
      </c>
      <c r="M1644" s="20">
        <f>L1644-L1644*VLOOKUP($O1644,매칭테이블!$G:$J,3,0)</f>
        <v/>
      </c>
      <c r="N1644" s="20">
        <f>VLOOKUP($O1644,매칭테이블!$G:$J,4,0)*H1644</f>
        <v/>
      </c>
      <c r="O1644" s="20">
        <f>F1644&amp;E1644&amp;I1644&amp;J1644</f>
        <v/>
      </c>
    </row>
    <row r="1645" ht="16.5" customHeight="1" s="17">
      <c r="B1645" s="16" t="n">
        <v>44085</v>
      </c>
      <c r="C1645" s="20" t="inlineStr">
        <is>
          <t>금</t>
        </is>
      </c>
      <c r="E1645" s="20" t="inlineStr">
        <is>
          <t>고체향수</t>
        </is>
      </c>
      <c r="F1645" s="20" t="inlineStr">
        <is>
          <t>카페24</t>
        </is>
      </c>
      <c r="H1645" s="20" t="n">
        <v>1</v>
      </c>
      <c r="I1645" s="20" t="inlineStr">
        <is>
          <t>이그나이트</t>
        </is>
      </c>
      <c r="J1645" s="20" t="n">
        <v>200720</v>
      </c>
      <c r="L1645" s="20">
        <f>VLOOKUP($O1645,매칭테이블!$G:$J,2,0)*H1645</f>
        <v/>
      </c>
      <c r="M1645" s="20">
        <f>L1645-L1645*VLOOKUP($O1645,매칭테이블!$G:$J,3,0)</f>
        <v/>
      </c>
      <c r="N1645" s="20">
        <f>VLOOKUP($O1645,매칭테이블!$G:$J,4,0)*H1645</f>
        <v/>
      </c>
      <c r="O1645" s="20">
        <f>F1645&amp;E1645&amp;I1645&amp;J1645</f>
        <v/>
      </c>
    </row>
    <row r="1646" ht="16.5" customHeight="1" s="17">
      <c r="B1646" s="16" t="n">
        <v>44085</v>
      </c>
      <c r="C1646" s="20" t="inlineStr">
        <is>
          <t>금</t>
        </is>
      </c>
      <c r="E1646" s="20" t="inlineStr">
        <is>
          <t>쇼핑백</t>
        </is>
      </c>
      <c r="F1646" s="20" t="inlineStr">
        <is>
          <t>카페24</t>
        </is>
      </c>
      <c r="H1646" s="20" t="n">
        <v>3</v>
      </c>
      <c r="I1646" s="20" t="inlineStr">
        <is>
          <t>유즈쇼핑백</t>
        </is>
      </c>
      <c r="J1646" s="20" t="n">
        <v>200720</v>
      </c>
      <c r="L1646" s="20">
        <f>VLOOKUP($O1646,매칭테이블!$G:$J,2,0)*H1646</f>
        <v/>
      </c>
      <c r="M1646" s="20">
        <f>L1646-L1646*VLOOKUP($O1646,매칭테이블!$G:$J,3,0)</f>
        <v/>
      </c>
      <c r="N1646" s="20">
        <f>VLOOKUP($O1646,매칭테이블!$G:$J,4,0)*H1646</f>
        <v/>
      </c>
      <c r="O1646" s="20">
        <f>F1646&amp;E1646&amp;I1646&amp;J1646</f>
        <v/>
      </c>
    </row>
    <row r="1647" ht="16.5" customHeight="1" s="17">
      <c r="B1647" s="16" t="n">
        <v>44086</v>
      </c>
      <c r="C1647" s="20" t="inlineStr">
        <is>
          <t>토</t>
        </is>
      </c>
      <c r="E1647" s="20" t="inlineStr">
        <is>
          <t>고체향수</t>
        </is>
      </c>
      <c r="F1647" s="20" t="inlineStr">
        <is>
          <t>카페24</t>
        </is>
      </c>
      <c r="H1647" s="20" t="n">
        <v>5</v>
      </c>
      <c r="I1647" s="20" t="inlineStr">
        <is>
          <t>이그나이트 + 스테이포에버</t>
        </is>
      </c>
      <c r="J1647" s="20" t="n">
        <v>200720</v>
      </c>
      <c r="L1647" s="20">
        <f>VLOOKUP($O1647,매칭테이블!$G:$J,2,0)*H1647</f>
        <v/>
      </c>
      <c r="M1647" s="20">
        <f>L1647-L1647*VLOOKUP($O1647,매칭테이블!$G:$J,3,0)</f>
        <v/>
      </c>
      <c r="N1647" s="20">
        <f>VLOOKUP($O1647,매칭테이블!$G:$J,4,0)*H1647</f>
        <v/>
      </c>
      <c r="O1647" s="20">
        <f>F1647&amp;E1647&amp;I1647&amp;J1647</f>
        <v/>
      </c>
    </row>
    <row r="1648" ht="16.5" customHeight="1" s="17">
      <c r="B1648" s="16" t="n">
        <v>44086</v>
      </c>
      <c r="C1648" s="20" t="inlineStr">
        <is>
          <t>토</t>
        </is>
      </c>
      <c r="E1648" s="20" t="inlineStr">
        <is>
          <t>고체향수</t>
        </is>
      </c>
      <c r="F1648" s="20" t="inlineStr">
        <is>
          <t>카페24</t>
        </is>
      </c>
      <c r="H1648" s="20" t="n">
        <v>64</v>
      </c>
      <c r="I1648" s="20" t="inlineStr">
        <is>
          <t>스테이포에버</t>
        </is>
      </c>
      <c r="J1648" s="20" t="n">
        <v>200720</v>
      </c>
      <c r="L1648" s="20">
        <f>VLOOKUP($O1648,매칭테이블!$G:$J,2,0)*H1648</f>
        <v/>
      </c>
      <c r="M1648" s="20">
        <f>L1648-L1648*VLOOKUP($O1648,매칭테이블!$G:$J,3,0)</f>
        <v/>
      </c>
      <c r="N1648" s="20">
        <f>VLOOKUP($O1648,매칭테이블!$G:$J,4,0)*H1648</f>
        <v/>
      </c>
      <c r="O1648" s="20">
        <f>F1648&amp;E1648&amp;I1648&amp;J1648</f>
        <v/>
      </c>
    </row>
    <row r="1649" ht="16.5" customHeight="1" s="17">
      <c r="B1649" s="16" t="n">
        <v>44086</v>
      </c>
      <c r="C1649" s="20" t="inlineStr">
        <is>
          <t>토</t>
        </is>
      </c>
      <c r="E1649" s="20" t="inlineStr">
        <is>
          <t>고체향수</t>
        </is>
      </c>
      <c r="F1649" s="20" t="inlineStr">
        <is>
          <t>카페24</t>
        </is>
      </c>
      <c r="H1649" s="20" t="n">
        <v>8</v>
      </c>
      <c r="I1649" s="20" t="inlineStr">
        <is>
          <t>스테이포에버 2set</t>
        </is>
      </c>
      <c r="J1649" s="20" t="n">
        <v>200720</v>
      </c>
      <c r="L1649" s="20">
        <f>VLOOKUP($O1649,매칭테이블!$G:$J,2,0)*H1649</f>
        <v/>
      </c>
      <c r="M1649" s="20">
        <f>L1649-L1649*VLOOKUP($O1649,매칭테이블!$G:$J,3,0)</f>
        <v/>
      </c>
      <c r="N1649" s="20">
        <f>VLOOKUP($O1649,매칭테이블!$G:$J,4,0)*H1649</f>
        <v/>
      </c>
      <c r="O1649" s="20">
        <f>F1649&amp;E1649&amp;I1649&amp;J1649</f>
        <v/>
      </c>
    </row>
    <row r="1650" ht="16.5" customHeight="1" s="17">
      <c r="B1650" s="16" t="n">
        <v>44086</v>
      </c>
      <c r="C1650" s="20" t="inlineStr">
        <is>
          <t>토</t>
        </is>
      </c>
      <c r="E1650" s="20" t="inlineStr">
        <is>
          <t>쇼핑백</t>
        </is>
      </c>
      <c r="F1650" s="20" t="inlineStr">
        <is>
          <t>카페24</t>
        </is>
      </c>
      <c r="H1650" s="20" t="n">
        <v>2</v>
      </c>
      <c r="I1650" s="20" t="inlineStr">
        <is>
          <t>유즈쇼핑백</t>
        </is>
      </c>
      <c r="J1650" s="20" t="n">
        <v>200720</v>
      </c>
      <c r="L1650" s="20">
        <f>VLOOKUP($O1650,매칭테이블!$G:$J,2,0)*H1650</f>
        <v/>
      </c>
      <c r="M1650" s="20">
        <f>L1650-L1650*VLOOKUP($O1650,매칭테이블!$G:$J,3,0)</f>
        <v/>
      </c>
      <c r="N1650" s="20">
        <f>VLOOKUP($O1650,매칭테이블!$G:$J,4,0)*H1650</f>
        <v/>
      </c>
      <c r="O1650" s="20">
        <f>F1650&amp;E1650&amp;I1650&amp;J1650</f>
        <v/>
      </c>
    </row>
    <row r="1651" ht="16.5" customHeight="1" s="17">
      <c r="B1651" s="16" t="n">
        <v>44087</v>
      </c>
      <c r="C1651" s="20" t="inlineStr">
        <is>
          <t>일</t>
        </is>
      </c>
      <c r="E1651" s="20" t="inlineStr">
        <is>
          <t>고체향수</t>
        </is>
      </c>
      <c r="F1651" s="20" t="inlineStr">
        <is>
          <t>카페24</t>
        </is>
      </c>
      <c r="H1651" s="20" t="n">
        <v>4</v>
      </c>
      <c r="I1651" s="20" t="inlineStr">
        <is>
          <t>이그나이트 + 스테이포에버</t>
        </is>
      </c>
      <c r="J1651" s="20" t="n">
        <v>200720</v>
      </c>
      <c r="L1651" s="20">
        <f>VLOOKUP($O1651,매칭테이블!$G:$J,2,0)*H1651</f>
        <v/>
      </c>
      <c r="M1651" s="20">
        <f>L1651-L1651*VLOOKUP($O1651,매칭테이블!$G:$J,3,0)</f>
        <v/>
      </c>
      <c r="N1651" s="20">
        <f>VLOOKUP($O1651,매칭테이블!$G:$J,4,0)*H1651</f>
        <v/>
      </c>
      <c r="O1651" s="20">
        <f>F1651&amp;E1651&amp;I1651&amp;J1651</f>
        <v/>
      </c>
    </row>
    <row r="1652" ht="16.5" customHeight="1" s="17">
      <c r="B1652" s="16" t="n">
        <v>44087</v>
      </c>
      <c r="C1652" s="20" t="inlineStr">
        <is>
          <t>일</t>
        </is>
      </c>
      <c r="E1652" s="20" t="inlineStr">
        <is>
          <t>고체향수</t>
        </is>
      </c>
      <c r="F1652" s="20" t="inlineStr">
        <is>
          <t>카페24</t>
        </is>
      </c>
      <c r="H1652" s="20" t="n">
        <v>59</v>
      </c>
      <c r="I1652" s="20" t="inlineStr">
        <is>
          <t>스테이포에버</t>
        </is>
      </c>
      <c r="J1652" s="20" t="n">
        <v>200720</v>
      </c>
      <c r="L1652" s="20">
        <f>VLOOKUP($O1652,매칭테이블!$G:$J,2,0)*H1652</f>
        <v/>
      </c>
      <c r="M1652" s="20">
        <f>L1652-L1652*VLOOKUP($O1652,매칭테이블!$G:$J,3,0)</f>
        <v/>
      </c>
      <c r="N1652" s="20">
        <f>VLOOKUP($O1652,매칭테이블!$G:$J,4,0)*H1652</f>
        <v/>
      </c>
      <c r="O1652" s="20">
        <f>F1652&amp;E1652&amp;I1652&amp;J1652</f>
        <v/>
      </c>
    </row>
    <row r="1653" ht="16.5" customHeight="1" s="17">
      <c r="B1653" s="16" t="n">
        <v>44087</v>
      </c>
      <c r="C1653" s="20" t="inlineStr">
        <is>
          <t>일</t>
        </is>
      </c>
      <c r="E1653" s="20" t="inlineStr">
        <is>
          <t>고체향수</t>
        </is>
      </c>
      <c r="F1653" s="20" t="inlineStr">
        <is>
          <t>카페24</t>
        </is>
      </c>
      <c r="H1653" s="20" t="n">
        <v>16</v>
      </c>
      <c r="I1653" s="20" t="inlineStr">
        <is>
          <t>스테이포에버 2set</t>
        </is>
      </c>
      <c r="J1653" s="20" t="n">
        <v>200720</v>
      </c>
      <c r="L1653" s="20">
        <f>VLOOKUP($O1653,매칭테이블!$G:$J,2,0)*H1653</f>
        <v/>
      </c>
      <c r="M1653" s="20">
        <f>L1653-L1653*VLOOKUP($O1653,매칭테이블!$G:$J,3,0)</f>
        <v/>
      </c>
      <c r="N1653" s="20">
        <f>VLOOKUP($O1653,매칭테이블!$G:$J,4,0)*H1653</f>
        <v/>
      </c>
      <c r="O1653" s="20">
        <f>F1653&amp;E1653&amp;I1653&amp;J1653</f>
        <v/>
      </c>
    </row>
    <row r="1654" ht="16.5" customHeight="1" s="17">
      <c r="B1654" s="16" t="n">
        <v>44087</v>
      </c>
      <c r="C1654" s="20" t="inlineStr">
        <is>
          <t>일</t>
        </is>
      </c>
      <c r="E1654" s="20" t="inlineStr">
        <is>
          <t>고체향수</t>
        </is>
      </c>
      <c r="F1654" s="20" t="inlineStr">
        <is>
          <t>카페24</t>
        </is>
      </c>
      <c r="H1654" s="20" t="n">
        <v>3</v>
      </c>
      <c r="I1654" s="20" t="inlineStr">
        <is>
          <t>이그나이트</t>
        </is>
      </c>
      <c r="J1654" s="20" t="n">
        <v>200720</v>
      </c>
      <c r="L1654" s="20">
        <f>VLOOKUP($O1654,매칭테이블!$G:$J,2,0)*H1654</f>
        <v/>
      </c>
      <c r="M1654" s="20">
        <f>L1654-L1654*VLOOKUP($O1654,매칭테이블!$G:$J,3,0)</f>
        <v/>
      </c>
      <c r="N1654" s="20">
        <f>VLOOKUP($O1654,매칭테이블!$G:$J,4,0)*H1654</f>
        <v/>
      </c>
      <c r="O1654" s="20">
        <f>F1654&amp;E1654&amp;I1654&amp;J1654</f>
        <v/>
      </c>
    </row>
    <row r="1655" ht="16.5" customHeight="1" s="17">
      <c r="B1655" s="16" t="n">
        <v>44087</v>
      </c>
      <c r="C1655" s="20" t="inlineStr">
        <is>
          <t>일</t>
        </is>
      </c>
      <c r="E1655" s="20" t="inlineStr">
        <is>
          <t>쇼핑백</t>
        </is>
      </c>
      <c r="F1655" s="20" t="inlineStr">
        <is>
          <t>카페24</t>
        </is>
      </c>
      <c r="H1655" s="20" t="n">
        <v>3</v>
      </c>
      <c r="I1655" s="20" t="inlineStr">
        <is>
          <t>유즈쇼핑백</t>
        </is>
      </c>
      <c r="J1655" s="20" t="n">
        <v>200720</v>
      </c>
      <c r="L1655" s="20">
        <f>VLOOKUP($O1655,매칭테이블!$G:$J,2,0)*H1655</f>
        <v/>
      </c>
      <c r="M1655" s="20">
        <f>L1655-L1655*VLOOKUP($O1655,매칭테이블!$G:$J,3,0)</f>
        <v/>
      </c>
      <c r="N1655" s="20">
        <f>VLOOKUP($O1655,매칭테이블!$G:$J,4,0)*H1655</f>
        <v/>
      </c>
      <c r="O1655" s="20">
        <f>F1655&amp;E1655&amp;I1655&amp;J1655</f>
        <v/>
      </c>
    </row>
    <row r="1656" ht="16.5" customHeight="1" s="17">
      <c r="B1656" s="16" t="n">
        <v>44088</v>
      </c>
      <c r="C1656" s="20" t="inlineStr">
        <is>
          <t>월</t>
        </is>
      </c>
      <c r="E1656" s="20" t="inlineStr">
        <is>
          <t>고체향수</t>
        </is>
      </c>
      <c r="F1656" s="20" t="inlineStr">
        <is>
          <t>유즈 CS</t>
        </is>
      </c>
      <c r="H1656" s="20" t="n">
        <v>4</v>
      </c>
      <c r="I1656" s="20" t="inlineStr">
        <is>
          <t>스테이포에버</t>
        </is>
      </c>
      <c r="J1656" s="20" t="n">
        <v>200520</v>
      </c>
      <c r="L1656" s="20">
        <f>VLOOKUP($O1656,매칭테이블!$G:$J,2,0)*H1656</f>
        <v/>
      </c>
      <c r="M1656" s="20">
        <f>L1656-L1656*VLOOKUP($O1656,매칭테이블!$G:$J,3,0)</f>
        <v/>
      </c>
      <c r="N1656" s="20">
        <f>VLOOKUP($O1656,매칭테이블!$G:$J,4,0)*H1656</f>
        <v/>
      </c>
      <c r="O1656" s="20">
        <f>F1656&amp;E1656&amp;I1656&amp;J1656</f>
        <v/>
      </c>
    </row>
    <row r="1657" ht="16.5" customHeight="1" s="17">
      <c r="B1657" s="16" t="n">
        <v>44088</v>
      </c>
      <c r="C1657" s="20" t="inlineStr">
        <is>
          <t>월</t>
        </is>
      </c>
      <c r="E1657" s="20" t="inlineStr">
        <is>
          <t>고체향수</t>
        </is>
      </c>
      <c r="F1657" s="20" t="inlineStr">
        <is>
          <t>카페24</t>
        </is>
      </c>
      <c r="H1657" s="20" t="n">
        <v>4</v>
      </c>
      <c r="I1657" s="20" t="inlineStr">
        <is>
          <t>이그나이트 + 스테이포에버</t>
        </is>
      </c>
      <c r="J1657" s="20" t="n">
        <v>200720</v>
      </c>
      <c r="L1657" s="20">
        <f>VLOOKUP($O1657,매칭테이블!$G:$J,2,0)*H1657</f>
        <v/>
      </c>
      <c r="M1657" s="20">
        <f>L1657-L1657*VLOOKUP($O1657,매칭테이블!$G:$J,3,0)</f>
        <v/>
      </c>
      <c r="N1657" s="20">
        <f>VLOOKUP($O1657,매칭테이블!$G:$J,4,0)*H1657</f>
        <v/>
      </c>
      <c r="O1657" s="20">
        <f>F1657&amp;E1657&amp;I1657&amp;J1657</f>
        <v/>
      </c>
    </row>
    <row r="1658" ht="16.5" customHeight="1" s="17">
      <c r="B1658" s="16" t="n">
        <v>44088</v>
      </c>
      <c r="C1658" s="20" t="inlineStr">
        <is>
          <t>월</t>
        </is>
      </c>
      <c r="E1658" s="20" t="inlineStr">
        <is>
          <t>고체향수</t>
        </is>
      </c>
      <c r="F1658" s="20" t="inlineStr">
        <is>
          <t>카페24</t>
        </is>
      </c>
      <c r="H1658" s="20" t="n">
        <v>1</v>
      </c>
      <c r="I1658" s="20" t="inlineStr">
        <is>
          <t>이그나이트 + 스테이포에버 2set</t>
        </is>
      </c>
      <c r="J1658" s="20" t="n">
        <v>200720</v>
      </c>
      <c r="L1658" s="20">
        <f>VLOOKUP($O1658,매칭테이블!$G:$J,2,0)*H1658</f>
        <v/>
      </c>
      <c r="M1658" s="20">
        <f>L1658-L1658*VLOOKUP($O1658,매칭테이블!$G:$J,3,0)</f>
        <v/>
      </c>
      <c r="N1658" s="20">
        <f>VLOOKUP($O1658,매칭테이블!$G:$J,4,0)*H1658</f>
        <v/>
      </c>
      <c r="O1658" s="20">
        <f>F1658&amp;E1658&amp;I1658&amp;J1658</f>
        <v/>
      </c>
    </row>
    <row r="1659" ht="16.5" customHeight="1" s="17">
      <c r="B1659" s="16" t="n">
        <v>44088</v>
      </c>
      <c r="C1659" s="20" t="inlineStr">
        <is>
          <t>월</t>
        </is>
      </c>
      <c r="E1659" s="20" t="inlineStr">
        <is>
          <t>고체향수</t>
        </is>
      </c>
      <c r="F1659" s="20" t="inlineStr">
        <is>
          <t>카페24</t>
        </is>
      </c>
      <c r="H1659" s="20" t="n">
        <v>73</v>
      </c>
      <c r="I1659" s="20" t="inlineStr">
        <is>
          <t>스테이포에버</t>
        </is>
      </c>
      <c r="J1659" s="20" t="n">
        <v>200720</v>
      </c>
      <c r="L1659" s="20">
        <f>VLOOKUP($O1659,매칭테이블!$G:$J,2,0)*H1659</f>
        <v/>
      </c>
      <c r="M1659" s="20">
        <f>L1659-L1659*VLOOKUP($O1659,매칭테이블!$G:$J,3,0)</f>
        <v/>
      </c>
      <c r="N1659" s="20">
        <f>VLOOKUP($O1659,매칭테이블!$G:$J,4,0)*H1659</f>
        <v/>
      </c>
      <c r="O1659" s="20">
        <f>F1659&amp;E1659&amp;I1659&amp;J1659</f>
        <v/>
      </c>
    </row>
    <row r="1660" ht="16.5" customHeight="1" s="17">
      <c r="B1660" s="16" t="n">
        <v>44088</v>
      </c>
      <c r="C1660" s="20" t="inlineStr">
        <is>
          <t>월</t>
        </is>
      </c>
      <c r="E1660" s="20" t="inlineStr">
        <is>
          <t>고체향수</t>
        </is>
      </c>
      <c r="F1660" s="20" t="inlineStr">
        <is>
          <t>카페24</t>
        </is>
      </c>
      <c r="H1660" s="20" t="n">
        <v>13</v>
      </c>
      <c r="I1660" s="20" t="inlineStr">
        <is>
          <t>스테이포에버 2set</t>
        </is>
      </c>
      <c r="J1660" s="20" t="n">
        <v>200720</v>
      </c>
      <c r="L1660" s="20">
        <f>VLOOKUP($O1660,매칭테이블!$G:$J,2,0)*H1660</f>
        <v/>
      </c>
      <c r="M1660" s="20">
        <f>L1660-L1660*VLOOKUP($O1660,매칭테이블!$G:$J,3,0)</f>
        <v/>
      </c>
      <c r="N1660" s="20">
        <f>VLOOKUP($O1660,매칭테이블!$G:$J,4,0)*H1660</f>
        <v/>
      </c>
      <c r="O1660" s="20">
        <f>F1660&amp;E1660&amp;I1660&amp;J1660</f>
        <v/>
      </c>
    </row>
    <row r="1661" ht="16.5" customHeight="1" s="17">
      <c r="B1661" s="16" t="n">
        <v>44088</v>
      </c>
      <c r="C1661" s="20" t="inlineStr">
        <is>
          <t>월</t>
        </is>
      </c>
      <c r="E1661" s="20" t="inlineStr">
        <is>
          <t>고체향수</t>
        </is>
      </c>
      <c r="F1661" s="20" t="inlineStr">
        <is>
          <t>카페24</t>
        </is>
      </c>
      <c r="H1661" s="20" t="n">
        <v>1</v>
      </c>
      <c r="I1661" s="20" t="inlineStr">
        <is>
          <t>이그나이트</t>
        </is>
      </c>
      <c r="J1661" s="20" t="n">
        <v>200720</v>
      </c>
      <c r="L1661" s="20">
        <f>VLOOKUP($O1661,매칭테이블!$G:$J,2,0)*H1661</f>
        <v/>
      </c>
      <c r="M1661" s="20">
        <f>L1661-L1661*VLOOKUP($O1661,매칭테이블!$G:$J,3,0)</f>
        <v/>
      </c>
      <c r="N1661" s="20">
        <f>VLOOKUP($O1661,매칭테이블!$G:$J,4,0)*H1661</f>
        <v/>
      </c>
      <c r="O1661" s="20">
        <f>F1661&amp;E1661&amp;I1661&amp;J1661</f>
        <v/>
      </c>
    </row>
    <row r="1662" ht="16.5" customHeight="1" s="17">
      <c r="B1662" s="16" t="n">
        <v>44088</v>
      </c>
      <c r="C1662" s="20" t="inlineStr">
        <is>
          <t>월</t>
        </is>
      </c>
      <c r="E1662" s="20" t="inlineStr">
        <is>
          <t>쇼핑백</t>
        </is>
      </c>
      <c r="F1662" s="20" t="inlineStr">
        <is>
          <t>카페24</t>
        </is>
      </c>
      <c r="H1662" s="20" t="n">
        <v>3</v>
      </c>
      <c r="I1662" s="20" t="inlineStr">
        <is>
          <t>유즈쇼핑백</t>
        </is>
      </c>
      <c r="J1662" s="20" t="n">
        <v>200720</v>
      </c>
      <c r="L1662" s="20">
        <f>VLOOKUP($O1662,매칭테이블!$G:$J,2,0)*H1662</f>
        <v/>
      </c>
      <c r="M1662" s="20">
        <f>L1662-L1662*VLOOKUP($O1662,매칭테이블!$G:$J,3,0)</f>
        <v/>
      </c>
      <c r="N1662" s="20">
        <f>VLOOKUP($O1662,매칭테이블!$G:$J,4,0)*H1662</f>
        <v/>
      </c>
      <c r="O1662" s="20">
        <f>F1662&amp;E1662&amp;I1662&amp;J1662</f>
        <v/>
      </c>
    </row>
    <row r="1663" ht="16.5" customHeight="1" s="17">
      <c r="B1663" s="16" t="n">
        <v>44089</v>
      </c>
      <c r="C1663" s="20" t="inlineStr">
        <is>
          <t>화</t>
        </is>
      </c>
      <c r="E1663" s="20" t="inlineStr">
        <is>
          <t>고체향수</t>
        </is>
      </c>
      <c r="F1663" s="20" t="inlineStr">
        <is>
          <t>카페24</t>
        </is>
      </c>
      <c r="H1663" s="20" t="n">
        <v>5</v>
      </c>
      <c r="I1663" s="20" t="inlineStr">
        <is>
          <t>이그나이트 + 스테이포에버</t>
        </is>
      </c>
      <c r="J1663" s="20" t="n">
        <v>200720</v>
      </c>
      <c r="L1663" s="20">
        <f>VLOOKUP($O1663,매칭테이블!$G:$J,2,0)*H1663</f>
        <v/>
      </c>
      <c r="M1663" s="20">
        <f>L1663-L1663*VLOOKUP($O1663,매칭테이블!$G:$J,3,0)</f>
        <v/>
      </c>
      <c r="N1663" s="20">
        <f>VLOOKUP($O1663,매칭테이블!$G:$J,4,0)*H1663</f>
        <v/>
      </c>
      <c r="O1663" s="20">
        <f>F1663&amp;E1663&amp;I1663&amp;J1663</f>
        <v/>
      </c>
    </row>
    <row r="1664" ht="16.5" customHeight="1" s="17">
      <c r="B1664" s="16" t="n">
        <v>44089</v>
      </c>
      <c r="C1664" s="20" t="inlineStr">
        <is>
          <t>화</t>
        </is>
      </c>
      <c r="E1664" s="20" t="inlineStr">
        <is>
          <t>고체향수</t>
        </is>
      </c>
      <c r="F1664" s="20" t="inlineStr">
        <is>
          <t>카페24</t>
        </is>
      </c>
      <c r="H1664" s="20" t="n">
        <v>72</v>
      </c>
      <c r="I1664" s="20" t="inlineStr">
        <is>
          <t>스테이포에버</t>
        </is>
      </c>
      <c r="J1664" s="20" t="n">
        <v>200720</v>
      </c>
      <c r="L1664" s="20">
        <f>VLOOKUP($O1664,매칭테이블!$G:$J,2,0)*H1664</f>
        <v/>
      </c>
      <c r="M1664" s="20">
        <f>L1664-L1664*VLOOKUP($O1664,매칭테이블!$G:$J,3,0)</f>
        <v/>
      </c>
      <c r="N1664" s="20">
        <f>VLOOKUP($O1664,매칭테이블!$G:$J,4,0)*H1664</f>
        <v/>
      </c>
      <c r="O1664" s="20">
        <f>F1664&amp;E1664&amp;I1664&amp;J1664</f>
        <v/>
      </c>
    </row>
    <row r="1665" ht="16.5" customHeight="1" s="17">
      <c r="B1665" s="16" t="n">
        <v>44089</v>
      </c>
      <c r="C1665" s="20" t="inlineStr">
        <is>
          <t>화</t>
        </is>
      </c>
      <c r="E1665" s="20" t="inlineStr">
        <is>
          <t>고체향수</t>
        </is>
      </c>
      <c r="F1665" s="20" t="inlineStr">
        <is>
          <t>카페24</t>
        </is>
      </c>
      <c r="H1665" s="20" t="n">
        <v>18</v>
      </c>
      <c r="I1665" s="20" t="inlineStr">
        <is>
          <t>스테이포에버 2set</t>
        </is>
      </c>
      <c r="J1665" s="20" t="n">
        <v>200720</v>
      </c>
      <c r="L1665" s="20">
        <f>VLOOKUP($O1665,매칭테이블!$G:$J,2,0)*H1665</f>
        <v/>
      </c>
      <c r="M1665" s="20">
        <f>L1665-L1665*VLOOKUP($O1665,매칭테이블!$G:$J,3,0)</f>
        <v/>
      </c>
      <c r="N1665" s="20">
        <f>VLOOKUP($O1665,매칭테이블!$G:$J,4,0)*H1665</f>
        <v/>
      </c>
      <c r="O1665" s="20">
        <f>F1665&amp;E1665&amp;I1665&amp;J1665</f>
        <v/>
      </c>
    </row>
    <row r="1666" ht="16.5" customHeight="1" s="17">
      <c r="B1666" s="16" t="n">
        <v>44089</v>
      </c>
      <c r="C1666" s="20" t="inlineStr">
        <is>
          <t>화</t>
        </is>
      </c>
      <c r="E1666" s="20" t="inlineStr">
        <is>
          <t>고체향수</t>
        </is>
      </c>
      <c r="F1666" s="20" t="inlineStr">
        <is>
          <t>카페24</t>
        </is>
      </c>
      <c r="H1666" s="20" t="n">
        <v>3</v>
      </c>
      <c r="I1666" s="20" t="inlineStr">
        <is>
          <t>이그나이트</t>
        </is>
      </c>
      <c r="J1666" s="20" t="n">
        <v>200720</v>
      </c>
      <c r="L1666" s="20">
        <f>VLOOKUP($O1666,매칭테이블!$G:$J,2,0)*H1666</f>
        <v/>
      </c>
      <c r="M1666" s="20">
        <f>L1666-L1666*VLOOKUP($O1666,매칭테이블!$G:$J,3,0)</f>
        <v/>
      </c>
      <c r="N1666" s="20">
        <f>VLOOKUP($O1666,매칭테이블!$G:$J,4,0)*H1666</f>
        <v/>
      </c>
      <c r="O1666" s="20">
        <f>F1666&amp;E1666&amp;I1666&amp;J1666</f>
        <v/>
      </c>
    </row>
    <row r="1667" ht="16.5" customHeight="1" s="17">
      <c r="B1667" s="16" t="n">
        <v>44089</v>
      </c>
      <c r="C1667" s="20" t="inlineStr">
        <is>
          <t>화</t>
        </is>
      </c>
      <c r="E1667" s="20" t="inlineStr">
        <is>
          <t>쇼핑백</t>
        </is>
      </c>
      <c r="F1667" s="20" t="inlineStr">
        <is>
          <t>카페24</t>
        </is>
      </c>
      <c r="H1667" s="20" t="n">
        <v>1</v>
      </c>
      <c r="I1667" s="20" t="inlineStr">
        <is>
          <t>유즈쇼핑백</t>
        </is>
      </c>
      <c r="J1667" s="20" t="n">
        <v>200720</v>
      </c>
      <c r="L1667" s="20">
        <f>VLOOKUP($O1667,매칭테이블!$G:$J,2,0)*H1667</f>
        <v/>
      </c>
      <c r="M1667" s="20">
        <f>L1667-L1667*VLOOKUP($O1667,매칭테이블!$G:$J,3,0)</f>
        <v/>
      </c>
      <c r="N1667" s="20">
        <f>VLOOKUP($O1667,매칭테이블!$G:$J,4,0)*H1667</f>
        <v/>
      </c>
      <c r="O1667" s="20">
        <f>F1667&amp;E1667&amp;I1667&amp;J1667</f>
        <v/>
      </c>
    </row>
    <row r="1668" ht="16.5" customHeight="1" s="17">
      <c r="B1668" s="16" t="n">
        <v>44090</v>
      </c>
      <c r="C1668" s="20" t="inlineStr">
        <is>
          <t>수</t>
        </is>
      </c>
      <c r="E1668" s="20" t="inlineStr">
        <is>
          <t>고체향수</t>
        </is>
      </c>
      <c r="F1668" s="20" t="inlineStr">
        <is>
          <t>카페24</t>
        </is>
      </c>
      <c r="H1668" s="20" t="n">
        <v>1</v>
      </c>
      <c r="I1668" s="20" t="inlineStr">
        <is>
          <t>이그나이트 + 스테이포에버</t>
        </is>
      </c>
      <c r="J1668" s="20" t="n">
        <v>200720</v>
      </c>
      <c r="L1668" s="20">
        <f>VLOOKUP($O1668,매칭테이블!$G:$J,2,0)*H1668</f>
        <v/>
      </c>
      <c r="M1668" s="20">
        <f>L1668-L1668*VLOOKUP($O1668,매칭테이블!$G:$J,3,0)</f>
        <v/>
      </c>
      <c r="N1668" s="20">
        <f>VLOOKUP($O1668,매칭테이블!$G:$J,4,0)*H1668</f>
        <v/>
      </c>
      <c r="O1668" s="20">
        <f>F1668&amp;E1668&amp;I1668&amp;J1668</f>
        <v/>
      </c>
    </row>
    <row r="1669" ht="16.5" customHeight="1" s="17">
      <c r="B1669" s="16" t="n">
        <v>44090</v>
      </c>
      <c r="C1669" s="20" t="inlineStr">
        <is>
          <t>수</t>
        </is>
      </c>
      <c r="E1669" s="20" t="inlineStr">
        <is>
          <t>고체향수</t>
        </is>
      </c>
      <c r="F1669" s="20" t="inlineStr">
        <is>
          <t>카페24</t>
        </is>
      </c>
      <c r="H1669" s="20" t="n">
        <v>63</v>
      </c>
      <c r="I1669" s="20" t="inlineStr">
        <is>
          <t>스테이포에버</t>
        </is>
      </c>
      <c r="J1669" s="20" t="n">
        <v>200720</v>
      </c>
      <c r="L1669" s="20">
        <f>VLOOKUP($O1669,매칭테이블!$G:$J,2,0)*H1669</f>
        <v/>
      </c>
      <c r="M1669" s="20">
        <f>L1669-L1669*VLOOKUP($O1669,매칭테이블!$G:$J,3,0)</f>
        <v/>
      </c>
      <c r="N1669" s="20">
        <f>VLOOKUP($O1669,매칭테이블!$G:$J,4,0)*H1669</f>
        <v/>
      </c>
      <c r="O1669" s="20">
        <f>F1669&amp;E1669&amp;I1669&amp;J1669</f>
        <v/>
      </c>
    </row>
    <row r="1670" ht="16.5" customHeight="1" s="17">
      <c r="B1670" s="16" t="n">
        <v>44090</v>
      </c>
      <c r="C1670" s="20" t="inlineStr">
        <is>
          <t>수</t>
        </is>
      </c>
      <c r="E1670" s="20" t="inlineStr">
        <is>
          <t>고체향수</t>
        </is>
      </c>
      <c r="F1670" s="20" t="inlineStr">
        <is>
          <t>카페24</t>
        </is>
      </c>
      <c r="H1670" s="20" t="n">
        <v>12</v>
      </c>
      <c r="I1670" s="20" t="inlineStr">
        <is>
          <t>스테이포에버 2set</t>
        </is>
      </c>
      <c r="J1670" s="20" t="n">
        <v>200720</v>
      </c>
      <c r="L1670" s="20">
        <f>VLOOKUP($O1670,매칭테이블!$G:$J,2,0)*H1670</f>
        <v/>
      </c>
      <c r="M1670" s="20">
        <f>L1670-L1670*VLOOKUP($O1670,매칭테이블!$G:$J,3,0)</f>
        <v/>
      </c>
      <c r="N1670" s="20">
        <f>VLOOKUP($O1670,매칭테이블!$G:$J,4,0)*H1670</f>
        <v/>
      </c>
      <c r="O1670" s="20">
        <f>F1670&amp;E1670&amp;I1670&amp;J1670</f>
        <v/>
      </c>
    </row>
    <row r="1671" ht="16.5" customHeight="1" s="17">
      <c r="B1671" s="16" t="n">
        <v>44090</v>
      </c>
      <c r="C1671" s="20" t="inlineStr">
        <is>
          <t>수</t>
        </is>
      </c>
      <c r="E1671" s="20" t="inlineStr">
        <is>
          <t>고체향수</t>
        </is>
      </c>
      <c r="F1671" s="20" t="inlineStr">
        <is>
          <t>카페24</t>
        </is>
      </c>
      <c r="H1671" s="20" t="n">
        <v>1</v>
      </c>
      <c r="I1671" s="20" t="inlineStr">
        <is>
          <t>이그나이트 2set</t>
        </is>
      </c>
      <c r="J1671" s="20" t="n">
        <v>200720</v>
      </c>
      <c r="L1671" s="20">
        <f>VLOOKUP($O1671,매칭테이블!$G:$J,2,0)*H1671</f>
        <v/>
      </c>
      <c r="M1671" s="20">
        <f>L1671-L1671*VLOOKUP($O1671,매칭테이블!$G:$J,3,0)</f>
        <v/>
      </c>
      <c r="N1671" s="20">
        <f>VLOOKUP($O1671,매칭테이블!$G:$J,4,0)*H1671</f>
        <v/>
      </c>
      <c r="O1671" s="20">
        <f>F1671&amp;E1671&amp;I1671&amp;J1671</f>
        <v/>
      </c>
    </row>
    <row r="1672" ht="16.5" customHeight="1" s="17">
      <c r="B1672" s="16" t="n">
        <v>44090</v>
      </c>
      <c r="C1672" s="20" t="inlineStr">
        <is>
          <t>수</t>
        </is>
      </c>
      <c r="E1672" s="20" t="inlineStr">
        <is>
          <t>쇼핑백</t>
        </is>
      </c>
      <c r="F1672" s="20" t="inlineStr">
        <is>
          <t>카페24</t>
        </is>
      </c>
      <c r="H1672" s="20" t="n">
        <v>1</v>
      </c>
      <c r="I1672" s="20" t="inlineStr">
        <is>
          <t>유즈쇼핑백</t>
        </is>
      </c>
      <c r="J1672" s="20" t="n">
        <v>200720</v>
      </c>
      <c r="L1672" s="20">
        <f>VLOOKUP($O1672,매칭테이블!$G:$J,2,0)*H1672</f>
        <v/>
      </c>
      <c r="M1672" s="20">
        <f>L1672-L1672*VLOOKUP($O1672,매칭테이블!$G:$J,3,0)</f>
        <v/>
      </c>
      <c r="N1672" s="20">
        <f>VLOOKUP($O1672,매칭테이블!$G:$J,4,0)*H1672</f>
        <v/>
      </c>
      <c r="O1672" s="20">
        <f>F1672&amp;E1672&amp;I1672&amp;J1672</f>
        <v/>
      </c>
    </row>
    <row r="1673" ht="16.5" customHeight="1" s="17">
      <c r="B1673" s="16" t="n">
        <v>44091</v>
      </c>
      <c r="C1673" s="20" t="inlineStr">
        <is>
          <t>목</t>
        </is>
      </c>
      <c r="E1673" s="20" t="inlineStr">
        <is>
          <t>고체향수</t>
        </is>
      </c>
      <c r="F1673" s="20" t="inlineStr">
        <is>
          <t>카페24</t>
        </is>
      </c>
      <c r="H1673" s="20" t="n">
        <v>5</v>
      </c>
      <c r="I1673" s="20" t="inlineStr">
        <is>
          <t>이그나이트 + 스테이포에버</t>
        </is>
      </c>
      <c r="J1673" s="20" t="n">
        <v>200720</v>
      </c>
      <c r="L1673" s="20">
        <f>VLOOKUP($O1673,매칭테이블!$G:$J,2,0)*H1673</f>
        <v/>
      </c>
      <c r="M1673" s="20">
        <f>L1673-L1673*VLOOKUP($O1673,매칭테이블!$G:$J,3,0)</f>
        <v/>
      </c>
      <c r="N1673" s="20">
        <f>VLOOKUP($O1673,매칭테이블!$G:$J,4,0)*H1673</f>
        <v/>
      </c>
      <c r="O1673" s="20">
        <f>F1673&amp;E1673&amp;I1673&amp;J1673</f>
        <v/>
      </c>
    </row>
    <row r="1674" ht="16.5" customHeight="1" s="17">
      <c r="B1674" s="16" t="n">
        <v>44091</v>
      </c>
      <c r="C1674" s="20" t="inlineStr">
        <is>
          <t>목</t>
        </is>
      </c>
      <c r="E1674" s="20" t="inlineStr">
        <is>
          <t>고체향수</t>
        </is>
      </c>
      <c r="F1674" s="20" t="inlineStr">
        <is>
          <t>카페24</t>
        </is>
      </c>
      <c r="H1674" s="20" t="n">
        <v>69</v>
      </c>
      <c r="I1674" s="20" t="inlineStr">
        <is>
          <t>스테이포에버</t>
        </is>
      </c>
      <c r="J1674" s="20" t="n">
        <v>200720</v>
      </c>
      <c r="L1674" s="20">
        <f>VLOOKUP($O1674,매칭테이블!$G:$J,2,0)*H1674</f>
        <v/>
      </c>
      <c r="M1674" s="20">
        <f>L1674-L1674*VLOOKUP($O1674,매칭테이블!$G:$J,3,0)</f>
        <v/>
      </c>
      <c r="N1674" s="20">
        <f>VLOOKUP($O1674,매칭테이블!$G:$J,4,0)*H1674</f>
        <v/>
      </c>
      <c r="O1674" s="20">
        <f>F1674&amp;E1674&amp;I1674&amp;J1674</f>
        <v/>
      </c>
    </row>
    <row r="1675" ht="16.5" customHeight="1" s="17">
      <c r="B1675" s="16" t="n">
        <v>44091</v>
      </c>
      <c r="C1675" s="20" t="inlineStr">
        <is>
          <t>목</t>
        </is>
      </c>
      <c r="E1675" s="20" t="inlineStr">
        <is>
          <t>고체향수</t>
        </is>
      </c>
      <c r="F1675" s="20" t="inlineStr">
        <is>
          <t>카페24</t>
        </is>
      </c>
      <c r="H1675" s="20" t="n">
        <v>13</v>
      </c>
      <c r="I1675" s="20" t="inlineStr">
        <is>
          <t>스테이포에버 2set</t>
        </is>
      </c>
      <c r="J1675" s="20" t="n">
        <v>200720</v>
      </c>
      <c r="L1675" s="20">
        <f>VLOOKUP($O1675,매칭테이블!$G:$J,2,0)*H1675</f>
        <v/>
      </c>
      <c r="M1675" s="20">
        <f>L1675-L1675*VLOOKUP($O1675,매칭테이블!$G:$J,3,0)</f>
        <v/>
      </c>
      <c r="N1675" s="20">
        <f>VLOOKUP($O1675,매칭테이블!$G:$J,4,0)*H1675</f>
        <v/>
      </c>
      <c r="O1675" s="20">
        <f>F1675&amp;E1675&amp;I1675&amp;J1675</f>
        <v/>
      </c>
    </row>
    <row r="1676" ht="16.5" customHeight="1" s="17">
      <c r="B1676" s="16" t="n">
        <v>44091</v>
      </c>
      <c r="C1676" s="20" t="inlineStr">
        <is>
          <t>목</t>
        </is>
      </c>
      <c r="E1676" s="20" t="inlineStr">
        <is>
          <t>고체향수</t>
        </is>
      </c>
      <c r="F1676" s="20" t="inlineStr">
        <is>
          <t>카페24</t>
        </is>
      </c>
      <c r="H1676" s="20" t="n">
        <v>1</v>
      </c>
      <c r="I1676" s="20" t="inlineStr">
        <is>
          <t>이그나이트 2set</t>
        </is>
      </c>
      <c r="J1676" s="20" t="n">
        <v>200720</v>
      </c>
      <c r="L1676" s="20">
        <f>VLOOKUP($O1676,매칭테이블!$G:$J,2,0)*H1676</f>
        <v/>
      </c>
      <c r="M1676" s="20">
        <f>L1676-L1676*VLOOKUP($O1676,매칭테이블!$G:$J,3,0)</f>
        <v/>
      </c>
      <c r="N1676" s="20">
        <f>VLOOKUP($O1676,매칭테이블!$G:$J,4,0)*H1676</f>
        <v/>
      </c>
      <c r="O1676" s="20">
        <f>F1676&amp;E1676&amp;I1676&amp;J1676</f>
        <v/>
      </c>
    </row>
    <row r="1677" ht="16.5" customHeight="1" s="17">
      <c r="B1677" s="16" t="n">
        <v>44091</v>
      </c>
      <c r="C1677" s="20" t="inlineStr">
        <is>
          <t>목</t>
        </is>
      </c>
      <c r="E1677" s="20" t="inlineStr">
        <is>
          <t>쇼핑백</t>
        </is>
      </c>
      <c r="F1677" s="20" t="inlineStr">
        <is>
          <t>카페24</t>
        </is>
      </c>
      <c r="H1677" s="20" t="n">
        <v>1</v>
      </c>
      <c r="I1677" s="20" t="inlineStr">
        <is>
          <t>유즈쇼핑백</t>
        </is>
      </c>
      <c r="J1677" s="20" t="n">
        <v>200720</v>
      </c>
      <c r="L1677" s="20">
        <f>VLOOKUP($O1677,매칭테이블!$G:$J,2,0)*H1677</f>
        <v/>
      </c>
      <c r="M1677" s="20">
        <f>L1677-L1677*VLOOKUP($O1677,매칭테이블!$G:$J,3,0)</f>
        <v/>
      </c>
      <c r="N1677" s="20">
        <f>VLOOKUP($O1677,매칭테이블!$G:$J,4,0)*H1677</f>
        <v/>
      </c>
      <c r="O1677" s="20">
        <f>F1677&amp;E1677&amp;I1677&amp;J1677</f>
        <v/>
      </c>
    </row>
    <row r="1678" ht="16.5" customHeight="1" s="17">
      <c r="B1678" s="16" t="n">
        <v>44092</v>
      </c>
      <c r="C1678" s="20" t="inlineStr">
        <is>
          <t>금</t>
        </is>
      </c>
      <c r="E1678" s="20" t="inlineStr">
        <is>
          <t>고체향수</t>
        </is>
      </c>
      <c r="F1678" s="20" t="inlineStr">
        <is>
          <t>카페24</t>
        </is>
      </c>
      <c r="H1678" s="20" t="n">
        <v>3</v>
      </c>
      <c r="I1678" s="20" t="inlineStr">
        <is>
          <t>이그나이트 + 스테이포에버</t>
        </is>
      </c>
      <c r="J1678" s="20" t="n">
        <v>200720</v>
      </c>
      <c r="L1678" s="20">
        <f>VLOOKUP($O1678,매칭테이블!$G:$J,2,0)*H1678</f>
        <v/>
      </c>
      <c r="M1678" s="20">
        <f>L1678-L1678*VLOOKUP($O1678,매칭테이블!$G:$J,3,0)</f>
        <v/>
      </c>
      <c r="N1678" s="20">
        <f>VLOOKUP($O1678,매칭테이블!$G:$J,4,0)*H1678</f>
        <v/>
      </c>
      <c r="O1678" s="20">
        <f>F1678&amp;E1678&amp;I1678&amp;J1678</f>
        <v/>
      </c>
    </row>
    <row r="1679" ht="16.5" customHeight="1" s="17">
      <c r="B1679" s="16" t="n">
        <v>44092</v>
      </c>
      <c r="C1679" s="20" t="inlineStr">
        <is>
          <t>금</t>
        </is>
      </c>
      <c r="E1679" s="20" t="inlineStr">
        <is>
          <t>고체향수</t>
        </is>
      </c>
      <c r="F1679" s="20" t="inlineStr">
        <is>
          <t>카페24</t>
        </is>
      </c>
      <c r="H1679" s="20" t="n">
        <v>57</v>
      </c>
      <c r="I1679" s="20" t="inlineStr">
        <is>
          <t>스테이포에버</t>
        </is>
      </c>
      <c r="J1679" s="20" t="n">
        <v>200720</v>
      </c>
      <c r="L1679" s="20">
        <f>VLOOKUP($O1679,매칭테이블!$G:$J,2,0)*H1679</f>
        <v/>
      </c>
      <c r="M1679" s="20">
        <f>L1679-L1679*VLOOKUP($O1679,매칭테이블!$G:$J,3,0)</f>
        <v/>
      </c>
      <c r="N1679" s="20">
        <f>VLOOKUP($O1679,매칭테이블!$G:$J,4,0)*H1679</f>
        <v/>
      </c>
      <c r="O1679" s="20">
        <f>F1679&amp;E1679&amp;I1679&amp;J1679</f>
        <v/>
      </c>
    </row>
    <row r="1680" ht="16.5" customHeight="1" s="17">
      <c r="B1680" s="16" t="n">
        <v>44092</v>
      </c>
      <c r="C1680" s="20" t="inlineStr">
        <is>
          <t>금</t>
        </is>
      </c>
      <c r="E1680" s="20" t="inlineStr">
        <is>
          <t>고체향수</t>
        </is>
      </c>
      <c r="F1680" s="20" t="inlineStr">
        <is>
          <t>카페24</t>
        </is>
      </c>
      <c r="H1680" s="20" t="n">
        <v>23</v>
      </c>
      <c r="I1680" s="20" t="inlineStr">
        <is>
          <t>스테이포에버 2set</t>
        </is>
      </c>
      <c r="J1680" s="20" t="n">
        <v>200720</v>
      </c>
      <c r="L1680" s="20">
        <f>VLOOKUP($O1680,매칭테이블!$G:$J,2,0)*H1680</f>
        <v/>
      </c>
      <c r="M1680" s="20">
        <f>L1680-L1680*VLOOKUP($O1680,매칭테이블!$G:$J,3,0)</f>
        <v/>
      </c>
      <c r="N1680" s="20">
        <f>VLOOKUP($O1680,매칭테이블!$G:$J,4,0)*H1680</f>
        <v/>
      </c>
      <c r="O1680" s="20">
        <f>F1680&amp;E1680&amp;I1680&amp;J1680</f>
        <v/>
      </c>
    </row>
    <row r="1681" ht="16.5" customHeight="1" s="17">
      <c r="B1681" s="16" t="n">
        <v>44092</v>
      </c>
      <c r="C1681" s="20" t="inlineStr">
        <is>
          <t>금</t>
        </is>
      </c>
      <c r="E1681" s="20" t="inlineStr">
        <is>
          <t>고체향수</t>
        </is>
      </c>
      <c r="F1681" s="20" t="inlineStr">
        <is>
          <t>카페24</t>
        </is>
      </c>
      <c r="H1681" s="20" t="n">
        <v>3</v>
      </c>
      <c r="I1681" s="20" t="inlineStr">
        <is>
          <t>이그나이트</t>
        </is>
      </c>
      <c r="J1681" s="20" t="n">
        <v>200720</v>
      </c>
      <c r="L1681" s="20">
        <f>VLOOKUP($O1681,매칭테이블!$G:$J,2,0)*H1681</f>
        <v/>
      </c>
      <c r="M1681" s="20">
        <f>L1681-L1681*VLOOKUP($O1681,매칭테이블!$G:$J,3,0)</f>
        <v/>
      </c>
      <c r="N1681" s="20">
        <f>VLOOKUP($O1681,매칭테이블!$G:$J,4,0)*H1681</f>
        <v/>
      </c>
      <c r="O1681" s="20">
        <f>F1681&amp;E1681&amp;I1681&amp;J1681</f>
        <v/>
      </c>
    </row>
    <row r="1682" ht="16.5" customHeight="1" s="17">
      <c r="B1682" s="16" t="n">
        <v>44093</v>
      </c>
      <c r="C1682" s="20" t="inlineStr">
        <is>
          <t>토</t>
        </is>
      </c>
      <c r="E1682" s="20" t="inlineStr">
        <is>
          <t>고체향수</t>
        </is>
      </c>
      <c r="F1682" s="20" t="inlineStr">
        <is>
          <t>카페24</t>
        </is>
      </c>
      <c r="H1682" s="20" t="n">
        <v>6</v>
      </c>
      <c r="I1682" s="20" t="inlineStr">
        <is>
          <t>이그나이트 + 스테이포에버</t>
        </is>
      </c>
      <c r="J1682" s="20" t="n">
        <v>200720</v>
      </c>
      <c r="L1682" s="20">
        <f>VLOOKUP($O1682,매칭테이블!$G:$J,2,0)*H1682</f>
        <v/>
      </c>
      <c r="M1682" s="20">
        <f>L1682-L1682*VLOOKUP($O1682,매칭테이블!$G:$J,3,0)</f>
        <v/>
      </c>
      <c r="N1682" s="20">
        <f>VLOOKUP($O1682,매칭테이블!$G:$J,4,0)*H1682</f>
        <v/>
      </c>
      <c r="O1682" s="20">
        <f>F1682&amp;E1682&amp;I1682&amp;J1682</f>
        <v/>
      </c>
    </row>
    <row r="1683" ht="16.5" customHeight="1" s="17">
      <c r="B1683" s="16" t="n">
        <v>44093</v>
      </c>
      <c r="C1683" s="20" t="inlineStr">
        <is>
          <t>토</t>
        </is>
      </c>
      <c r="E1683" s="20" t="inlineStr">
        <is>
          <t>고체향수</t>
        </is>
      </c>
      <c r="F1683" s="20" t="inlineStr">
        <is>
          <t>카페24</t>
        </is>
      </c>
      <c r="H1683" s="20" t="n">
        <v>60</v>
      </c>
      <c r="I1683" s="20" t="inlineStr">
        <is>
          <t>스테이포에버</t>
        </is>
      </c>
      <c r="J1683" s="20" t="n">
        <v>200720</v>
      </c>
      <c r="L1683" s="20">
        <f>VLOOKUP($O1683,매칭테이블!$G:$J,2,0)*H1683</f>
        <v/>
      </c>
      <c r="M1683" s="20">
        <f>L1683-L1683*VLOOKUP($O1683,매칭테이블!$G:$J,3,0)</f>
        <v/>
      </c>
      <c r="N1683" s="20">
        <f>VLOOKUP($O1683,매칭테이블!$G:$J,4,0)*H1683</f>
        <v/>
      </c>
      <c r="O1683" s="20">
        <f>F1683&amp;E1683&amp;I1683&amp;J1683</f>
        <v/>
      </c>
    </row>
    <row r="1684" ht="16.5" customHeight="1" s="17">
      <c r="B1684" s="16" t="n">
        <v>44093</v>
      </c>
      <c r="C1684" s="20" t="inlineStr">
        <is>
          <t>토</t>
        </is>
      </c>
      <c r="E1684" s="20" t="inlineStr">
        <is>
          <t>고체향수</t>
        </is>
      </c>
      <c r="F1684" s="20" t="inlineStr">
        <is>
          <t>카페24</t>
        </is>
      </c>
      <c r="H1684" s="20" t="n">
        <v>17</v>
      </c>
      <c r="I1684" s="20" t="inlineStr">
        <is>
          <t>스테이포에버 2set</t>
        </is>
      </c>
      <c r="J1684" s="20" t="n">
        <v>200720</v>
      </c>
      <c r="L1684" s="20">
        <f>VLOOKUP($O1684,매칭테이블!$G:$J,2,0)*H1684</f>
        <v/>
      </c>
      <c r="M1684" s="20">
        <f>L1684-L1684*VLOOKUP($O1684,매칭테이블!$G:$J,3,0)</f>
        <v/>
      </c>
      <c r="N1684" s="20">
        <f>VLOOKUP($O1684,매칭테이블!$G:$J,4,0)*H1684</f>
        <v/>
      </c>
      <c r="O1684" s="20">
        <f>F1684&amp;E1684&amp;I1684&amp;J1684</f>
        <v/>
      </c>
    </row>
    <row r="1685" ht="16.5" customHeight="1" s="17">
      <c r="B1685" s="16" t="n">
        <v>44093</v>
      </c>
      <c r="C1685" s="20" t="inlineStr">
        <is>
          <t>토</t>
        </is>
      </c>
      <c r="E1685" s="20" t="inlineStr">
        <is>
          <t>고체향수</t>
        </is>
      </c>
      <c r="F1685" s="20" t="inlineStr">
        <is>
          <t>카페24</t>
        </is>
      </c>
      <c r="H1685" s="20" t="n">
        <v>1</v>
      </c>
      <c r="I1685" s="20" t="inlineStr">
        <is>
          <t>이그나이트</t>
        </is>
      </c>
      <c r="J1685" s="20" t="n">
        <v>200720</v>
      </c>
      <c r="L1685" s="20">
        <f>VLOOKUP($O1685,매칭테이블!$G:$J,2,0)*H1685</f>
        <v/>
      </c>
      <c r="M1685" s="20">
        <f>L1685-L1685*VLOOKUP($O1685,매칭테이블!$G:$J,3,0)</f>
        <v/>
      </c>
      <c r="N1685" s="20">
        <f>VLOOKUP($O1685,매칭테이블!$G:$J,4,0)*H1685</f>
        <v/>
      </c>
      <c r="O1685" s="20">
        <f>F1685&amp;E1685&amp;I1685&amp;J1685</f>
        <v/>
      </c>
    </row>
    <row r="1686" ht="16.5" customHeight="1" s="17">
      <c r="B1686" s="16" t="n">
        <v>44093</v>
      </c>
      <c r="C1686" s="20" t="inlineStr">
        <is>
          <t>토</t>
        </is>
      </c>
      <c r="E1686" s="20" t="inlineStr">
        <is>
          <t>쇼핑백</t>
        </is>
      </c>
      <c r="F1686" s="20" t="inlineStr">
        <is>
          <t>카페24</t>
        </is>
      </c>
      <c r="H1686" s="20" t="n">
        <v>4</v>
      </c>
      <c r="I1686" s="20" t="inlineStr">
        <is>
          <t>유즈쇼핑백</t>
        </is>
      </c>
      <c r="J1686" s="20" t="n">
        <v>200720</v>
      </c>
      <c r="L1686" s="20">
        <f>VLOOKUP($O1686,매칭테이블!$G:$J,2,0)*H1686</f>
        <v/>
      </c>
      <c r="M1686" s="20">
        <f>L1686-L1686*VLOOKUP($O1686,매칭테이블!$G:$J,3,0)</f>
        <v/>
      </c>
      <c r="N1686" s="20">
        <f>VLOOKUP($O1686,매칭테이블!$G:$J,4,0)*H1686</f>
        <v/>
      </c>
      <c r="O1686" s="20">
        <f>F1686&amp;E1686&amp;I1686&amp;J1686</f>
        <v/>
      </c>
    </row>
    <row r="1687" ht="16.5" customHeight="1" s="17">
      <c r="B1687" s="16" t="n">
        <v>44094</v>
      </c>
      <c r="C1687" s="20" t="inlineStr">
        <is>
          <t>일</t>
        </is>
      </c>
      <c r="E1687" s="20" t="inlineStr">
        <is>
          <t>고체향수</t>
        </is>
      </c>
      <c r="F1687" s="20" t="inlineStr">
        <is>
          <t>카페24</t>
        </is>
      </c>
      <c r="H1687" s="20" t="n">
        <v>5</v>
      </c>
      <c r="I1687" s="20" t="inlineStr">
        <is>
          <t>이그나이트 + 스테이포에버</t>
        </is>
      </c>
      <c r="J1687" s="20" t="n">
        <v>200720</v>
      </c>
      <c r="L1687" s="20">
        <f>VLOOKUP($O1687,매칭테이블!$G:$J,2,0)*H1687</f>
        <v/>
      </c>
      <c r="M1687" s="20">
        <f>L1687-L1687*VLOOKUP($O1687,매칭테이블!$G:$J,3,0)</f>
        <v/>
      </c>
      <c r="N1687" s="20">
        <f>VLOOKUP($O1687,매칭테이블!$G:$J,4,0)*H1687</f>
        <v/>
      </c>
      <c r="O1687" s="20">
        <f>F1687&amp;E1687&amp;I1687&amp;J1687</f>
        <v/>
      </c>
    </row>
    <row r="1688" ht="16.5" customHeight="1" s="17">
      <c r="B1688" s="16" t="n">
        <v>44094</v>
      </c>
      <c r="C1688" s="20" t="inlineStr">
        <is>
          <t>일</t>
        </is>
      </c>
      <c r="E1688" s="20" t="inlineStr">
        <is>
          <t>고체향수</t>
        </is>
      </c>
      <c r="F1688" s="20" t="inlineStr">
        <is>
          <t>카페24</t>
        </is>
      </c>
      <c r="H1688" s="20" t="n">
        <v>81</v>
      </c>
      <c r="I1688" s="20" t="inlineStr">
        <is>
          <t>스테이포에버</t>
        </is>
      </c>
      <c r="J1688" s="20" t="n">
        <v>200720</v>
      </c>
      <c r="L1688" s="20">
        <f>VLOOKUP($O1688,매칭테이블!$G:$J,2,0)*H1688</f>
        <v/>
      </c>
      <c r="M1688" s="20">
        <f>L1688-L1688*VLOOKUP($O1688,매칭테이블!$G:$J,3,0)</f>
        <v/>
      </c>
      <c r="N1688" s="20">
        <f>VLOOKUP($O1688,매칭테이블!$G:$J,4,0)*H1688</f>
        <v/>
      </c>
      <c r="O1688" s="20">
        <f>F1688&amp;E1688&amp;I1688&amp;J1688</f>
        <v/>
      </c>
    </row>
    <row r="1689" ht="16.5" customHeight="1" s="17">
      <c r="B1689" s="16" t="n">
        <v>44094</v>
      </c>
      <c r="C1689" s="20" t="inlineStr">
        <is>
          <t>일</t>
        </is>
      </c>
      <c r="E1689" s="20" t="inlineStr">
        <is>
          <t>고체향수</t>
        </is>
      </c>
      <c r="F1689" s="20" t="inlineStr">
        <is>
          <t>카페24</t>
        </is>
      </c>
      <c r="H1689" s="20" t="n">
        <v>13</v>
      </c>
      <c r="I1689" s="20" t="inlineStr">
        <is>
          <t>스테이포에버 2set</t>
        </is>
      </c>
      <c r="J1689" s="20" t="n">
        <v>200720</v>
      </c>
      <c r="L1689" s="20">
        <f>VLOOKUP($O1689,매칭테이블!$G:$J,2,0)*H1689</f>
        <v/>
      </c>
      <c r="M1689" s="20">
        <f>L1689-L1689*VLOOKUP($O1689,매칭테이블!$G:$J,3,0)</f>
        <v/>
      </c>
      <c r="N1689" s="20">
        <f>VLOOKUP($O1689,매칭테이블!$G:$J,4,0)*H1689</f>
        <v/>
      </c>
      <c r="O1689" s="20">
        <f>F1689&amp;E1689&amp;I1689&amp;J1689</f>
        <v/>
      </c>
    </row>
    <row r="1690" ht="16.5" customHeight="1" s="17">
      <c r="B1690" s="16" t="n">
        <v>44094</v>
      </c>
      <c r="C1690" s="20" t="inlineStr">
        <is>
          <t>일</t>
        </is>
      </c>
      <c r="E1690" s="20" t="inlineStr">
        <is>
          <t>고체향수</t>
        </is>
      </c>
      <c r="F1690" s="20" t="inlineStr">
        <is>
          <t>카페24</t>
        </is>
      </c>
      <c r="H1690" s="20" t="n">
        <v>2</v>
      </c>
      <c r="I1690" s="20" t="inlineStr">
        <is>
          <t>이그나이트</t>
        </is>
      </c>
      <c r="J1690" s="20" t="n">
        <v>200720</v>
      </c>
      <c r="L1690" s="20">
        <f>VLOOKUP($O1690,매칭테이블!$G:$J,2,0)*H1690</f>
        <v/>
      </c>
      <c r="M1690" s="20">
        <f>L1690-L1690*VLOOKUP($O1690,매칭테이블!$G:$J,3,0)</f>
        <v/>
      </c>
      <c r="N1690" s="20">
        <f>VLOOKUP($O1690,매칭테이블!$G:$J,4,0)*H1690</f>
        <v/>
      </c>
      <c r="O1690" s="20">
        <f>F1690&amp;E1690&amp;I1690&amp;J1690</f>
        <v/>
      </c>
    </row>
    <row r="1691" ht="16.5" customHeight="1" s="17">
      <c r="B1691" s="16" t="n">
        <v>44094</v>
      </c>
      <c r="C1691" s="20" t="inlineStr">
        <is>
          <t>일</t>
        </is>
      </c>
      <c r="E1691" s="20" t="inlineStr">
        <is>
          <t>쇼핑백</t>
        </is>
      </c>
      <c r="F1691" s="20" t="inlineStr">
        <is>
          <t>카페24</t>
        </is>
      </c>
      <c r="H1691" s="20" t="n">
        <v>2</v>
      </c>
      <c r="I1691" s="20" t="inlineStr">
        <is>
          <t>유즈쇼핑백</t>
        </is>
      </c>
      <c r="J1691" s="20" t="n">
        <v>200720</v>
      </c>
      <c r="L1691" s="20">
        <f>VLOOKUP($O1691,매칭테이블!$G:$J,2,0)*H1691</f>
        <v/>
      </c>
      <c r="M1691" s="20">
        <f>L1691-L1691*VLOOKUP($O1691,매칭테이블!$G:$J,3,0)</f>
        <v/>
      </c>
      <c r="N1691" s="20">
        <f>VLOOKUP($O1691,매칭테이블!$G:$J,4,0)*H1691</f>
        <v/>
      </c>
      <c r="O1691" s="20">
        <f>F1691&amp;E1691&amp;I1691&amp;J1691</f>
        <v/>
      </c>
    </row>
    <row r="1692" ht="16.5" customHeight="1" s="17">
      <c r="B1692" s="16" t="n">
        <v>44095</v>
      </c>
      <c r="C1692" s="20" t="inlineStr">
        <is>
          <t>월</t>
        </is>
      </c>
      <c r="E1692" s="20" t="inlineStr">
        <is>
          <t>고체향수</t>
        </is>
      </c>
      <c r="F1692" s="20" t="inlineStr">
        <is>
          <t>카페24</t>
        </is>
      </c>
      <c r="H1692" s="20" t="n">
        <v>9</v>
      </c>
      <c r="I1692" s="20" t="inlineStr">
        <is>
          <t>이그나이트 + 스테이포에버</t>
        </is>
      </c>
      <c r="J1692" s="20" t="n">
        <v>200720</v>
      </c>
      <c r="L1692" s="20">
        <f>VLOOKUP($O1692,매칭테이블!$G:$J,2,0)*H1692</f>
        <v/>
      </c>
      <c r="M1692" s="20">
        <f>L1692-L1692*VLOOKUP($O1692,매칭테이블!$G:$J,3,0)</f>
        <v/>
      </c>
      <c r="N1692" s="20">
        <f>VLOOKUP($O1692,매칭테이블!$G:$J,4,0)*H1692</f>
        <v/>
      </c>
      <c r="O1692" s="20">
        <f>F1692&amp;E1692&amp;I1692&amp;J1692</f>
        <v/>
      </c>
    </row>
    <row r="1693" ht="16.5" customHeight="1" s="17">
      <c r="B1693" s="16" t="n">
        <v>44095</v>
      </c>
      <c r="C1693" s="20" t="inlineStr">
        <is>
          <t>월</t>
        </is>
      </c>
      <c r="E1693" s="20" t="inlineStr">
        <is>
          <t>고체향수</t>
        </is>
      </c>
      <c r="F1693" s="20" t="inlineStr">
        <is>
          <t>카페24</t>
        </is>
      </c>
      <c r="H1693" s="20" t="n">
        <v>63</v>
      </c>
      <c r="I1693" s="20" t="inlineStr">
        <is>
          <t>스테이포에버</t>
        </is>
      </c>
      <c r="J1693" s="20" t="n">
        <v>200720</v>
      </c>
      <c r="L1693" s="20">
        <f>VLOOKUP($O1693,매칭테이블!$G:$J,2,0)*H1693</f>
        <v/>
      </c>
      <c r="M1693" s="20">
        <f>L1693-L1693*VLOOKUP($O1693,매칭테이블!$G:$J,3,0)</f>
        <v/>
      </c>
      <c r="N1693" s="20">
        <f>VLOOKUP($O1693,매칭테이블!$G:$J,4,0)*H1693</f>
        <v/>
      </c>
      <c r="O1693" s="20">
        <f>F1693&amp;E1693&amp;I1693&amp;J1693</f>
        <v/>
      </c>
    </row>
    <row r="1694" ht="16.5" customHeight="1" s="17">
      <c r="B1694" s="16" t="n">
        <v>44095</v>
      </c>
      <c r="C1694" s="20" t="inlineStr">
        <is>
          <t>월</t>
        </is>
      </c>
      <c r="E1694" s="20" t="inlineStr">
        <is>
          <t>고체향수</t>
        </is>
      </c>
      <c r="F1694" s="20" t="inlineStr">
        <is>
          <t>카페24</t>
        </is>
      </c>
      <c r="H1694" s="20" t="n">
        <v>12</v>
      </c>
      <c r="I1694" s="20" t="inlineStr">
        <is>
          <t>스테이포에버 2set</t>
        </is>
      </c>
      <c r="J1694" s="20" t="n">
        <v>200720</v>
      </c>
      <c r="L1694" s="20">
        <f>VLOOKUP($O1694,매칭테이블!$G:$J,2,0)*H1694</f>
        <v/>
      </c>
      <c r="M1694" s="20">
        <f>L1694-L1694*VLOOKUP($O1694,매칭테이블!$G:$J,3,0)</f>
        <v/>
      </c>
      <c r="N1694" s="20">
        <f>VLOOKUP($O1694,매칭테이블!$G:$J,4,0)*H1694</f>
        <v/>
      </c>
      <c r="O1694" s="20">
        <f>F1694&amp;E1694&amp;I1694&amp;J1694</f>
        <v/>
      </c>
    </row>
    <row r="1695" ht="16.5" customHeight="1" s="17">
      <c r="B1695" s="16" t="n">
        <v>44095</v>
      </c>
      <c r="C1695" s="20" t="inlineStr">
        <is>
          <t>월</t>
        </is>
      </c>
      <c r="E1695" s="20" t="inlineStr">
        <is>
          <t>고체향수</t>
        </is>
      </c>
      <c r="F1695" s="20" t="inlineStr">
        <is>
          <t>카페24</t>
        </is>
      </c>
      <c r="H1695" s="20" t="n">
        <v>5</v>
      </c>
      <c r="I1695" s="20" t="inlineStr">
        <is>
          <t>이그나이트</t>
        </is>
      </c>
      <c r="J1695" s="20" t="n">
        <v>200720</v>
      </c>
      <c r="L1695" s="20">
        <f>VLOOKUP($O1695,매칭테이블!$G:$J,2,0)*H1695</f>
        <v/>
      </c>
      <c r="M1695" s="20">
        <f>L1695-L1695*VLOOKUP($O1695,매칭테이블!$G:$J,3,0)</f>
        <v/>
      </c>
      <c r="N1695" s="20">
        <f>VLOOKUP($O1695,매칭테이블!$G:$J,4,0)*H1695</f>
        <v/>
      </c>
      <c r="O1695" s="20">
        <f>F1695&amp;E1695&amp;I1695&amp;J1695</f>
        <v/>
      </c>
    </row>
    <row r="1696" ht="16.5" customHeight="1" s="17">
      <c r="B1696" s="16" t="n">
        <v>44095</v>
      </c>
      <c r="C1696" s="20" t="inlineStr">
        <is>
          <t>월</t>
        </is>
      </c>
      <c r="E1696" s="20" t="inlineStr">
        <is>
          <t>쇼핑백</t>
        </is>
      </c>
      <c r="F1696" s="20" t="inlineStr">
        <is>
          <t>카페24</t>
        </is>
      </c>
      <c r="H1696" s="20" t="n">
        <v>2</v>
      </c>
      <c r="I1696" s="20" t="inlineStr">
        <is>
          <t>유즈쇼핑백</t>
        </is>
      </c>
      <c r="J1696" s="20" t="n">
        <v>200720</v>
      </c>
      <c r="L1696" s="20">
        <f>VLOOKUP($O1696,매칭테이블!$G:$J,2,0)*H1696</f>
        <v/>
      </c>
      <c r="M1696" s="20">
        <f>L1696-L1696*VLOOKUP($O1696,매칭테이블!$G:$J,3,0)</f>
        <v/>
      </c>
      <c r="N1696" s="20">
        <f>VLOOKUP($O1696,매칭테이블!$G:$J,4,0)*H1696</f>
        <v/>
      </c>
      <c r="O1696" s="20">
        <f>F1696&amp;E1696&amp;I1696&amp;J1696</f>
        <v/>
      </c>
    </row>
    <row r="1697" ht="16.5" customHeight="1" s="17">
      <c r="B1697" s="16" t="n">
        <v>44095</v>
      </c>
      <c r="C1697" s="20" t="inlineStr">
        <is>
          <t>월</t>
        </is>
      </c>
      <c r="E1697" s="20" t="inlineStr">
        <is>
          <t>고체향수</t>
        </is>
      </c>
      <c r="F1697" s="20" t="inlineStr">
        <is>
          <t>유즈 CS</t>
        </is>
      </c>
      <c r="H1697" s="20" t="n">
        <v>1</v>
      </c>
      <c r="I1697" s="20" t="inlineStr">
        <is>
          <t>스테이포에버</t>
        </is>
      </c>
      <c r="J1697" s="20" t="n">
        <v>200520</v>
      </c>
      <c r="L1697" s="20">
        <f>VLOOKUP($O1697,매칭테이블!$G:$J,2,0)*H1697</f>
        <v/>
      </c>
      <c r="M1697" s="20">
        <f>L1697-L1697*VLOOKUP($O1697,매칭테이블!$G:$J,3,0)</f>
        <v/>
      </c>
      <c r="N1697" s="20">
        <f>VLOOKUP($O1697,매칭테이블!$G:$J,4,0)*H1697</f>
        <v/>
      </c>
      <c r="O1697" s="20">
        <f>F1697&amp;E1697&amp;I1697&amp;J1697</f>
        <v/>
      </c>
    </row>
    <row r="1698" ht="16.5" customHeight="1" s="17">
      <c r="B1698" s="16" t="n">
        <v>44096</v>
      </c>
      <c r="C1698" s="20" t="inlineStr">
        <is>
          <t>화</t>
        </is>
      </c>
      <c r="E1698" s="20" t="inlineStr">
        <is>
          <t>고체향수</t>
        </is>
      </c>
      <c r="F1698" s="20" t="inlineStr">
        <is>
          <t>카페24</t>
        </is>
      </c>
      <c r="H1698" s="20" t="n">
        <v>5</v>
      </c>
      <c r="I1698" s="20" t="inlineStr">
        <is>
          <t>이그나이트 + 스테이포에버</t>
        </is>
      </c>
      <c r="J1698" s="20" t="n">
        <v>200720</v>
      </c>
      <c r="L1698" s="20">
        <f>VLOOKUP($O1698,매칭테이블!$G:$J,2,0)*H1698</f>
        <v/>
      </c>
      <c r="M1698" s="20">
        <f>L1698-L1698*VLOOKUP($O1698,매칭테이블!$G:$J,3,0)</f>
        <v/>
      </c>
      <c r="N1698" s="20">
        <f>VLOOKUP($O1698,매칭테이블!$G:$J,4,0)*H1698</f>
        <v/>
      </c>
      <c r="O1698" s="20">
        <f>F1698&amp;E1698&amp;I1698&amp;J1698</f>
        <v/>
      </c>
    </row>
    <row r="1699" ht="16.5" customHeight="1" s="17">
      <c r="B1699" s="16" t="n">
        <v>44096</v>
      </c>
      <c r="C1699" s="20" t="inlineStr">
        <is>
          <t>화</t>
        </is>
      </c>
      <c r="E1699" s="20" t="inlineStr">
        <is>
          <t>고체향수</t>
        </is>
      </c>
      <c r="F1699" s="20" t="inlineStr">
        <is>
          <t>카페24</t>
        </is>
      </c>
      <c r="H1699" s="20" t="n">
        <v>76</v>
      </c>
      <c r="I1699" s="20" t="inlineStr">
        <is>
          <t>스테이포에버</t>
        </is>
      </c>
      <c r="J1699" s="20" t="n">
        <v>200720</v>
      </c>
      <c r="L1699" s="20">
        <f>VLOOKUP($O1699,매칭테이블!$G:$J,2,0)*H1699</f>
        <v/>
      </c>
      <c r="M1699" s="20">
        <f>L1699-L1699*VLOOKUP($O1699,매칭테이블!$G:$J,3,0)</f>
        <v/>
      </c>
      <c r="N1699" s="20">
        <f>VLOOKUP($O1699,매칭테이블!$G:$J,4,0)*H1699</f>
        <v/>
      </c>
      <c r="O1699" s="20">
        <f>F1699&amp;E1699&amp;I1699&amp;J1699</f>
        <v/>
      </c>
    </row>
    <row r="1700" ht="16.5" customHeight="1" s="17">
      <c r="B1700" s="16" t="n">
        <v>44096</v>
      </c>
      <c r="C1700" s="20" t="inlineStr">
        <is>
          <t>화</t>
        </is>
      </c>
      <c r="E1700" s="20" t="inlineStr">
        <is>
          <t>고체향수</t>
        </is>
      </c>
      <c r="F1700" s="20" t="inlineStr">
        <is>
          <t>카페24</t>
        </is>
      </c>
      <c r="H1700" s="20" t="n">
        <v>15</v>
      </c>
      <c r="I1700" s="20" t="inlineStr">
        <is>
          <t>스테이포에버 2set</t>
        </is>
      </c>
      <c r="J1700" s="20" t="n">
        <v>200720</v>
      </c>
      <c r="L1700" s="20">
        <f>VLOOKUP($O1700,매칭테이블!$G:$J,2,0)*H1700</f>
        <v/>
      </c>
      <c r="M1700" s="20">
        <f>L1700-L1700*VLOOKUP($O1700,매칭테이블!$G:$J,3,0)</f>
        <v/>
      </c>
      <c r="N1700" s="20">
        <f>VLOOKUP($O1700,매칭테이블!$G:$J,4,0)*H1700</f>
        <v/>
      </c>
      <c r="O1700" s="20">
        <f>F1700&amp;E1700&amp;I1700&amp;J1700</f>
        <v/>
      </c>
    </row>
    <row r="1701" ht="16.5" customHeight="1" s="17">
      <c r="B1701" s="16" t="n">
        <v>44096</v>
      </c>
      <c r="C1701" s="20" t="inlineStr">
        <is>
          <t>화</t>
        </is>
      </c>
      <c r="E1701" s="20" t="inlineStr">
        <is>
          <t>고체향수</t>
        </is>
      </c>
      <c r="F1701" s="20" t="inlineStr">
        <is>
          <t>카페24</t>
        </is>
      </c>
      <c r="H1701" s="20" t="n">
        <v>1</v>
      </c>
      <c r="I1701" s="20" t="inlineStr">
        <is>
          <t>이그나이트</t>
        </is>
      </c>
      <c r="J1701" s="20" t="n">
        <v>200720</v>
      </c>
      <c r="L1701" s="20">
        <f>VLOOKUP($O1701,매칭테이블!$G:$J,2,0)*H1701</f>
        <v/>
      </c>
      <c r="M1701" s="20">
        <f>L1701-L1701*VLOOKUP($O1701,매칭테이블!$G:$J,3,0)</f>
        <v/>
      </c>
      <c r="N1701" s="20">
        <f>VLOOKUP($O1701,매칭테이블!$G:$J,4,0)*H1701</f>
        <v/>
      </c>
      <c r="O1701" s="20">
        <f>F1701&amp;E1701&amp;I1701&amp;J1701</f>
        <v/>
      </c>
    </row>
    <row r="1702" ht="16.5" customHeight="1" s="17">
      <c r="B1702" s="16" t="n">
        <v>44096</v>
      </c>
      <c r="C1702" s="20" t="inlineStr">
        <is>
          <t>화</t>
        </is>
      </c>
      <c r="E1702" s="20" t="inlineStr">
        <is>
          <t>쇼핑백</t>
        </is>
      </c>
      <c r="F1702" s="20" t="inlineStr">
        <is>
          <t>카페24</t>
        </is>
      </c>
      <c r="H1702" s="20" t="n">
        <v>1</v>
      </c>
      <c r="I1702" s="20" t="inlineStr">
        <is>
          <t>유즈쇼핑백</t>
        </is>
      </c>
      <c r="J1702" s="20" t="n">
        <v>200720</v>
      </c>
      <c r="L1702" s="20">
        <f>VLOOKUP($O1702,매칭테이블!$G:$J,2,0)*H1702</f>
        <v/>
      </c>
      <c r="M1702" s="20">
        <f>L1702-L1702*VLOOKUP($O1702,매칭테이블!$G:$J,3,0)</f>
        <v/>
      </c>
      <c r="N1702" s="20">
        <f>VLOOKUP($O1702,매칭테이블!$G:$J,4,0)*H1702</f>
        <v/>
      </c>
      <c r="O1702" s="20">
        <f>F1702&amp;E1702&amp;I1702&amp;J1702</f>
        <v/>
      </c>
    </row>
    <row r="1703" ht="16.5" customHeight="1" s="17">
      <c r="B1703" s="16" t="n">
        <v>44097</v>
      </c>
      <c r="C1703" s="20" t="inlineStr">
        <is>
          <t>수</t>
        </is>
      </c>
      <c r="E1703" s="20" t="inlineStr">
        <is>
          <t>고체향수</t>
        </is>
      </c>
      <c r="F1703" s="20" t="inlineStr">
        <is>
          <t>카페24</t>
        </is>
      </c>
      <c r="H1703" s="20" t="n">
        <v>4</v>
      </c>
      <c r="I1703" s="20" t="inlineStr">
        <is>
          <t>이그나이트 + 스테이포에버</t>
        </is>
      </c>
      <c r="J1703" s="20" t="n">
        <v>200720</v>
      </c>
      <c r="L1703" s="20">
        <f>VLOOKUP($O1703,매칭테이블!$G:$J,2,0)*H1703</f>
        <v/>
      </c>
      <c r="M1703" s="20">
        <f>L1703-L1703*VLOOKUP($O1703,매칭테이블!$G:$J,3,0)</f>
        <v/>
      </c>
      <c r="N1703" s="20">
        <f>VLOOKUP($O1703,매칭테이블!$G:$J,4,0)*H1703</f>
        <v/>
      </c>
      <c r="O1703" s="20">
        <f>F1703&amp;E1703&amp;I1703&amp;J1703</f>
        <v/>
      </c>
    </row>
    <row r="1704" ht="16.5" customHeight="1" s="17">
      <c r="B1704" s="16" t="n">
        <v>44097</v>
      </c>
      <c r="C1704" s="20" t="inlineStr">
        <is>
          <t>수</t>
        </is>
      </c>
      <c r="E1704" s="20" t="inlineStr">
        <is>
          <t>고체향수</t>
        </is>
      </c>
      <c r="F1704" s="20" t="inlineStr">
        <is>
          <t>카페24</t>
        </is>
      </c>
      <c r="H1704" s="20" t="n">
        <v>77</v>
      </c>
      <c r="I1704" s="20" t="inlineStr">
        <is>
          <t>스테이포에버</t>
        </is>
      </c>
      <c r="J1704" s="20" t="n">
        <v>200720</v>
      </c>
      <c r="L1704" s="20">
        <f>VLOOKUP($O1704,매칭테이블!$G:$J,2,0)*H1704</f>
        <v/>
      </c>
      <c r="M1704" s="20">
        <f>L1704-L1704*VLOOKUP($O1704,매칭테이블!$G:$J,3,0)</f>
        <v/>
      </c>
      <c r="N1704" s="20">
        <f>VLOOKUP($O1704,매칭테이블!$G:$J,4,0)*H1704</f>
        <v/>
      </c>
      <c r="O1704" s="20">
        <f>F1704&amp;E1704&amp;I1704&amp;J1704</f>
        <v/>
      </c>
    </row>
    <row r="1705" ht="16.5" customHeight="1" s="17">
      <c r="B1705" s="16" t="n">
        <v>44097</v>
      </c>
      <c r="C1705" s="20" t="inlineStr">
        <is>
          <t>수</t>
        </is>
      </c>
      <c r="E1705" s="20" t="inlineStr">
        <is>
          <t>고체향수</t>
        </is>
      </c>
      <c r="F1705" s="20" t="inlineStr">
        <is>
          <t>카페24</t>
        </is>
      </c>
      <c r="H1705" s="20" t="n">
        <v>21</v>
      </c>
      <c r="I1705" s="20" t="inlineStr">
        <is>
          <t>스테이포에버 2set</t>
        </is>
      </c>
      <c r="J1705" s="20" t="n">
        <v>200720</v>
      </c>
      <c r="L1705" s="20">
        <f>VLOOKUP($O1705,매칭테이블!$G:$J,2,0)*H1705</f>
        <v/>
      </c>
      <c r="M1705" s="20">
        <f>L1705-L1705*VLOOKUP($O1705,매칭테이블!$G:$J,3,0)</f>
        <v/>
      </c>
      <c r="N1705" s="20">
        <f>VLOOKUP($O1705,매칭테이블!$G:$J,4,0)*H1705</f>
        <v/>
      </c>
      <c r="O1705" s="20">
        <f>F1705&amp;E1705&amp;I1705&amp;J1705</f>
        <v/>
      </c>
    </row>
    <row r="1706" ht="16.5" customHeight="1" s="17">
      <c r="B1706" s="16" t="n">
        <v>44097</v>
      </c>
      <c r="C1706" s="20" t="inlineStr">
        <is>
          <t>수</t>
        </is>
      </c>
      <c r="E1706" s="20" t="inlineStr">
        <is>
          <t>고체향수</t>
        </is>
      </c>
      <c r="F1706" s="20" t="inlineStr">
        <is>
          <t>카페24</t>
        </is>
      </c>
      <c r="H1706" s="20" t="n">
        <v>1</v>
      </c>
      <c r="I1706" s="20" t="inlineStr">
        <is>
          <t>이그나이트</t>
        </is>
      </c>
      <c r="J1706" s="20" t="n">
        <v>200720</v>
      </c>
      <c r="L1706" s="20">
        <f>VLOOKUP($O1706,매칭테이블!$G:$J,2,0)*H1706</f>
        <v/>
      </c>
      <c r="M1706" s="20">
        <f>L1706-L1706*VLOOKUP($O1706,매칭테이블!$G:$J,3,0)</f>
        <v/>
      </c>
      <c r="N1706" s="20">
        <f>VLOOKUP($O1706,매칭테이블!$G:$J,4,0)*H1706</f>
        <v/>
      </c>
      <c r="O1706" s="20">
        <f>F1706&amp;E1706&amp;I1706&amp;J1706</f>
        <v/>
      </c>
    </row>
    <row r="1707" ht="16.5" customHeight="1" s="17">
      <c r="B1707" s="16" t="n">
        <v>44097</v>
      </c>
      <c r="C1707" s="20" t="inlineStr">
        <is>
          <t>수</t>
        </is>
      </c>
      <c r="E1707" s="20" t="inlineStr">
        <is>
          <t>쇼핑백</t>
        </is>
      </c>
      <c r="F1707" s="20" t="inlineStr">
        <is>
          <t>카페24</t>
        </is>
      </c>
      <c r="H1707" s="20" t="n">
        <v>2</v>
      </c>
      <c r="I1707" s="20" t="inlineStr">
        <is>
          <t>유즈쇼핑백</t>
        </is>
      </c>
      <c r="J1707" s="20" t="n">
        <v>200720</v>
      </c>
      <c r="L1707" s="20">
        <f>VLOOKUP($O1707,매칭테이블!$G:$J,2,0)*H1707</f>
        <v/>
      </c>
      <c r="M1707" s="20">
        <f>L1707-L1707*VLOOKUP($O1707,매칭테이블!$G:$J,3,0)</f>
        <v/>
      </c>
      <c r="N1707" s="20">
        <f>VLOOKUP($O1707,매칭테이블!$G:$J,4,0)*H1707</f>
        <v/>
      </c>
      <c r="O1707" s="20">
        <f>F1707&amp;E1707&amp;I1707&amp;J1707</f>
        <v/>
      </c>
    </row>
    <row r="1708" ht="16.5" customHeight="1" s="17">
      <c r="B1708" s="16" t="n">
        <v>44098</v>
      </c>
      <c r="C1708" s="20" t="inlineStr">
        <is>
          <t>목</t>
        </is>
      </c>
      <c r="E1708" s="20" t="inlineStr">
        <is>
          <t>고체향수</t>
        </is>
      </c>
      <c r="F1708" s="20" t="inlineStr">
        <is>
          <t>카페24</t>
        </is>
      </c>
      <c r="H1708" s="20" t="n">
        <v>3</v>
      </c>
      <c r="I1708" s="20" t="inlineStr">
        <is>
          <t>이그나이트 + 스테이포에버</t>
        </is>
      </c>
      <c r="J1708" s="20" t="n">
        <v>200720</v>
      </c>
      <c r="L1708" s="20">
        <f>VLOOKUP($O1708,매칭테이블!$G:$J,2,0)*H1708</f>
        <v/>
      </c>
      <c r="M1708" s="20">
        <f>L1708-L1708*VLOOKUP($O1708,매칭테이블!$G:$J,3,0)</f>
        <v/>
      </c>
      <c r="N1708" s="20">
        <f>VLOOKUP($O1708,매칭테이블!$G:$J,4,0)*H1708</f>
        <v/>
      </c>
      <c r="O1708" s="20">
        <f>F1708&amp;E1708&amp;I1708&amp;J1708</f>
        <v/>
      </c>
    </row>
    <row r="1709" ht="16.5" customHeight="1" s="17">
      <c r="B1709" s="16" t="n">
        <v>44098</v>
      </c>
      <c r="C1709" s="20" t="inlineStr">
        <is>
          <t>목</t>
        </is>
      </c>
      <c r="E1709" s="20" t="inlineStr">
        <is>
          <t>고체향수</t>
        </is>
      </c>
      <c r="F1709" s="20" t="inlineStr">
        <is>
          <t>카페24</t>
        </is>
      </c>
      <c r="H1709" s="20" t="n">
        <v>83</v>
      </c>
      <c r="I1709" s="20" t="inlineStr">
        <is>
          <t>스테이포에버</t>
        </is>
      </c>
      <c r="J1709" s="20" t="n">
        <v>200720</v>
      </c>
      <c r="L1709" s="20">
        <f>VLOOKUP($O1709,매칭테이블!$G:$J,2,0)*H1709</f>
        <v/>
      </c>
      <c r="M1709" s="20">
        <f>L1709-L1709*VLOOKUP($O1709,매칭테이블!$G:$J,3,0)</f>
        <v/>
      </c>
      <c r="N1709" s="20">
        <f>VLOOKUP($O1709,매칭테이블!$G:$J,4,0)*H1709</f>
        <v/>
      </c>
      <c r="O1709" s="20">
        <f>F1709&amp;E1709&amp;I1709&amp;J1709</f>
        <v/>
      </c>
    </row>
    <row r="1710" ht="16.5" customHeight="1" s="17">
      <c r="B1710" s="16" t="n">
        <v>44098</v>
      </c>
      <c r="C1710" s="20" t="inlineStr">
        <is>
          <t>목</t>
        </is>
      </c>
      <c r="E1710" s="20" t="inlineStr">
        <is>
          <t>고체향수</t>
        </is>
      </c>
      <c r="F1710" s="20" t="inlineStr">
        <is>
          <t>카페24</t>
        </is>
      </c>
      <c r="H1710" s="20" t="n">
        <v>19</v>
      </c>
      <c r="I1710" s="20" t="inlineStr">
        <is>
          <t>스테이포에버 2set</t>
        </is>
      </c>
      <c r="J1710" s="20" t="n">
        <v>200720</v>
      </c>
      <c r="L1710" s="20">
        <f>VLOOKUP($O1710,매칭테이블!$G:$J,2,0)*H1710</f>
        <v/>
      </c>
      <c r="M1710" s="20">
        <f>L1710-L1710*VLOOKUP($O1710,매칭테이블!$G:$J,3,0)</f>
        <v/>
      </c>
      <c r="N1710" s="20">
        <f>VLOOKUP($O1710,매칭테이블!$G:$J,4,0)*H1710</f>
        <v/>
      </c>
      <c r="O1710" s="20">
        <f>F1710&amp;E1710&amp;I1710&amp;J1710</f>
        <v/>
      </c>
    </row>
    <row r="1711" ht="16.5" customHeight="1" s="17">
      <c r="B1711" s="16" t="n">
        <v>44098</v>
      </c>
      <c r="C1711" s="20" t="inlineStr">
        <is>
          <t>목</t>
        </is>
      </c>
      <c r="E1711" s="20" t="inlineStr">
        <is>
          <t>고체향수</t>
        </is>
      </c>
      <c r="F1711" s="20" t="inlineStr">
        <is>
          <t>카페24</t>
        </is>
      </c>
      <c r="H1711" s="20" t="n">
        <v>1</v>
      </c>
      <c r="I1711" s="20" t="inlineStr">
        <is>
          <t>이그나이트 2set</t>
        </is>
      </c>
      <c r="J1711" s="20" t="n">
        <v>200720</v>
      </c>
      <c r="L1711" s="20">
        <f>VLOOKUP($O1711,매칭테이블!$G:$J,2,0)*H1711</f>
        <v/>
      </c>
      <c r="M1711" s="20">
        <f>L1711-L1711*VLOOKUP($O1711,매칭테이블!$G:$J,3,0)</f>
        <v/>
      </c>
      <c r="N1711" s="20">
        <f>VLOOKUP($O1711,매칭테이블!$G:$J,4,0)*H1711</f>
        <v/>
      </c>
      <c r="O1711" s="20">
        <f>F1711&amp;E1711&amp;I1711&amp;J1711</f>
        <v/>
      </c>
    </row>
    <row r="1712" ht="16.5" customHeight="1" s="17">
      <c r="B1712" s="16" t="n">
        <v>44098</v>
      </c>
      <c r="C1712" s="20" t="inlineStr">
        <is>
          <t>목</t>
        </is>
      </c>
      <c r="E1712" s="20" t="inlineStr">
        <is>
          <t>쇼핑백</t>
        </is>
      </c>
      <c r="F1712" s="20" t="inlineStr">
        <is>
          <t>카페24</t>
        </is>
      </c>
      <c r="H1712" s="20" t="n">
        <v>4</v>
      </c>
      <c r="I1712" s="20" t="inlineStr">
        <is>
          <t>유즈쇼핑백</t>
        </is>
      </c>
      <c r="J1712" s="20" t="n">
        <v>200720</v>
      </c>
      <c r="L1712" s="20">
        <f>VLOOKUP($O1712,매칭테이블!$G:$J,2,0)*H1712</f>
        <v/>
      </c>
      <c r="M1712" s="20">
        <f>L1712-L1712*VLOOKUP($O1712,매칭테이블!$G:$J,3,0)</f>
        <v/>
      </c>
      <c r="N1712" s="20">
        <f>VLOOKUP($O1712,매칭테이블!$G:$J,4,0)*H1712</f>
        <v/>
      </c>
      <c r="O1712" s="20">
        <f>F1712&amp;E1712&amp;I1712&amp;J1712</f>
        <v/>
      </c>
    </row>
    <row r="1713" ht="16.5" customHeight="1" s="17">
      <c r="B1713" s="16" t="n">
        <v>44099</v>
      </c>
      <c r="C1713" s="20" t="inlineStr">
        <is>
          <t>금</t>
        </is>
      </c>
      <c r="E1713" s="20" t="inlineStr">
        <is>
          <t>고체향수</t>
        </is>
      </c>
      <c r="F1713" s="20" t="inlineStr">
        <is>
          <t>카페24</t>
        </is>
      </c>
      <c r="H1713" s="20" t="n">
        <v>6</v>
      </c>
      <c r="I1713" s="20" t="inlineStr">
        <is>
          <t>이그나이트 + 스테이포에버</t>
        </is>
      </c>
      <c r="J1713" s="20" t="n">
        <v>200720</v>
      </c>
      <c r="L1713" s="20">
        <f>VLOOKUP($O1713,매칭테이블!$G:$J,2,0)*H1713</f>
        <v/>
      </c>
      <c r="M1713" s="20">
        <f>L1713-L1713*VLOOKUP($O1713,매칭테이블!$G:$J,3,0)</f>
        <v/>
      </c>
      <c r="N1713" s="20">
        <f>VLOOKUP($O1713,매칭테이블!$G:$J,4,0)*H1713</f>
        <v/>
      </c>
      <c r="O1713" s="20">
        <f>F1713&amp;E1713&amp;I1713&amp;J1713</f>
        <v/>
      </c>
    </row>
    <row r="1714" ht="16.5" customHeight="1" s="17">
      <c r="B1714" s="16" t="n">
        <v>44099</v>
      </c>
      <c r="C1714" s="20" t="inlineStr">
        <is>
          <t>금</t>
        </is>
      </c>
      <c r="E1714" s="20" t="inlineStr">
        <is>
          <t>고체향수</t>
        </is>
      </c>
      <c r="F1714" s="20" t="inlineStr">
        <is>
          <t>카페24</t>
        </is>
      </c>
      <c r="H1714" s="20" t="n">
        <v>85</v>
      </c>
      <c r="I1714" s="20" t="inlineStr">
        <is>
          <t>스테이포에버</t>
        </is>
      </c>
      <c r="J1714" s="20" t="n">
        <v>200720</v>
      </c>
      <c r="L1714" s="20">
        <f>VLOOKUP($O1714,매칭테이블!$G:$J,2,0)*H1714</f>
        <v/>
      </c>
      <c r="M1714" s="20">
        <f>L1714-L1714*VLOOKUP($O1714,매칭테이블!$G:$J,3,0)</f>
        <v/>
      </c>
      <c r="N1714" s="20">
        <f>VLOOKUP($O1714,매칭테이블!$G:$J,4,0)*H1714</f>
        <v/>
      </c>
      <c r="O1714" s="20">
        <f>F1714&amp;E1714&amp;I1714&amp;J1714</f>
        <v/>
      </c>
    </row>
    <row r="1715" ht="16.5" customHeight="1" s="17">
      <c r="B1715" s="16" t="n">
        <v>44099</v>
      </c>
      <c r="C1715" s="20" t="inlineStr">
        <is>
          <t>금</t>
        </is>
      </c>
      <c r="E1715" s="20" t="inlineStr">
        <is>
          <t>고체향수</t>
        </is>
      </c>
      <c r="F1715" s="20" t="inlineStr">
        <is>
          <t>카페24</t>
        </is>
      </c>
      <c r="H1715" s="20" t="n">
        <v>15</v>
      </c>
      <c r="I1715" s="20" t="inlineStr">
        <is>
          <t>스테이포에버 2set</t>
        </is>
      </c>
      <c r="J1715" s="20" t="n">
        <v>200720</v>
      </c>
      <c r="L1715" s="20">
        <f>VLOOKUP($O1715,매칭테이블!$G:$J,2,0)*H1715</f>
        <v/>
      </c>
      <c r="M1715" s="20">
        <f>L1715-L1715*VLOOKUP($O1715,매칭테이블!$G:$J,3,0)</f>
        <v/>
      </c>
      <c r="N1715" s="20">
        <f>VLOOKUP($O1715,매칭테이블!$G:$J,4,0)*H1715</f>
        <v/>
      </c>
      <c r="O1715" s="20">
        <f>F1715&amp;E1715&amp;I1715&amp;J1715</f>
        <v/>
      </c>
    </row>
    <row r="1716" ht="16.5" customHeight="1" s="17">
      <c r="B1716" s="16" t="n">
        <v>44099</v>
      </c>
      <c r="C1716" s="20" t="inlineStr">
        <is>
          <t>금</t>
        </is>
      </c>
      <c r="E1716" s="20" t="inlineStr">
        <is>
          <t>고체향수</t>
        </is>
      </c>
      <c r="F1716" s="20" t="inlineStr">
        <is>
          <t>카페24</t>
        </is>
      </c>
      <c r="H1716" s="20" t="n">
        <v>1</v>
      </c>
      <c r="I1716" s="20" t="inlineStr">
        <is>
          <t>이그나이트</t>
        </is>
      </c>
      <c r="J1716" s="20" t="n">
        <v>200720</v>
      </c>
      <c r="L1716" s="20">
        <f>VLOOKUP($O1716,매칭테이블!$G:$J,2,0)*H1716</f>
        <v/>
      </c>
      <c r="M1716" s="20">
        <f>L1716-L1716*VLOOKUP($O1716,매칭테이블!$G:$J,3,0)</f>
        <v/>
      </c>
      <c r="N1716" s="20">
        <f>VLOOKUP($O1716,매칭테이블!$G:$J,4,0)*H1716</f>
        <v/>
      </c>
      <c r="O1716" s="20">
        <f>F1716&amp;E1716&amp;I1716&amp;J1716</f>
        <v/>
      </c>
    </row>
    <row r="1717" ht="16.5" customHeight="1" s="17">
      <c r="B1717" s="16" t="n">
        <v>44099</v>
      </c>
      <c r="C1717" s="20" t="inlineStr">
        <is>
          <t>금</t>
        </is>
      </c>
      <c r="E1717" s="20" t="inlineStr">
        <is>
          <t>쇼핑백</t>
        </is>
      </c>
      <c r="F1717" s="20" t="inlineStr">
        <is>
          <t>카페24</t>
        </is>
      </c>
      <c r="H1717" s="20" t="n">
        <v>1</v>
      </c>
      <c r="I1717" s="20" t="inlineStr">
        <is>
          <t>유즈쇼핑백</t>
        </is>
      </c>
      <c r="J1717" s="20" t="n">
        <v>200720</v>
      </c>
      <c r="L1717" s="20">
        <f>VLOOKUP($O1717,매칭테이블!$G:$J,2,0)*H1717</f>
        <v/>
      </c>
      <c r="M1717" s="20">
        <f>L1717-L1717*VLOOKUP($O1717,매칭테이블!$G:$J,3,0)</f>
        <v/>
      </c>
      <c r="N1717" s="20">
        <f>VLOOKUP($O1717,매칭테이블!$G:$J,4,0)*H1717</f>
        <v/>
      </c>
      <c r="O1717" s="20">
        <f>F1717&amp;E1717&amp;I1717&amp;J1717</f>
        <v/>
      </c>
    </row>
    <row r="1718" ht="16.5" customHeight="1" s="17">
      <c r="B1718" s="16" t="n">
        <v>44100</v>
      </c>
      <c r="C1718" s="20" t="inlineStr">
        <is>
          <t>토</t>
        </is>
      </c>
      <c r="E1718" s="20" t="inlineStr">
        <is>
          <t>고체향수</t>
        </is>
      </c>
      <c r="F1718" s="20" t="inlineStr">
        <is>
          <t>카페24</t>
        </is>
      </c>
      <c r="H1718" s="20" t="n">
        <v>9</v>
      </c>
      <c r="I1718" s="20" t="inlineStr">
        <is>
          <t>이그나이트 + 스테이포에버</t>
        </is>
      </c>
      <c r="J1718" s="20" t="n">
        <v>200720</v>
      </c>
      <c r="L1718" s="20">
        <f>VLOOKUP($O1718,매칭테이블!$G:$J,2,0)*H1718</f>
        <v/>
      </c>
      <c r="M1718" s="20">
        <f>L1718-L1718*VLOOKUP($O1718,매칭테이블!$G:$J,3,0)</f>
        <v/>
      </c>
      <c r="N1718" s="20">
        <f>VLOOKUP($O1718,매칭테이블!$G:$J,4,0)*H1718</f>
        <v/>
      </c>
      <c r="O1718" s="20">
        <f>F1718&amp;E1718&amp;I1718&amp;J1718</f>
        <v/>
      </c>
    </row>
    <row r="1719" ht="16.5" customHeight="1" s="17">
      <c r="B1719" s="16" t="n">
        <v>44100</v>
      </c>
      <c r="C1719" s="20" t="inlineStr">
        <is>
          <t>토</t>
        </is>
      </c>
      <c r="E1719" s="20" t="inlineStr">
        <is>
          <t>고체향수</t>
        </is>
      </c>
      <c r="F1719" s="20" t="inlineStr">
        <is>
          <t>카페24</t>
        </is>
      </c>
      <c r="H1719" s="20" t="n">
        <v>108</v>
      </c>
      <c r="I1719" s="20" t="inlineStr">
        <is>
          <t>스테이포에버</t>
        </is>
      </c>
      <c r="J1719" s="20" t="n">
        <v>200720</v>
      </c>
      <c r="L1719" s="20">
        <f>VLOOKUP($O1719,매칭테이블!$G:$J,2,0)*H1719</f>
        <v/>
      </c>
      <c r="M1719" s="20">
        <f>L1719-L1719*VLOOKUP($O1719,매칭테이블!$G:$J,3,0)</f>
        <v/>
      </c>
      <c r="N1719" s="20">
        <f>VLOOKUP($O1719,매칭테이블!$G:$J,4,0)*H1719</f>
        <v/>
      </c>
      <c r="O1719" s="20">
        <f>F1719&amp;E1719&amp;I1719&amp;J1719</f>
        <v/>
      </c>
    </row>
    <row r="1720" ht="16.5" customHeight="1" s="17">
      <c r="B1720" s="16" t="n">
        <v>44100</v>
      </c>
      <c r="C1720" s="20" t="inlineStr">
        <is>
          <t>토</t>
        </is>
      </c>
      <c r="E1720" s="20" t="inlineStr">
        <is>
          <t>고체향수</t>
        </is>
      </c>
      <c r="F1720" s="20" t="inlineStr">
        <is>
          <t>카페24</t>
        </is>
      </c>
      <c r="H1720" s="20" t="n">
        <v>18</v>
      </c>
      <c r="I1720" s="20" t="inlineStr">
        <is>
          <t>스테이포에버 2set</t>
        </is>
      </c>
      <c r="J1720" s="20" t="n">
        <v>200720</v>
      </c>
      <c r="L1720" s="20">
        <f>VLOOKUP($O1720,매칭테이블!$G:$J,2,0)*H1720</f>
        <v/>
      </c>
      <c r="M1720" s="20">
        <f>L1720-L1720*VLOOKUP($O1720,매칭테이블!$G:$J,3,0)</f>
        <v/>
      </c>
      <c r="N1720" s="20">
        <f>VLOOKUP($O1720,매칭테이블!$G:$J,4,0)*H1720</f>
        <v/>
      </c>
      <c r="O1720" s="20">
        <f>F1720&amp;E1720&amp;I1720&amp;J1720</f>
        <v/>
      </c>
    </row>
    <row r="1721" ht="16.5" customHeight="1" s="17">
      <c r="B1721" s="16" t="n">
        <v>44100</v>
      </c>
      <c r="C1721" s="20" t="inlineStr">
        <is>
          <t>토</t>
        </is>
      </c>
      <c r="E1721" s="20" t="inlineStr">
        <is>
          <t>고체향수</t>
        </is>
      </c>
      <c r="F1721" s="20" t="inlineStr">
        <is>
          <t>카페24</t>
        </is>
      </c>
      <c r="H1721" s="20" t="n">
        <v>4</v>
      </c>
      <c r="I1721" s="20" t="inlineStr">
        <is>
          <t>이그나이트</t>
        </is>
      </c>
      <c r="J1721" s="20" t="n">
        <v>200720</v>
      </c>
      <c r="L1721" s="20">
        <f>VLOOKUP($O1721,매칭테이블!$G:$J,2,0)*H1721</f>
        <v/>
      </c>
      <c r="M1721" s="20">
        <f>L1721-L1721*VLOOKUP($O1721,매칭테이블!$G:$J,3,0)</f>
        <v/>
      </c>
      <c r="N1721" s="20">
        <f>VLOOKUP($O1721,매칭테이블!$G:$J,4,0)*H1721</f>
        <v/>
      </c>
      <c r="O1721" s="20">
        <f>F1721&amp;E1721&amp;I1721&amp;J1721</f>
        <v/>
      </c>
    </row>
    <row r="1722" ht="16.5" customHeight="1" s="17">
      <c r="B1722" s="16" t="n">
        <v>44100</v>
      </c>
      <c r="C1722" s="20" t="inlineStr">
        <is>
          <t>토</t>
        </is>
      </c>
      <c r="E1722" s="20" t="inlineStr">
        <is>
          <t>고체향수</t>
        </is>
      </c>
      <c r="F1722" s="20" t="inlineStr">
        <is>
          <t>카페24</t>
        </is>
      </c>
      <c r="H1722" s="20" t="n">
        <v>1</v>
      </c>
      <c r="I1722" s="20" t="inlineStr">
        <is>
          <t>이그나이트 2set</t>
        </is>
      </c>
      <c r="J1722" s="20" t="n">
        <v>200720</v>
      </c>
      <c r="L1722" s="20">
        <f>VLOOKUP($O1722,매칭테이블!$G:$J,2,0)*H1722</f>
        <v/>
      </c>
      <c r="M1722" s="20">
        <f>L1722-L1722*VLOOKUP($O1722,매칭테이블!$G:$J,3,0)</f>
        <v/>
      </c>
      <c r="N1722" s="20">
        <f>VLOOKUP($O1722,매칭테이블!$G:$J,4,0)*H1722</f>
        <v/>
      </c>
      <c r="O1722" s="20">
        <f>F1722&amp;E1722&amp;I1722&amp;J1722</f>
        <v/>
      </c>
    </row>
    <row r="1723" ht="16.5" customHeight="1" s="17">
      <c r="B1723" s="16" t="n">
        <v>44100</v>
      </c>
      <c r="C1723" s="20" t="inlineStr">
        <is>
          <t>토</t>
        </is>
      </c>
      <c r="E1723" s="20" t="inlineStr">
        <is>
          <t>쇼핑백</t>
        </is>
      </c>
      <c r="F1723" s="20" t="inlineStr">
        <is>
          <t>카페24</t>
        </is>
      </c>
      <c r="H1723" s="20" t="n">
        <v>2</v>
      </c>
      <c r="I1723" s="20" t="inlineStr">
        <is>
          <t>유즈쇼핑백</t>
        </is>
      </c>
      <c r="J1723" s="20" t="n">
        <v>200720</v>
      </c>
      <c r="L1723" s="20">
        <f>VLOOKUP($O1723,매칭테이블!$G:$J,2,0)*H1723</f>
        <v/>
      </c>
      <c r="M1723" s="20">
        <f>L1723-L1723*VLOOKUP($O1723,매칭테이블!$G:$J,3,0)</f>
        <v/>
      </c>
      <c r="N1723" s="20">
        <f>VLOOKUP($O1723,매칭테이블!$G:$J,4,0)*H1723</f>
        <v/>
      </c>
      <c r="O1723" s="20">
        <f>F1723&amp;E1723&amp;I1723&amp;J1723</f>
        <v/>
      </c>
    </row>
    <row r="1724" ht="16.5" customHeight="1" s="17">
      <c r="B1724" s="16" t="n">
        <v>44101</v>
      </c>
      <c r="C1724" s="20" t="inlineStr">
        <is>
          <t>일</t>
        </is>
      </c>
      <c r="E1724" s="20" t="inlineStr">
        <is>
          <t>고체향수</t>
        </is>
      </c>
      <c r="F1724" s="20" t="inlineStr">
        <is>
          <t>카페24</t>
        </is>
      </c>
      <c r="H1724" s="20" t="n">
        <v>13</v>
      </c>
      <c r="I1724" s="20" t="inlineStr">
        <is>
          <t>이그나이트 + 스테이포에버</t>
        </is>
      </c>
      <c r="J1724" s="20" t="n">
        <v>200720</v>
      </c>
      <c r="L1724" s="20">
        <f>VLOOKUP($O1724,매칭테이블!$G:$J,2,0)*H1724</f>
        <v/>
      </c>
      <c r="M1724" s="20">
        <f>L1724-L1724*VLOOKUP($O1724,매칭테이블!$G:$J,3,0)</f>
        <v/>
      </c>
      <c r="N1724" s="20">
        <f>VLOOKUP($O1724,매칭테이블!$G:$J,4,0)*H1724</f>
        <v/>
      </c>
      <c r="O1724" s="20">
        <f>F1724&amp;E1724&amp;I1724&amp;J1724</f>
        <v/>
      </c>
    </row>
    <row r="1725" ht="16.5" customHeight="1" s="17">
      <c r="B1725" s="16" t="n">
        <v>44101</v>
      </c>
      <c r="C1725" s="20" t="inlineStr">
        <is>
          <t>일</t>
        </is>
      </c>
      <c r="E1725" s="20" t="inlineStr">
        <is>
          <t>고체향수</t>
        </is>
      </c>
      <c r="F1725" s="20" t="inlineStr">
        <is>
          <t>카페24</t>
        </is>
      </c>
      <c r="H1725" s="20" t="n">
        <v>131</v>
      </c>
      <c r="I1725" s="20" t="inlineStr">
        <is>
          <t>스테이포에버</t>
        </is>
      </c>
      <c r="J1725" s="20" t="n">
        <v>200720</v>
      </c>
      <c r="L1725" s="20">
        <f>VLOOKUP($O1725,매칭테이블!$G:$J,2,0)*H1725</f>
        <v/>
      </c>
      <c r="M1725" s="20">
        <f>L1725-L1725*VLOOKUP($O1725,매칭테이블!$G:$J,3,0)</f>
        <v/>
      </c>
      <c r="N1725" s="20">
        <f>VLOOKUP($O1725,매칭테이블!$G:$J,4,0)*H1725</f>
        <v/>
      </c>
      <c r="O1725" s="20">
        <f>F1725&amp;E1725&amp;I1725&amp;J1725</f>
        <v/>
      </c>
    </row>
    <row r="1726" ht="16.5" customHeight="1" s="17">
      <c r="B1726" s="16" t="n">
        <v>44101</v>
      </c>
      <c r="C1726" s="20" t="inlineStr">
        <is>
          <t>일</t>
        </is>
      </c>
      <c r="E1726" s="20" t="inlineStr">
        <is>
          <t>고체향수</t>
        </is>
      </c>
      <c r="F1726" s="20" t="inlineStr">
        <is>
          <t>카페24</t>
        </is>
      </c>
      <c r="H1726" s="20" t="n">
        <v>29</v>
      </c>
      <c r="I1726" s="20" t="inlineStr">
        <is>
          <t>스테이포에버 2set</t>
        </is>
      </c>
      <c r="J1726" s="20" t="n">
        <v>200720</v>
      </c>
      <c r="L1726" s="20">
        <f>VLOOKUP($O1726,매칭테이블!$G:$J,2,0)*H1726</f>
        <v/>
      </c>
      <c r="M1726" s="20">
        <f>L1726-L1726*VLOOKUP($O1726,매칭테이블!$G:$J,3,0)</f>
        <v/>
      </c>
      <c r="N1726" s="20">
        <f>VLOOKUP($O1726,매칭테이블!$G:$J,4,0)*H1726</f>
        <v/>
      </c>
      <c r="O1726" s="20">
        <f>F1726&amp;E1726&amp;I1726&amp;J1726</f>
        <v/>
      </c>
    </row>
    <row r="1727" ht="16.5" customHeight="1" s="17">
      <c r="B1727" s="16" t="n">
        <v>44101</v>
      </c>
      <c r="C1727" s="20" t="inlineStr">
        <is>
          <t>일</t>
        </is>
      </c>
      <c r="E1727" s="20" t="inlineStr">
        <is>
          <t>고체향수</t>
        </is>
      </c>
      <c r="F1727" s="20" t="inlineStr">
        <is>
          <t>카페24</t>
        </is>
      </c>
      <c r="H1727" s="20" t="n">
        <v>2</v>
      </c>
      <c r="I1727" s="20" t="inlineStr">
        <is>
          <t>이그나이트</t>
        </is>
      </c>
      <c r="J1727" s="20" t="n">
        <v>200720</v>
      </c>
      <c r="L1727" s="20">
        <f>VLOOKUP($O1727,매칭테이블!$G:$J,2,0)*H1727</f>
        <v/>
      </c>
      <c r="M1727" s="20">
        <f>L1727-L1727*VLOOKUP($O1727,매칭테이블!$G:$J,3,0)</f>
        <v/>
      </c>
      <c r="N1727" s="20">
        <f>VLOOKUP($O1727,매칭테이블!$G:$J,4,0)*H1727</f>
        <v/>
      </c>
      <c r="O1727" s="20">
        <f>F1727&amp;E1727&amp;I1727&amp;J1727</f>
        <v/>
      </c>
    </row>
    <row r="1728" ht="16.5" customHeight="1" s="17">
      <c r="B1728" s="16" t="n">
        <v>44101</v>
      </c>
      <c r="C1728" s="20" t="inlineStr">
        <is>
          <t>일</t>
        </is>
      </c>
      <c r="E1728" s="20" t="inlineStr">
        <is>
          <t>고체향수</t>
        </is>
      </c>
      <c r="F1728" s="20" t="inlineStr">
        <is>
          <t>카페24</t>
        </is>
      </c>
      <c r="H1728" s="20" t="n">
        <v>2</v>
      </c>
      <c r="I1728" s="20" t="inlineStr">
        <is>
          <t>이그나이트 2set</t>
        </is>
      </c>
      <c r="J1728" s="20" t="n">
        <v>200720</v>
      </c>
      <c r="L1728" s="20">
        <f>VLOOKUP($O1728,매칭테이블!$G:$J,2,0)*H1728</f>
        <v/>
      </c>
      <c r="M1728" s="20">
        <f>L1728-L1728*VLOOKUP($O1728,매칭테이블!$G:$J,3,0)</f>
        <v/>
      </c>
      <c r="N1728" s="20">
        <f>VLOOKUP($O1728,매칭테이블!$G:$J,4,0)*H1728</f>
        <v/>
      </c>
      <c r="O1728" s="20">
        <f>F1728&amp;E1728&amp;I1728&amp;J1728</f>
        <v/>
      </c>
    </row>
    <row r="1729" ht="16.5" customHeight="1" s="17">
      <c r="B1729" s="16" t="n">
        <v>44101</v>
      </c>
      <c r="C1729" s="20" t="inlineStr">
        <is>
          <t>일</t>
        </is>
      </c>
      <c r="E1729" s="20" t="inlineStr">
        <is>
          <t>쇼핑백</t>
        </is>
      </c>
      <c r="F1729" s="20" t="inlineStr">
        <is>
          <t>카페24</t>
        </is>
      </c>
      <c r="H1729" s="20" t="n">
        <v>5</v>
      </c>
      <c r="I1729" s="20" t="inlineStr">
        <is>
          <t>유즈쇼핑백</t>
        </is>
      </c>
      <c r="J1729" s="20" t="n">
        <v>200720</v>
      </c>
      <c r="L1729" s="20">
        <f>VLOOKUP($O1729,매칭테이블!$G:$J,2,0)*H1729</f>
        <v/>
      </c>
      <c r="M1729" s="20">
        <f>L1729-L1729*VLOOKUP($O1729,매칭테이블!$G:$J,3,0)</f>
        <v/>
      </c>
      <c r="N1729" s="20">
        <f>VLOOKUP($O1729,매칭테이블!$G:$J,4,0)*H1729</f>
        <v/>
      </c>
      <c r="O1729" s="20">
        <f>F1729&amp;E1729&amp;I1729&amp;J1729</f>
        <v/>
      </c>
    </row>
    <row r="1730" ht="16.5" customHeight="1" s="17">
      <c r="B1730" s="16" t="n">
        <v>44102</v>
      </c>
      <c r="C1730" s="20" t="inlineStr">
        <is>
          <t>월</t>
        </is>
      </c>
      <c r="E1730" s="20" t="inlineStr">
        <is>
          <t>고체향수</t>
        </is>
      </c>
      <c r="F1730" s="20" t="inlineStr">
        <is>
          <t>카페24</t>
        </is>
      </c>
      <c r="H1730" s="20" t="n">
        <v>13</v>
      </c>
      <c r="I1730" s="20" t="inlineStr">
        <is>
          <t>이그나이트 + 스테이포에버</t>
        </is>
      </c>
      <c r="J1730" s="20" t="n">
        <v>200720</v>
      </c>
      <c r="L1730" s="20">
        <f>VLOOKUP($O1730,매칭테이블!$G:$J,2,0)*H1730</f>
        <v/>
      </c>
      <c r="M1730" s="20">
        <f>L1730-L1730*VLOOKUP($O1730,매칭테이블!$G:$J,3,0)</f>
        <v/>
      </c>
      <c r="N1730" s="20">
        <f>VLOOKUP($O1730,매칭테이블!$G:$J,4,0)*H1730</f>
        <v/>
      </c>
      <c r="O1730" s="20">
        <f>F1730&amp;E1730&amp;I1730&amp;J1730</f>
        <v/>
      </c>
    </row>
    <row r="1731" ht="16.5" customHeight="1" s="17">
      <c r="B1731" s="16" t="n">
        <v>44102</v>
      </c>
      <c r="C1731" s="20" t="inlineStr">
        <is>
          <t>월</t>
        </is>
      </c>
      <c r="E1731" s="20" t="inlineStr">
        <is>
          <t>고체향수</t>
        </is>
      </c>
      <c r="F1731" s="20" t="inlineStr">
        <is>
          <t>카페24</t>
        </is>
      </c>
      <c r="H1731" s="20" t="n">
        <v>126</v>
      </c>
      <c r="I1731" s="20" t="inlineStr">
        <is>
          <t>스테이포에버</t>
        </is>
      </c>
      <c r="J1731" s="20" t="n">
        <v>200720</v>
      </c>
      <c r="L1731" s="20">
        <f>VLOOKUP($O1731,매칭테이블!$G:$J,2,0)*H1731</f>
        <v/>
      </c>
      <c r="M1731" s="20">
        <f>L1731-L1731*VLOOKUP($O1731,매칭테이블!$G:$J,3,0)</f>
        <v/>
      </c>
      <c r="N1731" s="20">
        <f>VLOOKUP($O1731,매칭테이블!$G:$J,4,0)*H1731</f>
        <v/>
      </c>
      <c r="O1731" s="20">
        <f>F1731&amp;E1731&amp;I1731&amp;J1731</f>
        <v/>
      </c>
    </row>
    <row r="1732" ht="16.5" customHeight="1" s="17">
      <c r="B1732" s="16" t="n">
        <v>44102</v>
      </c>
      <c r="C1732" s="20" t="inlineStr">
        <is>
          <t>월</t>
        </is>
      </c>
      <c r="E1732" s="20" t="inlineStr">
        <is>
          <t>고체향수</t>
        </is>
      </c>
      <c r="F1732" s="20" t="inlineStr">
        <is>
          <t>카페24</t>
        </is>
      </c>
      <c r="H1732" s="20" t="n">
        <v>26</v>
      </c>
      <c r="I1732" s="20" t="inlineStr">
        <is>
          <t>스테이포에버 2set</t>
        </is>
      </c>
      <c r="J1732" s="20" t="n">
        <v>200720</v>
      </c>
      <c r="L1732" s="20">
        <f>VLOOKUP($O1732,매칭테이블!$G:$J,2,0)*H1732</f>
        <v/>
      </c>
      <c r="M1732" s="20">
        <f>L1732-L1732*VLOOKUP($O1732,매칭테이블!$G:$J,3,0)</f>
        <v/>
      </c>
      <c r="N1732" s="20">
        <f>VLOOKUP($O1732,매칭테이블!$G:$J,4,0)*H1732</f>
        <v/>
      </c>
      <c r="O1732" s="20">
        <f>F1732&amp;E1732&amp;I1732&amp;J1732</f>
        <v/>
      </c>
    </row>
    <row r="1733" ht="16.5" customHeight="1" s="17">
      <c r="B1733" s="16" t="n">
        <v>44102</v>
      </c>
      <c r="C1733" s="20" t="inlineStr">
        <is>
          <t>월</t>
        </is>
      </c>
      <c r="E1733" s="20" t="inlineStr">
        <is>
          <t>쇼핑백</t>
        </is>
      </c>
      <c r="F1733" s="20" t="inlineStr">
        <is>
          <t>카페24</t>
        </is>
      </c>
      <c r="H1733" s="20" t="n">
        <v>1</v>
      </c>
      <c r="I1733" s="20" t="inlineStr">
        <is>
          <t>유즈쇼핑백</t>
        </is>
      </c>
      <c r="J1733" s="20" t="n">
        <v>200720</v>
      </c>
      <c r="L1733" s="20">
        <f>VLOOKUP($O1733,매칭테이블!$G:$J,2,0)*H1733</f>
        <v/>
      </c>
      <c r="M1733" s="20">
        <f>L1733-L1733*VLOOKUP($O1733,매칭테이블!$G:$J,3,0)</f>
        <v/>
      </c>
      <c r="N1733" s="20">
        <f>VLOOKUP($O1733,매칭테이블!$G:$J,4,0)*H1733</f>
        <v/>
      </c>
      <c r="O1733" s="20">
        <f>F1733&amp;E1733&amp;I1733&amp;J1733</f>
        <v/>
      </c>
    </row>
    <row r="1734" ht="16.5" customHeight="1" s="17">
      <c r="B1734" s="16" t="n">
        <v>44103</v>
      </c>
      <c r="C1734" s="20" t="inlineStr">
        <is>
          <t>화</t>
        </is>
      </c>
      <c r="E1734" s="20" t="inlineStr">
        <is>
          <t>고체향수</t>
        </is>
      </c>
      <c r="F1734" s="20" t="inlineStr">
        <is>
          <t>카페24</t>
        </is>
      </c>
      <c r="H1734" s="20" t="n">
        <v>12</v>
      </c>
      <c r="I1734" s="20" t="inlineStr">
        <is>
          <t>이그나이트 + 스테이포에버</t>
        </is>
      </c>
      <c r="J1734" s="20" t="n">
        <v>200720</v>
      </c>
      <c r="L1734" s="20">
        <f>VLOOKUP($O1734,매칭테이블!$G:$J,2,0)*H1734</f>
        <v/>
      </c>
      <c r="M1734" s="20">
        <f>L1734-L1734*VLOOKUP($O1734,매칭테이블!$G:$J,3,0)</f>
        <v/>
      </c>
      <c r="N1734" s="20">
        <f>VLOOKUP($O1734,매칭테이블!$G:$J,4,0)*H1734</f>
        <v/>
      </c>
      <c r="O1734" s="20">
        <f>F1734&amp;E1734&amp;I1734&amp;J1734</f>
        <v/>
      </c>
    </row>
    <row r="1735" ht="16.5" customHeight="1" s="17">
      <c r="B1735" s="16" t="n">
        <v>44103</v>
      </c>
      <c r="C1735" s="20" t="inlineStr">
        <is>
          <t>화</t>
        </is>
      </c>
      <c r="E1735" s="20" t="inlineStr">
        <is>
          <t>고체향수</t>
        </is>
      </c>
      <c r="F1735" s="20" t="inlineStr">
        <is>
          <t>카페24</t>
        </is>
      </c>
      <c r="H1735" s="20" t="n">
        <v>2</v>
      </c>
      <c r="I1735" s="20" t="inlineStr">
        <is>
          <t>이그나이트 + 스테이포에버 2set</t>
        </is>
      </c>
      <c r="J1735" s="20" t="n">
        <v>200720</v>
      </c>
      <c r="L1735" s="20">
        <f>VLOOKUP($O1735,매칭테이블!$G:$J,2,0)*H1735</f>
        <v/>
      </c>
      <c r="M1735" s="20">
        <f>L1735-L1735*VLOOKUP($O1735,매칭테이블!$G:$J,3,0)</f>
        <v/>
      </c>
      <c r="N1735" s="20">
        <f>VLOOKUP($O1735,매칭테이블!$G:$J,4,0)*H1735</f>
        <v/>
      </c>
      <c r="O1735" s="20">
        <f>F1735&amp;E1735&amp;I1735&amp;J1735</f>
        <v/>
      </c>
    </row>
    <row r="1736" ht="16.5" customHeight="1" s="17">
      <c r="B1736" s="16" t="n">
        <v>44103</v>
      </c>
      <c r="C1736" s="20" t="inlineStr">
        <is>
          <t>화</t>
        </is>
      </c>
      <c r="E1736" s="20" t="inlineStr">
        <is>
          <t>고체향수</t>
        </is>
      </c>
      <c r="F1736" s="20" t="inlineStr">
        <is>
          <t>카페24</t>
        </is>
      </c>
      <c r="H1736" s="20" t="n">
        <v>164</v>
      </c>
      <c r="I1736" s="20" t="inlineStr">
        <is>
          <t>스테이포에버</t>
        </is>
      </c>
      <c r="J1736" s="20" t="n">
        <v>200720</v>
      </c>
      <c r="L1736" s="20">
        <f>VLOOKUP($O1736,매칭테이블!$G:$J,2,0)*H1736</f>
        <v/>
      </c>
      <c r="M1736" s="20">
        <f>L1736-L1736*VLOOKUP($O1736,매칭테이블!$G:$J,3,0)</f>
        <v/>
      </c>
      <c r="N1736" s="20">
        <f>VLOOKUP($O1736,매칭테이블!$G:$J,4,0)*H1736</f>
        <v/>
      </c>
      <c r="O1736" s="20">
        <f>F1736&amp;E1736&amp;I1736&amp;J1736</f>
        <v/>
      </c>
    </row>
    <row r="1737" ht="16.5" customHeight="1" s="17">
      <c r="B1737" s="16" t="n">
        <v>44103</v>
      </c>
      <c r="C1737" s="20" t="inlineStr">
        <is>
          <t>화</t>
        </is>
      </c>
      <c r="E1737" s="20" t="inlineStr">
        <is>
          <t>고체향수</t>
        </is>
      </c>
      <c r="F1737" s="20" t="inlineStr">
        <is>
          <t>카페24</t>
        </is>
      </c>
      <c r="H1737" s="20" t="n">
        <v>45</v>
      </c>
      <c r="I1737" s="20" t="inlineStr">
        <is>
          <t>스테이포에버 2set</t>
        </is>
      </c>
      <c r="J1737" s="20" t="n">
        <v>200720</v>
      </c>
      <c r="L1737" s="20">
        <f>VLOOKUP($O1737,매칭테이블!$G:$J,2,0)*H1737</f>
        <v/>
      </c>
      <c r="M1737" s="20">
        <f>L1737-L1737*VLOOKUP($O1737,매칭테이블!$G:$J,3,0)</f>
        <v/>
      </c>
      <c r="N1737" s="20">
        <f>VLOOKUP($O1737,매칭테이블!$G:$J,4,0)*H1737</f>
        <v/>
      </c>
      <c r="O1737" s="20">
        <f>F1737&amp;E1737&amp;I1737&amp;J1737</f>
        <v/>
      </c>
    </row>
    <row r="1738" ht="16.5" customHeight="1" s="17">
      <c r="B1738" s="16" t="n">
        <v>44103</v>
      </c>
      <c r="C1738" s="20" t="inlineStr">
        <is>
          <t>화</t>
        </is>
      </c>
      <c r="E1738" s="20" t="inlineStr">
        <is>
          <t>쇼핑백</t>
        </is>
      </c>
      <c r="F1738" s="20" t="inlineStr">
        <is>
          <t>카페24</t>
        </is>
      </c>
      <c r="H1738" s="20" t="n">
        <v>2</v>
      </c>
      <c r="I1738" s="20" t="inlineStr">
        <is>
          <t>유즈쇼핑백</t>
        </is>
      </c>
      <c r="J1738" s="20" t="n">
        <v>200720</v>
      </c>
      <c r="L1738" s="20">
        <f>VLOOKUP($O1738,매칭테이블!$G:$J,2,0)*H1738</f>
        <v/>
      </c>
      <c r="M1738" s="20">
        <f>L1738-L1738*VLOOKUP($O1738,매칭테이블!$G:$J,3,0)</f>
        <v/>
      </c>
      <c r="N1738" s="20">
        <f>VLOOKUP($O1738,매칭테이블!$G:$J,4,0)*H1738</f>
        <v/>
      </c>
      <c r="O1738" s="20">
        <f>F1738&amp;E1738&amp;I1738&amp;J1738</f>
        <v/>
      </c>
    </row>
    <row r="1739" ht="16.5" customHeight="1" s="17">
      <c r="B1739" s="16" t="n">
        <v>44104</v>
      </c>
      <c r="C1739" s="20" t="inlineStr">
        <is>
          <t>수</t>
        </is>
      </c>
      <c r="E1739" s="20" t="inlineStr">
        <is>
          <t>고체향수</t>
        </is>
      </c>
      <c r="F1739" s="20" t="inlineStr">
        <is>
          <t>카페24</t>
        </is>
      </c>
      <c r="H1739" s="20" t="n">
        <v>15</v>
      </c>
      <c r="I1739" s="20" t="inlineStr">
        <is>
          <t>이그나이트 + 스테이포에버</t>
        </is>
      </c>
      <c r="J1739" s="20" t="n">
        <v>200720</v>
      </c>
      <c r="L1739" s="20">
        <f>VLOOKUP($O1739,매칭테이블!$G:$J,2,0)*H1739</f>
        <v/>
      </c>
      <c r="M1739" s="20">
        <f>L1739-L1739*VLOOKUP($O1739,매칭테이블!$G:$J,3,0)</f>
        <v/>
      </c>
      <c r="N1739" s="20">
        <f>VLOOKUP($O1739,매칭테이블!$G:$J,4,0)*H1739</f>
        <v/>
      </c>
      <c r="O1739" s="20">
        <f>F1739&amp;E1739&amp;I1739&amp;J1739</f>
        <v/>
      </c>
    </row>
    <row r="1740" ht="16.5" customHeight="1" s="17">
      <c r="B1740" s="16" t="n">
        <v>44104</v>
      </c>
      <c r="C1740" s="20" t="inlineStr">
        <is>
          <t>수</t>
        </is>
      </c>
      <c r="E1740" s="20" t="inlineStr">
        <is>
          <t>고체향수</t>
        </is>
      </c>
      <c r="F1740" s="20" t="inlineStr">
        <is>
          <t>카페24</t>
        </is>
      </c>
      <c r="H1740" s="20" t="n">
        <v>245</v>
      </c>
      <c r="I1740" s="20" t="inlineStr">
        <is>
          <t>스테이포에버</t>
        </is>
      </c>
      <c r="J1740" s="20" t="n">
        <v>200720</v>
      </c>
      <c r="L1740" s="20">
        <f>VLOOKUP($O1740,매칭테이블!$G:$J,2,0)*H1740</f>
        <v/>
      </c>
      <c r="M1740" s="20">
        <f>L1740-L1740*VLOOKUP($O1740,매칭테이블!$G:$J,3,0)</f>
        <v/>
      </c>
      <c r="N1740" s="20">
        <f>VLOOKUP($O1740,매칭테이블!$G:$J,4,0)*H1740</f>
        <v/>
      </c>
      <c r="O1740" s="20">
        <f>F1740&amp;E1740&amp;I1740&amp;J1740</f>
        <v/>
      </c>
    </row>
    <row r="1741" ht="16.5" customHeight="1" s="17">
      <c r="B1741" s="16" t="n">
        <v>44104</v>
      </c>
      <c r="C1741" s="20" t="inlineStr">
        <is>
          <t>수</t>
        </is>
      </c>
      <c r="E1741" s="20" t="inlineStr">
        <is>
          <t>고체향수</t>
        </is>
      </c>
      <c r="F1741" s="20" t="inlineStr">
        <is>
          <t>카페24</t>
        </is>
      </c>
      <c r="H1741" s="20" t="n">
        <v>67</v>
      </c>
      <c r="I1741" s="20" t="inlineStr">
        <is>
          <t>스테이포에버 2set</t>
        </is>
      </c>
      <c r="J1741" s="20" t="n">
        <v>200720</v>
      </c>
      <c r="L1741" s="20">
        <f>VLOOKUP($O1741,매칭테이블!$G:$J,2,0)*H1741</f>
        <v/>
      </c>
      <c r="M1741" s="20">
        <f>L1741-L1741*VLOOKUP($O1741,매칭테이블!$G:$J,3,0)</f>
        <v/>
      </c>
      <c r="N1741" s="20">
        <f>VLOOKUP($O1741,매칭테이블!$G:$J,4,0)*H1741</f>
        <v/>
      </c>
      <c r="O1741" s="20">
        <f>F1741&amp;E1741&amp;I1741&amp;J1741</f>
        <v/>
      </c>
    </row>
    <row r="1742" ht="16.5" customHeight="1" s="17">
      <c r="B1742" s="16" t="n">
        <v>44104</v>
      </c>
      <c r="C1742" s="20" t="inlineStr">
        <is>
          <t>수</t>
        </is>
      </c>
      <c r="E1742" s="20" t="inlineStr">
        <is>
          <t>쇼핑백</t>
        </is>
      </c>
      <c r="F1742" s="20" t="inlineStr">
        <is>
          <t>카페24</t>
        </is>
      </c>
      <c r="H1742" s="20" t="n">
        <v>3</v>
      </c>
      <c r="I1742" s="20" t="inlineStr">
        <is>
          <t>유즈쇼핑백</t>
        </is>
      </c>
      <c r="J1742" s="20" t="n">
        <v>200720</v>
      </c>
      <c r="L1742" s="20">
        <f>VLOOKUP($O1742,매칭테이블!$G:$J,2,0)*H1742</f>
        <v/>
      </c>
      <c r="M1742" s="20">
        <f>L1742-L1742*VLOOKUP($O1742,매칭테이블!$G:$J,3,0)</f>
        <v/>
      </c>
      <c r="N1742" s="20">
        <f>VLOOKUP($O1742,매칭테이블!$G:$J,4,0)*H1742</f>
        <v/>
      </c>
      <c r="O1742" s="20">
        <f>F1742&amp;E1742&amp;I1742&amp;J1742</f>
        <v/>
      </c>
    </row>
    <row r="1743" ht="16.5" customHeight="1" s="17">
      <c r="B1743" s="16" t="n">
        <v>44105</v>
      </c>
      <c r="C1743" s="20" t="inlineStr">
        <is>
          <t>목</t>
        </is>
      </c>
      <c r="E1743" s="20" t="inlineStr">
        <is>
          <t>고체향수</t>
        </is>
      </c>
      <c r="F1743" s="20" t="inlineStr">
        <is>
          <t>카페24</t>
        </is>
      </c>
      <c r="H1743" s="20" t="n">
        <v>24</v>
      </c>
      <c r="I1743" s="20" t="inlineStr">
        <is>
          <t>이그나이트 + 스테이포에버</t>
        </is>
      </c>
      <c r="J1743" s="20" t="n">
        <v>200720</v>
      </c>
      <c r="L1743" s="20">
        <f>VLOOKUP($O1743,매칭테이블!$G:$J,2,0)*H1743</f>
        <v/>
      </c>
      <c r="M1743" s="20">
        <f>L1743-L1743*VLOOKUP($O1743,매칭테이블!$G:$J,3,0)</f>
        <v/>
      </c>
      <c r="N1743" s="20">
        <f>VLOOKUP($O1743,매칭테이블!$G:$J,4,0)*H1743</f>
        <v/>
      </c>
      <c r="O1743" s="20">
        <f>F1743&amp;E1743&amp;I1743&amp;J1743</f>
        <v/>
      </c>
    </row>
    <row r="1744" ht="16.5" customHeight="1" s="17">
      <c r="B1744" s="16" t="n">
        <v>44105</v>
      </c>
      <c r="C1744" s="20" t="inlineStr">
        <is>
          <t>목</t>
        </is>
      </c>
      <c r="E1744" s="20" t="inlineStr">
        <is>
          <t>고체향수</t>
        </is>
      </c>
      <c r="F1744" s="20" t="inlineStr">
        <is>
          <t>카페24</t>
        </is>
      </c>
      <c r="H1744" s="20" t="n">
        <v>259</v>
      </c>
      <c r="I1744" s="20" t="inlineStr">
        <is>
          <t>스테이포에버</t>
        </is>
      </c>
      <c r="J1744" s="20" t="n">
        <v>200720</v>
      </c>
      <c r="L1744" s="20">
        <f>VLOOKUP($O1744,매칭테이블!$G:$J,2,0)*H1744</f>
        <v/>
      </c>
      <c r="M1744" s="20">
        <f>L1744-L1744*VLOOKUP($O1744,매칭테이블!$G:$J,3,0)</f>
        <v/>
      </c>
      <c r="N1744" s="20">
        <f>VLOOKUP($O1744,매칭테이블!$G:$J,4,0)*H1744</f>
        <v/>
      </c>
      <c r="O1744" s="20">
        <f>F1744&amp;E1744&amp;I1744&amp;J1744</f>
        <v/>
      </c>
    </row>
    <row r="1745" ht="16.5" customHeight="1" s="17">
      <c r="B1745" s="16" t="n">
        <v>44105</v>
      </c>
      <c r="C1745" s="20" t="inlineStr">
        <is>
          <t>목</t>
        </is>
      </c>
      <c r="E1745" s="20" t="inlineStr">
        <is>
          <t>고체향수</t>
        </is>
      </c>
      <c r="F1745" s="20" t="inlineStr">
        <is>
          <t>카페24</t>
        </is>
      </c>
      <c r="H1745" s="20" t="n">
        <v>57</v>
      </c>
      <c r="I1745" s="20" t="inlineStr">
        <is>
          <t>스테이포에버 2set</t>
        </is>
      </c>
      <c r="J1745" s="20" t="n">
        <v>200720</v>
      </c>
      <c r="L1745" s="20">
        <f>VLOOKUP($O1745,매칭테이블!$G:$J,2,0)*H1745</f>
        <v/>
      </c>
      <c r="M1745" s="20">
        <f>L1745-L1745*VLOOKUP($O1745,매칭테이블!$G:$J,3,0)</f>
        <v/>
      </c>
      <c r="N1745" s="20">
        <f>VLOOKUP($O1745,매칭테이블!$G:$J,4,0)*H1745</f>
        <v/>
      </c>
      <c r="O1745" s="20">
        <f>F1745&amp;E1745&amp;I1745&amp;J1745</f>
        <v/>
      </c>
    </row>
    <row r="1746" ht="16.5" customHeight="1" s="17">
      <c r="B1746" s="16" t="n">
        <v>44105</v>
      </c>
      <c r="C1746" s="20" t="inlineStr">
        <is>
          <t>목</t>
        </is>
      </c>
      <c r="E1746" s="20" t="inlineStr">
        <is>
          <t>고체향수</t>
        </is>
      </c>
      <c r="F1746" s="20" t="inlineStr">
        <is>
          <t>카페24</t>
        </is>
      </c>
      <c r="H1746" s="20" t="n">
        <v>3</v>
      </c>
      <c r="I1746" s="20" t="inlineStr">
        <is>
          <t>이그나이트</t>
        </is>
      </c>
      <c r="J1746" s="20" t="n">
        <v>200720</v>
      </c>
      <c r="L1746" s="20">
        <f>VLOOKUP($O1746,매칭테이블!$G:$J,2,0)*H1746</f>
        <v/>
      </c>
      <c r="M1746" s="20">
        <f>L1746-L1746*VLOOKUP($O1746,매칭테이블!$G:$J,3,0)</f>
        <v/>
      </c>
      <c r="N1746" s="20">
        <f>VLOOKUP($O1746,매칭테이블!$G:$J,4,0)*H1746</f>
        <v/>
      </c>
      <c r="O1746" s="20">
        <f>F1746&amp;E1746&amp;I1746&amp;J1746</f>
        <v/>
      </c>
    </row>
    <row r="1747" ht="16.5" customHeight="1" s="17">
      <c r="B1747" s="16" t="n">
        <v>44105</v>
      </c>
      <c r="C1747" s="20" t="inlineStr">
        <is>
          <t>목</t>
        </is>
      </c>
      <c r="E1747" s="20" t="inlineStr">
        <is>
          <t>쇼핑백</t>
        </is>
      </c>
      <c r="F1747" s="20" t="inlineStr">
        <is>
          <t>카페24</t>
        </is>
      </c>
      <c r="H1747" s="20" t="n">
        <v>4</v>
      </c>
      <c r="I1747" s="20" t="inlineStr">
        <is>
          <t>유즈쇼핑백</t>
        </is>
      </c>
      <c r="J1747" s="20" t="n">
        <v>200720</v>
      </c>
      <c r="L1747" s="20">
        <f>VLOOKUP($O1747,매칭테이블!$G:$J,2,0)*H1747</f>
        <v/>
      </c>
      <c r="M1747" s="20">
        <f>L1747-L1747*VLOOKUP($O1747,매칭테이블!$G:$J,3,0)</f>
        <v/>
      </c>
      <c r="N1747" s="20">
        <f>VLOOKUP($O1747,매칭테이블!$G:$J,4,0)*H1747</f>
        <v/>
      </c>
      <c r="O1747" s="20">
        <f>F1747&amp;E1747&amp;I1747&amp;J1747</f>
        <v/>
      </c>
    </row>
    <row r="1748" ht="16.5" customHeight="1" s="17">
      <c r="B1748" s="16" t="n">
        <v>44106</v>
      </c>
      <c r="C1748" s="20" t="inlineStr">
        <is>
          <t>금</t>
        </is>
      </c>
      <c r="E1748" s="20" t="inlineStr">
        <is>
          <t>고체향수</t>
        </is>
      </c>
      <c r="F1748" s="20" t="inlineStr">
        <is>
          <t>카페24</t>
        </is>
      </c>
      <c r="H1748" s="20" t="n">
        <v>16</v>
      </c>
      <c r="I1748" s="20" t="inlineStr">
        <is>
          <t>이그나이트 + 스테이포에버</t>
        </is>
      </c>
      <c r="J1748" s="20" t="n">
        <v>200720</v>
      </c>
      <c r="L1748" s="20">
        <f>VLOOKUP($O1748,매칭테이블!$G:$J,2,0)*H1748</f>
        <v/>
      </c>
      <c r="M1748" s="20">
        <f>L1748-L1748*VLOOKUP($O1748,매칭테이블!$G:$J,3,0)</f>
        <v/>
      </c>
      <c r="N1748" s="20">
        <f>VLOOKUP($O1748,매칭테이블!$G:$J,4,0)*H1748</f>
        <v/>
      </c>
      <c r="O1748" s="20">
        <f>F1748&amp;E1748&amp;I1748&amp;J1748</f>
        <v/>
      </c>
    </row>
    <row r="1749" ht="16.5" customHeight="1" s="17">
      <c r="B1749" s="16" t="n">
        <v>44106</v>
      </c>
      <c r="C1749" s="20" t="inlineStr">
        <is>
          <t>금</t>
        </is>
      </c>
      <c r="E1749" s="20" t="inlineStr">
        <is>
          <t>고체향수</t>
        </is>
      </c>
      <c r="F1749" s="20" t="inlineStr">
        <is>
          <t>카페24</t>
        </is>
      </c>
      <c r="H1749" s="20" t="n">
        <v>1</v>
      </c>
      <c r="I1749" s="20" t="inlineStr">
        <is>
          <t>이그나이트 + 스테이포에버 2set</t>
        </is>
      </c>
      <c r="J1749" s="20" t="n">
        <v>200720</v>
      </c>
      <c r="L1749" s="20">
        <f>VLOOKUP($O1749,매칭테이블!$G:$J,2,0)*H1749</f>
        <v/>
      </c>
      <c r="M1749" s="20">
        <f>L1749-L1749*VLOOKUP($O1749,매칭테이블!$G:$J,3,0)</f>
        <v/>
      </c>
      <c r="N1749" s="20">
        <f>VLOOKUP($O1749,매칭테이블!$G:$J,4,0)*H1749</f>
        <v/>
      </c>
      <c r="O1749" s="20">
        <f>F1749&amp;E1749&amp;I1749&amp;J1749</f>
        <v/>
      </c>
    </row>
    <row r="1750" ht="16.5" customHeight="1" s="17">
      <c r="B1750" s="16" t="n">
        <v>44106</v>
      </c>
      <c r="C1750" s="20" t="inlineStr">
        <is>
          <t>금</t>
        </is>
      </c>
      <c r="E1750" s="20" t="inlineStr">
        <is>
          <t>고체향수</t>
        </is>
      </c>
      <c r="F1750" s="20" t="inlineStr">
        <is>
          <t>카페24</t>
        </is>
      </c>
      <c r="H1750" s="20" t="n">
        <v>243</v>
      </c>
      <c r="I1750" s="20" t="inlineStr">
        <is>
          <t>스테이포에버</t>
        </is>
      </c>
      <c r="J1750" s="20" t="n">
        <v>200720</v>
      </c>
      <c r="L1750" s="20">
        <f>VLOOKUP($O1750,매칭테이블!$G:$J,2,0)*H1750</f>
        <v/>
      </c>
      <c r="M1750" s="20">
        <f>L1750-L1750*VLOOKUP($O1750,매칭테이블!$G:$J,3,0)</f>
        <v/>
      </c>
      <c r="N1750" s="20">
        <f>VLOOKUP($O1750,매칭테이블!$G:$J,4,0)*H1750</f>
        <v/>
      </c>
      <c r="O1750" s="20">
        <f>F1750&amp;E1750&amp;I1750&amp;J1750</f>
        <v/>
      </c>
    </row>
    <row r="1751" ht="16.5" customHeight="1" s="17">
      <c r="B1751" s="16" t="n">
        <v>44106</v>
      </c>
      <c r="C1751" s="20" t="inlineStr">
        <is>
          <t>금</t>
        </is>
      </c>
      <c r="E1751" s="20" t="inlineStr">
        <is>
          <t>고체향수</t>
        </is>
      </c>
      <c r="F1751" s="20" t="inlineStr">
        <is>
          <t>카페24</t>
        </is>
      </c>
      <c r="H1751" s="20" t="n">
        <v>58</v>
      </c>
      <c r="I1751" s="20" t="inlineStr">
        <is>
          <t>스테이포에버 2set</t>
        </is>
      </c>
      <c r="J1751" s="20" t="n">
        <v>200720</v>
      </c>
      <c r="L1751" s="20">
        <f>VLOOKUP($O1751,매칭테이블!$G:$J,2,0)*H1751</f>
        <v/>
      </c>
      <c r="M1751" s="20">
        <f>L1751-L1751*VLOOKUP($O1751,매칭테이블!$G:$J,3,0)</f>
        <v/>
      </c>
      <c r="N1751" s="20">
        <f>VLOOKUP($O1751,매칭테이블!$G:$J,4,0)*H1751</f>
        <v/>
      </c>
      <c r="O1751" s="20">
        <f>F1751&amp;E1751&amp;I1751&amp;J1751</f>
        <v/>
      </c>
    </row>
    <row r="1752" ht="16.5" customHeight="1" s="17">
      <c r="B1752" s="16" t="n">
        <v>44106</v>
      </c>
      <c r="C1752" s="20" t="inlineStr">
        <is>
          <t>금</t>
        </is>
      </c>
      <c r="E1752" s="20" t="inlineStr">
        <is>
          <t>고체향수</t>
        </is>
      </c>
      <c r="F1752" s="20" t="inlineStr">
        <is>
          <t>카페24</t>
        </is>
      </c>
      <c r="H1752" s="20" t="n">
        <v>2</v>
      </c>
      <c r="I1752" s="20" t="inlineStr">
        <is>
          <t>이그나이트</t>
        </is>
      </c>
      <c r="J1752" s="20" t="n">
        <v>200720</v>
      </c>
      <c r="L1752" s="20">
        <f>VLOOKUP($O1752,매칭테이블!$G:$J,2,0)*H1752</f>
        <v/>
      </c>
      <c r="M1752" s="20">
        <f>L1752-L1752*VLOOKUP($O1752,매칭테이블!$G:$J,3,0)</f>
        <v/>
      </c>
      <c r="N1752" s="20">
        <f>VLOOKUP($O1752,매칭테이블!$G:$J,4,0)*H1752</f>
        <v/>
      </c>
      <c r="O1752" s="20">
        <f>F1752&amp;E1752&amp;I1752&amp;J1752</f>
        <v/>
      </c>
    </row>
    <row r="1753" ht="16.5" customHeight="1" s="17">
      <c r="B1753" s="16" t="n">
        <v>44106</v>
      </c>
      <c r="C1753" s="20" t="inlineStr">
        <is>
          <t>금</t>
        </is>
      </c>
      <c r="E1753" s="20" t="inlineStr">
        <is>
          <t>쇼핑백</t>
        </is>
      </c>
      <c r="F1753" s="20" t="inlineStr">
        <is>
          <t>카페24</t>
        </is>
      </c>
      <c r="H1753" s="20" t="n">
        <v>7</v>
      </c>
      <c r="I1753" s="20" t="inlineStr">
        <is>
          <t>유즈쇼핑백</t>
        </is>
      </c>
      <c r="J1753" s="20" t="n">
        <v>200720</v>
      </c>
      <c r="L1753" s="20">
        <f>VLOOKUP($O1753,매칭테이블!$G:$J,2,0)*H1753</f>
        <v/>
      </c>
      <c r="M1753" s="20">
        <f>L1753-L1753*VLOOKUP($O1753,매칭테이블!$G:$J,3,0)</f>
        <v/>
      </c>
      <c r="N1753" s="20">
        <f>VLOOKUP($O1753,매칭테이블!$G:$J,4,0)*H1753</f>
        <v/>
      </c>
      <c r="O1753" s="20">
        <f>F1753&amp;E1753&amp;I1753&amp;J1753</f>
        <v/>
      </c>
    </row>
    <row r="1754" ht="16.5" customHeight="1" s="17">
      <c r="B1754" s="16" t="n">
        <v>44107</v>
      </c>
      <c r="C1754" s="20" t="inlineStr">
        <is>
          <t>토</t>
        </is>
      </c>
      <c r="E1754" s="20" t="inlineStr">
        <is>
          <t>고체향수</t>
        </is>
      </c>
      <c r="F1754" s="20" t="inlineStr">
        <is>
          <t>카페24</t>
        </is>
      </c>
      <c r="H1754" s="20" t="n">
        <v>17</v>
      </c>
      <c r="I1754" s="20" t="inlineStr">
        <is>
          <t>이그나이트 + 스테이포에버</t>
        </is>
      </c>
      <c r="J1754" s="20" t="n">
        <v>200720</v>
      </c>
      <c r="L1754" s="20">
        <f>VLOOKUP($O1754,매칭테이블!$G:$J,2,0)*H1754</f>
        <v/>
      </c>
      <c r="M1754" s="20">
        <f>L1754-L1754*VLOOKUP($O1754,매칭테이블!$G:$J,3,0)</f>
        <v/>
      </c>
      <c r="N1754" s="20">
        <f>VLOOKUP($O1754,매칭테이블!$G:$J,4,0)*H1754</f>
        <v/>
      </c>
      <c r="O1754" s="20">
        <f>F1754&amp;E1754&amp;I1754&amp;J1754</f>
        <v/>
      </c>
    </row>
    <row r="1755" ht="16.5" customHeight="1" s="17">
      <c r="B1755" s="16" t="n">
        <v>44107</v>
      </c>
      <c r="C1755" s="20" t="inlineStr">
        <is>
          <t>토</t>
        </is>
      </c>
      <c r="E1755" s="20" t="inlineStr">
        <is>
          <t>고체향수</t>
        </is>
      </c>
      <c r="F1755" s="20" t="inlineStr">
        <is>
          <t>카페24</t>
        </is>
      </c>
      <c r="H1755" s="20" t="n">
        <v>272</v>
      </c>
      <c r="I1755" s="20" t="inlineStr">
        <is>
          <t>스테이포에버</t>
        </is>
      </c>
      <c r="J1755" s="20" t="n">
        <v>200720</v>
      </c>
      <c r="L1755" s="20">
        <f>VLOOKUP($O1755,매칭테이블!$G:$J,2,0)*H1755</f>
        <v/>
      </c>
      <c r="M1755" s="20">
        <f>L1755-L1755*VLOOKUP($O1755,매칭테이블!$G:$J,3,0)</f>
        <v/>
      </c>
      <c r="N1755" s="20">
        <f>VLOOKUP($O1755,매칭테이블!$G:$J,4,0)*H1755</f>
        <v/>
      </c>
      <c r="O1755" s="20">
        <f>F1755&amp;E1755&amp;I1755&amp;J1755</f>
        <v/>
      </c>
    </row>
    <row r="1756" ht="16.5" customHeight="1" s="17">
      <c r="B1756" s="16" t="n">
        <v>44107</v>
      </c>
      <c r="C1756" s="20" t="inlineStr">
        <is>
          <t>토</t>
        </is>
      </c>
      <c r="E1756" s="20" t="inlineStr">
        <is>
          <t>고체향수</t>
        </is>
      </c>
      <c r="F1756" s="20" t="inlineStr">
        <is>
          <t>카페24</t>
        </is>
      </c>
      <c r="H1756" s="20" t="n">
        <v>51</v>
      </c>
      <c r="I1756" s="20" t="inlineStr">
        <is>
          <t>스테이포에버 2set</t>
        </is>
      </c>
      <c r="J1756" s="20" t="n">
        <v>200720</v>
      </c>
      <c r="L1756" s="20">
        <f>VLOOKUP($O1756,매칭테이블!$G:$J,2,0)*H1756</f>
        <v/>
      </c>
      <c r="M1756" s="20">
        <f>L1756-L1756*VLOOKUP($O1756,매칭테이블!$G:$J,3,0)</f>
        <v/>
      </c>
      <c r="N1756" s="20">
        <f>VLOOKUP($O1756,매칭테이블!$G:$J,4,0)*H1756</f>
        <v/>
      </c>
      <c r="O1756" s="20">
        <f>F1756&amp;E1756&amp;I1756&amp;J1756</f>
        <v/>
      </c>
    </row>
    <row r="1757" ht="16.5" customHeight="1" s="17">
      <c r="B1757" s="16" t="n">
        <v>44107</v>
      </c>
      <c r="C1757" s="20" t="inlineStr">
        <is>
          <t>토</t>
        </is>
      </c>
      <c r="E1757" s="20" t="inlineStr">
        <is>
          <t>고체향수</t>
        </is>
      </c>
      <c r="F1757" s="20" t="inlineStr">
        <is>
          <t>카페24</t>
        </is>
      </c>
      <c r="H1757" s="20" t="n">
        <v>2</v>
      </c>
      <c r="I1757" s="20" t="inlineStr">
        <is>
          <t>이그나이트</t>
        </is>
      </c>
      <c r="J1757" s="20" t="n">
        <v>200720</v>
      </c>
      <c r="L1757" s="20">
        <f>VLOOKUP($O1757,매칭테이블!$G:$J,2,0)*H1757</f>
        <v/>
      </c>
      <c r="M1757" s="20">
        <f>L1757-L1757*VLOOKUP($O1757,매칭테이블!$G:$J,3,0)</f>
        <v/>
      </c>
      <c r="N1757" s="20">
        <f>VLOOKUP($O1757,매칭테이블!$G:$J,4,0)*H1757</f>
        <v/>
      </c>
      <c r="O1757" s="20">
        <f>F1757&amp;E1757&amp;I1757&amp;J1757</f>
        <v/>
      </c>
    </row>
    <row r="1758" ht="16.5" customHeight="1" s="17">
      <c r="B1758" s="16" t="n">
        <v>44107</v>
      </c>
      <c r="C1758" s="20" t="inlineStr">
        <is>
          <t>토</t>
        </is>
      </c>
      <c r="E1758" s="20" t="inlineStr">
        <is>
          <t>쇼핑백</t>
        </is>
      </c>
      <c r="F1758" s="20" t="inlineStr">
        <is>
          <t>카페24</t>
        </is>
      </c>
      <c r="H1758" s="20" t="n">
        <v>9</v>
      </c>
      <c r="I1758" s="20" t="inlineStr">
        <is>
          <t>유즈쇼핑백</t>
        </is>
      </c>
      <c r="J1758" s="20" t="n">
        <v>200720</v>
      </c>
      <c r="L1758" s="20">
        <f>VLOOKUP($O1758,매칭테이블!$G:$J,2,0)*H1758</f>
        <v/>
      </c>
      <c r="M1758" s="20">
        <f>L1758-L1758*VLOOKUP($O1758,매칭테이블!$G:$J,3,0)</f>
        <v/>
      </c>
      <c r="N1758" s="20">
        <f>VLOOKUP($O1758,매칭테이블!$G:$J,4,0)*H1758</f>
        <v/>
      </c>
      <c r="O1758" s="20">
        <f>F1758&amp;E1758&amp;I1758&amp;J1758</f>
        <v/>
      </c>
    </row>
    <row r="1759" ht="16.5" customHeight="1" s="17">
      <c r="B1759" s="16" t="n">
        <v>44108</v>
      </c>
      <c r="C1759" s="20" t="inlineStr">
        <is>
          <t>일</t>
        </is>
      </c>
      <c r="E1759" s="20" t="inlineStr">
        <is>
          <t>고체향수</t>
        </is>
      </c>
      <c r="F1759" s="20" t="inlineStr">
        <is>
          <t>카페24</t>
        </is>
      </c>
      <c r="H1759" s="20" t="n">
        <v>19</v>
      </c>
      <c r="I1759" s="20" t="inlineStr">
        <is>
          <t>이그나이트 + 스테이포에버</t>
        </is>
      </c>
      <c r="J1759" s="20" t="n">
        <v>200720</v>
      </c>
      <c r="L1759" s="20">
        <f>VLOOKUP($O1759,매칭테이블!$G:$J,2,0)*H1759</f>
        <v/>
      </c>
      <c r="M1759" s="20">
        <f>L1759-L1759*VLOOKUP($O1759,매칭테이블!$G:$J,3,0)</f>
        <v/>
      </c>
      <c r="N1759" s="20">
        <f>VLOOKUP($O1759,매칭테이블!$G:$J,4,0)*H1759</f>
        <v/>
      </c>
      <c r="O1759" s="20">
        <f>F1759&amp;E1759&amp;I1759&amp;J1759</f>
        <v/>
      </c>
    </row>
    <row r="1760" ht="16.5" customHeight="1" s="17">
      <c r="B1760" s="16" t="n">
        <v>44108</v>
      </c>
      <c r="C1760" s="20" t="inlineStr">
        <is>
          <t>일</t>
        </is>
      </c>
      <c r="E1760" s="20" t="inlineStr">
        <is>
          <t>고체향수</t>
        </is>
      </c>
      <c r="F1760" s="20" t="inlineStr">
        <is>
          <t>카페24</t>
        </is>
      </c>
      <c r="H1760" s="20" t="n">
        <v>236</v>
      </c>
      <c r="I1760" s="20" t="inlineStr">
        <is>
          <t>스테이포에버</t>
        </is>
      </c>
      <c r="J1760" s="20" t="n">
        <v>200720</v>
      </c>
      <c r="L1760" s="20">
        <f>VLOOKUP($O1760,매칭테이블!$G:$J,2,0)*H1760</f>
        <v/>
      </c>
      <c r="M1760" s="20">
        <f>L1760-L1760*VLOOKUP($O1760,매칭테이블!$G:$J,3,0)</f>
        <v/>
      </c>
      <c r="N1760" s="20">
        <f>VLOOKUP($O1760,매칭테이블!$G:$J,4,0)*H1760</f>
        <v/>
      </c>
      <c r="O1760" s="20">
        <f>F1760&amp;E1760&amp;I1760&amp;J1760</f>
        <v/>
      </c>
    </row>
    <row r="1761" ht="16.5" customHeight="1" s="17">
      <c r="B1761" s="16" t="n">
        <v>44108</v>
      </c>
      <c r="C1761" s="20" t="inlineStr">
        <is>
          <t>일</t>
        </is>
      </c>
      <c r="E1761" s="20" t="inlineStr">
        <is>
          <t>고체향수</t>
        </is>
      </c>
      <c r="F1761" s="20" t="inlineStr">
        <is>
          <t>카페24</t>
        </is>
      </c>
      <c r="H1761" s="20" t="n">
        <v>54</v>
      </c>
      <c r="I1761" s="20" t="inlineStr">
        <is>
          <t>스테이포에버 2set</t>
        </is>
      </c>
      <c r="J1761" s="20" t="n">
        <v>200720</v>
      </c>
      <c r="L1761" s="20">
        <f>VLOOKUP($O1761,매칭테이블!$G:$J,2,0)*H1761</f>
        <v/>
      </c>
      <c r="M1761" s="20">
        <f>L1761-L1761*VLOOKUP($O1761,매칭테이블!$G:$J,3,0)</f>
        <v/>
      </c>
      <c r="N1761" s="20">
        <f>VLOOKUP($O1761,매칭테이블!$G:$J,4,0)*H1761</f>
        <v/>
      </c>
      <c r="O1761" s="20">
        <f>F1761&amp;E1761&amp;I1761&amp;J1761</f>
        <v/>
      </c>
    </row>
    <row r="1762" ht="16.5" customHeight="1" s="17">
      <c r="B1762" s="16" t="n">
        <v>44108</v>
      </c>
      <c r="C1762" s="20" t="inlineStr">
        <is>
          <t>일</t>
        </is>
      </c>
      <c r="E1762" s="20" t="inlineStr">
        <is>
          <t>고체향수</t>
        </is>
      </c>
      <c r="F1762" s="20" t="inlineStr">
        <is>
          <t>카페24</t>
        </is>
      </c>
      <c r="H1762" s="20" t="n">
        <v>1</v>
      </c>
      <c r="I1762" s="20" t="inlineStr">
        <is>
          <t>이그나이트</t>
        </is>
      </c>
      <c r="J1762" s="20" t="n">
        <v>200720</v>
      </c>
      <c r="L1762" s="20">
        <f>VLOOKUP($O1762,매칭테이블!$G:$J,2,0)*H1762</f>
        <v/>
      </c>
      <c r="M1762" s="20">
        <f>L1762-L1762*VLOOKUP($O1762,매칭테이블!$G:$J,3,0)</f>
        <v/>
      </c>
      <c r="N1762" s="20">
        <f>VLOOKUP($O1762,매칭테이블!$G:$J,4,0)*H1762</f>
        <v/>
      </c>
      <c r="O1762" s="20">
        <f>F1762&amp;E1762&amp;I1762&amp;J1762</f>
        <v/>
      </c>
    </row>
    <row r="1763" ht="16.5" customHeight="1" s="17">
      <c r="B1763" s="16" t="n">
        <v>44108</v>
      </c>
      <c r="C1763" s="20" t="inlineStr">
        <is>
          <t>일</t>
        </is>
      </c>
      <c r="E1763" s="20" t="inlineStr">
        <is>
          <t>고체향수</t>
        </is>
      </c>
      <c r="F1763" s="20" t="inlineStr">
        <is>
          <t>카페24</t>
        </is>
      </c>
      <c r="H1763" s="20" t="n">
        <v>1</v>
      </c>
      <c r="I1763" s="20" t="inlineStr">
        <is>
          <t>이그나이트 2set</t>
        </is>
      </c>
      <c r="J1763" s="20" t="n">
        <v>200720</v>
      </c>
      <c r="L1763" s="20">
        <f>VLOOKUP($O1763,매칭테이블!$G:$J,2,0)*H1763</f>
        <v/>
      </c>
      <c r="M1763" s="20">
        <f>L1763-L1763*VLOOKUP($O1763,매칭테이블!$G:$J,3,0)</f>
        <v/>
      </c>
      <c r="N1763" s="20">
        <f>VLOOKUP($O1763,매칭테이블!$G:$J,4,0)*H1763</f>
        <v/>
      </c>
      <c r="O1763" s="20">
        <f>F1763&amp;E1763&amp;I1763&amp;J1763</f>
        <v/>
      </c>
    </row>
    <row r="1764" ht="16.5" customHeight="1" s="17">
      <c r="B1764" s="16" t="n">
        <v>44108</v>
      </c>
      <c r="C1764" s="20" t="inlineStr">
        <is>
          <t>일</t>
        </is>
      </c>
      <c r="E1764" s="20" t="inlineStr">
        <is>
          <t>쇼핑백</t>
        </is>
      </c>
      <c r="F1764" s="20" t="inlineStr">
        <is>
          <t>카페24</t>
        </is>
      </c>
      <c r="H1764" s="20" t="n">
        <v>4</v>
      </c>
      <c r="I1764" s="20" t="inlineStr">
        <is>
          <t>유즈쇼핑백</t>
        </is>
      </c>
      <c r="J1764" s="20" t="n">
        <v>200720</v>
      </c>
      <c r="L1764" s="20">
        <f>VLOOKUP($O1764,매칭테이블!$G:$J,2,0)*H1764</f>
        <v/>
      </c>
      <c r="M1764" s="20">
        <f>L1764-L1764*VLOOKUP($O1764,매칭테이블!$G:$J,3,0)</f>
        <v/>
      </c>
      <c r="N1764" s="20">
        <f>VLOOKUP($O1764,매칭테이블!$G:$J,4,0)*H1764</f>
        <v/>
      </c>
      <c r="O1764" s="20">
        <f>F1764&amp;E1764&amp;I1764&amp;J1764</f>
        <v/>
      </c>
    </row>
    <row r="1765" ht="16.5" customHeight="1" s="17">
      <c r="B1765" s="16" t="n">
        <v>44109</v>
      </c>
      <c r="C1765" s="20" t="inlineStr">
        <is>
          <t>월</t>
        </is>
      </c>
      <c r="E1765" s="20" t="inlineStr">
        <is>
          <t>고체향수</t>
        </is>
      </c>
      <c r="F1765" s="20" t="inlineStr">
        <is>
          <t>카페24</t>
        </is>
      </c>
      <c r="H1765" s="20" t="n">
        <v>17</v>
      </c>
      <c r="I1765" s="20" t="inlineStr">
        <is>
          <t>이그나이트 + 스테이포에버</t>
        </is>
      </c>
      <c r="J1765" s="20" t="n">
        <v>200720</v>
      </c>
      <c r="L1765" s="20">
        <f>VLOOKUP($O1765,매칭테이블!$G:$J,2,0)*H1765</f>
        <v/>
      </c>
      <c r="M1765" s="20">
        <f>L1765-L1765*VLOOKUP($O1765,매칭테이블!$G:$J,3,0)</f>
        <v/>
      </c>
      <c r="N1765" s="20">
        <f>VLOOKUP($O1765,매칭테이블!$G:$J,4,0)*H1765</f>
        <v/>
      </c>
      <c r="O1765" s="20">
        <f>F1765&amp;E1765&amp;I1765&amp;J1765</f>
        <v/>
      </c>
    </row>
    <row r="1766" ht="16.5" customHeight="1" s="17">
      <c r="B1766" s="16" t="n">
        <v>44109</v>
      </c>
      <c r="C1766" s="20" t="inlineStr">
        <is>
          <t>월</t>
        </is>
      </c>
      <c r="E1766" s="20" t="inlineStr">
        <is>
          <t>고체향수</t>
        </is>
      </c>
      <c r="F1766" s="20" t="inlineStr">
        <is>
          <t>카페24</t>
        </is>
      </c>
      <c r="H1766" s="20" t="n">
        <v>200</v>
      </c>
      <c r="I1766" s="20" t="inlineStr">
        <is>
          <t>스테이포에버</t>
        </is>
      </c>
      <c r="J1766" s="20" t="n">
        <v>200720</v>
      </c>
      <c r="L1766" s="20">
        <f>VLOOKUP($O1766,매칭테이블!$G:$J,2,0)*H1766</f>
        <v/>
      </c>
      <c r="M1766" s="20">
        <f>L1766-L1766*VLOOKUP($O1766,매칭테이블!$G:$J,3,0)</f>
        <v/>
      </c>
      <c r="N1766" s="20">
        <f>VLOOKUP($O1766,매칭테이블!$G:$J,4,0)*H1766</f>
        <v/>
      </c>
      <c r="O1766" s="20">
        <f>F1766&amp;E1766&amp;I1766&amp;J1766</f>
        <v/>
      </c>
    </row>
    <row r="1767" ht="16.5" customHeight="1" s="17">
      <c r="B1767" s="16" t="n">
        <v>44109</v>
      </c>
      <c r="C1767" s="20" t="inlineStr">
        <is>
          <t>월</t>
        </is>
      </c>
      <c r="E1767" s="20" t="inlineStr">
        <is>
          <t>고체향수</t>
        </is>
      </c>
      <c r="F1767" s="20" t="inlineStr">
        <is>
          <t>카페24</t>
        </is>
      </c>
      <c r="H1767" s="20" t="n">
        <v>54</v>
      </c>
      <c r="I1767" s="20" t="inlineStr">
        <is>
          <t>스테이포에버 2set</t>
        </is>
      </c>
      <c r="J1767" s="20" t="n">
        <v>200720</v>
      </c>
      <c r="L1767" s="20">
        <f>VLOOKUP($O1767,매칭테이블!$G:$J,2,0)*H1767</f>
        <v/>
      </c>
      <c r="M1767" s="20">
        <f>L1767-L1767*VLOOKUP($O1767,매칭테이블!$G:$J,3,0)</f>
        <v/>
      </c>
      <c r="N1767" s="20">
        <f>VLOOKUP($O1767,매칭테이블!$G:$J,4,0)*H1767</f>
        <v/>
      </c>
      <c r="O1767" s="20">
        <f>F1767&amp;E1767&amp;I1767&amp;J1767</f>
        <v/>
      </c>
    </row>
    <row r="1768" ht="16.5" customHeight="1" s="17">
      <c r="B1768" s="16" t="n">
        <v>44109</v>
      </c>
      <c r="C1768" s="20" t="inlineStr">
        <is>
          <t>월</t>
        </is>
      </c>
      <c r="E1768" s="20" t="inlineStr">
        <is>
          <t>고체향수</t>
        </is>
      </c>
      <c r="F1768" s="20" t="inlineStr">
        <is>
          <t>카페24</t>
        </is>
      </c>
      <c r="H1768" s="20" t="n">
        <v>1</v>
      </c>
      <c r="I1768" s="20" t="inlineStr">
        <is>
          <t>이그나이트</t>
        </is>
      </c>
      <c r="J1768" s="20" t="n">
        <v>200720</v>
      </c>
      <c r="L1768" s="20">
        <f>VLOOKUP($O1768,매칭테이블!$G:$J,2,0)*H1768</f>
        <v/>
      </c>
      <c r="M1768" s="20">
        <f>L1768-L1768*VLOOKUP($O1768,매칭테이블!$G:$J,3,0)</f>
        <v/>
      </c>
      <c r="N1768" s="20">
        <f>VLOOKUP($O1768,매칭테이블!$G:$J,4,0)*H1768</f>
        <v/>
      </c>
      <c r="O1768" s="20">
        <f>F1768&amp;E1768&amp;I1768&amp;J1768</f>
        <v/>
      </c>
    </row>
    <row r="1769" ht="16.5" customHeight="1" s="17">
      <c r="B1769" s="16" t="n">
        <v>44109</v>
      </c>
      <c r="C1769" s="20" t="inlineStr">
        <is>
          <t>월</t>
        </is>
      </c>
      <c r="E1769" s="20" t="inlineStr">
        <is>
          <t>쇼핑백</t>
        </is>
      </c>
      <c r="F1769" s="20" t="inlineStr">
        <is>
          <t>카페24</t>
        </is>
      </c>
      <c r="H1769" s="20" t="n">
        <v>6</v>
      </c>
      <c r="I1769" s="20" t="inlineStr">
        <is>
          <t>유즈쇼핑백</t>
        </is>
      </c>
      <c r="J1769" s="20" t="n">
        <v>200720</v>
      </c>
      <c r="L1769" s="20">
        <f>VLOOKUP($O1769,매칭테이블!$G:$J,2,0)*H1769</f>
        <v/>
      </c>
      <c r="M1769" s="20">
        <f>L1769-L1769*VLOOKUP($O1769,매칭테이블!$G:$J,3,0)</f>
        <v/>
      </c>
      <c r="N1769" s="20">
        <f>VLOOKUP($O1769,매칭테이블!$G:$J,4,0)*H1769</f>
        <v/>
      </c>
      <c r="O1769" s="20">
        <f>F1769&amp;E1769&amp;I1769&amp;J1769</f>
        <v/>
      </c>
    </row>
    <row r="1770" ht="16.5" customHeight="1" s="17">
      <c r="B1770" s="16" t="n">
        <v>44110</v>
      </c>
      <c r="C1770" s="20" t="inlineStr">
        <is>
          <t>화</t>
        </is>
      </c>
      <c r="E1770" s="20" t="inlineStr">
        <is>
          <t>고체향수</t>
        </is>
      </c>
      <c r="F1770" s="20" t="inlineStr">
        <is>
          <t>카페24</t>
        </is>
      </c>
      <c r="H1770" s="20" t="n">
        <v>22</v>
      </c>
      <c r="I1770" s="20" t="inlineStr">
        <is>
          <t>이그나이트 + 스테이포에버</t>
        </is>
      </c>
      <c r="J1770" s="20" t="n">
        <v>200720</v>
      </c>
      <c r="L1770" s="20">
        <f>VLOOKUP($O1770,매칭테이블!$G:$J,2,0)*H1770</f>
        <v/>
      </c>
      <c r="M1770" s="20">
        <f>L1770-L1770*VLOOKUP($O1770,매칭테이블!$G:$J,3,0)</f>
        <v/>
      </c>
      <c r="N1770" s="20">
        <f>VLOOKUP($O1770,매칭테이블!$G:$J,4,0)*H1770</f>
        <v/>
      </c>
      <c r="O1770" s="20">
        <f>F1770&amp;E1770&amp;I1770&amp;J1770</f>
        <v/>
      </c>
    </row>
    <row r="1771" ht="16.5" customHeight="1" s="17">
      <c r="B1771" s="16" t="n">
        <v>44110</v>
      </c>
      <c r="C1771" s="20" t="inlineStr">
        <is>
          <t>화</t>
        </is>
      </c>
      <c r="E1771" s="20" t="inlineStr">
        <is>
          <t>고체향수</t>
        </is>
      </c>
      <c r="F1771" s="20" t="inlineStr">
        <is>
          <t>카페24</t>
        </is>
      </c>
      <c r="H1771" s="20" t="n">
        <v>181</v>
      </c>
      <c r="I1771" s="20" t="inlineStr">
        <is>
          <t>스테이포에버</t>
        </is>
      </c>
      <c r="J1771" s="20" t="n">
        <v>200720</v>
      </c>
      <c r="L1771" s="20">
        <f>VLOOKUP($O1771,매칭테이블!$G:$J,2,0)*H1771</f>
        <v/>
      </c>
      <c r="M1771" s="20">
        <f>L1771-L1771*VLOOKUP($O1771,매칭테이블!$G:$J,3,0)</f>
        <v/>
      </c>
      <c r="N1771" s="20">
        <f>VLOOKUP($O1771,매칭테이블!$G:$J,4,0)*H1771</f>
        <v/>
      </c>
      <c r="O1771" s="20">
        <f>F1771&amp;E1771&amp;I1771&amp;J1771</f>
        <v/>
      </c>
    </row>
    <row r="1772" ht="16.5" customHeight="1" s="17">
      <c r="B1772" s="16" t="n">
        <v>44110</v>
      </c>
      <c r="C1772" s="20" t="inlineStr">
        <is>
          <t>화</t>
        </is>
      </c>
      <c r="E1772" s="20" t="inlineStr">
        <is>
          <t>고체향수</t>
        </is>
      </c>
      <c r="F1772" s="20" t="inlineStr">
        <is>
          <t>카페24</t>
        </is>
      </c>
      <c r="H1772" s="20" t="n">
        <v>54</v>
      </c>
      <c r="I1772" s="20" t="inlineStr">
        <is>
          <t>스테이포에버 2set</t>
        </is>
      </c>
      <c r="J1772" s="20" t="n">
        <v>200720</v>
      </c>
      <c r="L1772" s="20">
        <f>VLOOKUP($O1772,매칭테이블!$G:$J,2,0)*H1772</f>
        <v/>
      </c>
      <c r="M1772" s="20">
        <f>L1772-L1772*VLOOKUP($O1772,매칭테이블!$G:$J,3,0)</f>
        <v/>
      </c>
      <c r="N1772" s="20">
        <f>VLOOKUP($O1772,매칭테이블!$G:$J,4,0)*H1772</f>
        <v/>
      </c>
      <c r="O1772" s="20">
        <f>F1772&amp;E1772&amp;I1772&amp;J1772</f>
        <v/>
      </c>
    </row>
    <row r="1773" ht="16.5" customHeight="1" s="17">
      <c r="B1773" s="16" t="n">
        <v>44110</v>
      </c>
      <c r="C1773" s="20" t="inlineStr">
        <is>
          <t>화</t>
        </is>
      </c>
      <c r="E1773" s="20" t="inlineStr">
        <is>
          <t>고체향수</t>
        </is>
      </c>
      <c r="F1773" s="20" t="inlineStr">
        <is>
          <t>카페24</t>
        </is>
      </c>
      <c r="H1773" s="20" t="n">
        <v>2</v>
      </c>
      <c r="I1773" s="20" t="inlineStr">
        <is>
          <t>이그나이트 2set</t>
        </is>
      </c>
      <c r="J1773" s="20" t="n">
        <v>200720</v>
      </c>
      <c r="L1773" s="20">
        <f>VLOOKUP($O1773,매칭테이블!$G:$J,2,0)*H1773</f>
        <v/>
      </c>
      <c r="M1773" s="20">
        <f>L1773-L1773*VLOOKUP($O1773,매칭테이블!$G:$J,3,0)</f>
        <v/>
      </c>
      <c r="N1773" s="20">
        <f>VLOOKUP($O1773,매칭테이블!$G:$J,4,0)*H1773</f>
        <v/>
      </c>
      <c r="O1773" s="20">
        <f>F1773&amp;E1773&amp;I1773&amp;J1773</f>
        <v/>
      </c>
    </row>
    <row r="1774" ht="16.5" customHeight="1" s="17">
      <c r="B1774" s="16" t="n">
        <v>44110</v>
      </c>
      <c r="C1774" s="20" t="inlineStr">
        <is>
          <t>화</t>
        </is>
      </c>
      <c r="E1774" s="20" t="inlineStr">
        <is>
          <t>쇼핑백</t>
        </is>
      </c>
      <c r="F1774" s="20" t="inlineStr">
        <is>
          <t>카페24</t>
        </is>
      </c>
      <c r="H1774" s="20" t="n">
        <v>6</v>
      </c>
      <c r="I1774" s="20" t="inlineStr">
        <is>
          <t>유즈쇼핑백</t>
        </is>
      </c>
      <c r="J1774" s="20" t="n">
        <v>200720</v>
      </c>
      <c r="L1774" s="20">
        <f>VLOOKUP($O1774,매칭테이블!$G:$J,2,0)*H1774</f>
        <v/>
      </c>
      <c r="M1774" s="20">
        <f>L1774-L1774*VLOOKUP($O1774,매칭테이블!$G:$J,3,0)</f>
        <v/>
      </c>
      <c r="N1774" s="20">
        <f>VLOOKUP($O1774,매칭테이블!$G:$J,4,0)*H1774</f>
        <v/>
      </c>
      <c r="O1774" s="20">
        <f>F1774&amp;E1774&amp;I1774&amp;J1774</f>
        <v/>
      </c>
    </row>
    <row r="1775" ht="16.5" customHeight="1" s="17">
      <c r="B1775" s="16" t="n">
        <v>44111</v>
      </c>
      <c r="C1775" s="20" t="inlineStr">
        <is>
          <t>수</t>
        </is>
      </c>
      <c r="E1775" s="20" t="inlineStr">
        <is>
          <t>고체향수</t>
        </is>
      </c>
      <c r="F1775" s="20" t="inlineStr">
        <is>
          <t>유즈 CS</t>
        </is>
      </c>
      <c r="H1775" s="20" t="n">
        <v>1</v>
      </c>
      <c r="I1775" s="20" t="inlineStr">
        <is>
          <t>스테이포에버</t>
        </is>
      </c>
      <c r="J1775" s="20" t="n">
        <v>200520</v>
      </c>
      <c r="L1775" s="20">
        <f>VLOOKUP($O1775,매칭테이블!$G:$J,2,0)*H1775</f>
        <v/>
      </c>
      <c r="M1775" s="20">
        <f>L1775-L1775*VLOOKUP($O1775,매칭테이블!$G:$J,3,0)</f>
        <v/>
      </c>
      <c r="N1775" s="20">
        <f>VLOOKUP($O1775,매칭테이블!$G:$J,4,0)*H1775</f>
        <v/>
      </c>
      <c r="O1775" s="20">
        <f>F1775&amp;E1775&amp;I1775&amp;J1775</f>
        <v/>
      </c>
    </row>
    <row r="1776" ht="16.5" customHeight="1" s="17">
      <c r="B1776" s="16" t="n">
        <v>44111</v>
      </c>
      <c r="C1776" s="20" t="inlineStr">
        <is>
          <t>수</t>
        </is>
      </c>
      <c r="E1776" s="20" t="inlineStr">
        <is>
          <t>고체향수</t>
        </is>
      </c>
      <c r="F1776" s="20" t="inlineStr">
        <is>
          <t>카페24</t>
        </is>
      </c>
      <c r="H1776" s="20" t="n">
        <v>10</v>
      </c>
      <c r="I1776" s="20" t="inlineStr">
        <is>
          <t>이그나이트 + 스테이포에버</t>
        </is>
      </c>
      <c r="J1776" s="20" t="n">
        <v>200720</v>
      </c>
      <c r="L1776" s="20">
        <f>VLOOKUP($O1776,매칭테이블!$G:$J,2,0)*H1776</f>
        <v/>
      </c>
      <c r="M1776" s="20">
        <f>L1776-L1776*VLOOKUP($O1776,매칭테이블!$G:$J,3,0)</f>
        <v/>
      </c>
      <c r="N1776" s="20">
        <f>VLOOKUP($O1776,매칭테이블!$G:$J,4,0)*H1776</f>
        <v/>
      </c>
      <c r="O1776" s="20">
        <f>F1776&amp;E1776&amp;I1776&amp;J1776</f>
        <v/>
      </c>
    </row>
    <row r="1777" ht="16.5" customHeight="1" s="17">
      <c r="B1777" s="16" t="n">
        <v>44111</v>
      </c>
      <c r="C1777" s="20" t="inlineStr">
        <is>
          <t>수</t>
        </is>
      </c>
      <c r="E1777" s="20" t="inlineStr">
        <is>
          <t>고체향수</t>
        </is>
      </c>
      <c r="F1777" s="20" t="inlineStr">
        <is>
          <t>카페24</t>
        </is>
      </c>
      <c r="H1777" s="20" t="n">
        <v>1</v>
      </c>
      <c r="I1777" s="20" t="inlineStr">
        <is>
          <t>이그나이트 + 스테이포에버 2set</t>
        </is>
      </c>
      <c r="J1777" s="20" t="n">
        <v>200720</v>
      </c>
      <c r="L1777" s="20">
        <f>VLOOKUP($O1777,매칭테이블!$G:$J,2,0)*H1777</f>
        <v/>
      </c>
      <c r="M1777" s="20">
        <f>L1777-L1777*VLOOKUP($O1777,매칭테이블!$G:$J,3,0)</f>
        <v/>
      </c>
      <c r="N1777" s="20">
        <f>VLOOKUP($O1777,매칭테이블!$G:$J,4,0)*H1777</f>
        <v/>
      </c>
      <c r="O1777" s="20">
        <f>F1777&amp;E1777&amp;I1777&amp;J1777</f>
        <v/>
      </c>
    </row>
    <row r="1778" ht="16.5" customHeight="1" s="17">
      <c r="B1778" s="16" t="n">
        <v>44111</v>
      </c>
      <c r="C1778" s="20" t="inlineStr">
        <is>
          <t>수</t>
        </is>
      </c>
      <c r="E1778" s="20" t="inlineStr">
        <is>
          <t>고체향수</t>
        </is>
      </c>
      <c r="F1778" s="20" t="inlineStr">
        <is>
          <t>카페24</t>
        </is>
      </c>
      <c r="H1778" s="20" t="n">
        <v>189</v>
      </c>
      <c r="I1778" s="20" t="inlineStr">
        <is>
          <t>스테이포에버</t>
        </is>
      </c>
      <c r="J1778" s="20" t="n">
        <v>200720</v>
      </c>
      <c r="L1778" s="20">
        <f>VLOOKUP($O1778,매칭테이블!$G:$J,2,0)*H1778</f>
        <v/>
      </c>
      <c r="M1778" s="20">
        <f>L1778-L1778*VLOOKUP($O1778,매칭테이블!$G:$J,3,0)</f>
        <v/>
      </c>
      <c r="N1778" s="20">
        <f>VLOOKUP($O1778,매칭테이블!$G:$J,4,0)*H1778</f>
        <v/>
      </c>
      <c r="O1778" s="20">
        <f>F1778&amp;E1778&amp;I1778&amp;J1778</f>
        <v/>
      </c>
    </row>
    <row r="1779" ht="16.5" customHeight="1" s="17">
      <c r="B1779" s="16" t="n">
        <v>44111</v>
      </c>
      <c r="C1779" s="20" t="inlineStr">
        <is>
          <t>수</t>
        </is>
      </c>
      <c r="E1779" s="20" t="inlineStr">
        <is>
          <t>고체향수</t>
        </is>
      </c>
      <c r="F1779" s="20" t="inlineStr">
        <is>
          <t>카페24</t>
        </is>
      </c>
      <c r="H1779" s="20" t="n">
        <v>63</v>
      </c>
      <c r="I1779" s="20" t="inlineStr">
        <is>
          <t>스테이포에버 2set</t>
        </is>
      </c>
      <c r="J1779" s="20" t="n">
        <v>200720</v>
      </c>
      <c r="L1779" s="20">
        <f>VLOOKUP($O1779,매칭테이블!$G:$J,2,0)*H1779</f>
        <v/>
      </c>
      <c r="M1779" s="20">
        <f>L1779-L1779*VLOOKUP($O1779,매칭테이블!$G:$J,3,0)</f>
        <v/>
      </c>
      <c r="N1779" s="20">
        <f>VLOOKUP($O1779,매칭테이블!$G:$J,4,0)*H1779</f>
        <v/>
      </c>
      <c r="O1779" s="20">
        <f>F1779&amp;E1779&amp;I1779&amp;J1779</f>
        <v/>
      </c>
    </row>
    <row r="1780" ht="16.5" customHeight="1" s="17">
      <c r="B1780" s="16" t="n">
        <v>44111</v>
      </c>
      <c r="C1780" s="20" t="inlineStr">
        <is>
          <t>수</t>
        </is>
      </c>
      <c r="E1780" s="20" t="inlineStr">
        <is>
          <t>고체향수</t>
        </is>
      </c>
      <c r="F1780" s="20" t="inlineStr">
        <is>
          <t>카페24</t>
        </is>
      </c>
      <c r="H1780" s="20" t="n">
        <v>2</v>
      </c>
      <c r="I1780" s="20" t="inlineStr">
        <is>
          <t>이그나이트</t>
        </is>
      </c>
      <c r="J1780" s="20" t="n">
        <v>200720</v>
      </c>
      <c r="L1780" s="20">
        <f>VLOOKUP($O1780,매칭테이블!$G:$J,2,0)*H1780</f>
        <v/>
      </c>
      <c r="M1780" s="20">
        <f>L1780-L1780*VLOOKUP($O1780,매칭테이블!$G:$J,3,0)</f>
        <v/>
      </c>
      <c r="N1780" s="20">
        <f>VLOOKUP($O1780,매칭테이블!$G:$J,4,0)*H1780</f>
        <v/>
      </c>
      <c r="O1780" s="20">
        <f>F1780&amp;E1780&amp;I1780&amp;J1780</f>
        <v/>
      </c>
    </row>
    <row r="1781" ht="16.5" customHeight="1" s="17">
      <c r="B1781" s="16" t="n">
        <v>44111</v>
      </c>
      <c r="C1781" s="20" t="inlineStr">
        <is>
          <t>수</t>
        </is>
      </c>
      <c r="E1781" s="20" t="inlineStr">
        <is>
          <t>고체향수</t>
        </is>
      </c>
      <c r="F1781" s="20" t="inlineStr">
        <is>
          <t>카페24</t>
        </is>
      </c>
      <c r="H1781" s="20" t="n">
        <v>1</v>
      </c>
      <c r="I1781" s="20" t="inlineStr">
        <is>
          <t>이그나이트 2set</t>
        </is>
      </c>
      <c r="J1781" s="20" t="n">
        <v>200720</v>
      </c>
      <c r="L1781" s="20">
        <f>VLOOKUP($O1781,매칭테이블!$G:$J,2,0)*H1781</f>
        <v/>
      </c>
      <c r="M1781" s="20">
        <f>L1781-L1781*VLOOKUP($O1781,매칭테이블!$G:$J,3,0)</f>
        <v/>
      </c>
      <c r="N1781" s="20">
        <f>VLOOKUP($O1781,매칭테이블!$G:$J,4,0)*H1781</f>
        <v/>
      </c>
      <c r="O1781" s="20">
        <f>F1781&amp;E1781&amp;I1781&amp;J1781</f>
        <v/>
      </c>
    </row>
    <row r="1782" ht="16.5" customHeight="1" s="17">
      <c r="B1782" s="16" t="n">
        <v>44111</v>
      </c>
      <c r="C1782" s="20" t="inlineStr">
        <is>
          <t>수</t>
        </is>
      </c>
      <c r="E1782" s="20" t="inlineStr">
        <is>
          <t>쇼핑백</t>
        </is>
      </c>
      <c r="F1782" s="20" t="inlineStr">
        <is>
          <t>카페24</t>
        </is>
      </c>
      <c r="H1782" s="20" t="n">
        <v>4</v>
      </c>
      <c r="I1782" s="20" t="inlineStr">
        <is>
          <t>유즈쇼핑백</t>
        </is>
      </c>
      <c r="J1782" s="20" t="n">
        <v>200720</v>
      </c>
      <c r="L1782" s="20">
        <f>VLOOKUP($O1782,매칭테이블!$G:$J,2,0)*H1782</f>
        <v/>
      </c>
      <c r="M1782" s="20">
        <f>L1782-L1782*VLOOKUP($O1782,매칭테이블!$G:$J,3,0)</f>
        <v/>
      </c>
      <c r="N1782" s="20">
        <f>VLOOKUP($O1782,매칭테이블!$G:$J,4,0)*H1782</f>
        <v/>
      </c>
      <c r="O1782" s="20">
        <f>F1782&amp;E1782&amp;I1782&amp;J1782</f>
        <v/>
      </c>
    </row>
    <row r="1783" ht="16.5" customHeight="1" s="17">
      <c r="B1783" s="16" t="n">
        <v>44112</v>
      </c>
      <c r="C1783" s="20" t="inlineStr">
        <is>
          <t>목</t>
        </is>
      </c>
      <c r="E1783" s="20" t="inlineStr">
        <is>
          <t>고체향수</t>
        </is>
      </c>
      <c r="F1783" s="20" t="inlineStr">
        <is>
          <t>카페24</t>
        </is>
      </c>
      <c r="H1783" s="20" t="n">
        <v>15</v>
      </c>
      <c r="I1783" s="20" t="inlineStr">
        <is>
          <t>이그나이트 + 스테이포에버</t>
        </is>
      </c>
      <c r="J1783" s="20" t="n">
        <v>200720</v>
      </c>
      <c r="L1783" s="20">
        <f>VLOOKUP($O1783,매칭테이블!$G:$J,2,0)*H1783</f>
        <v/>
      </c>
      <c r="M1783" s="20">
        <f>L1783-L1783*VLOOKUP($O1783,매칭테이블!$G:$J,3,0)</f>
        <v/>
      </c>
      <c r="N1783" s="20">
        <f>VLOOKUP($O1783,매칭테이블!$G:$J,4,0)*H1783</f>
        <v/>
      </c>
      <c r="O1783" s="20">
        <f>F1783&amp;E1783&amp;I1783&amp;J1783</f>
        <v/>
      </c>
    </row>
    <row r="1784" ht="16.5" customHeight="1" s="17">
      <c r="B1784" s="16" t="n">
        <v>44112</v>
      </c>
      <c r="C1784" s="20" t="inlineStr">
        <is>
          <t>목</t>
        </is>
      </c>
      <c r="E1784" s="20" t="inlineStr">
        <is>
          <t>고체향수</t>
        </is>
      </c>
      <c r="F1784" s="20" t="inlineStr">
        <is>
          <t>카페24</t>
        </is>
      </c>
      <c r="H1784" s="20" t="n">
        <v>143</v>
      </c>
      <c r="I1784" s="20" t="inlineStr">
        <is>
          <t>스테이포에버</t>
        </is>
      </c>
      <c r="J1784" s="20" t="n">
        <v>200720</v>
      </c>
      <c r="L1784" s="20">
        <f>VLOOKUP($O1784,매칭테이블!$G:$J,2,0)*H1784</f>
        <v/>
      </c>
      <c r="M1784" s="20">
        <f>L1784-L1784*VLOOKUP($O1784,매칭테이블!$G:$J,3,0)</f>
        <v/>
      </c>
      <c r="N1784" s="20">
        <f>VLOOKUP($O1784,매칭테이블!$G:$J,4,0)*H1784</f>
        <v/>
      </c>
      <c r="O1784" s="20">
        <f>F1784&amp;E1784&amp;I1784&amp;J1784</f>
        <v/>
      </c>
    </row>
    <row r="1785" ht="16.5" customHeight="1" s="17">
      <c r="B1785" s="16" t="n">
        <v>44112</v>
      </c>
      <c r="C1785" s="20" t="inlineStr">
        <is>
          <t>목</t>
        </is>
      </c>
      <c r="E1785" s="20" t="inlineStr">
        <is>
          <t>고체향수</t>
        </is>
      </c>
      <c r="F1785" s="20" t="inlineStr">
        <is>
          <t>카페24</t>
        </is>
      </c>
      <c r="H1785" s="20" t="n">
        <v>36</v>
      </c>
      <c r="I1785" s="20" t="inlineStr">
        <is>
          <t>스테이포에버 2set</t>
        </is>
      </c>
      <c r="J1785" s="20" t="n">
        <v>200720</v>
      </c>
      <c r="L1785" s="20">
        <f>VLOOKUP($O1785,매칭테이블!$G:$J,2,0)*H1785</f>
        <v/>
      </c>
      <c r="M1785" s="20">
        <f>L1785-L1785*VLOOKUP($O1785,매칭테이블!$G:$J,3,0)</f>
        <v/>
      </c>
      <c r="N1785" s="20">
        <f>VLOOKUP($O1785,매칭테이블!$G:$J,4,0)*H1785</f>
        <v/>
      </c>
      <c r="O1785" s="20">
        <f>F1785&amp;E1785&amp;I1785&amp;J1785</f>
        <v/>
      </c>
    </row>
    <row r="1786" ht="16.5" customHeight="1" s="17">
      <c r="B1786" s="16" t="n">
        <v>44112</v>
      </c>
      <c r="C1786" s="20" t="inlineStr">
        <is>
          <t>목</t>
        </is>
      </c>
      <c r="E1786" s="20" t="inlineStr">
        <is>
          <t>쇼핑백</t>
        </is>
      </c>
      <c r="F1786" s="20" t="inlineStr">
        <is>
          <t>카페24</t>
        </is>
      </c>
      <c r="H1786" s="20" t="n">
        <v>4</v>
      </c>
      <c r="I1786" s="20" t="inlineStr">
        <is>
          <t>유즈쇼핑백</t>
        </is>
      </c>
      <c r="J1786" s="20" t="n">
        <v>200720</v>
      </c>
      <c r="L1786" s="20">
        <f>VLOOKUP($O1786,매칭테이블!$G:$J,2,0)*H1786</f>
        <v/>
      </c>
      <c r="M1786" s="20">
        <f>L1786-L1786*VLOOKUP($O1786,매칭테이블!$G:$J,3,0)</f>
        <v/>
      </c>
      <c r="N1786" s="20">
        <f>VLOOKUP($O1786,매칭테이블!$G:$J,4,0)*H1786</f>
        <v/>
      </c>
      <c r="O1786" s="20">
        <f>F1786&amp;E1786&amp;I1786&amp;J1786</f>
        <v/>
      </c>
    </row>
    <row r="1787" ht="16.5" customHeight="1" s="17">
      <c r="B1787" s="16" t="n">
        <v>44113</v>
      </c>
      <c r="C1787" s="20" t="inlineStr">
        <is>
          <t>금</t>
        </is>
      </c>
      <c r="E1787" s="20" t="inlineStr">
        <is>
          <t>고체향수</t>
        </is>
      </c>
      <c r="F1787" s="20" t="inlineStr">
        <is>
          <t>카페24</t>
        </is>
      </c>
      <c r="H1787" s="20" t="n">
        <v>20</v>
      </c>
      <c r="I1787" s="20" t="inlineStr">
        <is>
          <t>이그나이트 + 스테이포에버</t>
        </is>
      </c>
      <c r="J1787" s="20" t="n">
        <v>200720</v>
      </c>
      <c r="L1787" s="20">
        <f>VLOOKUP($O1787,매칭테이블!$G:$J,2,0)*H1787</f>
        <v/>
      </c>
      <c r="M1787" s="20">
        <f>L1787-L1787*VLOOKUP($O1787,매칭테이블!$G:$J,3,0)</f>
        <v/>
      </c>
      <c r="N1787" s="20">
        <f>VLOOKUP($O1787,매칭테이블!$G:$J,4,0)*H1787</f>
        <v/>
      </c>
      <c r="O1787" s="20">
        <f>F1787&amp;E1787&amp;I1787&amp;J1787</f>
        <v/>
      </c>
    </row>
    <row r="1788" ht="16.5" customHeight="1" s="17">
      <c r="B1788" s="16" t="n">
        <v>44113</v>
      </c>
      <c r="C1788" s="20" t="inlineStr">
        <is>
          <t>금</t>
        </is>
      </c>
      <c r="E1788" s="20" t="inlineStr">
        <is>
          <t>고체향수</t>
        </is>
      </c>
      <c r="F1788" s="20" t="inlineStr">
        <is>
          <t>카페24</t>
        </is>
      </c>
      <c r="H1788" s="20" t="n">
        <v>201</v>
      </c>
      <c r="I1788" s="20" t="inlineStr">
        <is>
          <t>스테이포에버</t>
        </is>
      </c>
      <c r="J1788" s="20" t="n">
        <v>200720</v>
      </c>
      <c r="L1788" s="20">
        <f>VLOOKUP($O1788,매칭테이블!$G:$J,2,0)*H1788</f>
        <v/>
      </c>
      <c r="M1788" s="20">
        <f>L1788-L1788*VLOOKUP($O1788,매칭테이블!$G:$J,3,0)</f>
        <v/>
      </c>
      <c r="N1788" s="20">
        <f>VLOOKUP($O1788,매칭테이블!$G:$J,4,0)*H1788</f>
        <v/>
      </c>
      <c r="O1788" s="20">
        <f>F1788&amp;E1788&amp;I1788&amp;J1788</f>
        <v/>
      </c>
    </row>
    <row r="1789" ht="16.5" customHeight="1" s="17">
      <c r="B1789" s="16" t="n">
        <v>44113</v>
      </c>
      <c r="C1789" s="20" t="inlineStr">
        <is>
          <t>금</t>
        </is>
      </c>
      <c r="E1789" s="20" t="inlineStr">
        <is>
          <t>고체향수</t>
        </is>
      </c>
      <c r="F1789" s="20" t="inlineStr">
        <is>
          <t>카페24</t>
        </is>
      </c>
      <c r="H1789" s="20" t="n">
        <v>49</v>
      </c>
      <c r="I1789" s="20" t="inlineStr">
        <is>
          <t>스테이포에버 2set</t>
        </is>
      </c>
      <c r="J1789" s="20" t="n">
        <v>200720</v>
      </c>
      <c r="L1789" s="20">
        <f>VLOOKUP($O1789,매칭테이블!$G:$J,2,0)*H1789</f>
        <v/>
      </c>
      <c r="M1789" s="20">
        <f>L1789-L1789*VLOOKUP($O1789,매칭테이블!$G:$J,3,0)</f>
        <v/>
      </c>
      <c r="N1789" s="20">
        <f>VLOOKUP($O1789,매칭테이블!$G:$J,4,0)*H1789</f>
        <v/>
      </c>
      <c r="O1789" s="20">
        <f>F1789&amp;E1789&amp;I1789&amp;J1789</f>
        <v/>
      </c>
    </row>
    <row r="1790" ht="16.5" customHeight="1" s="17">
      <c r="B1790" s="16" t="n">
        <v>44113</v>
      </c>
      <c r="C1790" s="20" t="inlineStr">
        <is>
          <t>금</t>
        </is>
      </c>
      <c r="E1790" s="20" t="inlineStr">
        <is>
          <t>고체향수</t>
        </is>
      </c>
      <c r="F1790" s="20" t="inlineStr">
        <is>
          <t>카페24</t>
        </is>
      </c>
      <c r="H1790" s="20" t="n">
        <v>2</v>
      </c>
      <c r="I1790" s="20" t="inlineStr">
        <is>
          <t>이그나이트</t>
        </is>
      </c>
      <c r="J1790" s="20" t="n">
        <v>200720</v>
      </c>
      <c r="L1790" s="20">
        <f>VLOOKUP($O1790,매칭테이블!$G:$J,2,0)*H1790</f>
        <v/>
      </c>
      <c r="M1790" s="20">
        <f>L1790-L1790*VLOOKUP($O1790,매칭테이블!$G:$J,3,0)</f>
        <v/>
      </c>
      <c r="N1790" s="20">
        <f>VLOOKUP($O1790,매칭테이블!$G:$J,4,0)*H1790</f>
        <v/>
      </c>
      <c r="O1790" s="20">
        <f>F1790&amp;E1790&amp;I1790&amp;J1790</f>
        <v/>
      </c>
    </row>
    <row r="1791" ht="16.5" customHeight="1" s="17">
      <c r="B1791" s="16" t="n">
        <v>44113</v>
      </c>
      <c r="C1791" s="20" t="inlineStr">
        <is>
          <t>금</t>
        </is>
      </c>
      <c r="E1791" s="20" t="inlineStr">
        <is>
          <t>고체향수</t>
        </is>
      </c>
      <c r="F1791" s="20" t="inlineStr">
        <is>
          <t>카페24</t>
        </is>
      </c>
      <c r="H1791" s="20" t="n">
        <v>1</v>
      </c>
      <c r="I1791" s="20" t="inlineStr">
        <is>
          <t>이그나이트 2set</t>
        </is>
      </c>
      <c r="J1791" s="20" t="n">
        <v>200720</v>
      </c>
      <c r="L1791" s="20">
        <f>VLOOKUP($O1791,매칭테이블!$G:$J,2,0)*H1791</f>
        <v/>
      </c>
      <c r="M1791" s="20">
        <f>L1791-L1791*VLOOKUP($O1791,매칭테이블!$G:$J,3,0)</f>
        <v/>
      </c>
      <c r="N1791" s="20">
        <f>VLOOKUP($O1791,매칭테이블!$G:$J,4,0)*H1791</f>
        <v/>
      </c>
      <c r="O1791" s="20">
        <f>F1791&amp;E1791&amp;I1791&amp;J1791</f>
        <v/>
      </c>
    </row>
    <row r="1792" ht="16.5" customHeight="1" s="17">
      <c r="B1792" s="16" t="n">
        <v>44113</v>
      </c>
      <c r="C1792" s="20" t="inlineStr">
        <is>
          <t>금</t>
        </is>
      </c>
      <c r="E1792" s="20" t="inlineStr">
        <is>
          <t>쇼핑백</t>
        </is>
      </c>
      <c r="F1792" s="20" t="inlineStr">
        <is>
          <t>카페24</t>
        </is>
      </c>
      <c r="H1792" s="20" t="n">
        <v>5</v>
      </c>
      <c r="I1792" s="20" t="inlineStr">
        <is>
          <t>유즈쇼핑백</t>
        </is>
      </c>
      <c r="J1792" s="20" t="n">
        <v>200720</v>
      </c>
      <c r="L1792" s="20">
        <f>VLOOKUP($O1792,매칭테이블!$G:$J,2,0)*H1792</f>
        <v/>
      </c>
      <c r="M1792" s="20">
        <f>L1792-L1792*VLOOKUP($O1792,매칭테이블!$G:$J,3,0)</f>
        <v/>
      </c>
      <c r="N1792" s="20">
        <f>VLOOKUP($O1792,매칭테이블!$G:$J,4,0)*H1792</f>
        <v/>
      </c>
      <c r="O1792" s="20">
        <f>F1792&amp;E1792&amp;I1792&amp;J1792</f>
        <v/>
      </c>
    </row>
    <row r="1793" ht="16.5" customHeight="1" s="17">
      <c r="B1793" s="16" t="n">
        <v>44114</v>
      </c>
      <c r="C1793" s="20" t="inlineStr">
        <is>
          <t>토</t>
        </is>
      </c>
      <c r="E1793" s="20" t="inlineStr">
        <is>
          <t>고체향수</t>
        </is>
      </c>
      <c r="F1793" s="20" t="inlineStr">
        <is>
          <t>카페24</t>
        </is>
      </c>
      <c r="H1793" s="20" t="n">
        <v>11</v>
      </c>
      <c r="I1793" s="20" t="inlineStr">
        <is>
          <t>이그나이트 + 스테이포에버</t>
        </is>
      </c>
      <c r="J1793" s="20" t="n">
        <v>200720</v>
      </c>
      <c r="L1793" s="20">
        <f>VLOOKUP($O1793,매칭테이블!$G:$J,2,0)*H1793</f>
        <v/>
      </c>
      <c r="M1793" s="20">
        <f>L1793-L1793*VLOOKUP($O1793,매칭테이블!$G:$J,3,0)</f>
        <v/>
      </c>
      <c r="N1793" s="20">
        <f>VLOOKUP($O1793,매칭테이블!$G:$J,4,0)*H1793</f>
        <v/>
      </c>
      <c r="O1793" s="20">
        <f>F1793&amp;E1793&amp;I1793&amp;J1793</f>
        <v/>
      </c>
    </row>
    <row r="1794" ht="16.5" customHeight="1" s="17">
      <c r="B1794" s="16" t="n">
        <v>44114</v>
      </c>
      <c r="C1794" s="20" t="inlineStr">
        <is>
          <t>토</t>
        </is>
      </c>
      <c r="E1794" s="20" t="inlineStr">
        <is>
          <t>고체향수</t>
        </is>
      </c>
      <c r="F1794" s="20" t="inlineStr">
        <is>
          <t>카페24</t>
        </is>
      </c>
      <c r="H1794" s="20" t="n">
        <v>212</v>
      </c>
      <c r="I1794" s="20" t="inlineStr">
        <is>
          <t>스테이포에버</t>
        </is>
      </c>
      <c r="J1794" s="20" t="n">
        <v>200720</v>
      </c>
      <c r="L1794" s="20">
        <f>VLOOKUP($O1794,매칭테이블!$G:$J,2,0)*H1794</f>
        <v/>
      </c>
      <c r="M1794" s="20">
        <f>L1794-L1794*VLOOKUP($O1794,매칭테이블!$G:$J,3,0)</f>
        <v/>
      </c>
      <c r="N1794" s="20">
        <f>VLOOKUP($O1794,매칭테이블!$G:$J,4,0)*H1794</f>
        <v/>
      </c>
      <c r="O1794" s="20">
        <f>F1794&amp;E1794&amp;I1794&amp;J1794</f>
        <v/>
      </c>
    </row>
    <row r="1795" ht="16.5" customHeight="1" s="17">
      <c r="B1795" s="16" t="n">
        <v>44114</v>
      </c>
      <c r="C1795" s="20" t="inlineStr">
        <is>
          <t>토</t>
        </is>
      </c>
      <c r="E1795" s="20" t="inlineStr">
        <is>
          <t>고체향수</t>
        </is>
      </c>
      <c r="F1795" s="20" t="inlineStr">
        <is>
          <t>카페24</t>
        </is>
      </c>
      <c r="H1795" s="20" t="n">
        <v>54</v>
      </c>
      <c r="I1795" s="20" t="inlineStr">
        <is>
          <t>스테이포에버 2set</t>
        </is>
      </c>
      <c r="J1795" s="20" t="n">
        <v>200720</v>
      </c>
      <c r="L1795" s="20">
        <f>VLOOKUP($O1795,매칭테이블!$G:$J,2,0)*H1795</f>
        <v/>
      </c>
      <c r="M1795" s="20">
        <f>L1795-L1795*VLOOKUP($O1795,매칭테이블!$G:$J,3,0)</f>
        <v/>
      </c>
      <c r="N1795" s="20">
        <f>VLOOKUP($O1795,매칭테이블!$G:$J,4,0)*H1795</f>
        <v/>
      </c>
      <c r="O1795" s="20">
        <f>F1795&amp;E1795&amp;I1795&amp;J1795</f>
        <v/>
      </c>
    </row>
    <row r="1796" ht="16.5" customHeight="1" s="17">
      <c r="B1796" s="16" t="n">
        <v>44114</v>
      </c>
      <c r="C1796" s="20" t="inlineStr">
        <is>
          <t>토</t>
        </is>
      </c>
      <c r="E1796" s="20" t="inlineStr">
        <is>
          <t>고체향수</t>
        </is>
      </c>
      <c r="F1796" s="20" t="inlineStr">
        <is>
          <t>카페24</t>
        </is>
      </c>
      <c r="H1796" s="20" t="n">
        <v>1</v>
      </c>
      <c r="I1796" s="20" t="inlineStr">
        <is>
          <t>이그나이트</t>
        </is>
      </c>
      <c r="J1796" s="20" t="n">
        <v>200720</v>
      </c>
      <c r="L1796" s="20">
        <f>VLOOKUP($O1796,매칭테이블!$G:$J,2,0)*H1796</f>
        <v/>
      </c>
      <c r="M1796" s="20">
        <f>L1796-L1796*VLOOKUP($O1796,매칭테이블!$G:$J,3,0)</f>
        <v/>
      </c>
      <c r="N1796" s="20">
        <f>VLOOKUP($O1796,매칭테이블!$G:$J,4,0)*H1796</f>
        <v/>
      </c>
      <c r="O1796" s="20">
        <f>F1796&amp;E1796&amp;I1796&amp;J1796</f>
        <v/>
      </c>
    </row>
    <row r="1797" ht="16.5" customHeight="1" s="17">
      <c r="B1797" s="16" t="n">
        <v>44114</v>
      </c>
      <c r="C1797" s="20" t="inlineStr">
        <is>
          <t>토</t>
        </is>
      </c>
      <c r="E1797" s="20" t="inlineStr">
        <is>
          <t>고체향수</t>
        </is>
      </c>
      <c r="F1797" s="20" t="inlineStr">
        <is>
          <t>카페24</t>
        </is>
      </c>
      <c r="H1797" s="20" t="n">
        <v>1</v>
      </c>
      <c r="I1797" s="20" t="inlineStr">
        <is>
          <t>이그나이트 2set</t>
        </is>
      </c>
      <c r="J1797" s="20" t="n">
        <v>200720</v>
      </c>
      <c r="L1797" s="20">
        <f>VLOOKUP($O1797,매칭테이블!$G:$J,2,0)*H1797</f>
        <v/>
      </c>
      <c r="M1797" s="20">
        <f>L1797-L1797*VLOOKUP($O1797,매칭테이블!$G:$J,3,0)</f>
        <v/>
      </c>
      <c r="N1797" s="20">
        <f>VLOOKUP($O1797,매칭테이블!$G:$J,4,0)*H1797</f>
        <v/>
      </c>
      <c r="O1797" s="20">
        <f>F1797&amp;E1797&amp;I1797&amp;J1797</f>
        <v/>
      </c>
    </row>
    <row r="1798" ht="16.5" customHeight="1" s="17">
      <c r="B1798" s="16" t="n">
        <v>44114</v>
      </c>
      <c r="C1798" s="20" t="inlineStr">
        <is>
          <t>토</t>
        </is>
      </c>
      <c r="E1798" s="20" t="inlineStr">
        <is>
          <t>쇼핑백</t>
        </is>
      </c>
      <c r="F1798" s="20" t="inlineStr">
        <is>
          <t>카페24</t>
        </is>
      </c>
      <c r="H1798" s="20" t="n">
        <v>4</v>
      </c>
      <c r="I1798" s="20" t="inlineStr">
        <is>
          <t>유즈쇼핑백</t>
        </is>
      </c>
      <c r="J1798" s="20" t="n">
        <v>200720</v>
      </c>
      <c r="L1798" s="20">
        <f>VLOOKUP($O1798,매칭테이블!$G:$J,2,0)*H1798</f>
        <v/>
      </c>
      <c r="M1798" s="20">
        <f>L1798-L1798*VLOOKUP($O1798,매칭테이블!$G:$J,3,0)</f>
        <v/>
      </c>
      <c r="N1798" s="20">
        <f>VLOOKUP($O1798,매칭테이블!$G:$J,4,0)*H1798</f>
        <v/>
      </c>
      <c r="O1798" s="20">
        <f>F1798&amp;E1798&amp;I1798&amp;J1798</f>
        <v/>
      </c>
    </row>
    <row r="1799" ht="16.5" customHeight="1" s="17">
      <c r="B1799" s="16" t="n">
        <v>44115</v>
      </c>
      <c r="C1799" s="20" t="inlineStr">
        <is>
          <t>일</t>
        </is>
      </c>
      <c r="E1799" s="20" t="inlineStr">
        <is>
          <t>고체향수</t>
        </is>
      </c>
      <c r="F1799" s="20" t="inlineStr">
        <is>
          <t>카페24</t>
        </is>
      </c>
      <c r="H1799" s="20" t="n">
        <v>19</v>
      </c>
      <c r="I1799" s="20" t="inlineStr">
        <is>
          <t>이그나이트 + 스테이포에버</t>
        </is>
      </c>
      <c r="J1799" s="20" t="n">
        <v>200720</v>
      </c>
      <c r="L1799" s="20">
        <f>VLOOKUP($O1799,매칭테이블!$G:$J,2,0)*H1799</f>
        <v/>
      </c>
      <c r="M1799" s="20">
        <f>L1799-L1799*VLOOKUP($O1799,매칭테이블!$G:$J,3,0)</f>
        <v/>
      </c>
      <c r="N1799" s="20">
        <f>VLOOKUP($O1799,매칭테이블!$G:$J,4,0)*H1799</f>
        <v/>
      </c>
      <c r="O1799" s="20">
        <f>F1799&amp;E1799&amp;I1799&amp;J1799</f>
        <v/>
      </c>
    </row>
    <row r="1800" ht="16.5" customHeight="1" s="17">
      <c r="B1800" s="16" t="n">
        <v>44115</v>
      </c>
      <c r="C1800" s="20" t="inlineStr">
        <is>
          <t>일</t>
        </is>
      </c>
      <c r="E1800" s="20" t="inlineStr">
        <is>
          <t>고체향수</t>
        </is>
      </c>
      <c r="F1800" s="20" t="inlineStr">
        <is>
          <t>카페24</t>
        </is>
      </c>
      <c r="H1800" s="20" t="n">
        <v>257</v>
      </c>
      <c r="I1800" s="20" t="inlineStr">
        <is>
          <t>스테이포에버</t>
        </is>
      </c>
      <c r="J1800" s="20" t="n">
        <v>200720</v>
      </c>
      <c r="L1800" s="20">
        <f>VLOOKUP($O1800,매칭테이블!$G:$J,2,0)*H1800</f>
        <v/>
      </c>
      <c r="M1800" s="20">
        <f>L1800-L1800*VLOOKUP($O1800,매칭테이블!$G:$J,3,0)</f>
        <v/>
      </c>
      <c r="N1800" s="20">
        <f>VLOOKUP($O1800,매칭테이블!$G:$J,4,0)*H1800</f>
        <v/>
      </c>
      <c r="O1800" s="20">
        <f>F1800&amp;E1800&amp;I1800&amp;J1800</f>
        <v/>
      </c>
    </row>
    <row r="1801" ht="16.5" customHeight="1" s="17">
      <c r="B1801" s="16" t="n">
        <v>44115</v>
      </c>
      <c r="C1801" s="20" t="inlineStr">
        <is>
          <t>일</t>
        </is>
      </c>
      <c r="E1801" s="20" t="inlineStr">
        <is>
          <t>고체향수</t>
        </is>
      </c>
      <c r="F1801" s="20" t="inlineStr">
        <is>
          <t>카페24</t>
        </is>
      </c>
      <c r="H1801" s="20" t="n">
        <v>52</v>
      </c>
      <c r="I1801" s="20" t="inlineStr">
        <is>
          <t>스테이포에버 2set</t>
        </is>
      </c>
      <c r="J1801" s="20" t="n">
        <v>200720</v>
      </c>
      <c r="L1801" s="20">
        <f>VLOOKUP($O1801,매칭테이블!$G:$J,2,0)*H1801</f>
        <v/>
      </c>
      <c r="M1801" s="20">
        <f>L1801-L1801*VLOOKUP($O1801,매칭테이블!$G:$J,3,0)</f>
        <v/>
      </c>
      <c r="N1801" s="20">
        <f>VLOOKUP($O1801,매칭테이블!$G:$J,4,0)*H1801</f>
        <v/>
      </c>
      <c r="O1801" s="20">
        <f>F1801&amp;E1801&amp;I1801&amp;J1801</f>
        <v/>
      </c>
    </row>
    <row r="1802" ht="16.5" customHeight="1" s="17">
      <c r="B1802" s="16" t="n">
        <v>44115</v>
      </c>
      <c r="C1802" s="20" t="inlineStr">
        <is>
          <t>일</t>
        </is>
      </c>
      <c r="E1802" s="20" t="inlineStr">
        <is>
          <t>고체향수</t>
        </is>
      </c>
      <c r="F1802" s="20" t="inlineStr">
        <is>
          <t>카페24</t>
        </is>
      </c>
      <c r="H1802" s="20" t="n">
        <v>3</v>
      </c>
      <c r="I1802" s="20" t="inlineStr">
        <is>
          <t>이그나이트</t>
        </is>
      </c>
      <c r="J1802" s="20" t="n">
        <v>200720</v>
      </c>
      <c r="L1802" s="20">
        <f>VLOOKUP($O1802,매칭테이블!$G:$J,2,0)*H1802</f>
        <v/>
      </c>
      <c r="M1802" s="20">
        <f>L1802-L1802*VLOOKUP($O1802,매칭테이블!$G:$J,3,0)</f>
        <v/>
      </c>
      <c r="N1802" s="20">
        <f>VLOOKUP($O1802,매칭테이블!$G:$J,4,0)*H1802</f>
        <v/>
      </c>
      <c r="O1802" s="20">
        <f>F1802&amp;E1802&amp;I1802&amp;J1802</f>
        <v/>
      </c>
    </row>
    <row r="1803" ht="16.5" customHeight="1" s="17">
      <c r="B1803" s="16" t="n">
        <v>44115</v>
      </c>
      <c r="C1803" s="20" t="inlineStr">
        <is>
          <t>일</t>
        </is>
      </c>
      <c r="E1803" s="20" t="inlineStr">
        <is>
          <t>쇼핑백</t>
        </is>
      </c>
      <c r="F1803" s="20" t="inlineStr">
        <is>
          <t>카페24</t>
        </is>
      </c>
      <c r="H1803" s="20" t="n">
        <v>10</v>
      </c>
      <c r="I1803" s="20" t="inlineStr">
        <is>
          <t>유즈쇼핑백</t>
        </is>
      </c>
      <c r="J1803" s="20" t="n">
        <v>200720</v>
      </c>
      <c r="L1803" s="20">
        <f>VLOOKUP($O1803,매칭테이블!$G:$J,2,0)*H1803</f>
        <v/>
      </c>
      <c r="M1803" s="20">
        <f>L1803-L1803*VLOOKUP($O1803,매칭테이블!$G:$J,3,0)</f>
        <v/>
      </c>
      <c r="N1803" s="20">
        <f>VLOOKUP($O1803,매칭테이블!$G:$J,4,0)*H1803</f>
        <v/>
      </c>
      <c r="O1803" s="20">
        <f>F1803&amp;E1803&amp;I1803&amp;J1803</f>
        <v/>
      </c>
    </row>
    <row r="1804" ht="16.5" customHeight="1" s="17">
      <c r="B1804" s="16" t="n">
        <v>44116</v>
      </c>
      <c r="C1804" s="20" t="inlineStr">
        <is>
          <t>월</t>
        </is>
      </c>
      <c r="E1804" s="20" t="inlineStr">
        <is>
          <t>고체향수</t>
        </is>
      </c>
      <c r="F1804" s="20" t="inlineStr">
        <is>
          <t>카페24</t>
        </is>
      </c>
      <c r="H1804" s="20" t="n">
        <v>17</v>
      </c>
      <c r="I1804" s="20" t="inlineStr">
        <is>
          <t>이그나이트 + 스테이포에버</t>
        </is>
      </c>
      <c r="J1804" s="20" t="n">
        <v>200720</v>
      </c>
      <c r="L1804" s="20">
        <f>VLOOKUP($O1804,매칭테이블!$G:$J,2,0)*H1804</f>
        <v/>
      </c>
      <c r="M1804" s="20">
        <f>L1804-L1804*VLOOKUP($O1804,매칭테이블!$G:$J,3,0)</f>
        <v/>
      </c>
      <c r="N1804" s="20">
        <f>VLOOKUP($O1804,매칭테이블!$G:$J,4,0)*H1804</f>
        <v/>
      </c>
      <c r="O1804" s="20">
        <f>F1804&amp;E1804&amp;I1804&amp;J1804</f>
        <v/>
      </c>
    </row>
    <row r="1805" ht="16.5" customHeight="1" s="17">
      <c r="B1805" s="16" t="n">
        <v>44116</v>
      </c>
      <c r="C1805" s="20" t="inlineStr">
        <is>
          <t>월</t>
        </is>
      </c>
      <c r="E1805" s="20" t="inlineStr">
        <is>
          <t>고체향수</t>
        </is>
      </c>
      <c r="F1805" s="20" t="inlineStr">
        <is>
          <t>카페24</t>
        </is>
      </c>
      <c r="H1805" s="20" t="n">
        <v>205</v>
      </c>
      <c r="I1805" s="20" t="inlineStr">
        <is>
          <t>스테이포에버</t>
        </is>
      </c>
      <c r="J1805" s="20" t="n">
        <v>200720</v>
      </c>
      <c r="L1805" s="20">
        <f>VLOOKUP($O1805,매칭테이블!$G:$J,2,0)*H1805</f>
        <v/>
      </c>
      <c r="M1805" s="20">
        <f>L1805-L1805*VLOOKUP($O1805,매칭테이블!$G:$J,3,0)</f>
        <v/>
      </c>
      <c r="N1805" s="20">
        <f>VLOOKUP($O1805,매칭테이블!$G:$J,4,0)*H1805</f>
        <v/>
      </c>
      <c r="O1805" s="20">
        <f>F1805&amp;E1805&amp;I1805&amp;J1805</f>
        <v/>
      </c>
    </row>
    <row r="1806" ht="16.5" customHeight="1" s="17">
      <c r="B1806" s="16" t="n">
        <v>44116</v>
      </c>
      <c r="C1806" s="20" t="inlineStr">
        <is>
          <t>월</t>
        </is>
      </c>
      <c r="E1806" s="20" t="inlineStr">
        <is>
          <t>고체향수</t>
        </is>
      </c>
      <c r="F1806" s="20" t="inlineStr">
        <is>
          <t>카페24</t>
        </is>
      </c>
      <c r="H1806" s="20" t="n">
        <v>49</v>
      </c>
      <c r="I1806" s="20" t="inlineStr">
        <is>
          <t>스테이포에버 2set</t>
        </is>
      </c>
      <c r="J1806" s="20" t="n">
        <v>200720</v>
      </c>
      <c r="L1806" s="20">
        <f>VLOOKUP($O1806,매칭테이블!$G:$J,2,0)*H1806</f>
        <v/>
      </c>
      <c r="M1806" s="20">
        <f>L1806-L1806*VLOOKUP($O1806,매칭테이블!$G:$J,3,0)</f>
        <v/>
      </c>
      <c r="N1806" s="20">
        <f>VLOOKUP($O1806,매칭테이블!$G:$J,4,0)*H1806</f>
        <v/>
      </c>
      <c r="O1806" s="20">
        <f>F1806&amp;E1806&amp;I1806&amp;J1806</f>
        <v/>
      </c>
    </row>
    <row r="1807" ht="16.5" customHeight="1" s="17">
      <c r="B1807" s="16" t="n">
        <v>44116</v>
      </c>
      <c r="C1807" s="20" t="inlineStr">
        <is>
          <t>월</t>
        </is>
      </c>
      <c r="E1807" s="20" t="inlineStr">
        <is>
          <t>쇼핑백</t>
        </is>
      </c>
      <c r="F1807" s="20" t="inlineStr">
        <is>
          <t>카페24</t>
        </is>
      </c>
      <c r="H1807" s="20" t="n">
        <v>5</v>
      </c>
      <c r="I1807" s="20" t="inlineStr">
        <is>
          <t>유즈쇼핑백</t>
        </is>
      </c>
      <c r="J1807" s="20" t="n">
        <v>200720</v>
      </c>
      <c r="L1807" s="20">
        <f>VLOOKUP($O1807,매칭테이블!$G:$J,2,0)*H1807</f>
        <v/>
      </c>
      <c r="M1807" s="20">
        <f>L1807-L1807*VLOOKUP($O1807,매칭테이블!$G:$J,3,0)</f>
        <v/>
      </c>
      <c r="N1807" s="20">
        <f>VLOOKUP($O1807,매칭테이블!$G:$J,4,0)*H1807</f>
        <v/>
      </c>
      <c r="O1807" s="20">
        <f>F1807&amp;E1807&amp;I1807&amp;J1807</f>
        <v/>
      </c>
    </row>
    <row r="1808" ht="16.5" customHeight="1" s="17">
      <c r="B1808" s="16" t="n">
        <v>44117</v>
      </c>
      <c r="C1808" s="20" t="inlineStr">
        <is>
          <t>화</t>
        </is>
      </c>
      <c r="E1808" s="20" t="inlineStr">
        <is>
          <t>고체향수</t>
        </is>
      </c>
      <c r="F1808" s="20" t="inlineStr">
        <is>
          <t>카페24</t>
        </is>
      </c>
      <c r="H1808" s="20" t="n">
        <v>13</v>
      </c>
      <c r="I1808" s="20" t="inlineStr">
        <is>
          <t>이그나이트 + 스테이포에버</t>
        </is>
      </c>
      <c r="J1808" s="20" t="n">
        <v>200720</v>
      </c>
      <c r="L1808" s="20">
        <f>VLOOKUP($O1808,매칭테이블!$G:$J,2,0)*H1808</f>
        <v/>
      </c>
      <c r="M1808" s="20">
        <f>L1808-L1808*VLOOKUP($O1808,매칭테이블!$G:$J,3,0)</f>
        <v/>
      </c>
      <c r="N1808" s="20">
        <f>VLOOKUP($O1808,매칭테이블!$G:$J,4,0)*H1808</f>
        <v/>
      </c>
      <c r="O1808" s="20">
        <f>F1808&amp;E1808&amp;I1808&amp;J1808</f>
        <v/>
      </c>
    </row>
    <row r="1809" ht="16.5" customHeight="1" s="17">
      <c r="B1809" s="16" t="n">
        <v>44117</v>
      </c>
      <c r="C1809" s="20" t="inlineStr">
        <is>
          <t>화</t>
        </is>
      </c>
      <c r="E1809" s="20" t="inlineStr">
        <is>
          <t>고체향수</t>
        </is>
      </c>
      <c r="F1809" s="20" t="inlineStr">
        <is>
          <t>카페24</t>
        </is>
      </c>
      <c r="H1809" s="20" t="n">
        <v>220</v>
      </c>
      <c r="I1809" s="20" t="inlineStr">
        <is>
          <t>스테이포에버</t>
        </is>
      </c>
      <c r="J1809" s="20" t="n">
        <v>200720</v>
      </c>
      <c r="L1809" s="20">
        <f>VLOOKUP($O1809,매칭테이블!$G:$J,2,0)*H1809</f>
        <v/>
      </c>
      <c r="M1809" s="20">
        <f>L1809-L1809*VLOOKUP($O1809,매칭테이블!$G:$J,3,0)</f>
        <v/>
      </c>
      <c r="N1809" s="20">
        <f>VLOOKUP($O1809,매칭테이블!$G:$J,4,0)*H1809</f>
        <v/>
      </c>
      <c r="O1809" s="20">
        <f>F1809&amp;E1809&amp;I1809&amp;J1809</f>
        <v/>
      </c>
    </row>
    <row r="1810" ht="16.5" customHeight="1" s="17">
      <c r="B1810" s="16" t="n">
        <v>44117</v>
      </c>
      <c r="C1810" s="20" t="inlineStr">
        <is>
          <t>화</t>
        </is>
      </c>
      <c r="E1810" s="20" t="inlineStr">
        <is>
          <t>고체향수</t>
        </is>
      </c>
      <c r="F1810" s="20" t="inlineStr">
        <is>
          <t>카페24</t>
        </is>
      </c>
      <c r="H1810" s="20" t="n">
        <v>54</v>
      </c>
      <c r="I1810" s="20" t="inlineStr">
        <is>
          <t>스테이포에버 2set</t>
        </is>
      </c>
      <c r="J1810" s="20" t="n">
        <v>200720</v>
      </c>
      <c r="L1810" s="20">
        <f>VLOOKUP($O1810,매칭테이블!$G:$J,2,0)*H1810</f>
        <v/>
      </c>
      <c r="M1810" s="20">
        <f>L1810-L1810*VLOOKUP($O1810,매칭테이블!$G:$J,3,0)</f>
        <v/>
      </c>
      <c r="N1810" s="20">
        <f>VLOOKUP($O1810,매칭테이블!$G:$J,4,0)*H1810</f>
        <v/>
      </c>
      <c r="O1810" s="20">
        <f>F1810&amp;E1810&amp;I1810&amp;J1810</f>
        <v/>
      </c>
    </row>
    <row r="1811" ht="16.5" customHeight="1" s="17">
      <c r="B1811" s="16" t="n">
        <v>44117</v>
      </c>
      <c r="C1811" s="20" t="inlineStr">
        <is>
          <t>화</t>
        </is>
      </c>
      <c r="E1811" s="20" t="inlineStr">
        <is>
          <t>고체향수</t>
        </is>
      </c>
      <c r="F1811" s="20" t="inlineStr">
        <is>
          <t>카페24</t>
        </is>
      </c>
      <c r="H1811" s="20" t="n">
        <v>2</v>
      </c>
      <c r="I1811" s="20" t="inlineStr">
        <is>
          <t>이그나이트</t>
        </is>
      </c>
      <c r="J1811" s="20" t="n">
        <v>200720</v>
      </c>
      <c r="L1811" s="20">
        <f>VLOOKUP($O1811,매칭테이블!$G:$J,2,0)*H1811</f>
        <v/>
      </c>
      <c r="M1811" s="20">
        <f>L1811-L1811*VLOOKUP($O1811,매칭테이블!$G:$J,3,0)</f>
        <v/>
      </c>
      <c r="N1811" s="20">
        <f>VLOOKUP($O1811,매칭테이블!$G:$J,4,0)*H1811</f>
        <v/>
      </c>
      <c r="O1811" s="20">
        <f>F1811&amp;E1811&amp;I1811&amp;J1811</f>
        <v/>
      </c>
    </row>
    <row r="1812" ht="16.5" customHeight="1" s="17">
      <c r="B1812" s="16" t="n">
        <v>44117</v>
      </c>
      <c r="C1812" s="20" t="inlineStr">
        <is>
          <t>화</t>
        </is>
      </c>
      <c r="E1812" s="20" t="inlineStr">
        <is>
          <t>쇼핑백</t>
        </is>
      </c>
      <c r="F1812" s="20" t="inlineStr">
        <is>
          <t>카페24</t>
        </is>
      </c>
      <c r="H1812" s="20" t="n">
        <v>8</v>
      </c>
      <c r="I1812" s="20" t="inlineStr">
        <is>
          <t>유즈쇼핑백</t>
        </is>
      </c>
      <c r="J1812" s="20" t="n">
        <v>200720</v>
      </c>
      <c r="L1812" s="20">
        <f>VLOOKUP($O1812,매칭테이블!$G:$J,2,0)*H1812</f>
        <v/>
      </c>
      <c r="M1812" s="20">
        <f>L1812-L1812*VLOOKUP($O1812,매칭테이블!$G:$J,3,0)</f>
        <v/>
      </c>
      <c r="N1812" s="20">
        <f>VLOOKUP($O1812,매칭테이블!$G:$J,4,0)*H1812</f>
        <v/>
      </c>
      <c r="O1812" s="20">
        <f>F1812&amp;E1812&amp;I1812&amp;J1812</f>
        <v/>
      </c>
    </row>
    <row r="1813" ht="16.5" customHeight="1" s="17">
      <c r="B1813" s="16" t="n">
        <v>44118</v>
      </c>
      <c r="C1813" s="20" t="inlineStr">
        <is>
          <t>수</t>
        </is>
      </c>
      <c r="E1813" s="20" t="inlineStr">
        <is>
          <t>고체향수</t>
        </is>
      </c>
      <c r="F1813" s="20" t="inlineStr">
        <is>
          <t>카페24</t>
        </is>
      </c>
      <c r="H1813" s="20" t="n">
        <v>21</v>
      </c>
      <c r="I1813" s="20" t="inlineStr">
        <is>
          <t>이그나이트 + 스테이포에버</t>
        </is>
      </c>
      <c r="J1813" s="20" t="n">
        <v>200720</v>
      </c>
      <c r="L1813" s="20">
        <f>VLOOKUP($O1813,매칭테이블!$G:$J,2,0)*H1813</f>
        <v/>
      </c>
      <c r="M1813" s="20">
        <f>L1813-L1813*VLOOKUP($O1813,매칭테이블!$G:$J,3,0)</f>
        <v/>
      </c>
      <c r="N1813" s="20">
        <f>VLOOKUP($O1813,매칭테이블!$G:$J,4,0)*H1813</f>
        <v/>
      </c>
      <c r="O1813" s="20">
        <f>F1813&amp;E1813&amp;I1813&amp;J1813</f>
        <v/>
      </c>
    </row>
    <row r="1814" ht="16.5" customHeight="1" s="17">
      <c r="B1814" s="16" t="n">
        <v>44118</v>
      </c>
      <c r="C1814" s="20" t="inlineStr">
        <is>
          <t>수</t>
        </is>
      </c>
      <c r="E1814" s="20" t="inlineStr">
        <is>
          <t>고체향수</t>
        </is>
      </c>
      <c r="F1814" s="20" t="inlineStr">
        <is>
          <t>카페24</t>
        </is>
      </c>
      <c r="H1814" s="20" t="n">
        <v>247</v>
      </c>
      <c r="I1814" s="20" t="inlineStr">
        <is>
          <t>스테이포에버</t>
        </is>
      </c>
      <c r="J1814" s="20" t="n">
        <v>200720</v>
      </c>
      <c r="L1814" s="20">
        <f>VLOOKUP($O1814,매칭테이블!$G:$J,2,0)*H1814</f>
        <v/>
      </c>
      <c r="M1814" s="20">
        <f>L1814-L1814*VLOOKUP($O1814,매칭테이블!$G:$J,3,0)</f>
        <v/>
      </c>
      <c r="N1814" s="20">
        <f>VLOOKUP($O1814,매칭테이블!$G:$J,4,0)*H1814</f>
        <v/>
      </c>
      <c r="O1814" s="20">
        <f>F1814&amp;E1814&amp;I1814&amp;J1814</f>
        <v/>
      </c>
    </row>
    <row r="1815" ht="16.5" customHeight="1" s="17">
      <c r="B1815" s="16" t="n">
        <v>44118</v>
      </c>
      <c r="C1815" s="20" t="inlineStr">
        <is>
          <t>수</t>
        </is>
      </c>
      <c r="E1815" s="20" t="inlineStr">
        <is>
          <t>고체향수</t>
        </is>
      </c>
      <c r="F1815" s="20" t="inlineStr">
        <is>
          <t>카페24</t>
        </is>
      </c>
      <c r="H1815" s="20" t="n">
        <v>48</v>
      </c>
      <c r="I1815" s="20" t="inlineStr">
        <is>
          <t>스테이포에버 2set</t>
        </is>
      </c>
      <c r="J1815" s="20" t="n">
        <v>200720</v>
      </c>
      <c r="L1815" s="20">
        <f>VLOOKUP($O1815,매칭테이블!$G:$J,2,0)*H1815</f>
        <v/>
      </c>
      <c r="M1815" s="20">
        <f>L1815-L1815*VLOOKUP($O1815,매칭테이블!$G:$J,3,0)</f>
        <v/>
      </c>
      <c r="N1815" s="20">
        <f>VLOOKUP($O1815,매칭테이블!$G:$J,4,0)*H1815</f>
        <v/>
      </c>
      <c r="O1815" s="20">
        <f>F1815&amp;E1815&amp;I1815&amp;J1815</f>
        <v/>
      </c>
    </row>
    <row r="1816" ht="16.5" customHeight="1" s="17">
      <c r="B1816" s="16" t="n">
        <v>44118</v>
      </c>
      <c r="C1816" s="20" t="inlineStr">
        <is>
          <t>수</t>
        </is>
      </c>
      <c r="E1816" s="20" t="inlineStr">
        <is>
          <t>고체향수</t>
        </is>
      </c>
      <c r="F1816" s="20" t="inlineStr">
        <is>
          <t>카페24</t>
        </is>
      </c>
      <c r="H1816" s="20" t="n">
        <v>2</v>
      </c>
      <c r="I1816" s="20" t="inlineStr">
        <is>
          <t>이그나이트</t>
        </is>
      </c>
      <c r="J1816" s="20" t="n">
        <v>200720</v>
      </c>
      <c r="L1816" s="20">
        <f>VLOOKUP($O1816,매칭테이블!$G:$J,2,0)*H1816</f>
        <v/>
      </c>
      <c r="M1816" s="20">
        <f>L1816-L1816*VLOOKUP($O1816,매칭테이블!$G:$J,3,0)</f>
        <v/>
      </c>
      <c r="N1816" s="20">
        <f>VLOOKUP($O1816,매칭테이블!$G:$J,4,0)*H1816</f>
        <v/>
      </c>
      <c r="O1816" s="20">
        <f>F1816&amp;E1816&amp;I1816&amp;J1816</f>
        <v/>
      </c>
    </row>
    <row r="1817" ht="16.5" customHeight="1" s="17">
      <c r="B1817" s="16" t="n">
        <v>44118</v>
      </c>
      <c r="C1817" s="20" t="inlineStr">
        <is>
          <t>수</t>
        </is>
      </c>
      <c r="E1817" s="20" t="inlineStr">
        <is>
          <t>쇼핑백</t>
        </is>
      </c>
      <c r="F1817" s="20" t="inlineStr">
        <is>
          <t>카페24</t>
        </is>
      </c>
      <c r="H1817" s="20" t="n">
        <v>4</v>
      </c>
      <c r="I1817" s="20" t="inlineStr">
        <is>
          <t>유즈쇼핑백</t>
        </is>
      </c>
      <c r="J1817" s="20" t="n">
        <v>200720</v>
      </c>
      <c r="L1817" s="20">
        <f>VLOOKUP($O1817,매칭테이블!$G:$J,2,0)*H1817</f>
        <v/>
      </c>
      <c r="M1817" s="20">
        <f>L1817-L1817*VLOOKUP($O1817,매칭테이블!$G:$J,3,0)</f>
        <v/>
      </c>
      <c r="N1817" s="20">
        <f>VLOOKUP($O1817,매칭테이블!$G:$J,4,0)*H1817</f>
        <v/>
      </c>
      <c r="O1817" s="20">
        <f>F1817&amp;E1817&amp;I1817&amp;J1817</f>
        <v/>
      </c>
    </row>
    <row r="1818" ht="16.5" customHeight="1" s="17">
      <c r="B1818" s="16" t="n">
        <v>44119</v>
      </c>
      <c r="C1818" s="20" t="inlineStr">
        <is>
          <t>목</t>
        </is>
      </c>
      <c r="E1818" s="20" t="inlineStr">
        <is>
          <t>고체향수</t>
        </is>
      </c>
      <c r="F1818" s="20" t="inlineStr">
        <is>
          <t>카페24</t>
        </is>
      </c>
      <c r="H1818" s="20" t="n">
        <v>19</v>
      </c>
      <c r="I1818" s="20" t="inlineStr">
        <is>
          <t>이그나이트 + 스테이포에버</t>
        </is>
      </c>
      <c r="J1818" s="20" t="n">
        <v>200720</v>
      </c>
      <c r="L1818" s="20">
        <f>VLOOKUP($O1818,매칭테이블!$G:$J,2,0)*H1818</f>
        <v/>
      </c>
      <c r="M1818" s="20">
        <f>L1818-L1818*VLOOKUP($O1818,매칭테이블!$G:$J,3,0)</f>
        <v/>
      </c>
      <c r="N1818" s="20">
        <f>VLOOKUP($O1818,매칭테이블!$G:$J,4,0)*H1818</f>
        <v/>
      </c>
      <c r="O1818" s="20">
        <f>F1818&amp;E1818&amp;I1818&amp;J1818</f>
        <v/>
      </c>
    </row>
    <row r="1819" ht="16.5" customHeight="1" s="17">
      <c r="B1819" s="16" t="n">
        <v>44119</v>
      </c>
      <c r="C1819" s="20" t="inlineStr">
        <is>
          <t>목</t>
        </is>
      </c>
      <c r="E1819" s="20" t="inlineStr">
        <is>
          <t>고체향수</t>
        </is>
      </c>
      <c r="F1819" s="20" t="inlineStr">
        <is>
          <t>카페24</t>
        </is>
      </c>
      <c r="H1819" s="20" t="n">
        <v>2</v>
      </c>
      <c r="I1819" s="20" t="inlineStr">
        <is>
          <t>이그나이트 + 스테이포에버 2set</t>
        </is>
      </c>
      <c r="J1819" s="20" t="n">
        <v>200720</v>
      </c>
      <c r="L1819" s="20">
        <f>VLOOKUP($O1819,매칭테이블!$G:$J,2,0)*H1819</f>
        <v/>
      </c>
      <c r="M1819" s="20">
        <f>L1819-L1819*VLOOKUP($O1819,매칭테이블!$G:$J,3,0)</f>
        <v/>
      </c>
      <c r="N1819" s="20">
        <f>VLOOKUP($O1819,매칭테이블!$G:$J,4,0)*H1819</f>
        <v/>
      </c>
      <c r="O1819" s="20">
        <f>F1819&amp;E1819&amp;I1819&amp;J1819</f>
        <v/>
      </c>
    </row>
    <row r="1820" ht="16.5" customHeight="1" s="17">
      <c r="B1820" s="16" t="n">
        <v>44119</v>
      </c>
      <c r="C1820" s="20" t="inlineStr">
        <is>
          <t>목</t>
        </is>
      </c>
      <c r="E1820" s="20" t="inlineStr">
        <is>
          <t>고체향수</t>
        </is>
      </c>
      <c r="F1820" s="20" t="inlineStr">
        <is>
          <t>카페24</t>
        </is>
      </c>
      <c r="H1820" s="20" t="n">
        <v>197</v>
      </c>
      <c r="I1820" s="20" t="inlineStr">
        <is>
          <t>스테이포에버</t>
        </is>
      </c>
      <c r="J1820" s="20" t="n">
        <v>200720</v>
      </c>
      <c r="L1820" s="20">
        <f>VLOOKUP($O1820,매칭테이블!$G:$J,2,0)*H1820</f>
        <v/>
      </c>
      <c r="M1820" s="20">
        <f>L1820-L1820*VLOOKUP($O1820,매칭테이블!$G:$J,3,0)</f>
        <v/>
      </c>
      <c r="N1820" s="20">
        <f>VLOOKUP($O1820,매칭테이블!$G:$J,4,0)*H1820</f>
        <v/>
      </c>
      <c r="O1820" s="20">
        <f>F1820&amp;E1820&amp;I1820&amp;J1820</f>
        <v/>
      </c>
    </row>
    <row r="1821" ht="16.5" customHeight="1" s="17">
      <c r="B1821" s="16" t="n">
        <v>44119</v>
      </c>
      <c r="C1821" s="20" t="inlineStr">
        <is>
          <t>목</t>
        </is>
      </c>
      <c r="E1821" s="20" t="inlineStr">
        <is>
          <t>고체향수</t>
        </is>
      </c>
      <c r="F1821" s="20" t="inlineStr">
        <is>
          <t>카페24</t>
        </is>
      </c>
      <c r="H1821" s="20" t="n">
        <v>56</v>
      </c>
      <c r="I1821" s="20" t="inlineStr">
        <is>
          <t>스테이포에버 2set</t>
        </is>
      </c>
      <c r="J1821" s="20" t="n">
        <v>200720</v>
      </c>
      <c r="L1821" s="20">
        <f>VLOOKUP($O1821,매칭테이블!$G:$J,2,0)*H1821</f>
        <v/>
      </c>
      <c r="M1821" s="20">
        <f>L1821-L1821*VLOOKUP($O1821,매칭테이블!$G:$J,3,0)</f>
        <v/>
      </c>
      <c r="N1821" s="20">
        <f>VLOOKUP($O1821,매칭테이블!$G:$J,4,0)*H1821</f>
        <v/>
      </c>
      <c r="O1821" s="20">
        <f>F1821&amp;E1821&amp;I1821&amp;J1821</f>
        <v/>
      </c>
    </row>
    <row r="1822" ht="16.5" customHeight="1" s="17">
      <c r="B1822" s="16" t="n">
        <v>44119</v>
      </c>
      <c r="C1822" s="20" t="inlineStr">
        <is>
          <t>목</t>
        </is>
      </c>
      <c r="E1822" s="20" t="inlineStr">
        <is>
          <t>고체향수</t>
        </is>
      </c>
      <c r="F1822" s="20" t="inlineStr">
        <is>
          <t>카페24</t>
        </is>
      </c>
      <c r="H1822" s="20" t="n">
        <v>5</v>
      </c>
      <c r="I1822" s="20" t="inlineStr">
        <is>
          <t>이그나이트</t>
        </is>
      </c>
      <c r="J1822" s="20" t="n">
        <v>200720</v>
      </c>
      <c r="L1822" s="20">
        <f>VLOOKUP($O1822,매칭테이블!$G:$J,2,0)*H1822</f>
        <v/>
      </c>
      <c r="M1822" s="20">
        <f>L1822-L1822*VLOOKUP($O1822,매칭테이블!$G:$J,3,0)</f>
        <v/>
      </c>
      <c r="N1822" s="20">
        <f>VLOOKUP($O1822,매칭테이블!$G:$J,4,0)*H1822</f>
        <v/>
      </c>
      <c r="O1822" s="20">
        <f>F1822&amp;E1822&amp;I1822&amp;J1822</f>
        <v/>
      </c>
    </row>
    <row r="1823" ht="16.5" customHeight="1" s="17">
      <c r="B1823" s="16" t="n">
        <v>44119</v>
      </c>
      <c r="C1823" s="20" t="inlineStr">
        <is>
          <t>목</t>
        </is>
      </c>
      <c r="E1823" s="20" t="inlineStr">
        <is>
          <t>쇼핑백</t>
        </is>
      </c>
      <c r="F1823" s="20" t="inlineStr">
        <is>
          <t>카페24</t>
        </is>
      </c>
      <c r="H1823" s="20" t="n">
        <v>6</v>
      </c>
      <c r="I1823" s="20" t="inlineStr">
        <is>
          <t>유즈쇼핑백</t>
        </is>
      </c>
      <c r="J1823" s="20" t="n">
        <v>200720</v>
      </c>
      <c r="L1823" s="20">
        <f>VLOOKUP($O1823,매칭테이블!$G:$J,2,0)*H1823</f>
        <v/>
      </c>
      <c r="M1823" s="20">
        <f>L1823-L1823*VLOOKUP($O1823,매칭테이블!$G:$J,3,0)</f>
        <v/>
      </c>
      <c r="N1823" s="20">
        <f>VLOOKUP($O1823,매칭테이블!$G:$J,4,0)*H1823</f>
        <v/>
      </c>
      <c r="O1823" s="20">
        <f>F1823&amp;E1823&amp;I1823&amp;J1823</f>
        <v/>
      </c>
    </row>
    <row r="1824" ht="16.5" customHeight="1" s="17">
      <c r="B1824" s="16" t="n">
        <v>44120</v>
      </c>
      <c r="C1824" s="20" t="inlineStr">
        <is>
          <t>금</t>
        </is>
      </c>
      <c r="E1824" s="20" t="inlineStr">
        <is>
          <t>고체향수</t>
        </is>
      </c>
      <c r="F1824" s="20" t="inlineStr">
        <is>
          <t>카페24</t>
        </is>
      </c>
      <c r="H1824" s="20" t="n">
        <v>17</v>
      </c>
      <c r="I1824" s="20" t="inlineStr">
        <is>
          <t>이그나이트 + 스테이포에버</t>
        </is>
      </c>
      <c r="J1824" s="20" t="n">
        <v>200720</v>
      </c>
      <c r="L1824" s="20">
        <f>VLOOKUP($O1824,매칭테이블!$G:$J,2,0)*H1824</f>
        <v/>
      </c>
      <c r="M1824" s="20">
        <f>L1824-L1824*VLOOKUP($O1824,매칭테이블!$G:$J,3,0)</f>
        <v/>
      </c>
      <c r="N1824" s="20">
        <f>VLOOKUP($O1824,매칭테이블!$G:$J,4,0)*H1824</f>
        <v/>
      </c>
      <c r="O1824" s="20">
        <f>F1824&amp;E1824&amp;I1824&amp;J1824</f>
        <v/>
      </c>
    </row>
    <row r="1825" ht="16.5" customHeight="1" s="17">
      <c r="B1825" s="16" t="n">
        <v>44120</v>
      </c>
      <c r="C1825" s="20" t="inlineStr">
        <is>
          <t>금</t>
        </is>
      </c>
      <c r="E1825" s="20" t="inlineStr">
        <is>
          <t>고체향수</t>
        </is>
      </c>
      <c r="F1825" s="20" t="inlineStr">
        <is>
          <t>카페24</t>
        </is>
      </c>
      <c r="H1825" s="20" t="n">
        <v>188</v>
      </c>
      <c r="I1825" s="20" t="inlineStr">
        <is>
          <t>스테이포에버</t>
        </is>
      </c>
      <c r="J1825" s="20" t="n">
        <v>200720</v>
      </c>
      <c r="L1825" s="20">
        <f>VLOOKUP($O1825,매칭테이블!$G:$J,2,0)*H1825</f>
        <v/>
      </c>
      <c r="M1825" s="20">
        <f>L1825-L1825*VLOOKUP($O1825,매칭테이블!$G:$J,3,0)</f>
        <v/>
      </c>
      <c r="N1825" s="20">
        <f>VLOOKUP($O1825,매칭테이블!$G:$J,4,0)*H1825</f>
        <v/>
      </c>
      <c r="O1825" s="20">
        <f>F1825&amp;E1825&amp;I1825&amp;J1825</f>
        <v/>
      </c>
    </row>
    <row r="1826" ht="16.5" customHeight="1" s="17">
      <c r="B1826" s="16" t="n">
        <v>44120</v>
      </c>
      <c r="C1826" s="20" t="inlineStr">
        <is>
          <t>금</t>
        </is>
      </c>
      <c r="E1826" s="20" t="inlineStr">
        <is>
          <t>고체향수</t>
        </is>
      </c>
      <c r="F1826" s="20" t="inlineStr">
        <is>
          <t>카페24</t>
        </is>
      </c>
      <c r="H1826" s="20" t="n">
        <v>56</v>
      </c>
      <c r="I1826" s="20" t="inlineStr">
        <is>
          <t>스테이포에버 2set</t>
        </is>
      </c>
      <c r="J1826" s="20" t="n">
        <v>200720</v>
      </c>
      <c r="L1826" s="20">
        <f>VLOOKUP($O1826,매칭테이블!$G:$J,2,0)*H1826</f>
        <v/>
      </c>
      <c r="M1826" s="20">
        <f>L1826-L1826*VLOOKUP($O1826,매칭테이블!$G:$J,3,0)</f>
        <v/>
      </c>
      <c r="N1826" s="20">
        <f>VLOOKUP($O1826,매칭테이블!$G:$J,4,0)*H1826</f>
        <v/>
      </c>
      <c r="O1826" s="20">
        <f>F1826&amp;E1826&amp;I1826&amp;J1826</f>
        <v/>
      </c>
    </row>
    <row r="1827" ht="16.5" customHeight="1" s="17">
      <c r="B1827" s="16" t="n">
        <v>44120</v>
      </c>
      <c r="C1827" s="20" t="inlineStr">
        <is>
          <t>금</t>
        </is>
      </c>
      <c r="E1827" s="20" t="inlineStr">
        <is>
          <t>고체향수</t>
        </is>
      </c>
      <c r="F1827" s="20" t="inlineStr">
        <is>
          <t>카페24</t>
        </is>
      </c>
      <c r="H1827" s="20" t="n">
        <v>3</v>
      </c>
      <c r="I1827" s="20" t="inlineStr">
        <is>
          <t>이그나이트</t>
        </is>
      </c>
      <c r="J1827" s="20" t="n">
        <v>200720</v>
      </c>
      <c r="L1827" s="20">
        <f>VLOOKUP($O1827,매칭테이블!$G:$J,2,0)*H1827</f>
        <v/>
      </c>
      <c r="M1827" s="20">
        <f>L1827-L1827*VLOOKUP($O1827,매칭테이블!$G:$J,3,0)</f>
        <v/>
      </c>
      <c r="N1827" s="20">
        <f>VLOOKUP($O1827,매칭테이블!$G:$J,4,0)*H1827</f>
        <v/>
      </c>
      <c r="O1827" s="20">
        <f>F1827&amp;E1827&amp;I1827&amp;J1827</f>
        <v/>
      </c>
    </row>
    <row r="1828" ht="16.5" customHeight="1" s="17">
      <c r="B1828" s="16" t="n">
        <v>44120</v>
      </c>
      <c r="C1828" s="20" t="inlineStr">
        <is>
          <t>금</t>
        </is>
      </c>
      <c r="E1828" s="20" t="inlineStr">
        <is>
          <t>쇼핑백</t>
        </is>
      </c>
      <c r="F1828" s="20" t="inlineStr">
        <is>
          <t>카페24</t>
        </is>
      </c>
      <c r="H1828" s="20" t="n">
        <v>6</v>
      </c>
      <c r="I1828" s="20" t="inlineStr">
        <is>
          <t>유즈쇼핑백</t>
        </is>
      </c>
      <c r="J1828" s="20" t="n">
        <v>200720</v>
      </c>
      <c r="L1828" s="20">
        <f>VLOOKUP($O1828,매칭테이블!$G:$J,2,0)*H1828</f>
        <v/>
      </c>
      <c r="M1828" s="20">
        <f>L1828-L1828*VLOOKUP($O1828,매칭테이블!$G:$J,3,0)</f>
        <v/>
      </c>
      <c r="N1828" s="20">
        <f>VLOOKUP($O1828,매칭테이블!$G:$J,4,0)*H1828</f>
        <v/>
      </c>
      <c r="O1828" s="20">
        <f>F1828&amp;E1828&amp;I1828&amp;J1828</f>
        <v/>
      </c>
    </row>
    <row r="1829" ht="16.5" customHeight="1" s="17">
      <c r="B1829" s="16" t="n">
        <v>44121</v>
      </c>
      <c r="C1829" s="20" t="inlineStr">
        <is>
          <t>토</t>
        </is>
      </c>
      <c r="E1829" s="20" t="inlineStr">
        <is>
          <t>고체향수</t>
        </is>
      </c>
      <c r="F1829" s="20" t="inlineStr">
        <is>
          <t>카페24</t>
        </is>
      </c>
      <c r="H1829" s="20" t="n">
        <v>19</v>
      </c>
      <c r="I1829" s="20" t="inlineStr">
        <is>
          <t>이그나이트 + 스테이포에버</t>
        </is>
      </c>
      <c r="J1829" s="20" t="n">
        <v>200720</v>
      </c>
      <c r="L1829" s="20">
        <f>VLOOKUP($O1829,매칭테이블!$G:$J,2,0)*H1829</f>
        <v/>
      </c>
      <c r="M1829" s="20">
        <f>L1829-L1829*VLOOKUP($O1829,매칭테이블!$G:$J,3,0)</f>
        <v/>
      </c>
      <c r="N1829" s="20">
        <f>VLOOKUP($O1829,매칭테이블!$G:$J,4,0)*H1829</f>
        <v/>
      </c>
      <c r="O1829" s="20">
        <f>F1829&amp;E1829&amp;I1829&amp;J1829</f>
        <v/>
      </c>
    </row>
    <row r="1830" ht="16.5" customHeight="1" s="17">
      <c r="B1830" s="16" t="n">
        <v>44121</v>
      </c>
      <c r="C1830" s="20" t="inlineStr">
        <is>
          <t>토</t>
        </is>
      </c>
      <c r="E1830" s="20" t="inlineStr">
        <is>
          <t>고체향수</t>
        </is>
      </c>
      <c r="F1830" s="20" t="inlineStr">
        <is>
          <t>카페24</t>
        </is>
      </c>
      <c r="H1830" s="20" t="n">
        <v>241</v>
      </c>
      <c r="I1830" s="20" t="inlineStr">
        <is>
          <t>스테이포에버</t>
        </is>
      </c>
      <c r="J1830" s="20" t="n">
        <v>200720</v>
      </c>
      <c r="L1830" s="20">
        <f>VLOOKUP($O1830,매칭테이블!$G:$J,2,0)*H1830</f>
        <v/>
      </c>
      <c r="M1830" s="20">
        <f>L1830-L1830*VLOOKUP($O1830,매칭테이블!$G:$J,3,0)</f>
        <v/>
      </c>
      <c r="N1830" s="20">
        <f>VLOOKUP($O1830,매칭테이블!$G:$J,4,0)*H1830</f>
        <v/>
      </c>
      <c r="O1830" s="20">
        <f>F1830&amp;E1830&amp;I1830&amp;J1830</f>
        <v/>
      </c>
    </row>
    <row r="1831" ht="16.5" customHeight="1" s="17">
      <c r="B1831" s="16" t="n">
        <v>44121</v>
      </c>
      <c r="C1831" s="20" t="inlineStr">
        <is>
          <t>토</t>
        </is>
      </c>
      <c r="E1831" s="20" t="inlineStr">
        <is>
          <t>고체향수</t>
        </is>
      </c>
      <c r="F1831" s="20" t="inlineStr">
        <is>
          <t>카페24</t>
        </is>
      </c>
      <c r="H1831" s="20" t="n">
        <v>64</v>
      </c>
      <c r="I1831" s="20" t="inlineStr">
        <is>
          <t>스테이포에버 2set</t>
        </is>
      </c>
      <c r="J1831" s="20" t="n">
        <v>200720</v>
      </c>
      <c r="L1831" s="20">
        <f>VLOOKUP($O1831,매칭테이블!$G:$J,2,0)*H1831</f>
        <v/>
      </c>
      <c r="M1831" s="20">
        <f>L1831-L1831*VLOOKUP($O1831,매칭테이블!$G:$J,3,0)</f>
        <v/>
      </c>
      <c r="N1831" s="20">
        <f>VLOOKUP($O1831,매칭테이블!$G:$J,4,0)*H1831</f>
        <v/>
      </c>
      <c r="O1831" s="20">
        <f>F1831&amp;E1831&amp;I1831&amp;J1831</f>
        <v/>
      </c>
    </row>
    <row r="1832" ht="16.5" customHeight="1" s="17">
      <c r="B1832" s="16" t="n">
        <v>44121</v>
      </c>
      <c r="C1832" s="20" t="inlineStr">
        <is>
          <t>토</t>
        </is>
      </c>
      <c r="E1832" s="20" t="inlineStr">
        <is>
          <t>고체향수</t>
        </is>
      </c>
      <c r="F1832" s="20" t="inlineStr">
        <is>
          <t>카페24</t>
        </is>
      </c>
      <c r="H1832" s="20" t="n">
        <v>1</v>
      </c>
      <c r="I1832" s="20" t="inlineStr">
        <is>
          <t>이그나이트 2set</t>
        </is>
      </c>
      <c r="J1832" s="20" t="n">
        <v>200720</v>
      </c>
      <c r="L1832" s="20">
        <f>VLOOKUP($O1832,매칭테이블!$G:$J,2,0)*H1832</f>
        <v/>
      </c>
      <c r="M1832" s="20">
        <f>L1832-L1832*VLOOKUP($O1832,매칭테이블!$G:$J,3,0)</f>
        <v/>
      </c>
      <c r="N1832" s="20">
        <f>VLOOKUP($O1832,매칭테이블!$G:$J,4,0)*H1832</f>
        <v/>
      </c>
      <c r="O1832" s="20">
        <f>F1832&amp;E1832&amp;I1832&amp;J1832</f>
        <v/>
      </c>
    </row>
    <row r="1833" ht="16.5" customHeight="1" s="17">
      <c r="B1833" s="16" t="n">
        <v>44121</v>
      </c>
      <c r="C1833" s="20" t="inlineStr">
        <is>
          <t>토</t>
        </is>
      </c>
      <c r="E1833" s="20" t="inlineStr">
        <is>
          <t>쇼핑백</t>
        </is>
      </c>
      <c r="F1833" s="20" t="inlineStr">
        <is>
          <t>카페24</t>
        </is>
      </c>
      <c r="H1833" s="20" t="n">
        <v>4</v>
      </c>
      <c r="I1833" s="20" t="inlineStr">
        <is>
          <t>유즈쇼핑백</t>
        </is>
      </c>
      <c r="J1833" s="20" t="n">
        <v>200720</v>
      </c>
      <c r="L1833" s="20">
        <f>VLOOKUP($O1833,매칭테이블!$G:$J,2,0)*H1833</f>
        <v/>
      </c>
      <c r="M1833" s="20">
        <f>L1833-L1833*VLOOKUP($O1833,매칭테이블!$G:$J,3,0)</f>
        <v/>
      </c>
      <c r="N1833" s="20">
        <f>VLOOKUP($O1833,매칭테이블!$G:$J,4,0)*H1833</f>
        <v/>
      </c>
      <c r="O1833" s="20">
        <f>F1833&amp;E1833&amp;I1833&amp;J1833</f>
        <v/>
      </c>
    </row>
    <row r="1834" ht="16.5" customHeight="1" s="17">
      <c r="B1834" s="16" t="n">
        <v>44122</v>
      </c>
      <c r="C1834" s="20" t="inlineStr">
        <is>
          <t>일</t>
        </is>
      </c>
      <c r="E1834" s="20" t="inlineStr">
        <is>
          <t>고체향수</t>
        </is>
      </c>
      <c r="F1834" s="20" t="inlineStr">
        <is>
          <t>카페24</t>
        </is>
      </c>
      <c r="H1834" s="20" t="n">
        <v>16</v>
      </c>
      <c r="I1834" s="20" t="inlineStr">
        <is>
          <t>이그나이트 + 스테이포에버</t>
        </is>
      </c>
      <c r="J1834" s="20" t="n">
        <v>200720</v>
      </c>
      <c r="L1834" s="20">
        <f>VLOOKUP($O1834,매칭테이블!$G:$J,2,0)*H1834</f>
        <v/>
      </c>
      <c r="M1834" s="20">
        <f>L1834-L1834*VLOOKUP($O1834,매칭테이블!$G:$J,3,0)</f>
        <v/>
      </c>
      <c r="N1834" s="20">
        <f>VLOOKUP($O1834,매칭테이블!$G:$J,4,0)*H1834</f>
        <v/>
      </c>
      <c r="O1834" s="20">
        <f>F1834&amp;E1834&amp;I1834&amp;J1834</f>
        <v/>
      </c>
    </row>
    <row r="1835" ht="16.5" customHeight="1" s="17">
      <c r="B1835" s="16" t="n">
        <v>44122</v>
      </c>
      <c r="C1835" s="20" t="inlineStr">
        <is>
          <t>일</t>
        </is>
      </c>
      <c r="E1835" s="20" t="inlineStr">
        <is>
          <t>고체향수</t>
        </is>
      </c>
      <c r="F1835" s="20" t="inlineStr">
        <is>
          <t>카페24</t>
        </is>
      </c>
      <c r="H1835" s="20" t="n">
        <v>220</v>
      </c>
      <c r="I1835" s="20" t="inlineStr">
        <is>
          <t>스테이포에버</t>
        </is>
      </c>
      <c r="J1835" s="20" t="n">
        <v>200720</v>
      </c>
      <c r="L1835" s="20">
        <f>VLOOKUP($O1835,매칭테이블!$G:$J,2,0)*H1835</f>
        <v/>
      </c>
      <c r="M1835" s="20">
        <f>L1835-L1835*VLOOKUP($O1835,매칭테이블!$G:$J,3,0)</f>
        <v/>
      </c>
      <c r="N1835" s="20">
        <f>VLOOKUP($O1835,매칭테이블!$G:$J,4,0)*H1835</f>
        <v/>
      </c>
      <c r="O1835" s="20">
        <f>F1835&amp;E1835&amp;I1835&amp;J1835</f>
        <v/>
      </c>
    </row>
    <row r="1836" ht="16.5" customHeight="1" s="17">
      <c r="B1836" s="16" t="n">
        <v>44122</v>
      </c>
      <c r="C1836" s="20" t="inlineStr">
        <is>
          <t>일</t>
        </is>
      </c>
      <c r="E1836" s="20" t="inlineStr">
        <is>
          <t>고체향수</t>
        </is>
      </c>
      <c r="F1836" s="20" t="inlineStr">
        <is>
          <t>카페24</t>
        </is>
      </c>
      <c r="H1836" s="20" t="n">
        <v>66</v>
      </c>
      <c r="I1836" s="20" t="inlineStr">
        <is>
          <t>스테이포에버 2set</t>
        </is>
      </c>
      <c r="J1836" s="20" t="n">
        <v>200720</v>
      </c>
      <c r="L1836" s="20">
        <f>VLOOKUP($O1836,매칭테이블!$G:$J,2,0)*H1836</f>
        <v/>
      </c>
      <c r="M1836" s="20">
        <f>L1836-L1836*VLOOKUP($O1836,매칭테이블!$G:$J,3,0)</f>
        <v/>
      </c>
      <c r="N1836" s="20">
        <f>VLOOKUP($O1836,매칭테이블!$G:$J,4,0)*H1836</f>
        <v/>
      </c>
      <c r="O1836" s="20">
        <f>F1836&amp;E1836&amp;I1836&amp;J1836</f>
        <v/>
      </c>
    </row>
    <row r="1837" ht="16.5" customHeight="1" s="17">
      <c r="B1837" s="16" t="n">
        <v>44122</v>
      </c>
      <c r="C1837" s="20" t="inlineStr">
        <is>
          <t>일</t>
        </is>
      </c>
      <c r="E1837" s="20" t="inlineStr">
        <is>
          <t>고체향수</t>
        </is>
      </c>
      <c r="F1837" s="20" t="inlineStr">
        <is>
          <t>카페24</t>
        </is>
      </c>
      <c r="H1837" s="20" t="n">
        <v>2</v>
      </c>
      <c r="I1837" s="20" t="inlineStr">
        <is>
          <t>이그나이트</t>
        </is>
      </c>
      <c r="J1837" s="20" t="n">
        <v>200720</v>
      </c>
      <c r="L1837" s="20">
        <f>VLOOKUP($O1837,매칭테이블!$G:$J,2,0)*H1837</f>
        <v/>
      </c>
      <c r="M1837" s="20">
        <f>L1837-L1837*VLOOKUP($O1837,매칭테이블!$G:$J,3,0)</f>
        <v/>
      </c>
      <c r="N1837" s="20">
        <f>VLOOKUP($O1837,매칭테이블!$G:$J,4,0)*H1837</f>
        <v/>
      </c>
      <c r="O1837" s="20">
        <f>F1837&amp;E1837&amp;I1837&amp;J1837</f>
        <v/>
      </c>
    </row>
    <row r="1838" ht="16.5" customHeight="1" s="17">
      <c r="B1838" s="16" t="n">
        <v>44122</v>
      </c>
      <c r="C1838" s="20" t="inlineStr">
        <is>
          <t>일</t>
        </is>
      </c>
      <c r="E1838" s="20" t="inlineStr">
        <is>
          <t>쇼핑백</t>
        </is>
      </c>
      <c r="F1838" s="20" t="inlineStr">
        <is>
          <t>카페24</t>
        </is>
      </c>
      <c r="H1838" s="20" t="n">
        <v>7</v>
      </c>
      <c r="I1838" s="20" t="inlineStr">
        <is>
          <t>유즈쇼핑백</t>
        </is>
      </c>
      <c r="J1838" s="20" t="n">
        <v>200720</v>
      </c>
      <c r="L1838" s="20">
        <f>VLOOKUP($O1838,매칭테이블!$G:$J,2,0)*H1838</f>
        <v/>
      </c>
      <c r="M1838" s="20">
        <f>L1838-L1838*VLOOKUP($O1838,매칭테이블!$G:$J,3,0)</f>
        <v/>
      </c>
      <c r="N1838" s="20">
        <f>VLOOKUP($O1838,매칭테이블!$G:$J,4,0)*H1838</f>
        <v/>
      </c>
      <c r="O1838" s="20">
        <f>F1838&amp;E1838&amp;I1838&amp;J1838</f>
        <v/>
      </c>
    </row>
    <row r="1839" ht="16.5" customHeight="1" s="17">
      <c r="B1839" s="16" t="n">
        <v>44123</v>
      </c>
      <c r="C1839" s="20" t="inlineStr">
        <is>
          <t>월</t>
        </is>
      </c>
      <c r="E1839" s="20" t="inlineStr">
        <is>
          <t>고체향수</t>
        </is>
      </c>
      <c r="F1839" s="20" t="inlineStr">
        <is>
          <t>카페24</t>
        </is>
      </c>
      <c r="H1839" s="20" t="n">
        <v>14</v>
      </c>
      <c r="I1839" s="20" t="inlineStr">
        <is>
          <t>이그나이트 + 스테이포에버</t>
        </is>
      </c>
      <c r="J1839" s="20" t="n">
        <v>200720</v>
      </c>
      <c r="L1839" s="20">
        <f>VLOOKUP($O1839,매칭테이블!$G:$J,2,0)*H1839</f>
        <v/>
      </c>
      <c r="M1839" s="20">
        <f>L1839-L1839*VLOOKUP($O1839,매칭테이블!$G:$J,3,0)</f>
        <v/>
      </c>
      <c r="N1839" s="20">
        <f>VLOOKUP($O1839,매칭테이블!$G:$J,4,0)*H1839</f>
        <v/>
      </c>
      <c r="O1839" s="20">
        <f>F1839&amp;E1839&amp;I1839&amp;J1839</f>
        <v/>
      </c>
    </row>
    <row r="1840" ht="16.5" customHeight="1" s="17">
      <c r="B1840" s="16" t="n">
        <v>44123</v>
      </c>
      <c r="C1840" s="20" t="inlineStr">
        <is>
          <t>월</t>
        </is>
      </c>
      <c r="E1840" s="20" t="inlineStr">
        <is>
          <t>고체향수</t>
        </is>
      </c>
      <c r="F1840" s="20" t="inlineStr">
        <is>
          <t>카페24</t>
        </is>
      </c>
      <c r="H1840" s="20" t="n">
        <v>226</v>
      </c>
      <c r="I1840" s="20" t="inlineStr">
        <is>
          <t>스테이포에버</t>
        </is>
      </c>
      <c r="J1840" s="20" t="n">
        <v>200720</v>
      </c>
      <c r="L1840" s="20">
        <f>VLOOKUP($O1840,매칭테이블!$G:$J,2,0)*H1840</f>
        <v/>
      </c>
      <c r="M1840" s="20">
        <f>L1840-L1840*VLOOKUP($O1840,매칭테이블!$G:$J,3,0)</f>
        <v/>
      </c>
      <c r="N1840" s="20">
        <f>VLOOKUP($O1840,매칭테이블!$G:$J,4,0)*H1840</f>
        <v/>
      </c>
      <c r="O1840" s="20">
        <f>F1840&amp;E1840&amp;I1840&amp;J1840</f>
        <v/>
      </c>
    </row>
    <row r="1841" ht="16.5" customHeight="1" s="17">
      <c r="B1841" s="16" t="n">
        <v>44123</v>
      </c>
      <c r="C1841" s="20" t="inlineStr">
        <is>
          <t>월</t>
        </is>
      </c>
      <c r="E1841" s="20" t="inlineStr">
        <is>
          <t>고체향수</t>
        </is>
      </c>
      <c r="F1841" s="20" t="inlineStr">
        <is>
          <t>카페24</t>
        </is>
      </c>
      <c r="H1841" s="20" t="n">
        <v>52</v>
      </c>
      <c r="I1841" s="20" t="inlineStr">
        <is>
          <t>스테이포에버 2set</t>
        </is>
      </c>
      <c r="J1841" s="20" t="n">
        <v>200720</v>
      </c>
      <c r="L1841" s="20">
        <f>VLOOKUP($O1841,매칭테이블!$G:$J,2,0)*H1841</f>
        <v/>
      </c>
      <c r="M1841" s="20">
        <f>L1841-L1841*VLOOKUP($O1841,매칭테이블!$G:$J,3,0)</f>
        <v/>
      </c>
      <c r="N1841" s="20">
        <f>VLOOKUP($O1841,매칭테이블!$G:$J,4,0)*H1841</f>
        <v/>
      </c>
      <c r="O1841" s="20">
        <f>F1841&amp;E1841&amp;I1841&amp;J1841</f>
        <v/>
      </c>
    </row>
    <row r="1842" ht="16.5" customHeight="1" s="17">
      <c r="B1842" s="16" t="n">
        <v>44123</v>
      </c>
      <c r="C1842" s="20" t="inlineStr">
        <is>
          <t>월</t>
        </is>
      </c>
      <c r="E1842" s="20" t="inlineStr">
        <is>
          <t>고체향수</t>
        </is>
      </c>
      <c r="F1842" s="20" t="inlineStr">
        <is>
          <t>카페24</t>
        </is>
      </c>
      <c r="H1842" s="20" t="n">
        <v>3</v>
      </c>
      <c r="I1842" s="20" t="inlineStr">
        <is>
          <t>이그나이트</t>
        </is>
      </c>
      <c r="J1842" s="20" t="n">
        <v>200720</v>
      </c>
      <c r="L1842" s="20">
        <f>VLOOKUP($O1842,매칭테이블!$G:$J,2,0)*H1842</f>
        <v/>
      </c>
      <c r="M1842" s="20">
        <f>L1842-L1842*VLOOKUP($O1842,매칭테이블!$G:$J,3,0)</f>
        <v/>
      </c>
      <c r="N1842" s="20">
        <f>VLOOKUP($O1842,매칭테이블!$G:$J,4,0)*H1842</f>
        <v/>
      </c>
      <c r="O1842" s="20">
        <f>F1842&amp;E1842&amp;I1842&amp;J1842</f>
        <v/>
      </c>
    </row>
    <row r="1843" ht="16.5" customHeight="1" s="17">
      <c r="B1843" s="16" t="n">
        <v>44123</v>
      </c>
      <c r="C1843" s="20" t="inlineStr">
        <is>
          <t>월</t>
        </is>
      </c>
      <c r="E1843" s="20" t="inlineStr">
        <is>
          <t>쇼핑백</t>
        </is>
      </c>
      <c r="F1843" s="20" t="inlineStr">
        <is>
          <t>카페24</t>
        </is>
      </c>
      <c r="H1843" s="20" t="n">
        <v>5</v>
      </c>
      <c r="I1843" s="20" t="inlineStr">
        <is>
          <t>유즈쇼핑백</t>
        </is>
      </c>
      <c r="J1843" s="20" t="n">
        <v>200720</v>
      </c>
      <c r="L1843" s="20">
        <f>VLOOKUP($O1843,매칭테이블!$G:$J,2,0)*H1843</f>
        <v/>
      </c>
      <c r="M1843" s="20">
        <f>L1843-L1843*VLOOKUP($O1843,매칭테이블!$G:$J,3,0)</f>
        <v/>
      </c>
      <c r="N1843" s="20">
        <f>VLOOKUP($O1843,매칭테이블!$G:$J,4,0)*H1843</f>
        <v/>
      </c>
      <c r="O1843" s="20">
        <f>F1843&amp;E1843&amp;I1843&amp;J1843</f>
        <v/>
      </c>
    </row>
    <row r="1844" ht="16.5" customHeight="1" s="17">
      <c r="B1844" s="16" t="n">
        <v>44124</v>
      </c>
      <c r="C1844" s="20" t="inlineStr">
        <is>
          <t>화</t>
        </is>
      </c>
      <c r="E1844" s="20" t="inlineStr">
        <is>
          <t>고체향수</t>
        </is>
      </c>
      <c r="F1844" s="20" t="inlineStr">
        <is>
          <t>카페24</t>
        </is>
      </c>
      <c r="H1844" s="20" t="n">
        <v>16</v>
      </c>
      <c r="I1844" s="20" t="inlineStr">
        <is>
          <t>이그나이트 + 스테이포에버</t>
        </is>
      </c>
      <c r="J1844" s="20" t="n">
        <v>200720</v>
      </c>
      <c r="L1844" s="20">
        <f>VLOOKUP($O1844,매칭테이블!$G:$J,2,0)*H1844</f>
        <v/>
      </c>
      <c r="M1844" s="20">
        <f>L1844-L1844*VLOOKUP($O1844,매칭테이블!$G:$J,3,0)</f>
        <v/>
      </c>
      <c r="N1844" s="20">
        <f>VLOOKUP($O1844,매칭테이블!$G:$J,4,0)*H1844</f>
        <v/>
      </c>
      <c r="O1844" s="20">
        <f>F1844&amp;E1844&amp;I1844&amp;J1844</f>
        <v/>
      </c>
    </row>
    <row r="1845" ht="16.5" customHeight="1" s="17">
      <c r="B1845" s="16" t="n">
        <v>44124</v>
      </c>
      <c r="C1845" s="20" t="inlineStr">
        <is>
          <t>화</t>
        </is>
      </c>
      <c r="E1845" s="20" t="inlineStr">
        <is>
          <t>고체향수</t>
        </is>
      </c>
      <c r="F1845" s="20" t="inlineStr">
        <is>
          <t>카페24</t>
        </is>
      </c>
      <c r="H1845" s="20" t="n">
        <v>224</v>
      </c>
      <c r="I1845" s="20" t="inlineStr">
        <is>
          <t>스테이포에버</t>
        </is>
      </c>
      <c r="J1845" s="20" t="n">
        <v>200720</v>
      </c>
      <c r="L1845" s="20">
        <f>VLOOKUP($O1845,매칭테이블!$G:$J,2,0)*H1845</f>
        <v/>
      </c>
      <c r="M1845" s="20">
        <f>L1845-L1845*VLOOKUP($O1845,매칭테이블!$G:$J,3,0)</f>
        <v/>
      </c>
      <c r="N1845" s="20">
        <f>VLOOKUP($O1845,매칭테이블!$G:$J,4,0)*H1845</f>
        <v/>
      </c>
      <c r="O1845" s="20">
        <f>F1845&amp;E1845&amp;I1845&amp;J1845</f>
        <v/>
      </c>
    </row>
    <row r="1846" ht="16.5" customHeight="1" s="17">
      <c r="B1846" s="16" t="n">
        <v>44124</v>
      </c>
      <c r="C1846" s="20" t="inlineStr">
        <is>
          <t>화</t>
        </is>
      </c>
      <c r="E1846" s="20" t="inlineStr">
        <is>
          <t>고체향수</t>
        </is>
      </c>
      <c r="F1846" s="20" t="inlineStr">
        <is>
          <t>카페24</t>
        </is>
      </c>
      <c r="H1846" s="20" t="n">
        <v>55</v>
      </c>
      <c r="I1846" s="20" t="inlineStr">
        <is>
          <t>스테이포에버 2set</t>
        </is>
      </c>
      <c r="J1846" s="20" t="n">
        <v>200720</v>
      </c>
      <c r="L1846" s="20">
        <f>VLOOKUP($O1846,매칭테이블!$G:$J,2,0)*H1846</f>
        <v/>
      </c>
      <c r="M1846" s="20">
        <f>L1846-L1846*VLOOKUP($O1846,매칭테이블!$G:$J,3,0)</f>
        <v/>
      </c>
      <c r="N1846" s="20">
        <f>VLOOKUP($O1846,매칭테이블!$G:$J,4,0)*H1846</f>
        <v/>
      </c>
      <c r="O1846" s="20">
        <f>F1846&amp;E1846&amp;I1846&amp;J1846</f>
        <v/>
      </c>
    </row>
    <row r="1847" ht="16.5" customHeight="1" s="17">
      <c r="B1847" s="16" t="n">
        <v>44124</v>
      </c>
      <c r="C1847" s="20" t="inlineStr">
        <is>
          <t>화</t>
        </is>
      </c>
      <c r="E1847" s="20" t="inlineStr">
        <is>
          <t>고체향수</t>
        </is>
      </c>
      <c r="F1847" s="20" t="inlineStr">
        <is>
          <t>카페24</t>
        </is>
      </c>
      <c r="H1847" s="20" t="n">
        <v>4</v>
      </c>
      <c r="I1847" s="20" t="inlineStr">
        <is>
          <t>이그나이트</t>
        </is>
      </c>
      <c r="J1847" s="20" t="n">
        <v>200720</v>
      </c>
      <c r="L1847" s="20">
        <f>VLOOKUP($O1847,매칭테이블!$G:$J,2,0)*H1847</f>
        <v/>
      </c>
      <c r="M1847" s="20">
        <f>L1847-L1847*VLOOKUP($O1847,매칭테이블!$G:$J,3,0)</f>
        <v/>
      </c>
      <c r="N1847" s="20">
        <f>VLOOKUP($O1847,매칭테이블!$G:$J,4,0)*H1847</f>
        <v/>
      </c>
      <c r="O1847" s="20">
        <f>F1847&amp;E1847&amp;I1847&amp;J1847</f>
        <v/>
      </c>
    </row>
    <row r="1848" ht="16.5" customHeight="1" s="17">
      <c r="B1848" s="16" t="n">
        <v>44124</v>
      </c>
      <c r="C1848" s="20" t="inlineStr">
        <is>
          <t>화</t>
        </is>
      </c>
      <c r="E1848" s="20" t="inlineStr">
        <is>
          <t>쇼핑백</t>
        </is>
      </c>
      <c r="F1848" s="20" t="inlineStr">
        <is>
          <t>카페24</t>
        </is>
      </c>
      <c r="H1848" s="20" t="n">
        <v>7</v>
      </c>
      <c r="I1848" s="20" t="inlineStr">
        <is>
          <t>유즈쇼핑백</t>
        </is>
      </c>
      <c r="J1848" s="20" t="n">
        <v>200720</v>
      </c>
      <c r="L1848" s="20">
        <f>VLOOKUP($O1848,매칭테이블!$G:$J,2,0)*H1848</f>
        <v/>
      </c>
      <c r="M1848" s="20">
        <f>L1848-L1848*VLOOKUP($O1848,매칭테이블!$G:$J,3,0)</f>
        <v/>
      </c>
      <c r="N1848" s="20">
        <f>VLOOKUP($O1848,매칭테이블!$G:$J,4,0)*H1848</f>
        <v/>
      </c>
      <c r="O1848" s="20">
        <f>F1848&amp;E1848&amp;I1848&amp;J1848</f>
        <v/>
      </c>
    </row>
    <row r="1849" ht="16.5" customHeight="1" s="17">
      <c r="B1849" s="16" t="n">
        <v>44125</v>
      </c>
      <c r="C1849" s="20" t="inlineStr">
        <is>
          <t>수</t>
        </is>
      </c>
      <c r="E1849" s="20" t="inlineStr">
        <is>
          <t>고체향수</t>
        </is>
      </c>
      <c r="F1849" s="20" t="inlineStr">
        <is>
          <t>카페24</t>
        </is>
      </c>
      <c r="H1849" s="20" t="n">
        <v>16</v>
      </c>
      <c r="I1849" s="20" t="inlineStr">
        <is>
          <t>이그나이트 + 스테이포에버</t>
        </is>
      </c>
      <c r="J1849" s="20" t="n">
        <v>200720</v>
      </c>
      <c r="L1849" s="20">
        <f>VLOOKUP($O1849,매칭테이블!$G:$J,2,0)*H1849</f>
        <v/>
      </c>
      <c r="M1849" s="20">
        <f>L1849-L1849*VLOOKUP($O1849,매칭테이블!$G:$J,3,0)</f>
        <v/>
      </c>
      <c r="N1849" s="20">
        <f>VLOOKUP($O1849,매칭테이블!$G:$J,4,0)*H1849</f>
        <v/>
      </c>
      <c r="O1849" s="20">
        <f>F1849&amp;E1849&amp;I1849&amp;J1849</f>
        <v/>
      </c>
    </row>
    <row r="1850" ht="16.5" customHeight="1" s="17">
      <c r="B1850" s="16" t="n">
        <v>44125</v>
      </c>
      <c r="C1850" s="20" t="inlineStr">
        <is>
          <t>수</t>
        </is>
      </c>
      <c r="E1850" s="20" t="inlineStr">
        <is>
          <t>고체향수</t>
        </is>
      </c>
      <c r="F1850" s="20" t="inlineStr">
        <is>
          <t>카페24</t>
        </is>
      </c>
      <c r="H1850" s="20" t="n">
        <v>203</v>
      </c>
      <c r="I1850" s="20" t="inlineStr">
        <is>
          <t>스테이포에버</t>
        </is>
      </c>
      <c r="J1850" s="20" t="n">
        <v>200720</v>
      </c>
      <c r="L1850" s="20">
        <f>VLOOKUP($O1850,매칭테이블!$G:$J,2,0)*H1850</f>
        <v/>
      </c>
      <c r="M1850" s="20">
        <f>L1850-L1850*VLOOKUP($O1850,매칭테이블!$G:$J,3,0)</f>
        <v/>
      </c>
      <c r="N1850" s="20">
        <f>VLOOKUP($O1850,매칭테이블!$G:$J,4,0)*H1850</f>
        <v/>
      </c>
      <c r="O1850" s="20">
        <f>F1850&amp;E1850&amp;I1850&amp;J1850</f>
        <v/>
      </c>
    </row>
    <row r="1851" ht="16.5" customHeight="1" s="17">
      <c r="B1851" s="16" t="n">
        <v>44125</v>
      </c>
      <c r="C1851" s="20" t="inlineStr">
        <is>
          <t>수</t>
        </is>
      </c>
      <c r="E1851" s="20" t="inlineStr">
        <is>
          <t>고체향수</t>
        </is>
      </c>
      <c r="F1851" s="20" t="inlineStr">
        <is>
          <t>카페24</t>
        </is>
      </c>
      <c r="H1851" s="20" t="n">
        <v>61</v>
      </c>
      <c r="I1851" s="20" t="inlineStr">
        <is>
          <t>스테이포에버 2set</t>
        </is>
      </c>
      <c r="J1851" s="20" t="n">
        <v>200720</v>
      </c>
      <c r="L1851" s="20">
        <f>VLOOKUP($O1851,매칭테이블!$G:$J,2,0)*H1851</f>
        <v/>
      </c>
      <c r="M1851" s="20">
        <f>L1851-L1851*VLOOKUP($O1851,매칭테이블!$G:$J,3,0)</f>
        <v/>
      </c>
      <c r="N1851" s="20">
        <f>VLOOKUP($O1851,매칭테이블!$G:$J,4,0)*H1851</f>
        <v/>
      </c>
      <c r="O1851" s="20">
        <f>F1851&amp;E1851&amp;I1851&amp;J1851</f>
        <v/>
      </c>
    </row>
    <row r="1852" ht="16.5" customHeight="1" s="17">
      <c r="B1852" s="16" t="n">
        <v>44125</v>
      </c>
      <c r="C1852" s="20" t="inlineStr">
        <is>
          <t>수</t>
        </is>
      </c>
      <c r="E1852" s="20" t="inlineStr">
        <is>
          <t>고체향수</t>
        </is>
      </c>
      <c r="F1852" s="20" t="inlineStr">
        <is>
          <t>카페24</t>
        </is>
      </c>
      <c r="H1852" s="20" t="n">
        <v>1</v>
      </c>
      <c r="I1852" s="20" t="inlineStr">
        <is>
          <t>이그나이트</t>
        </is>
      </c>
      <c r="J1852" s="20" t="n">
        <v>200720</v>
      </c>
      <c r="L1852" s="20">
        <f>VLOOKUP($O1852,매칭테이블!$G:$J,2,0)*H1852</f>
        <v/>
      </c>
      <c r="M1852" s="20">
        <f>L1852-L1852*VLOOKUP($O1852,매칭테이블!$G:$J,3,0)</f>
        <v/>
      </c>
      <c r="N1852" s="20">
        <f>VLOOKUP($O1852,매칭테이블!$G:$J,4,0)*H1852</f>
        <v/>
      </c>
      <c r="O1852" s="20">
        <f>F1852&amp;E1852&amp;I1852&amp;J1852</f>
        <v/>
      </c>
    </row>
    <row r="1853" ht="16.5" customHeight="1" s="17">
      <c r="B1853" s="16" t="n">
        <v>44125</v>
      </c>
      <c r="C1853" s="20" t="inlineStr">
        <is>
          <t>수</t>
        </is>
      </c>
      <c r="E1853" s="20" t="inlineStr">
        <is>
          <t>쇼핑백</t>
        </is>
      </c>
      <c r="F1853" s="20" t="inlineStr">
        <is>
          <t>카페24</t>
        </is>
      </c>
      <c r="H1853" s="20" t="n">
        <v>5</v>
      </c>
      <c r="I1853" s="20" t="inlineStr">
        <is>
          <t>유즈쇼핑백</t>
        </is>
      </c>
      <c r="J1853" s="20" t="n">
        <v>200720</v>
      </c>
      <c r="L1853" s="20">
        <f>VLOOKUP($O1853,매칭테이블!$G:$J,2,0)*H1853</f>
        <v/>
      </c>
      <c r="M1853" s="20">
        <f>L1853-L1853*VLOOKUP($O1853,매칭테이블!$G:$J,3,0)</f>
        <v/>
      </c>
      <c r="N1853" s="20">
        <f>VLOOKUP($O1853,매칭테이블!$G:$J,4,0)*H1853</f>
        <v/>
      </c>
      <c r="O1853" s="20">
        <f>F1853&amp;E1853&amp;I1853&amp;J1853</f>
        <v/>
      </c>
    </row>
    <row r="1854" ht="16.5" customHeight="1" s="17">
      <c r="B1854" s="16" t="n">
        <v>44126</v>
      </c>
      <c r="C1854" s="20" t="inlineStr">
        <is>
          <t>목</t>
        </is>
      </c>
      <c r="E1854" s="20" t="inlineStr">
        <is>
          <t>고체향수</t>
        </is>
      </c>
      <c r="F1854" s="20" t="inlineStr">
        <is>
          <t>카페24</t>
        </is>
      </c>
      <c r="H1854" s="20" t="n">
        <v>14</v>
      </c>
      <c r="I1854" s="20" t="inlineStr">
        <is>
          <t>이그나이트 + 스테이포에버</t>
        </is>
      </c>
      <c r="J1854" s="20" t="n">
        <v>200720</v>
      </c>
      <c r="L1854" s="20">
        <f>VLOOKUP($O1854,매칭테이블!$G:$J,2,0)*H1854</f>
        <v/>
      </c>
      <c r="M1854" s="20">
        <f>L1854-L1854*VLOOKUP($O1854,매칭테이블!$G:$J,3,0)</f>
        <v/>
      </c>
      <c r="N1854" s="20">
        <f>VLOOKUP($O1854,매칭테이블!$G:$J,4,0)*H1854</f>
        <v/>
      </c>
      <c r="O1854" s="20">
        <f>F1854&amp;E1854&amp;I1854&amp;J1854</f>
        <v/>
      </c>
    </row>
    <row r="1855" ht="16.5" customHeight="1" s="17">
      <c r="B1855" s="16" t="n">
        <v>44126</v>
      </c>
      <c r="C1855" s="20" t="inlineStr">
        <is>
          <t>목</t>
        </is>
      </c>
      <c r="E1855" s="20" t="inlineStr">
        <is>
          <t>고체향수</t>
        </is>
      </c>
      <c r="F1855" s="20" t="inlineStr">
        <is>
          <t>카페24</t>
        </is>
      </c>
      <c r="H1855" s="20" t="n">
        <v>218</v>
      </c>
      <c r="I1855" s="20" t="inlineStr">
        <is>
          <t>스테이포에버</t>
        </is>
      </c>
      <c r="J1855" s="20" t="n">
        <v>200720</v>
      </c>
      <c r="L1855" s="20">
        <f>VLOOKUP($O1855,매칭테이블!$G:$J,2,0)*H1855</f>
        <v/>
      </c>
      <c r="M1855" s="20">
        <f>L1855-L1855*VLOOKUP($O1855,매칭테이블!$G:$J,3,0)</f>
        <v/>
      </c>
      <c r="N1855" s="20">
        <f>VLOOKUP($O1855,매칭테이블!$G:$J,4,0)*H1855</f>
        <v/>
      </c>
      <c r="O1855" s="20">
        <f>F1855&amp;E1855&amp;I1855&amp;J1855</f>
        <v/>
      </c>
    </row>
    <row r="1856" ht="16.5" customHeight="1" s="17">
      <c r="B1856" s="16" t="n">
        <v>44126</v>
      </c>
      <c r="C1856" s="20" t="inlineStr">
        <is>
          <t>목</t>
        </is>
      </c>
      <c r="E1856" s="20" t="inlineStr">
        <is>
          <t>고체향수</t>
        </is>
      </c>
      <c r="F1856" s="20" t="inlineStr">
        <is>
          <t>카페24</t>
        </is>
      </c>
      <c r="H1856" s="20" t="n">
        <v>73</v>
      </c>
      <c r="I1856" s="20" t="inlineStr">
        <is>
          <t>스테이포에버 2set</t>
        </is>
      </c>
      <c r="J1856" s="20" t="n">
        <v>200720</v>
      </c>
      <c r="L1856" s="20">
        <f>VLOOKUP($O1856,매칭테이블!$G:$J,2,0)*H1856</f>
        <v/>
      </c>
      <c r="M1856" s="20">
        <f>L1856-L1856*VLOOKUP($O1856,매칭테이블!$G:$J,3,0)</f>
        <v/>
      </c>
      <c r="N1856" s="20">
        <f>VLOOKUP($O1856,매칭테이블!$G:$J,4,0)*H1856</f>
        <v/>
      </c>
      <c r="O1856" s="20">
        <f>F1856&amp;E1856&amp;I1856&amp;J1856</f>
        <v/>
      </c>
    </row>
    <row r="1857" ht="16.5" customHeight="1" s="17">
      <c r="B1857" s="16" t="n">
        <v>44126</v>
      </c>
      <c r="C1857" s="20" t="inlineStr">
        <is>
          <t>목</t>
        </is>
      </c>
      <c r="E1857" s="20" t="inlineStr">
        <is>
          <t>고체향수</t>
        </is>
      </c>
      <c r="F1857" s="20" t="inlineStr">
        <is>
          <t>카페24</t>
        </is>
      </c>
      <c r="H1857" s="20" t="n">
        <v>1</v>
      </c>
      <c r="I1857" s="20" t="inlineStr">
        <is>
          <t>이그나이트</t>
        </is>
      </c>
      <c r="J1857" s="20" t="n">
        <v>200720</v>
      </c>
      <c r="L1857" s="20">
        <f>VLOOKUP($O1857,매칭테이블!$G:$J,2,0)*H1857</f>
        <v/>
      </c>
      <c r="M1857" s="20">
        <f>L1857-L1857*VLOOKUP($O1857,매칭테이블!$G:$J,3,0)</f>
        <v/>
      </c>
      <c r="N1857" s="20">
        <f>VLOOKUP($O1857,매칭테이블!$G:$J,4,0)*H1857</f>
        <v/>
      </c>
      <c r="O1857" s="20">
        <f>F1857&amp;E1857&amp;I1857&amp;J1857</f>
        <v/>
      </c>
    </row>
    <row r="1858" ht="16.5" customHeight="1" s="17">
      <c r="B1858" s="16" t="n">
        <v>44126</v>
      </c>
      <c r="C1858" s="20" t="inlineStr">
        <is>
          <t>목</t>
        </is>
      </c>
      <c r="E1858" s="20" t="inlineStr">
        <is>
          <t>고체향수</t>
        </is>
      </c>
      <c r="F1858" s="20" t="inlineStr">
        <is>
          <t>카페24</t>
        </is>
      </c>
      <c r="H1858" s="20" t="n">
        <v>2</v>
      </c>
      <c r="I1858" s="20" t="inlineStr">
        <is>
          <t>이그나이트 2set</t>
        </is>
      </c>
      <c r="J1858" s="20" t="n">
        <v>200720</v>
      </c>
      <c r="L1858" s="20">
        <f>VLOOKUP($O1858,매칭테이블!$G:$J,2,0)*H1858</f>
        <v/>
      </c>
      <c r="M1858" s="20">
        <f>L1858-L1858*VLOOKUP($O1858,매칭테이블!$G:$J,3,0)</f>
        <v/>
      </c>
      <c r="N1858" s="20">
        <f>VLOOKUP($O1858,매칭테이블!$G:$J,4,0)*H1858</f>
        <v/>
      </c>
      <c r="O1858" s="20">
        <f>F1858&amp;E1858&amp;I1858&amp;J1858</f>
        <v/>
      </c>
    </row>
    <row r="1859" ht="16.5" customHeight="1" s="17">
      <c r="B1859" s="16" t="n">
        <v>44126</v>
      </c>
      <c r="C1859" s="20" t="inlineStr">
        <is>
          <t>목</t>
        </is>
      </c>
      <c r="E1859" s="20" t="inlineStr">
        <is>
          <t>쇼핑백</t>
        </is>
      </c>
      <c r="F1859" s="20" t="inlineStr">
        <is>
          <t>카페24</t>
        </is>
      </c>
      <c r="H1859" s="20" t="n">
        <v>3</v>
      </c>
      <c r="I1859" s="20" t="inlineStr">
        <is>
          <t>유즈쇼핑백</t>
        </is>
      </c>
      <c r="J1859" s="20" t="n">
        <v>200720</v>
      </c>
      <c r="L1859" s="20">
        <f>VLOOKUP($O1859,매칭테이블!$G:$J,2,0)*H1859</f>
        <v/>
      </c>
      <c r="M1859" s="20">
        <f>L1859-L1859*VLOOKUP($O1859,매칭테이블!$G:$J,3,0)</f>
        <v/>
      </c>
      <c r="N1859" s="20">
        <f>VLOOKUP($O1859,매칭테이블!$G:$J,4,0)*H1859</f>
        <v/>
      </c>
      <c r="O1859" s="20">
        <f>F1859&amp;E1859&amp;I1859&amp;J1859</f>
        <v/>
      </c>
    </row>
    <row r="1860" ht="16.5" customHeight="1" s="17">
      <c r="B1860" s="16" t="n">
        <v>44127</v>
      </c>
      <c r="C1860" s="20" t="inlineStr">
        <is>
          <t>금</t>
        </is>
      </c>
      <c r="E1860" s="20" t="inlineStr">
        <is>
          <t>고체향수</t>
        </is>
      </c>
      <c r="F1860" s="20" t="inlineStr">
        <is>
          <t>카페24</t>
        </is>
      </c>
      <c r="H1860" s="20" t="n">
        <v>21</v>
      </c>
      <c r="I1860" s="20" t="inlineStr">
        <is>
          <t>이그나이트 + 스테이포에버</t>
        </is>
      </c>
      <c r="J1860" s="20" t="n">
        <v>200720</v>
      </c>
      <c r="L1860" s="20">
        <f>VLOOKUP($O1860,매칭테이블!$G:$J,2,0)*H1860</f>
        <v/>
      </c>
      <c r="M1860" s="20">
        <f>L1860-L1860*VLOOKUP($O1860,매칭테이블!$G:$J,3,0)</f>
        <v/>
      </c>
      <c r="N1860" s="20">
        <f>VLOOKUP($O1860,매칭테이블!$G:$J,4,0)*H1860</f>
        <v/>
      </c>
      <c r="O1860" s="20">
        <f>F1860&amp;E1860&amp;I1860&amp;J1860</f>
        <v/>
      </c>
    </row>
    <row r="1861" ht="16.5" customHeight="1" s="17">
      <c r="B1861" s="16" t="n">
        <v>44127</v>
      </c>
      <c r="C1861" s="20" t="inlineStr">
        <is>
          <t>금</t>
        </is>
      </c>
      <c r="E1861" s="20" t="inlineStr">
        <is>
          <t>고체향수</t>
        </is>
      </c>
      <c r="F1861" s="20" t="inlineStr">
        <is>
          <t>카페24</t>
        </is>
      </c>
      <c r="H1861" s="20" t="n">
        <v>219</v>
      </c>
      <c r="I1861" s="20" t="inlineStr">
        <is>
          <t>스테이포에버</t>
        </is>
      </c>
      <c r="J1861" s="20" t="n">
        <v>200720</v>
      </c>
      <c r="L1861" s="20">
        <f>VLOOKUP($O1861,매칭테이블!$G:$J,2,0)*H1861</f>
        <v/>
      </c>
      <c r="M1861" s="20">
        <f>L1861-L1861*VLOOKUP($O1861,매칭테이블!$G:$J,3,0)</f>
        <v/>
      </c>
      <c r="N1861" s="20">
        <f>VLOOKUP($O1861,매칭테이블!$G:$J,4,0)*H1861</f>
        <v/>
      </c>
      <c r="O1861" s="20">
        <f>F1861&amp;E1861&amp;I1861&amp;J1861</f>
        <v/>
      </c>
    </row>
    <row r="1862" ht="16.5" customHeight="1" s="17">
      <c r="B1862" s="16" t="n">
        <v>44127</v>
      </c>
      <c r="C1862" s="20" t="inlineStr">
        <is>
          <t>금</t>
        </is>
      </c>
      <c r="E1862" s="20" t="inlineStr">
        <is>
          <t>고체향수</t>
        </is>
      </c>
      <c r="F1862" s="20" t="inlineStr">
        <is>
          <t>카페24</t>
        </is>
      </c>
      <c r="H1862" s="20" t="n">
        <v>55</v>
      </c>
      <c r="I1862" s="20" t="inlineStr">
        <is>
          <t>스테이포에버 2set</t>
        </is>
      </c>
      <c r="J1862" s="20" t="n">
        <v>200720</v>
      </c>
      <c r="L1862" s="20">
        <f>VLOOKUP($O1862,매칭테이블!$G:$J,2,0)*H1862</f>
        <v/>
      </c>
      <c r="M1862" s="20">
        <f>L1862-L1862*VLOOKUP($O1862,매칭테이블!$G:$J,3,0)</f>
        <v/>
      </c>
      <c r="N1862" s="20">
        <f>VLOOKUP($O1862,매칭테이블!$G:$J,4,0)*H1862</f>
        <v/>
      </c>
      <c r="O1862" s="20">
        <f>F1862&amp;E1862&amp;I1862&amp;J1862</f>
        <v/>
      </c>
    </row>
    <row r="1863" ht="16.5" customHeight="1" s="17">
      <c r="B1863" s="16" t="n">
        <v>44127</v>
      </c>
      <c r="C1863" s="20" t="inlineStr">
        <is>
          <t>금</t>
        </is>
      </c>
      <c r="E1863" s="20" t="inlineStr">
        <is>
          <t>고체향수</t>
        </is>
      </c>
      <c r="F1863" s="20" t="inlineStr">
        <is>
          <t>카페24</t>
        </is>
      </c>
      <c r="H1863" s="20" t="n">
        <v>7</v>
      </c>
      <c r="I1863" s="20" t="inlineStr">
        <is>
          <t>이그나이트</t>
        </is>
      </c>
      <c r="J1863" s="20" t="n">
        <v>200720</v>
      </c>
      <c r="L1863" s="20">
        <f>VLOOKUP($O1863,매칭테이블!$G:$J,2,0)*H1863</f>
        <v/>
      </c>
      <c r="M1863" s="20">
        <f>L1863-L1863*VLOOKUP($O1863,매칭테이블!$G:$J,3,0)</f>
        <v/>
      </c>
      <c r="N1863" s="20">
        <f>VLOOKUP($O1863,매칭테이블!$G:$J,4,0)*H1863</f>
        <v/>
      </c>
      <c r="O1863" s="20">
        <f>F1863&amp;E1863&amp;I1863&amp;J1863</f>
        <v/>
      </c>
    </row>
    <row r="1864" ht="16.5" customHeight="1" s="17">
      <c r="B1864" s="16" t="n">
        <v>44127</v>
      </c>
      <c r="C1864" s="20" t="inlineStr">
        <is>
          <t>금</t>
        </is>
      </c>
      <c r="E1864" s="20" t="inlineStr">
        <is>
          <t>쇼핑백</t>
        </is>
      </c>
      <c r="F1864" s="20" t="inlineStr">
        <is>
          <t>카페24</t>
        </is>
      </c>
      <c r="H1864" s="20" t="n">
        <v>9</v>
      </c>
      <c r="I1864" s="20" t="inlineStr">
        <is>
          <t>유즈쇼핑백</t>
        </is>
      </c>
      <c r="J1864" s="20" t="n">
        <v>200720</v>
      </c>
      <c r="L1864" s="20">
        <f>VLOOKUP($O1864,매칭테이블!$G:$J,2,0)*H1864</f>
        <v/>
      </c>
      <c r="M1864" s="20">
        <f>L1864-L1864*VLOOKUP($O1864,매칭테이블!$G:$J,3,0)</f>
        <v/>
      </c>
      <c r="N1864" s="20">
        <f>VLOOKUP($O1864,매칭테이블!$G:$J,4,0)*H1864</f>
        <v/>
      </c>
      <c r="O1864" s="20">
        <f>F1864&amp;E1864&amp;I1864&amp;J1864</f>
        <v/>
      </c>
    </row>
    <row r="1865" ht="16.5" customHeight="1" s="17">
      <c r="B1865" s="16" t="n">
        <v>44128</v>
      </c>
      <c r="C1865" s="20" t="inlineStr">
        <is>
          <t>토</t>
        </is>
      </c>
      <c r="E1865" s="20" t="inlineStr">
        <is>
          <t>고체향수</t>
        </is>
      </c>
      <c r="F1865" s="20" t="inlineStr">
        <is>
          <t>카페24</t>
        </is>
      </c>
      <c r="H1865" s="20" t="n">
        <v>15</v>
      </c>
      <c r="I1865" s="20" t="inlineStr">
        <is>
          <t>이그나이트 + 스테이포에버</t>
        </is>
      </c>
      <c r="J1865" s="20" t="n">
        <v>200720</v>
      </c>
      <c r="L1865" s="20">
        <f>VLOOKUP($O1865,매칭테이블!$G:$J,2,0)*H1865</f>
        <v/>
      </c>
      <c r="M1865" s="20">
        <f>L1865-L1865*VLOOKUP($O1865,매칭테이블!$G:$J,3,0)</f>
        <v/>
      </c>
      <c r="N1865" s="20">
        <f>VLOOKUP($O1865,매칭테이블!$G:$J,4,0)*H1865</f>
        <v/>
      </c>
      <c r="O1865" s="20">
        <f>F1865&amp;E1865&amp;I1865&amp;J1865</f>
        <v/>
      </c>
    </row>
    <row r="1866" ht="16.5" customHeight="1" s="17">
      <c r="B1866" s="16" t="n">
        <v>44128</v>
      </c>
      <c r="C1866" s="20" t="inlineStr">
        <is>
          <t>토</t>
        </is>
      </c>
      <c r="E1866" s="20" t="inlineStr">
        <is>
          <t>고체향수</t>
        </is>
      </c>
      <c r="F1866" s="20" t="inlineStr">
        <is>
          <t>카페24</t>
        </is>
      </c>
      <c r="H1866" s="20" t="n">
        <v>224</v>
      </c>
      <c r="I1866" s="20" t="inlineStr">
        <is>
          <t>스테이포에버</t>
        </is>
      </c>
      <c r="J1866" s="20" t="n">
        <v>200720</v>
      </c>
      <c r="L1866" s="20">
        <f>VLOOKUP($O1866,매칭테이블!$G:$J,2,0)*H1866</f>
        <v/>
      </c>
      <c r="M1866" s="20">
        <f>L1866-L1866*VLOOKUP($O1866,매칭테이블!$G:$J,3,0)</f>
        <v/>
      </c>
      <c r="N1866" s="20">
        <f>VLOOKUP($O1866,매칭테이블!$G:$J,4,0)*H1866</f>
        <v/>
      </c>
      <c r="O1866" s="20">
        <f>F1866&amp;E1866&amp;I1866&amp;J1866</f>
        <v/>
      </c>
    </row>
    <row r="1867" ht="16.5" customHeight="1" s="17">
      <c r="B1867" s="16" t="n">
        <v>44128</v>
      </c>
      <c r="C1867" s="20" t="inlineStr">
        <is>
          <t>토</t>
        </is>
      </c>
      <c r="E1867" s="20" t="inlineStr">
        <is>
          <t>고체향수</t>
        </is>
      </c>
      <c r="F1867" s="20" t="inlineStr">
        <is>
          <t>카페24</t>
        </is>
      </c>
      <c r="H1867" s="20" t="n">
        <v>66</v>
      </c>
      <c r="I1867" s="20" t="inlineStr">
        <is>
          <t>스테이포에버 2set</t>
        </is>
      </c>
      <c r="J1867" s="20" t="n">
        <v>200720</v>
      </c>
      <c r="L1867" s="20">
        <f>VLOOKUP($O1867,매칭테이블!$G:$J,2,0)*H1867</f>
        <v/>
      </c>
      <c r="M1867" s="20">
        <f>L1867-L1867*VLOOKUP($O1867,매칭테이블!$G:$J,3,0)</f>
        <v/>
      </c>
      <c r="N1867" s="20">
        <f>VLOOKUP($O1867,매칭테이블!$G:$J,4,0)*H1867</f>
        <v/>
      </c>
      <c r="O1867" s="20">
        <f>F1867&amp;E1867&amp;I1867&amp;J1867</f>
        <v/>
      </c>
    </row>
    <row r="1868" ht="16.5" customHeight="1" s="17">
      <c r="B1868" s="16" t="n">
        <v>44128</v>
      </c>
      <c r="C1868" s="20" t="inlineStr">
        <is>
          <t>토</t>
        </is>
      </c>
      <c r="E1868" s="20" t="inlineStr">
        <is>
          <t>고체향수</t>
        </is>
      </c>
      <c r="F1868" s="20" t="inlineStr">
        <is>
          <t>카페24</t>
        </is>
      </c>
      <c r="H1868" s="20" t="n">
        <v>4</v>
      </c>
      <c r="I1868" s="20" t="inlineStr">
        <is>
          <t>이그나이트</t>
        </is>
      </c>
      <c r="J1868" s="20" t="n">
        <v>200720</v>
      </c>
      <c r="L1868" s="20">
        <f>VLOOKUP($O1868,매칭테이블!$G:$J,2,0)*H1868</f>
        <v/>
      </c>
      <c r="M1868" s="20">
        <f>L1868-L1868*VLOOKUP($O1868,매칭테이블!$G:$J,3,0)</f>
        <v/>
      </c>
      <c r="N1868" s="20">
        <f>VLOOKUP($O1868,매칭테이블!$G:$J,4,0)*H1868</f>
        <v/>
      </c>
      <c r="O1868" s="20">
        <f>F1868&amp;E1868&amp;I1868&amp;J1868</f>
        <v/>
      </c>
    </row>
    <row r="1869" ht="16.5" customHeight="1" s="17">
      <c r="B1869" s="16" t="n">
        <v>44128</v>
      </c>
      <c r="C1869" s="20" t="inlineStr">
        <is>
          <t>토</t>
        </is>
      </c>
      <c r="E1869" s="20" t="inlineStr">
        <is>
          <t>고체향수</t>
        </is>
      </c>
      <c r="F1869" s="20" t="inlineStr">
        <is>
          <t>카페24</t>
        </is>
      </c>
      <c r="H1869" s="20" t="n">
        <v>2</v>
      </c>
      <c r="I1869" s="20" t="inlineStr">
        <is>
          <t>이그나이트 2set</t>
        </is>
      </c>
      <c r="J1869" s="20" t="n">
        <v>200720</v>
      </c>
      <c r="L1869" s="20">
        <f>VLOOKUP($O1869,매칭테이블!$G:$J,2,0)*H1869</f>
        <v/>
      </c>
      <c r="M1869" s="20">
        <f>L1869-L1869*VLOOKUP($O1869,매칭테이블!$G:$J,3,0)</f>
        <v/>
      </c>
      <c r="N1869" s="20">
        <f>VLOOKUP($O1869,매칭테이블!$G:$J,4,0)*H1869</f>
        <v/>
      </c>
      <c r="O1869" s="20">
        <f>F1869&amp;E1869&amp;I1869&amp;J1869</f>
        <v/>
      </c>
    </row>
    <row r="1870" ht="16.5" customHeight="1" s="17">
      <c r="B1870" s="16" t="n">
        <v>44128</v>
      </c>
      <c r="C1870" s="20" t="inlineStr">
        <is>
          <t>토</t>
        </is>
      </c>
      <c r="E1870" s="20" t="inlineStr">
        <is>
          <t>쇼핑백</t>
        </is>
      </c>
      <c r="F1870" s="20" t="inlineStr">
        <is>
          <t>카페24</t>
        </is>
      </c>
      <c r="H1870" s="20" t="n">
        <v>10</v>
      </c>
      <c r="I1870" s="20" t="inlineStr">
        <is>
          <t>유즈쇼핑백</t>
        </is>
      </c>
      <c r="J1870" s="20" t="n">
        <v>200720</v>
      </c>
      <c r="L1870" s="20">
        <f>VLOOKUP($O1870,매칭테이블!$G:$J,2,0)*H1870</f>
        <v/>
      </c>
      <c r="M1870" s="20">
        <f>L1870-L1870*VLOOKUP($O1870,매칭테이블!$G:$J,3,0)</f>
        <v/>
      </c>
      <c r="N1870" s="20">
        <f>VLOOKUP($O1870,매칭테이블!$G:$J,4,0)*H1870</f>
        <v/>
      </c>
      <c r="O1870" s="20">
        <f>F1870&amp;E1870&amp;I1870&amp;J1870</f>
        <v/>
      </c>
    </row>
    <row r="1871" ht="16.5" customHeight="1" s="17">
      <c r="B1871" s="16" t="n">
        <v>44129</v>
      </c>
      <c r="C1871" s="20" t="inlineStr">
        <is>
          <t>일</t>
        </is>
      </c>
      <c r="E1871" s="20" t="inlineStr">
        <is>
          <t>고체향수</t>
        </is>
      </c>
      <c r="F1871" s="20" t="inlineStr">
        <is>
          <t>카페24</t>
        </is>
      </c>
      <c r="H1871" s="20" t="n">
        <v>10</v>
      </c>
      <c r="I1871" s="20" t="inlineStr">
        <is>
          <t>이그나이트 + 스테이포에버</t>
        </is>
      </c>
      <c r="J1871" s="20" t="n">
        <v>200720</v>
      </c>
      <c r="L1871" s="20">
        <f>VLOOKUP($O1871,매칭테이블!$G:$J,2,0)*H1871</f>
        <v/>
      </c>
      <c r="M1871" s="20">
        <f>L1871-L1871*VLOOKUP($O1871,매칭테이블!$G:$J,3,0)</f>
        <v/>
      </c>
      <c r="N1871" s="20">
        <f>VLOOKUP($O1871,매칭테이블!$G:$J,4,0)*H1871</f>
        <v/>
      </c>
      <c r="O1871" s="20">
        <f>F1871&amp;E1871&amp;I1871&amp;J1871</f>
        <v/>
      </c>
    </row>
    <row r="1872" ht="16.5" customHeight="1" s="17">
      <c r="B1872" s="16" t="n">
        <v>44129</v>
      </c>
      <c r="C1872" s="20" t="inlineStr">
        <is>
          <t>일</t>
        </is>
      </c>
      <c r="E1872" s="20" t="inlineStr">
        <is>
          <t>고체향수</t>
        </is>
      </c>
      <c r="F1872" s="20" t="inlineStr">
        <is>
          <t>카페24</t>
        </is>
      </c>
      <c r="H1872" s="20" t="n">
        <v>236</v>
      </c>
      <c r="I1872" s="20" t="inlineStr">
        <is>
          <t>스테이포에버</t>
        </is>
      </c>
      <c r="J1872" s="20" t="n">
        <v>200720</v>
      </c>
      <c r="L1872" s="20">
        <f>VLOOKUP($O1872,매칭테이블!$G:$J,2,0)*H1872</f>
        <v/>
      </c>
      <c r="M1872" s="20">
        <f>L1872-L1872*VLOOKUP($O1872,매칭테이블!$G:$J,3,0)</f>
        <v/>
      </c>
      <c r="N1872" s="20">
        <f>VLOOKUP($O1872,매칭테이블!$G:$J,4,0)*H1872</f>
        <v/>
      </c>
      <c r="O1872" s="20">
        <f>F1872&amp;E1872&amp;I1872&amp;J1872</f>
        <v/>
      </c>
    </row>
    <row r="1873" ht="16.5" customHeight="1" s="17">
      <c r="B1873" s="16" t="n">
        <v>44129</v>
      </c>
      <c r="C1873" s="20" t="inlineStr">
        <is>
          <t>일</t>
        </is>
      </c>
      <c r="E1873" s="20" t="inlineStr">
        <is>
          <t>고체향수</t>
        </is>
      </c>
      <c r="F1873" s="20" t="inlineStr">
        <is>
          <t>카페24</t>
        </is>
      </c>
      <c r="H1873" s="20" t="n">
        <v>67</v>
      </c>
      <c r="I1873" s="20" t="inlineStr">
        <is>
          <t>스테이포에버 2set</t>
        </is>
      </c>
      <c r="J1873" s="20" t="n">
        <v>200720</v>
      </c>
      <c r="L1873" s="20">
        <f>VLOOKUP($O1873,매칭테이블!$G:$J,2,0)*H1873</f>
        <v/>
      </c>
      <c r="M1873" s="20">
        <f>L1873-L1873*VLOOKUP($O1873,매칭테이블!$G:$J,3,0)</f>
        <v/>
      </c>
      <c r="N1873" s="20">
        <f>VLOOKUP($O1873,매칭테이블!$G:$J,4,0)*H1873</f>
        <v/>
      </c>
      <c r="O1873" s="20">
        <f>F1873&amp;E1873&amp;I1873&amp;J1873</f>
        <v/>
      </c>
    </row>
    <row r="1874" ht="16.5" customHeight="1" s="17">
      <c r="B1874" s="16" t="n">
        <v>44129</v>
      </c>
      <c r="C1874" s="20" t="inlineStr">
        <is>
          <t>일</t>
        </is>
      </c>
      <c r="E1874" s="20" t="inlineStr">
        <is>
          <t>고체향수</t>
        </is>
      </c>
      <c r="F1874" s="20" t="inlineStr">
        <is>
          <t>카페24</t>
        </is>
      </c>
      <c r="H1874" s="20" t="n">
        <v>2</v>
      </c>
      <c r="I1874" s="20" t="inlineStr">
        <is>
          <t>이그나이트</t>
        </is>
      </c>
      <c r="J1874" s="20" t="n">
        <v>200720</v>
      </c>
      <c r="L1874" s="20">
        <f>VLOOKUP($O1874,매칭테이블!$G:$J,2,0)*H1874</f>
        <v/>
      </c>
      <c r="M1874" s="20">
        <f>L1874-L1874*VLOOKUP($O1874,매칭테이블!$G:$J,3,0)</f>
        <v/>
      </c>
      <c r="N1874" s="20">
        <f>VLOOKUP($O1874,매칭테이블!$G:$J,4,0)*H1874</f>
        <v/>
      </c>
      <c r="O1874" s="20">
        <f>F1874&amp;E1874&amp;I1874&amp;J1874</f>
        <v/>
      </c>
    </row>
    <row r="1875" ht="16.5" customHeight="1" s="17">
      <c r="B1875" s="16" t="n">
        <v>44129</v>
      </c>
      <c r="C1875" s="20" t="inlineStr">
        <is>
          <t>일</t>
        </is>
      </c>
      <c r="E1875" s="20" t="inlineStr">
        <is>
          <t>쇼핑백</t>
        </is>
      </c>
      <c r="F1875" s="20" t="inlineStr">
        <is>
          <t>카페24</t>
        </is>
      </c>
      <c r="H1875" s="20" t="n">
        <v>9</v>
      </c>
      <c r="I1875" s="20" t="inlineStr">
        <is>
          <t>유즈쇼핑백</t>
        </is>
      </c>
      <c r="J1875" s="20" t="n">
        <v>200720</v>
      </c>
      <c r="L1875" s="20">
        <f>VLOOKUP($O1875,매칭테이블!$G:$J,2,0)*H1875</f>
        <v/>
      </c>
      <c r="M1875" s="20">
        <f>L1875-L1875*VLOOKUP($O1875,매칭테이블!$G:$J,3,0)</f>
        <v/>
      </c>
      <c r="N1875" s="20">
        <f>VLOOKUP($O1875,매칭테이블!$G:$J,4,0)*H1875</f>
        <v/>
      </c>
      <c r="O1875" s="20">
        <f>F1875&amp;E1875&amp;I1875&amp;J1875</f>
        <v/>
      </c>
    </row>
    <row r="1876" ht="16.5" customHeight="1" s="17">
      <c r="B1876" s="16" t="n">
        <v>44130</v>
      </c>
      <c r="C1876" s="20" t="inlineStr">
        <is>
          <t>월</t>
        </is>
      </c>
      <c r="E1876" s="20" t="inlineStr">
        <is>
          <t>고체향수</t>
        </is>
      </c>
      <c r="F1876" s="20" t="inlineStr">
        <is>
          <t>카페24</t>
        </is>
      </c>
      <c r="H1876" s="20" t="n">
        <v>20</v>
      </c>
      <c r="I1876" s="20" t="inlineStr">
        <is>
          <t>이그나이트 + 스테이포에버</t>
        </is>
      </c>
      <c r="J1876" s="20" t="n">
        <v>200720</v>
      </c>
      <c r="L1876" s="20">
        <f>VLOOKUP($O1876,매칭테이블!$G:$J,2,0)*H1876</f>
        <v/>
      </c>
      <c r="M1876" s="20">
        <f>L1876-L1876*VLOOKUP($O1876,매칭테이블!$G:$J,3,0)</f>
        <v/>
      </c>
      <c r="N1876" s="20">
        <f>VLOOKUP($O1876,매칭테이블!$G:$J,4,0)*H1876</f>
        <v/>
      </c>
      <c r="O1876" s="20">
        <f>F1876&amp;E1876&amp;I1876&amp;J1876</f>
        <v/>
      </c>
    </row>
    <row r="1877" ht="16.5" customHeight="1" s="17">
      <c r="B1877" s="16" t="n">
        <v>44130</v>
      </c>
      <c r="C1877" s="20" t="inlineStr">
        <is>
          <t>월</t>
        </is>
      </c>
      <c r="E1877" s="20" t="inlineStr">
        <is>
          <t>고체향수</t>
        </is>
      </c>
      <c r="F1877" s="20" t="inlineStr">
        <is>
          <t>카페24</t>
        </is>
      </c>
      <c r="H1877" s="20" t="n">
        <v>228</v>
      </c>
      <c r="I1877" s="20" t="inlineStr">
        <is>
          <t>스테이포에버</t>
        </is>
      </c>
      <c r="J1877" s="20" t="n">
        <v>200720</v>
      </c>
      <c r="L1877" s="20">
        <f>VLOOKUP($O1877,매칭테이블!$G:$J,2,0)*H1877</f>
        <v/>
      </c>
      <c r="M1877" s="20">
        <f>L1877-L1877*VLOOKUP($O1877,매칭테이블!$G:$J,3,0)</f>
        <v/>
      </c>
      <c r="N1877" s="20">
        <f>VLOOKUP($O1877,매칭테이블!$G:$J,4,0)*H1877</f>
        <v/>
      </c>
      <c r="O1877" s="20">
        <f>F1877&amp;E1877&amp;I1877&amp;J1877</f>
        <v/>
      </c>
    </row>
    <row r="1878" ht="16.5" customHeight="1" s="17">
      <c r="B1878" s="16" t="n">
        <v>44130</v>
      </c>
      <c r="C1878" s="20" t="inlineStr">
        <is>
          <t>월</t>
        </is>
      </c>
      <c r="E1878" s="20" t="inlineStr">
        <is>
          <t>고체향수</t>
        </is>
      </c>
      <c r="F1878" s="20" t="inlineStr">
        <is>
          <t>카페24</t>
        </is>
      </c>
      <c r="H1878" s="20" t="n">
        <v>59</v>
      </c>
      <c r="I1878" s="20" t="inlineStr">
        <is>
          <t>스테이포에버 2set</t>
        </is>
      </c>
      <c r="J1878" s="20" t="n">
        <v>200720</v>
      </c>
      <c r="L1878" s="20">
        <f>VLOOKUP($O1878,매칭테이블!$G:$J,2,0)*H1878</f>
        <v/>
      </c>
      <c r="M1878" s="20">
        <f>L1878-L1878*VLOOKUP($O1878,매칭테이블!$G:$J,3,0)</f>
        <v/>
      </c>
      <c r="N1878" s="20">
        <f>VLOOKUP($O1878,매칭테이블!$G:$J,4,0)*H1878</f>
        <v/>
      </c>
      <c r="O1878" s="20">
        <f>F1878&amp;E1878&amp;I1878&amp;J1878</f>
        <v/>
      </c>
    </row>
    <row r="1879" ht="16.5" customHeight="1" s="17">
      <c r="B1879" s="16" t="n">
        <v>44130</v>
      </c>
      <c r="C1879" s="20" t="inlineStr">
        <is>
          <t>월</t>
        </is>
      </c>
      <c r="E1879" s="20" t="inlineStr">
        <is>
          <t>고체향수</t>
        </is>
      </c>
      <c r="F1879" s="20" t="inlineStr">
        <is>
          <t>카페24</t>
        </is>
      </c>
      <c r="H1879" s="20" t="n">
        <v>3</v>
      </c>
      <c r="I1879" s="20" t="inlineStr">
        <is>
          <t>이그나이트</t>
        </is>
      </c>
      <c r="J1879" s="20" t="n">
        <v>200720</v>
      </c>
      <c r="L1879" s="20">
        <f>VLOOKUP($O1879,매칭테이블!$G:$J,2,0)*H1879</f>
        <v/>
      </c>
      <c r="M1879" s="20">
        <f>L1879-L1879*VLOOKUP($O1879,매칭테이블!$G:$J,3,0)</f>
        <v/>
      </c>
      <c r="N1879" s="20">
        <f>VLOOKUP($O1879,매칭테이블!$G:$J,4,0)*H1879</f>
        <v/>
      </c>
      <c r="O1879" s="20">
        <f>F1879&amp;E1879&amp;I1879&amp;J1879</f>
        <v/>
      </c>
    </row>
    <row r="1880" ht="16.5" customHeight="1" s="17">
      <c r="B1880" s="16" t="n">
        <v>44130</v>
      </c>
      <c r="C1880" s="20" t="inlineStr">
        <is>
          <t>월</t>
        </is>
      </c>
      <c r="E1880" s="20" t="inlineStr">
        <is>
          <t>고체향수</t>
        </is>
      </c>
      <c r="F1880" s="20" t="inlineStr">
        <is>
          <t>카페24</t>
        </is>
      </c>
      <c r="H1880" s="20" t="n">
        <v>1</v>
      </c>
      <c r="I1880" s="20" t="inlineStr">
        <is>
          <t>이그나이트 2set</t>
        </is>
      </c>
      <c r="J1880" s="20" t="n">
        <v>200720</v>
      </c>
      <c r="L1880" s="20">
        <f>VLOOKUP($O1880,매칭테이블!$G:$J,2,0)*H1880</f>
        <v/>
      </c>
      <c r="M1880" s="20">
        <f>L1880-L1880*VLOOKUP($O1880,매칭테이블!$G:$J,3,0)</f>
        <v/>
      </c>
      <c r="N1880" s="20">
        <f>VLOOKUP($O1880,매칭테이블!$G:$J,4,0)*H1880</f>
        <v/>
      </c>
      <c r="O1880" s="20">
        <f>F1880&amp;E1880&amp;I1880&amp;J1880</f>
        <v/>
      </c>
    </row>
    <row r="1881" ht="16.5" customHeight="1" s="17">
      <c r="B1881" s="16" t="n">
        <v>44130</v>
      </c>
      <c r="C1881" s="20" t="inlineStr">
        <is>
          <t>월</t>
        </is>
      </c>
      <c r="E1881" s="20" t="inlineStr">
        <is>
          <t>쇼핑백</t>
        </is>
      </c>
      <c r="F1881" s="20" t="inlineStr">
        <is>
          <t>카페24</t>
        </is>
      </c>
      <c r="H1881" s="20" t="n">
        <v>7</v>
      </c>
      <c r="I1881" s="20" t="inlineStr">
        <is>
          <t>유즈쇼핑백</t>
        </is>
      </c>
      <c r="J1881" s="20" t="n">
        <v>200720</v>
      </c>
      <c r="L1881" s="20">
        <f>VLOOKUP($O1881,매칭테이블!$G:$J,2,0)*H1881</f>
        <v/>
      </c>
      <c r="M1881" s="20">
        <f>L1881-L1881*VLOOKUP($O1881,매칭테이블!$G:$J,3,0)</f>
        <v/>
      </c>
      <c r="N1881" s="20">
        <f>VLOOKUP($O1881,매칭테이블!$G:$J,4,0)*H1881</f>
        <v/>
      </c>
      <c r="O1881" s="20">
        <f>F1881&amp;E1881&amp;I1881&amp;J1881</f>
        <v/>
      </c>
    </row>
    <row r="1882" ht="16.5" customHeight="1" s="17">
      <c r="B1882" s="16" t="n">
        <v>44131</v>
      </c>
      <c r="C1882" s="20" t="inlineStr">
        <is>
          <t>화</t>
        </is>
      </c>
      <c r="E1882" s="20" t="inlineStr">
        <is>
          <t>고체향수</t>
        </is>
      </c>
      <c r="F1882" s="20" t="inlineStr">
        <is>
          <t>카페24</t>
        </is>
      </c>
      <c r="H1882" s="20" t="n">
        <v>17</v>
      </c>
      <c r="I1882" s="20" t="inlineStr">
        <is>
          <t>이그나이트 + 스테이포에버</t>
        </is>
      </c>
      <c r="J1882" s="20" t="n">
        <v>200720</v>
      </c>
      <c r="L1882" s="20">
        <f>VLOOKUP($O1882,매칭테이블!$G:$J,2,0)*H1882</f>
        <v/>
      </c>
      <c r="M1882" s="20">
        <f>L1882-L1882*VLOOKUP($O1882,매칭테이블!$G:$J,3,0)</f>
        <v/>
      </c>
      <c r="N1882" s="20">
        <f>VLOOKUP($O1882,매칭테이블!$G:$J,4,0)*H1882</f>
        <v/>
      </c>
      <c r="O1882" s="20">
        <f>F1882&amp;E1882&amp;I1882&amp;J1882</f>
        <v/>
      </c>
    </row>
    <row r="1883" ht="16.5" customHeight="1" s="17">
      <c r="B1883" s="16" t="n">
        <v>44131</v>
      </c>
      <c r="C1883" s="20" t="inlineStr">
        <is>
          <t>화</t>
        </is>
      </c>
      <c r="E1883" s="20" t="inlineStr">
        <is>
          <t>고체향수</t>
        </is>
      </c>
      <c r="F1883" s="20" t="inlineStr">
        <is>
          <t>카페24</t>
        </is>
      </c>
      <c r="H1883" s="20" t="n">
        <v>216</v>
      </c>
      <c r="I1883" s="20" t="inlineStr">
        <is>
          <t>스테이포에버</t>
        </is>
      </c>
      <c r="J1883" s="20" t="n">
        <v>200720</v>
      </c>
      <c r="L1883" s="20">
        <f>VLOOKUP($O1883,매칭테이블!$G:$J,2,0)*H1883</f>
        <v/>
      </c>
      <c r="M1883" s="20">
        <f>L1883-L1883*VLOOKUP($O1883,매칭테이블!$G:$J,3,0)</f>
        <v/>
      </c>
      <c r="N1883" s="20">
        <f>VLOOKUP($O1883,매칭테이블!$G:$J,4,0)*H1883</f>
        <v/>
      </c>
      <c r="O1883" s="20">
        <f>F1883&amp;E1883&amp;I1883&amp;J1883</f>
        <v/>
      </c>
    </row>
    <row r="1884" ht="16.5" customHeight="1" s="17">
      <c r="B1884" s="16" t="n">
        <v>44131</v>
      </c>
      <c r="C1884" s="20" t="inlineStr">
        <is>
          <t>화</t>
        </is>
      </c>
      <c r="E1884" s="20" t="inlineStr">
        <is>
          <t>고체향수</t>
        </is>
      </c>
      <c r="F1884" s="20" t="inlineStr">
        <is>
          <t>카페24</t>
        </is>
      </c>
      <c r="H1884" s="20" t="n">
        <v>56</v>
      </c>
      <c r="I1884" s="20" t="inlineStr">
        <is>
          <t>스테이포에버 2set</t>
        </is>
      </c>
      <c r="J1884" s="20" t="n">
        <v>200720</v>
      </c>
      <c r="L1884" s="20">
        <f>VLOOKUP($O1884,매칭테이블!$G:$J,2,0)*H1884</f>
        <v/>
      </c>
      <c r="M1884" s="20">
        <f>L1884-L1884*VLOOKUP($O1884,매칭테이블!$G:$J,3,0)</f>
        <v/>
      </c>
      <c r="N1884" s="20">
        <f>VLOOKUP($O1884,매칭테이블!$G:$J,4,0)*H1884</f>
        <v/>
      </c>
      <c r="O1884" s="20">
        <f>F1884&amp;E1884&amp;I1884&amp;J1884</f>
        <v/>
      </c>
    </row>
    <row r="1885" ht="16.5" customHeight="1" s="17">
      <c r="B1885" s="16" t="n">
        <v>44131</v>
      </c>
      <c r="C1885" s="20" t="inlineStr">
        <is>
          <t>화</t>
        </is>
      </c>
      <c r="E1885" s="20" t="inlineStr">
        <is>
          <t>고체향수</t>
        </is>
      </c>
      <c r="F1885" s="20" t="inlineStr">
        <is>
          <t>카페24</t>
        </is>
      </c>
      <c r="H1885" s="20" t="n">
        <v>4</v>
      </c>
      <c r="I1885" s="20" t="inlineStr">
        <is>
          <t>이그나이트</t>
        </is>
      </c>
      <c r="J1885" s="20" t="n">
        <v>200720</v>
      </c>
      <c r="L1885" s="20">
        <f>VLOOKUP($O1885,매칭테이블!$G:$J,2,0)*H1885</f>
        <v/>
      </c>
      <c r="M1885" s="20">
        <f>L1885-L1885*VLOOKUP($O1885,매칭테이블!$G:$J,3,0)</f>
        <v/>
      </c>
      <c r="N1885" s="20">
        <f>VLOOKUP($O1885,매칭테이블!$G:$J,4,0)*H1885</f>
        <v/>
      </c>
      <c r="O1885" s="20">
        <f>F1885&amp;E1885&amp;I1885&amp;J1885</f>
        <v/>
      </c>
    </row>
    <row r="1886" ht="16.5" customHeight="1" s="17">
      <c r="B1886" s="16" t="n">
        <v>44131</v>
      </c>
      <c r="C1886" s="20" t="inlineStr">
        <is>
          <t>화</t>
        </is>
      </c>
      <c r="E1886" s="20" t="inlineStr">
        <is>
          <t>쇼핑백</t>
        </is>
      </c>
      <c r="F1886" s="20" t="inlineStr">
        <is>
          <t>카페24</t>
        </is>
      </c>
      <c r="H1886" s="20" t="n">
        <v>3</v>
      </c>
      <c r="I1886" s="20" t="inlineStr">
        <is>
          <t>유즈쇼핑백</t>
        </is>
      </c>
      <c r="J1886" s="20" t="n">
        <v>200720</v>
      </c>
      <c r="L1886" s="20">
        <f>VLOOKUP($O1886,매칭테이블!$G:$J,2,0)*H1886</f>
        <v/>
      </c>
      <c r="M1886" s="20">
        <f>L1886-L1886*VLOOKUP($O1886,매칭테이블!$G:$J,3,0)</f>
        <v/>
      </c>
      <c r="N1886" s="20">
        <f>VLOOKUP($O1886,매칭테이블!$G:$J,4,0)*H1886</f>
        <v/>
      </c>
      <c r="O1886" s="20">
        <f>F1886&amp;E1886&amp;I1886&amp;J1886</f>
        <v/>
      </c>
    </row>
    <row r="1887" ht="16.5" customHeight="1" s="17">
      <c r="B1887" s="16" t="n">
        <v>44132</v>
      </c>
      <c r="C1887" s="20" t="inlineStr">
        <is>
          <t>수</t>
        </is>
      </c>
      <c r="E1887" s="20" t="inlineStr">
        <is>
          <t>고체향수</t>
        </is>
      </c>
      <c r="F1887" s="20" t="inlineStr">
        <is>
          <t>유즈 CS</t>
        </is>
      </c>
      <c r="H1887" s="20" t="n">
        <v>5</v>
      </c>
      <c r="I1887" s="20" t="inlineStr">
        <is>
          <t>스테이포에버</t>
        </is>
      </c>
      <c r="J1887" s="20" t="n">
        <v>200520</v>
      </c>
      <c r="L1887" s="20">
        <f>VLOOKUP($O1887,매칭테이블!$G:$J,2,0)*H1887</f>
        <v/>
      </c>
      <c r="M1887" s="20">
        <f>L1887-L1887*VLOOKUP($O1887,매칭테이블!$G:$J,3,0)</f>
        <v/>
      </c>
      <c r="N1887" s="20">
        <f>VLOOKUP($O1887,매칭테이블!$G:$J,4,0)*H1887</f>
        <v/>
      </c>
      <c r="O1887" s="20">
        <f>F1887&amp;E1887&amp;I1887&amp;J1887</f>
        <v/>
      </c>
    </row>
    <row r="1888" ht="16.5" customHeight="1" s="17">
      <c r="B1888" s="16" t="n">
        <v>44132</v>
      </c>
      <c r="C1888" s="20" t="inlineStr">
        <is>
          <t>수</t>
        </is>
      </c>
      <c r="E1888" s="20" t="inlineStr">
        <is>
          <t>고체향수</t>
        </is>
      </c>
      <c r="F1888" s="20" t="inlineStr">
        <is>
          <t>유즈 CS</t>
        </is>
      </c>
      <c r="H1888" s="20" t="n">
        <v>5</v>
      </c>
      <c r="I1888" s="20" t="inlineStr">
        <is>
          <t>이그나이트</t>
        </is>
      </c>
      <c r="J1888" s="20" t="n">
        <v>200520</v>
      </c>
      <c r="L1888" s="20">
        <f>VLOOKUP($O1888,매칭테이블!$G:$J,2,0)*H1888</f>
        <v/>
      </c>
      <c r="M1888" s="20">
        <f>L1888-L1888*VLOOKUP($O1888,매칭테이블!$G:$J,3,0)</f>
        <v/>
      </c>
      <c r="N1888" s="20">
        <f>VLOOKUP($O1888,매칭테이블!$G:$J,4,0)*H1888</f>
        <v/>
      </c>
      <c r="O1888" s="20">
        <f>F1888&amp;E1888&amp;I1888&amp;J1888</f>
        <v/>
      </c>
    </row>
    <row r="1889" ht="16.5" customHeight="1" s="17">
      <c r="B1889" s="16" t="n">
        <v>44132</v>
      </c>
      <c r="C1889" s="20" t="inlineStr">
        <is>
          <t>수</t>
        </is>
      </c>
      <c r="E1889" s="20" t="inlineStr">
        <is>
          <t>쇼핑백</t>
        </is>
      </c>
      <c r="F1889" s="20" t="inlineStr">
        <is>
          <t>유즈 CS</t>
        </is>
      </c>
      <c r="H1889" s="20" t="n">
        <v>5</v>
      </c>
      <c r="I1889" s="20" t="inlineStr">
        <is>
          <t>유즈쇼핑백</t>
        </is>
      </c>
      <c r="J1889" s="20" t="n">
        <v>200520</v>
      </c>
      <c r="L1889" s="20">
        <f>VLOOKUP($O1889,매칭테이블!$G:$J,2,0)*H1889</f>
        <v/>
      </c>
      <c r="M1889" s="20">
        <f>L1889-L1889*VLOOKUP($O1889,매칭테이블!$G:$J,3,0)</f>
        <v/>
      </c>
      <c r="N1889" s="20">
        <f>VLOOKUP($O1889,매칭테이블!$G:$J,4,0)*H1889</f>
        <v/>
      </c>
      <c r="O1889" s="20">
        <f>F1889&amp;E1889&amp;I1889&amp;J1889</f>
        <v/>
      </c>
    </row>
    <row r="1890" ht="16.5" customHeight="1" s="17">
      <c r="B1890" s="16" t="n">
        <v>44132</v>
      </c>
      <c r="C1890" s="20" t="inlineStr">
        <is>
          <t>수</t>
        </is>
      </c>
      <c r="E1890" s="20" t="inlineStr">
        <is>
          <t>고체향수</t>
        </is>
      </c>
      <c r="F1890" s="20" t="inlineStr">
        <is>
          <t>카페24</t>
        </is>
      </c>
      <c r="H1890" s="20" t="n">
        <v>25</v>
      </c>
      <c r="I1890" s="20" t="inlineStr">
        <is>
          <t>이그나이트 + 스테이포에버</t>
        </is>
      </c>
      <c r="J1890" s="20" t="n">
        <v>200720</v>
      </c>
      <c r="L1890" s="20">
        <f>VLOOKUP($O1890,매칭테이블!$G:$J,2,0)*H1890</f>
        <v/>
      </c>
      <c r="M1890" s="20">
        <f>L1890-L1890*VLOOKUP($O1890,매칭테이블!$G:$J,3,0)</f>
        <v/>
      </c>
      <c r="N1890" s="20">
        <f>VLOOKUP($O1890,매칭테이블!$G:$J,4,0)*H1890</f>
        <v/>
      </c>
      <c r="O1890" s="20">
        <f>F1890&amp;E1890&amp;I1890&amp;J1890</f>
        <v/>
      </c>
    </row>
    <row r="1891" ht="16.5" customHeight="1" s="17">
      <c r="B1891" s="16" t="n">
        <v>44132</v>
      </c>
      <c r="C1891" s="20" t="inlineStr">
        <is>
          <t>수</t>
        </is>
      </c>
      <c r="E1891" s="20" t="inlineStr">
        <is>
          <t>고체향수</t>
        </is>
      </c>
      <c r="F1891" s="20" t="inlineStr">
        <is>
          <t>카페24</t>
        </is>
      </c>
      <c r="H1891" s="20" t="n">
        <v>1</v>
      </c>
      <c r="I1891" s="20" t="inlineStr">
        <is>
          <t>이그나이트 + 스테이포에버 2set</t>
        </is>
      </c>
      <c r="J1891" s="20" t="n">
        <v>200720</v>
      </c>
      <c r="L1891" s="20">
        <f>VLOOKUP($O1891,매칭테이블!$G:$J,2,0)*H1891</f>
        <v/>
      </c>
      <c r="M1891" s="20">
        <f>L1891-L1891*VLOOKUP($O1891,매칭테이블!$G:$J,3,0)</f>
        <v/>
      </c>
      <c r="N1891" s="20">
        <f>VLOOKUP($O1891,매칭테이블!$G:$J,4,0)*H1891</f>
        <v/>
      </c>
      <c r="O1891" s="20">
        <f>F1891&amp;E1891&amp;I1891&amp;J1891</f>
        <v/>
      </c>
    </row>
    <row r="1892" ht="16.5" customHeight="1" s="17">
      <c r="B1892" s="16" t="n">
        <v>44132</v>
      </c>
      <c r="C1892" s="20" t="inlineStr">
        <is>
          <t>수</t>
        </is>
      </c>
      <c r="E1892" s="20" t="inlineStr">
        <is>
          <t>고체향수</t>
        </is>
      </c>
      <c r="F1892" s="20" t="inlineStr">
        <is>
          <t>카페24</t>
        </is>
      </c>
      <c r="H1892" s="20" t="n">
        <v>253</v>
      </c>
      <c r="I1892" s="20" t="inlineStr">
        <is>
          <t>스테이포에버</t>
        </is>
      </c>
      <c r="J1892" s="20" t="n">
        <v>200720</v>
      </c>
      <c r="L1892" s="20">
        <f>VLOOKUP($O1892,매칭테이블!$G:$J,2,0)*H1892</f>
        <v/>
      </c>
      <c r="M1892" s="20">
        <f>L1892-L1892*VLOOKUP($O1892,매칭테이블!$G:$J,3,0)</f>
        <v/>
      </c>
      <c r="N1892" s="20">
        <f>VLOOKUP($O1892,매칭테이블!$G:$J,4,0)*H1892</f>
        <v/>
      </c>
      <c r="O1892" s="20">
        <f>F1892&amp;E1892&amp;I1892&amp;J1892</f>
        <v/>
      </c>
    </row>
    <row r="1893" ht="16.5" customHeight="1" s="17">
      <c r="B1893" s="16" t="n">
        <v>44132</v>
      </c>
      <c r="C1893" s="20" t="inlineStr">
        <is>
          <t>수</t>
        </is>
      </c>
      <c r="E1893" s="20" t="inlineStr">
        <is>
          <t>고체향수</t>
        </is>
      </c>
      <c r="F1893" s="20" t="inlineStr">
        <is>
          <t>카페24</t>
        </is>
      </c>
      <c r="H1893" s="20" t="n">
        <v>59</v>
      </c>
      <c r="I1893" s="20" t="inlineStr">
        <is>
          <t>스테이포에버 2set</t>
        </is>
      </c>
      <c r="J1893" s="20" t="n">
        <v>200720</v>
      </c>
      <c r="L1893" s="20">
        <f>VLOOKUP($O1893,매칭테이블!$G:$J,2,0)*H1893</f>
        <v/>
      </c>
      <c r="M1893" s="20">
        <f>L1893-L1893*VLOOKUP($O1893,매칭테이블!$G:$J,3,0)</f>
        <v/>
      </c>
      <c r="N1893" s="20">
        <f>VLOOKUP($O1893,매칭테이블!$G:$J,4,0)*H1893</f>
        <v/>
      </c>
      <c r="O1893" s="20">
        <f>F1893&amp;E1893&amp;I1893&amp;J1893</f>
        <v/>
      </c>
    </row>
    <row r="1894" ht="16.5" customHeight="1" s="17">
      <c r="B1894" s="16" t="n">
        <v>44132</v>
      </c>
      <c r="C1894" s="20" t="inlineStr">
        <is>
          <t>수</t>
        </is>
      </c>
      <c r="E1894" s="20" t="inlineStr">
        <is>
          <t>고체향수</t>
        </is>
      </c>
      <c r="F1894" s="20" t="inlineStr">
        <is>
          <t>카페24</t>
        </is>
      </c>
      <c r="H1894" s="20" t="n">
        <v>1</v>
      </c>
      <c r="I1894" s="20" t="inlineStr">
        <is>
          <t>이그나이트</t>
        </is>
      </c>
      <c r="J1894" s="20" t="n">
        <v>200720</v>
      </c>
      <c r="L1894" s="20">
        <f>VLOOKUP($O1894,매칭테이블!$G:$J,2,0)*H1894</f>
        <v/>
      </c>
      <c r="M1894" s="20">
        <f>L1894-L1894*VLOOKUP($O1894,매칭테이블!$G:$J,3,0)</f>
        <v/>
      </c>
      <c r="N1894" s="20">
        <f>VLOOKUP($O1894,매칭테이블!$G:$J,4,0)*H1894</f>
        <v/>
      </c>
      <c r="O1894" s="20">
        <f>F1894&amp;E1894&amp;I1894&amp;J1894</f>
        <v/>
      </c>
    </row>
    <row r="1895" ht="16.5" customHeight="1" s="17">
      <c r="B1895" s="16" t="n">
        <v>44132</v>
      </c>
      <c r="C1895" s="20" t="inlineStr">
        <is>
          <t>수</t>
        </is>
      </c>
      <c r="E1895" s="20" t="inlineStr">
        <is>
          <t>쇼핑백</t>
        </is>
      </c>
      <c r="F1895" s="20" t="inlineStr">
        <is>
          <t>카페24</t>
        </is>
      </c>
      <c r="H1895" s="20" t="n">
        <v>6</v>
      </c>
      <c r="I1895" s="20" t="inlineStr">
        <is>
          <t>유즈쇼핑백</t>
        </is>
      </c>
      <c r="J1895" s="20" t="n">
        <v>200720</v>
      </c>
      <c r="L1895" s="20">
        <f>VLOOKUP($O1895,매칭테이블!$G:$J,2,0)*H1895</f>
        <v/>
      </c>
      <c r="M1895" s="20">
        <f>L1895-L1895*VLOOKUP($O1895,매칭테이블!$G:$J,3,0)</f>
        <v/>
      </c>
      <c r="N1895" s="20">
        <f>VLOOKUP($O1895,매칭테이블!$G:$J,4,0)*H1895</f>
        <v/>
      </c>
      <c r="O1895" s="20">
        <f>F1895&amp;E1895&amp;I1895&amp;J1895</f>
        <v/>
      </c>
    </row>
    <row r="1896" ht="16.5" customHeight="1" s="17">
      <c r="B1896" s="16" t="n">
        <v>44133</v>
      </c>
      <c r="C1896" s="20" t="inlineStr">
        <is>
          <t>목</t>
        </is>
      </c>
      <c r="E1896" s="20" t="inlineStr">
        <is>
          <t>고체향수</t>
        </is>
      </c>
      <c r="F1896" s="20" t="inlineStr">
        <is>
          <t>카페24</t>
        </is>
      </c>
      <c r="H1896" s="20" t="n">
        <v>10</v>
      </c>
      <c r="I1896" s="20" t="inlineStr">
        <is>
          <t>이그나이트 + 스테이포에버</t>
        </is>
      </c>
      <c r="J1896" s="20" t="n">
        <v>200720</v>
      </c>
      <c r="L1896" s="20">
        <f>VLOOKUP($O1896,매칭테이블!$G:$J,2,0)*H1896</f>
        <v/>
      </c>
      <c r="M1896" s="20">
        <f>L1896-L1896*VLOOKUP($O1896,매칭테이블!$G:$J,3,0)</f>
        <v/>
      </c>
      <c r="N1896" s="20">
        <f>VLOOKUP($O1896,매칭테이블!$G:$J,4,0)*H1896</f>
        <v/>
      </c>
      <c r="O1896" s="20">
        <f>F1896&amp;E1896&amp;I1896&amp;J1896</f>
        <v/>
      </c>
    </row>
    <row r="1897" ht="16.5" customHeight="1" s="17">
      <c r="B1897" s="16" t="n">
        <v>44133</v>
      </c>
      <c r="C1897" s="20" t="inlineStr">
        <is>
          <t>목</t>
        </is>
      </c>
      <c r="E1897" s="20" t="inlineStr">
        <is>
          <t>고체향수</t>
        </is>
      </c>
      <c r="F1897" s="20" t="inlineStr">
        <is>
          <t>카페24</t>
        </is>
      </c>
      <c r="H1897" s="20" t="n">
        <v>1</v>
      </c>
      <c r="I1897" s="20" t="inlineStr">
        <is>
          <t>이그나이트 + 스테이포에버 2set</t>
        </is>
      </c>
      <c r="J1897" s="20" t="n">
        <v>200720</v>
      </c>
      <c r="L1897" s="20">
        <f>VLOOKUP($O1897,매칭테이블!$G:$J,2,0)*H1897</f>
        <v/>
      </c>
      <c r="M1897" s="20">
        <f>L1897-L1897*VLOOKUP($O1897,매칭테이블!$G:$J,3,0)</f>
        <v/>
      </c>
      <c r="N1897" s="20">
        <f>VLOOKUP($O1897,매칭테이블!$G:$J,4,0)*H1897</f>
        <v/>
      </c>
      <c r="O1897" s="20">
        <f>F1897&amp;E1897&amp;I1897&amp;J1897</f>
        <v/>
      </c>
    </row>
    <row r="1898" ht="16.5" customHeight="1" s="17">
      <c r="B1898" s="16" t="n">
        <v>44133</v>
      </c>
      <c r="C1898" s="20" t="inlineStr">
        <is>
          <t>목</t>
        </is>
      </c>
      <c r="E1898" s="20" t="inlineStr">
        <is>
          <t>고체향수</t>
        </is>
      </c>
      <c r="F1898" s="20" t="inlineStr">
        <is>
          <t>카페24</t>
        </is>
      </c>
      <c r="H1898" s="20" t="n">
        <v>214</v>
      </c>
      <c r="I1898" s="20" t="inlineStr">
        <is>
          <t>스테이포에버</t>
        </is>
      </c>
      <c r="J1898" s="20" t="n">
        <v>200720</v>
      </c>
      <c r="L1898" s="20">
        <f>VLOOKUP($O1898,매칭테이블!$G:$J,2,0)*H1898</f>
        <v/>
      </c>
      <c r="M1898" s="20">
        <f>L1898-L1898*VLOOKUP($O1898,매칭테이블!$G:$J,3,0)</f>
        <v/>
      </c>
      <c r="N1898" s="20">
        <f>VLOOKUP($O1898,매칭테이블!$G:$J,4,0)*H1898</f>
        <v/>
      </c>
      <c r="O1898" s="20">
        <f>F1898&amp;E1898&amp;I1898&amp;J1898</f>
        <v/>
      </c>
    </row>
    <row r="1899" ht="16.5" customHeight="1" s="17">
      <c r="B1899" s="16" t="n">
        <v>44133</v>
      </c>
      <c r="C1899" s="20" t="inlineStr">
        <is>
          <t>목</t>
        </is>
      </c>
      <c r="E1899" s="20" t="inlineStr">
        <is>
          <t>고체향수</t>
        </is>
      </c>
      <c r="F1899" s="20" t="inlineStr">
        <is>
          <t>카페24</t>
        </is>
      </c>
      <c r="H1899" s="20" t="n">
        <v>65</v>
      </c>
      <c r="I1899" s="20" t="inlineStr">
        <is>
          <t>스테이포에버 2set</t>
        </is>
      </c>
      <c r="J1899" s="20" t="n">
        <v>200720</v>
      </c>
      <c r="L1899" s="20">
        <f>VLOOKUP($O1899,매칭테이블!$G:$J,2,0)*H1899</f>
        <v/>
      </c>
      <c r="M1899" s="20">
        <f>L1899-L1899*VLOOKUP($O1899,매칭테이블!$G:$J,3,0)</f>
        <v/>
      </c>
      <c r="N1899" s="20">
        <f>VLOOKUP($O1899,매칭테이블!$G:$J,4,0)*H1899</f>
        <v/>
      </c>
      <c r="O1899" s="20">
        <f>F1899&amp;E1899&amp;I1899&amp;J1899</f>
        <v/>
      </c>
    </row>
    <row r="1900" ht="16.5" customHeight="1" s="17">
      <c r="B1900" s="16" t="n">
        <v>44133</v>
      </c>
      <c r="C1900" s="20" t="inlineStr">
        <is>
          <t>목</t>
        </is>
      </c>
      <c r="E1900" s="20" t="inlineStr">
        <is>
          <t>고체향수</t>
        </is>
      </c>
      <c r="F1900" s="20" t="inlineStr">
        <is>
          <t>카페24</t>
        </is>
      </c>
      <c r="H1900" s="20" t="n">
        <v>4</v>
      </c>
      <c r="I1900" s="20" t="inlineStr">
        <is>
          <t>이그나이트</t>
        </is>
      </c>
      <c r="J1900" s="20" t="n">
        <v>200720</v>
      </c>
      <c r="L1900" s="20">
        <f>VLOOKUP($O1900,매칭테이블!$G:$J,2,0)*H1900</f>
        <v/>
      </c>
      <c r="M1900" s="20">
        <f>L1900-L1900*VLOOKUP($O1900,매칭테이블!$G:$J,3,0)</f>
        <v/>
      </c>
      <c r="N1900" s="20">
        <f>VLOOKUP($O1900,매칭테이블!$G:$J,4,0)*H1900</f>
        <v/>
      </c>
      <c r="O1900" s="20">
        <f>F1900&amp;E1900&amp;I1900&amp;J1900</f>
        <v/>
      </c>
    </row>
    <row r="1901" ht="16.5" customHeight="1" s="17">
      <c r="B1901" s="16" t="n">
        <v>44133</v>
      </c>
      <c r="C1901" s="20" t="inlineStr">
        <is>
          <t>목</t>
        </is>
      </c>
      <c r="E1901" s="20" t="inlineStr">
        <is>
          <t>쇼핑백</t>
        </is>
      </c>
      <c r="F1901" s="20" t="inlineStr">
        <is>
          <t>카페24</t>
        </is>
      </c>
      <c r="H1901" s="20" t="n">
        <v>7</v>
      </c>
      <c r="I1901" s="20" t="inlineStr">
        <is>
          <t>유즈쇼핑백</t>
        </is>
      </c>
      <c r="J1901" s="20" t="n">
        <v>200720</v>
      </c>
      <c r="L1901" s="20">
        <f>VLOOKUP($O1901,매칭테이블!$G:$J,2,0)*H1901</f>
        <v/>
      </c>
      <c r="M1901" s="20">
        <f>L1901-L1901*VLOOKUP($O1901,매칭테이블!$G:$J,3,0)</f>
        <v/>
      </c>
      <c r="N1901" s="20">
        <f>VLOOKUP($O1901,매칭테이블!$G:$J,4,0)*H1901</f>
        <v/>
      </c>
      <c r="O1901" s="20">
        <f>F1901&amp;E1901&amp;I1901&amp;J1901</f>
        <v/>
      </c>
    </row>
    <row r="1902" ht="16.5" customHeight="1" s="17">
      <c r="B1902" s="16" t="n">
        <v>44134</v>
      </c>
      <c r="C1902" s="20" t="inlineStr">
        <is>
          <t>금</t>
        </is>
      </c>
      <c r="E1902" s="20" t="inlineStr">
        <is>
          <t>고체향수</t>
        </is>
      </c>
      <c r="F1902" s="20" t="inlineStr">
        <is>
          <t>유즈 CS</t>
        </is>
      </c>
      <c r="H1902" s="20" t="n">
        <v>2</v>
      </c>
      <c r="I1902" s="20" t="inlineStr">
        <is>
          <t>스테이포에버</t>
        </is>
      </c>
      <c r="J1902" s="20" t="n">
        <v>200520</v>
      </c>
      <c r="L1902" s="20">
        <f>VLOOKUP($O1902,매칭테이블!$G:$J,2,0)*H1902</f>
        <v/>
      </c>
      <c r="M1902" s="20">
        <f>L1902-L1902*VLOOKUP($O1902,매칭테이블!$G:$J,3,0)</f>
        <v/>
      </c>
      <c r="N1902" s="20">
        <f>VLOOKUP($O1902,매칭테이블!$G:$J,4,0)*H1902</f>
        <v/>
      </c>
      <c r="O1902" s="20">
        <f>F1902&amp;E1902&amp;I1902&amp;J1902</f>
        <v/>
      </c>
    </row>
    <row r="1903" ht="16.5" customHeight="1" s="17">
      <c r="B1903" s="16" t="n">
        <v>44134</v>
      </c>
      <c r="C1903" s="20" t="inlineStr">
        <is>
          <t>금</t>
        </is>
      </c>
      <c r="E1903" s="20" t="inlineStr">
        <is>
          <t>고체향수</t>
        </is>
      </c>
      <c r="F1903" s="20" t="inlineStr">
        <is>
          <t>카페24</t>
        </is>
      </c>
      <c r="H1903" s="20" t="n">
        <v>13</v>
      </c>
      <c r="I1903" s="20" t="inlineStr">
        <is>
          <t>이그나이트 + 스테이포에버</t>
        </is>
      </c>
      <c r="J1903" s="20" t="n">
        <v>200720</v>
      </c>
      <c r="L1903" s="20">
        <f>VLOOKUP($O1903,매칭테이블!$G:$J,2,0)*H1903</f>
        <v/>
      </c>
      <c r="M1903" s="20">
        <f>L1903-L1903*VLOOKUP($O1903,매칭테이블!$G:$J,3,0)</f>
        <v/>
      </c>
      <c r="N1903" s="20">
        <f>VLOOKUP($O1903,매칭테이블!$G:$J,4,0)*H1903</f>
        <v/>
      </c>
      <c r="O1903" s="20">
        <f>F1903&amp;E1903&amp;I1903&amp;J1903</f>
        <v/>
      </c>
    </row>
    <row r="1904" ht="16.5" customHeight="1" s="17">
      <c r="B1904" s="16" t="n">
        <v>44134</v>
      </c>
      <c r="C1904" s="20" t="inlineStr">
        <is>
          <t>금</t>
        </is>
      </c>
      <c r="E1904" s="20" t="inlineStr">
        <is>
          <t>고체향수</t>
        </is>
      </c>
      <c r="F1904" s="20" t="inlineStr">
        <is>
          <t>카페24</t>
        </is>
      </c>
      <c r="H1904" s="20" t="n">
        <v>206</v>
      </c>
      <c r="I1904" s="20" t="inlineStr">
        <is>
          <t>스테이포에버</t>
        </is>
      </c>
      <c r="J1904" s="20" t="n">
        <v>200720</v>
      </c>
      <c r="L1904" s="20">
        <f>VLOOKUP($O1904,매칭테이블!$G:$J,2,0)*H1904</f>
        <v/>
      </c>
      <c r="M1904" s="20">
        <f>L1904-L1904*VLOOKUP($O1904,매칭테이블!$G:$J,3,0)</f>
        <v/>
      </c>
      <c r="N1904" s="20">
        <f>VLOOKUP($O1904,매칭테이블!$G:$J,4,0)*H1904</f>
        <v/>
      </c>
      <c r="O1904" s="20">
        <f>F1904&amp;E1904&amp;I1904&amp;J1904</f>
        <v/>
      </c>
    </row>
    <row r="1905" ht="16.5" customHeight="1" s="17">
      <c r="B1905" s="16" t="n">
        <v>44134</v>
      </c>
      <c r="C1905" s="20" t="inlineStr">
        <is>
          <t>금</t>
        </is>
      </c>
      <c r="E1905" s="20" t="inlineStr">
        <is>
          <t>고체향수</t>
        </is>
      </c>
      <c r="F1905" s="20" t="inlineStr">
        <is>
          <t>카페24</t>
        </is>
      </c>
      <c r="H1905" s="20" t="n">
        <v>54</v>
      </c>
      <c r="I1905" s="20" t="inlineStr">
        <is>
          <t>스테이포에버 2set</t>
        </is>
      </c>
      <c r="J1905" s="20" t="n">
        <v>200720</v>
      </c>
      <c r="L1905" s="20">
        <f>VLOOKUP($O1905,매칭테이블!$G:$J,2,0)*H1905</f>
        <v/>
      </c>
      <c r="M1905" s="20">
        <f>L1905-L1905*VLOOKUP($O1905,매칭테이블!$G:$J,3,0)</f>
        <v/>
      </c>
      <c r="N1905" s="20">
        <f>VLOOKUP($O1905,매칭테이블!$G:$J,4,0)*H1905</f>
        <v/>
      </c>
      <c r="O1905" s="20">
        <f>F1905&amp;E1905&amp;I1905&amp;J1905</f>
        <v/>
      </c>
    </row>
    <row r="1906" ht="16.5" customHeight="1" s="17">
      <c r="B1906" s="16" t="n">
        <v>44134</v>
      </c>
      <c r="C1906" s="20" t="inlineStr">
        <is>
          <t>금</t>
        </is>
      </c>
      <c r="E1906" s="20" t="inlineStr">
        <is>
          <t>쇼핑백</t>
        </is>
      </c>
      <c r="F1906" s="20" t="inlineStr">
        <is>
          <t>카페24</t>
        </is>
      </c>
      <c r="H1906" s="20" t="n">
        <v>1</v>
      </c>
      <c r="I1906" s="20" t="inlineStr">
        <is>
          <t>유즈쇼핑백</t>
        </is>
      </c>
      <c r="J1906" s="20" t="n">
        <v>200720</v>
      </c>
      <c r="L1906" s="20">
        <f>VLOOKUP($O1906,매칭테이블!$G:$J,2,0)*H1906</f>
        <v/>
      </c>
      <c r="M1906" s="20">
        <f>L1906-L1906*VLOOKUP($O1906,매칭테이블!$G:$J,3,0)</f>
        <v/>
      </c>
      <c r="N1906" s="20">
        <f>VLOOKUP($O1906,매칭테이블!$G:$J,4,0)*H1906</f>
        <v/>
      </c>
      <c r="O1906" s="20">
        <f>F1906&amp;E1906&amp;I1906&amp;J1906</f>
        <v/>
      </c>
    </row>
    <row r="1907" ht="16.5" customHeight="1" s="17">
      <c r="B1907" s="16" t="n">
        <v>44135</v>
      </c>
      <c r="C1907" s="20" t="inlineStr">
        <is>
          <t>토</t>
        </is>
      </c>
      <c r="E1907" s="20" t="inlineStr">
        <is>
          <t>고체향수</t>
        </is>
      </c>
      <c r="F1907" s="20" t="inlineStr">
        <is>
          <t>카페24</t>
        </is>
      </c>
      <c r="H1907" s="20" t="n">
        <v>17</v>
      </c>
      <c r="I1907" s="20" t="inlineStr">
        <is>
          <t>이그나이트 + 스테이포에버</t>
        </is>
      </c>
      <c r="J1907" s="20" t="n">
        <v>200720</v>
      </c>
      <c r="L1907" s="20">
        <f>VLOOKUP($O1907,매칭테이블!$G:$J,2,0)*H1907</f>
        <v/>
      </c>
      <c r="M1907" s="20">
        <f>L1907-L1907*VLOOKUP($O1907,매칭테이블!$G:$J,3,0)</f>
        <v/>
      </c>
      <c r="N1907" s="20">
        <f>VLOOKUP($O1907,매칭테이블!$G:$J,4,0)*H1907</f>
        <v/>
      </c>
      <c r="O1907" s="20">
        <f>F1907&amp;E1907&amp;I1907&amp;J1907</f>
        <v/>
      </c>
    </row>
    <row r="1908" ht="16.5" customHeight="1" s="17">
      <c r="B1908" s="16" t="n">
        <v>44135</v>
      </c>
      <c r="C1908" s="20" t="inlineStr">
        <is>
          <t>토</t>
        </is>
      </c>
      <c r="E1908" s="20" t="inlineStr">
        <is>
          <t>고체향수</t>
        </is>
      </c>
      <c r="F1908" s="20" t="inlineStr">
        <is>
          <t>카페24</t>
        </is>
      </c>
      <c r="H1908" s="20" t="n">
        <v>243</v>
      </c>
      <c r="I1908" s="20" t="inlineStr">
        <is>
          <t>스테이포에버</t>
        </is>
      </c>
      <c r="J1908" s="20" t="n">
        <v>200720</v>
      </c>
      <c r="L1908" s="20">
        <f>VLOOKUP($O1908,매칭테이블!$G:$J,2,0)*H1908</f>
        <v/>
      </c>
      <c r="M1908" s="20">
        <f>L1908-L1908*VLOOKUP($O1908,매칭테이블!$G:$J,3,0)</f>
        <v/>
      </c>
      <c r="N1908" s="20">
        <f>VLOOKUP($O1908,매칭테이블!$G:$J,4,0)*H1908</f>
        <v/>
      </c>
      <c r="O1908" s="20">
        <f>F1908&amp;E1908&amp;I1908&amp;J1908</f>
        <v/>
      </c>
    </row>
    <row r="1909" ht="16.5" customHeight="1" s="17">
      <c r="B1909" s="16" t="n">
        <v>44135</v>
      </c>
      <c r="C1909" s="20" t="inlineStr">
        <is>
          <t>토</t>
        </is>
      </c>
      <c r="E1909" s="20" t="inlineStr">
        <is>
          <t>고체향수</t>
        </is>
      </c>
      <c r="F1909" s="20" t="inlineStr">
        <is>
          <t>카페24</t>
        </is>
      </c>
      <c r="H1909" s="20" t="n">
        <v>59</v>
      </c>
      <c r="I1909" s="20" t="inlineStr">
        <is>
          <t>스테이포에버 2set</t>
        </is>
      </c>
      <c r="J1909" s="20" t="n">
        <v>200720</v>
      </c>
      <c r="L1909" s="20">
        <f>VLOOKUP($O1909,매칭테이블!$G:$J,2,0)*H1909</f>
        <v/>
      </c>
      <c r="M1909" s="20">
        <f>L1909-L1909*VLOOKUP($O1909,매칭테이블!$G:$J,3,0)</f>
        <v/>
      </c>
      <c r="N1909" s="20">
        <f>VLOOKUP($O1909,매칭테이블!$G:$J,4,0)*H1909</f>
        <v/>
      </c>
      <c r="O1909" s="20">
        <f>F1909&amp;E1909&amp;I1909&amp;J1909</f>
        <v/>
      </c>
    </row>
    <row r="1910" ht="16.5" customHeight="1" s="17">
      <c r="B1910" s="16" t="n">
        <v>44135</v>
      </c>
      <c r="C1910" s="20" t="inlineStr">
        <is>
          <t>토</t>
        </is>
      </c>
      <c r="E1910" s="20" t="inlineStr">
        <is>
          <t>고체향수</t>
        </is>
      </c>
      <c r="F1910" s="20" t="inlineStr">
        <is>
          <t>카페24</t>
        </is>
      </c>
      <c r="H1910" s="20" t="n">
        <v>2</v>
      </c>
      <c r="I1910" s="20" t="inlineStr">
        <is>
          <t>이그나이트</t>
        </is>
      </c>
      <c r="J1910" s="20" t="n">
        <v>200720</v>
      </c>
      <c r="L1910" s="20">
        <f>VLOOKUP($O1910,매칭테이블!$G:$J,2,0)*H1910</f>
        <v/>
      </c>
      <c r="M1910" s="20">
        <f>L1910-L1910*VLOOKUP($O1910,매칭테이블!$G:$J,3,0)</f>
        <v/>
      </c>
      <c r="N1910" s="20">
        <f>VLOOKUP($O1910,매칭테이블!$G:$J,4,0)*H1910</f>
        <v/>
      </c>
      <c r="O1910" s="20">
        <f>F1910&amp;E1910&amp;I1910&amp;J1910</f>
        <v/>
      </c>
    </row>
    <row r="1911" ht="16.5" customHeight="1" s="17">
      <c r="B1911" s="16" t="n">
        <v>44135</v>
      </c>
      <c r="C1911" s="20" t="inlineStr">
        <is>
          <t>토</t>
        </is>
      </c>
      <c r="E1911" s="20" t="inlineStr">
        <is>
          <t>고체향수</t>
        </is>
      </c>
      <c r="F1911" s="20" t="inlineStr">
        <is>
          <t>카페24</t>
        </is>
      </c>
      <c r="H1911" s="20" t="n">
        <v>1</v>
      </c>
      <c r="I1911" s="20" t="inlineStr">
        <is>
          <t>이그나이트 2set</t>
        </is>
      </c>
      <c r="J1911" s="20" t="n">
        <v>200720</v>
      </c>
      <c r="L1911" s="20">
        <f>VLOOKUP($O1911,매칭테이블!$G:$J,2,0)*H1911</f>
        <v/>
      </c>
      <c r="M1911" s="20">
        <f>L1911-L1911*VLOOKUP($O1911,매칭테이블!$G:$J,3,0)</f>
        <v/>
      </c>
      <c r="N1911" s="20">
        <f>VLOOKUP($O1911,매칭테이블!$G:$J,4,0)*H1911</f>
        <v/>
      </c>
      <c r="O1911" s="20">
        <f>F1911&amp;E1911&amp;I1911&amp;J1911</f>
        <v/>
      </c>
    </row>
    <row r="1912" ht="16.5" customHeight="1" s="17">
      <c r="B1912" s="16" t="n">
        <v>44135</v>
      </c>
      <c r="C1912" s="20" t="inlineStr">
        <is>
          <t>토</t>
        </is>
      </c>
      <c r="E1912" s="20" t="inlineStr">
        <is>
          <t>쇼핑백</t>
        </is>
      </c>
      <c r="F1912" s="20" t="inlineStr">
        <is>
          <t>카페24</t>
        </is>
      </c>
      <c r="H1912" s="20" t="n">
        <v>8</v>
      </c>
      <c r="I1912" s="20" t="inlineStr">
        <is>
          <t>유즈쇼핑백</t>
        </is>
      </c>
      <c r="J1912" s="20" t="n">
        <v>200720</v>
      </c>
      <c r="L1912" s="20">
        <f>VLOOKUP($O1912,매칭테이블!$G:$J,2,0)*H1912</f>
        <v/>
      </c>
      <c r="M1912" s="20">
        <f>L1912-L1912*VLOOKUP($O1912,매칭테이블!$G:$J,3,0)</f>
        <v/>
      </c>
      <c r="N1912" s="20">
        <f>VLOOKUP($O1912,매칭테이블!$G:$J,4,0)*H1912</f>
        <v/>
      </c>
      <c r="O1912" s="20">
        <f>F1912&amp;E1912&amp;I1912&amp;J1912</f>
        <v/>
      </c>
    </row>
    <row r="1913" ht="16.5" customHeight="1" s="17">
      <c r="B1913" s="16" t="n">
        <v>44136</v>
      </c>
      <c r="C1913" s="20" t="inlineStr">
        <is>
          <t>일</t>
        </is>
      </c>
      <c r="E1913" s="20" t="inlineStr">
        <is>
          <t>고체향수</t>
        </is>
      </c>
      <c r="F1913" s="20" t="inlineStr">
        <is>
          <t>카페24</t>
        </is>
      </c>
      <c r="H1913" s="20" t="n">
        <v>14</v>
      </c>
      <c r="I1913" s="20" t="inlineStr">
        <is>
          <t>이그나이트 + 스테이포에버</t>
        </is>
      </c>
      <c r="J1913" s="20" t="n">
        <v>200720</v>
      </c>
      <c r="L1913" s="20">
        <f>VLOOKUP($O1913,매칭테이블!$G:$J,2,0)*H1913</f>
        <v/>
      </c>
      <c r="M1913" s="20">
        <f>L1913-L1913*VLOOKUP($O1913,매칭테이블!$G:$J,3,0)</f>
        <v/>
      </c>
      <c r="N1913" s="20">
        <f>VLOOKUP($O1913,매칭테이블!$G:$J,4,0)*H1913</f>
        <v/>
      </c>
      <c r="O1913" s="20">
        <f>F1913&amp;E1913&amp;I1913&amp;J1913</f>
        <v/>
      </c>
    </row>
    <row r="1914" ht="16.5" customHeight="1" s="17">
      <c r="B1914" s="16" t="n">
        <v>44136</v>
      </c>
      <c r="C1914" s="20" t="inlineStr">
        <is>
          <t>일</t>
        </is>
      </c>
      <c r="E1914" s="20" t="inlineStr">
        <is>
          <t>고체향수</t>
        </is>
      </c>
      <c r="F1914" s="20" t="inlineStr">
        <is>
          <t>카페24</t>
        </is>
      </c>
      <c r="H1914" s="20" t="n">
        <v>291</v>
      </c>
      <c r="I1914" s="20" t="inlineStr">
        <is>
          <t>스테이포에버</t>
        </is>
      </c>
      <c r="J1914" s="20" t="n">
        <v>200720</v>
      </c>
      <c r="L1914" s="20">
        <f>VLOOKUP($O1914,매칭테이블!$G:$J,2,0)*H1914</f>
        <v/>
      </c>
      <c r="M1914" s="20">
        <f>L1914-L1914*VLOOKUP($O1914,매칭테이블!$G:$J,3,0)</f>
        <v/>
      </c>
      <c r="N1914" s="20">
        <f>VLOOKUP($O1914,매칭테이블!$G:$J,4,0)*H1914</f>
        <v/>
      </c>
      <c r="O1914" s="20">
        <f>F1914&amp;E1914&amp;I1914&amp;J1914</f>
        <v/>
      </c>
    </row>
    <row r="1915" ht="16.5" customHeight="1" s="17">
      <c r="B1915" s="16" t="n">
        <v>44136</v>
      </c>
      <c r="C1915" s="20" t="inlineStr">
        <is>
          <t>일</t>
        </is>
      </c>
      <c r="E1915" s="20" t="inlineStr">
        <is>
          <t>고체향수</t>
        </is>
      </c>
      <c r="F1915" s="20" t="inlineStr">
        <is>
          <t>카페24</t>
        </is>
      </c>
      <c r="H1915" s="20" t="n">
        <v>71</v>
      </c>
      <c r="I1915" s="20" t="inlineStr">
        <is>
          <t>스테이포에버 2set</t>
        </is>
      </c>
      <c r="J1915" s="20" t="n">
        <v>200720</v>
      </c>
      <c r="L1915" s="20">
        <f>VLOOKUP($O1915,매칭테이블!$G:$J,2,0)*H1915</f>
        <v/>
      </c>
      <c r="M1915" s="20">
        <f>L1915-L1915*VLOOKUP($O1915,매칭테이블!$G:$J,3,0)</f>
        <v/>
      </c>
      <c r="N1915" s="20">
        <f>VLOOKUP($O1915,매칭테이블!$G:$J,4,0)*H1915</f>
        <v/>
      </c>
      <c r="O1915" s="20">
        <f>F1915&amp;E1915&amp;I1915&amp;J1915</f>
        <v/>
      </c>
    </row>
    <row r="1916" ht="16.5" customHeight="1" s="17">
      <c r="B1916" s="16" t="n">
        <v>44136</v>
      </c>
      <c r="C1916" s="20" t="inlineStr">
        <is>
          <t>일</t>
        </is>
      </c>
      <c r="E1916" s="20" t="inlineStr">
        <is>
          <t>고체향수</t>
        </is>
      </c>
      <c r="F1916" s="20" t="inlineStr">
        <is>
          <t>카페24</t>
        </is>
      </c>
      <c r="H1916" s="20" t="n">
        <v>1</v>
      </c>
      <c r="I1916" s="20" t="inlineStr">
        <is>
          <t>이그나이트</t>
        </is>
      </c>
      <c r="J1916" s="20" t="n">
        <v>200720</v>
      </c>
      <c r="L1916" s="20">
        <f>VLOOKUP($O1916,매칭테이블!$G:$J,2,0)*H1916</f>
        <v/>
      </c>
      <c r="M1916" s="20">
        <f>L1916-L1916*VLOOKUP($O1916,매칭테이블!$G:$J,3,0)</f>
        <v/>
      </c>
      <c r="N1916" s="20">
        <f>VLOOKUP($O1916,매칭테이블!$G:$J,4,0)*H1916</f>
        <v/>
      </c>
      <c r="O1916" s="20">
        <f>F1916&amp;E1916&amp;I1916&amp;J1916</f>
        <v/>
      </c>
    </row>
    <row r="1917" ht="16.5" customHeight="1" s="17">
      <c r="B1917" s="16" t="n">
        <v>44136</v>
      </c>
      <c r="C1917" s="20" t="inlineStr">
        <is>
          <t>일</t>
        </is>
      </c>
      <c r="E1917" s="20" t="inlineStr">
        <is>
          <t>쇼핑백</t>
        </is>
      </c>
      <c r="F1917" s="20" t="inlineStr">
        <is>
          <t>카페24</t>
        </is>
      </c>
      <c r="H1917" s="20" t="n">
        <v>7</v>
      </c>
      <c r="I1917" s="20" t="inlineStr">
        <is>
          <t>유즈쇼핑백</t>
        </is>
      </c>
      <c r="J1917" s="20" t="n">
        <v>200720</v>
      </c>
      <c r="L1917" s="20">
        <f>VLOOKUP($O1917,매칭테이블!$G:$J,2,0)*H1917</f>
        <v/>
      </c>
      <c r="M1917" s="20">
        <f>L1917-L1917*VLOOKUP($O1917,매칭테이블!$G:$J,3,0)</f>
        <v/>
      </c>
      <c r="N1917" s="20">
        <f>VLOOKUP($O1917,매칭테이블!$G:$J,4,0)*H1917</f>
        <v/>
      </c>
      <c r="O1917" s="20">
        <f>F1917&amp;E1917&amp;I1917&amp;J1917</f>
        <v/>
      </c>
    </row>
    <row r="1918" ht="16.5" customHeight="1" s="17">
      <c r="B1918" s="16" t="n">
        <v>44137</v>
      </c>
      <c r="C1918" s="20" t="inlineStr">
        <is>
          <t>월</t>
        </is>
      </c>
      <c r="E1918" s="20" t="inlineStr">
        <is>
          <t>고체향수</t>
        </is>
      </c>
      <c r="F1918" s="20" t="inlineStr">
        <is>
          <t>카페24</t>
        </is>
      </c>
      <c r="H1918" s="20" t="n">
        <v>17</v>
      </c>
      <c r="I1918" s="20" t="inlineStr">
        <is>
          <t>이그나이트 + 스테이포에버</t>
        </is>
      </c>
      <c r="J1918" s="20" t="n">
        <v>200720</v>
      </c>
      <c r="L1918" s="20">
        <f>VLOOKUP($O1918,매칭테이블!$G:$J,2,0)*H1918</f>
        <v/>
      </c>
      <c r="M1918" s="20">
        <f>L1918-L1918*VLOOKUP($O1918,매칭테이블!$G:$J,3,0)</f>
        <v/>
      </c>
      <c r="N1918" s="20">
        <f>VLOOKUP($O1918,매칭테이블!$G:$J,4,0)*H1918</f>
        <v/>
      </c>
      <c r="O1918" s="20">
        <f>F1918&amp;E1918&amp;I1918&amp;J1918</f>
        <v/>
      </c>
    </row>
    <row r="1919" ht="16.5" customHeight="1" s="17">
      <c r="B1919" s="16" t="n">
        <v>44137</v>
      </c>
      <c r="C1919" s="20" t="inlineStr">
        <is>
          <t>월</t>
        </is>
      </c>
      <c r="E1919" s="20" t="inlineStr">
        <is>
          <t>고체향수</t>
        </is>
      </c>
      <c r="F1919" s="20" t="inlineStr">
        <is>
          <t>카페24</t>
        </is>
      </c>
      <c r="H1919" s="20" t="n">
        <v>267</v>
      </c>
      <c r="I1919" s="20" t="inlineStr">
        <is>
          <t>스테이포에버</t>
        </is>
      </c>
      <c r="J1919" s="20" t="n">
        <v>200720</v>
      </c>
      <c r="L1919" s="20">
        <f>VLOOKUP($O1919,매칭테이블!$G:$J,2,0)*H1919</f>
        <v/>
      </c>
      <c r="M1919" s="20">
        <f>L1919-L1919*VLOOKUP($O1919,매칭테이블!$G:$J,3,0)</f>
        <v/>
      </c>
      <c r="N1919" s="20">
        <f>VLOOKUP($O1919,매칭테이블!$G:$J,4,0)*H1919</f>
        <v/>
      </c>
      <c r="O1919" s="20">
        <f>F1919&amp;E1919&amp;I1919&amp;J1919</f>
        <v/>
      </c>
    </row>
    <row r="1920" ht="16.5" customHeight="1" s="17">
      <c r="B1920" s="16" t="n">
        <v>44137</v>
      </c>
      <c r="C1920" s="20" t="inlineStr">
        <is>
          <t>월</t>
        </is>
      </c>
      <c r="E1920" s="20" t="inlineStr">
        <is>
          <t>고체향수</t>
        </is>
      </c>
      <c r="F1920" s="20" t="inlineStr">
        <is>
          <t>카페24</t>
        </is>
      </c>
      <c r="H1920" s="20" t="n">
        <v>66</v>
      </c>
      <c r="I1920" s="20" t="inlineStr">
        <is>
          <t>스테이포에버 2set</t>
        </is>
      </c>
      <c r="J1920" s="20" t="n">
        <v>200720</v>
      </c>
      <c r="L1920" s="20">
        <f>VLOOKUP($O1920,매칭테이블!$G:$J,2,0)*H1920</f>
        <v/>
      </c>
      <c r="M1920" s="20">
        <f>L1920-L1920*VLOOKUP($O1920,매칭테이블!$G:$J,3,0)</f>
        <v/>
      </c>
      <c r="N1920" s="20">
        <f>VLOOKUP($O1920,매칭테이블!$G:$J,4,0)*H1920</f>
        <v/>
      </c>
      <c r="O1920" s="20">
        <f>F1920&amp;E1920&amp;I1920&amp;J1920</f>
        <v/>
      </c>
    </row>
    <row r="1921" ht="16.5" customHeight="1" s="17">
      <c r="B1921" s="16" t="n">
        <v>44137</v>
      </c>
      <c r="C1921" s="20" t="inlineStr">
        <is>
          <t>월</t>
        </is>
      </c>
      <c r="E1921" s="20" t="inlineStr">
        <is>
          <t>고체향수</t>
        </is>
      </c>
      <c r="F1921" s="20" t="inlineStr">
        <is>
          <t>카페24</t>
        </is>
      </c>
      <c r="H1921" s="20" t="n">
        <v>3</v>
      </c>
      <c r="I1921" s="20" t="inlineStr">
        <is>
          <t>이그나이트</t>
        </is>
      </c>
      <c r="J1921" s="20" t="n">
        <v>200720</v>
      </c>
      <c r="L1921" s="20">
        <f>VLOOKUP($O1921,매칭테이블!$G:$J,2,0)*H1921</f>
        <v/>
      </c>
      <c r="M1921" s="20">
        <f>L1921-L1921*VLOOKUP($O1921,매칭테이블!$G:$J,3,0)</f>
        <v/>
      </c>
      <c r="N1921" s="20">
        <f>VLOOKUP($O1921,매칭테이블!$G:$J,4,0)*H1921</f>
        <v/>
      </c>
      <c r="O1921" s="20">
        <f>F1921&amp;E1921&amp;I1921&amp;J1921</f>
        <v/>
      </c>
    </row>
    <row r="1922" ht="16.5" customHeight="1" s="17">
      <c r="B1922" s="16" t="n">
        <v>44137</v>
      </c>
      <c r="C1922" s="20" t="inlineStr">
        <is>
          <t>월</t>
        </is>
      </c>
      <c r="E1922" s="20" t="inlineStr">
        <is>
          <t>고체향수</t>
        </is>
      </c>
      <c r="F1922" s="20" t="inlineStr">
        <is>
          <t>카페24</t>
        </is>
      </c>
      <c r="H1922" s="20" t="n">
        <v>1</v>
      </c>
      <c r="I1922" s="20" t="inlineStr">
        <is>
          <t>이그나이트 2set</t>
        </is>
      </c>
      <c r="J1922" s="20" t="n">
        <v>200720</v>
      </c>
      <c r="L1922" s="20">
        <f>VLOOKUP($O1922,매칭테이블!$G:$J,2,0)*H1922</f>
        <v/>
      </c>
      <c r="M1922" s="20">
        <f>L1922-L1922*VLOOKUP($O1922,매칭테이블!$G:$J,3,0)</f>
        <v/>
      </c>
      <c r="N1922" s="20">
        <f>VLOOKUP($O1922,매칭테이블!$G:$J,4,0)*H1922</f>
        <v/>
      </c>
      <c r="O1922" s="20">
        <f>F1922&amp;E1922&amp;I1922&amp;J1922</f>
        <v/>
      </c>
    </row>
    <row r="1923" ht="16.5" customHeight="1" s="17">
      <c r="B1923" s="16" t="n">
        <v>44137</v>
      </c>
      <c r="C1923" s="20" t="inlineStr">
        <is>
          <t>월</t>
        </is>
      </c>
      <c r="E1923" s="20" t="inlineStr">
        <is>
          <t>쇼핑백</t>
        </is>
      </c>
      <c r="F1923" s="20" t="inlineStr">
        <is>
          <t>카페24</t>
        </is>
      </c>
      <c r="H1923" s="20" t="n">
        <v>10</v>
      </c>
      <c r="I1923" s="20" t="inlineStr">
        <is>
          <t>유즈쇼핑백</t>
        </is>
      </c>
      <c r="J1923" s="20" t="n">
        <v>200720</v>
      </c>
      <c r="L1923" s="20">
        <f>VLOOKUP($O1923,매칭테이블!$G:$J,2,0)*H1923</f>
        <v/>
      </c>
      <c r="M1923" s="20">
        <f>L1923-L1923*VLOOKUP($O1923,매칭테이블!$G:$J,3,0)</f>
        <v/>
      </c>
      <c r="N1923" s="20">
        <f>VLOOKUP($O1923,매칭테이블!$G:$J,4,0)*H1923</f>
        <v/>
      </c>
      <c r="O1923" s="20">
        <f>F1923&amp;E1923&amp;I1923&amp;J1923</f>
        <v/>
      </c>
    </row>
    <row r="1924" ht="16.5" customHeight="1" s="17">
      <c r="B1924" s="16" t="n">
        <v>44138</v>
      </c>
      <c r="C1924" s="20" t="inlineStr">
        <is>
          <t>화</t>
        </is>
      </c>
      <c r="E1924" s="20" t="inlineStr">
        <is>
          <t>고체향수</t>
        </is>
      </c>
      <c r="F1924" s="20" t="inlineStr">
        <is>
          <t>카페24</t>
        </is>
      </c>
      <c r="H1924" s="20" t="n">
        <v>25</v>
      </c>
      <c r="I1924" s="20" t="inlineStr">
        <is>
          <t>이그나이트 + 스테이포에버</t>
        </is>
      </c>
      <c r="J1924" s="20" t="n">
        <v>200720</v>
      </c>
      <c r="L1924" s="20">
        <f>VLOOKUP($O1924,매칭테이블!$G:$J,2,0)*H1924</f>
        <v/>
      </c>
      <c r="M1924" s="20">
        <f>L1924-L1924*VLOOKUP($O1924,매칭테이블!$G:$J,3,0)</f>
        <v/>
      </c>
      <c r="N1924" s="20">
        <f>VLOOKUP($O1924,매칭테이블!$G:$J,4,0)*H1924</f>
        <v/>
      </c>
      <c r="O1924" s="20">
        <f>F1924&amp;E1924&amp;I1924&amp;J1924</f>
        <v/>
      </c>
    </row>
    <row r="1925" ht="16.5" customHeight="1" s="17">
      <c r="B1925" s="16" t="n">
        <v>44138</v>
      </c>
      <c r="C1925" s="20" t="inlineStr">
        <is>
          <t>화</t>
        </is>
      </c>
      <c r="E1925" s="20" t="inlineStr">
        <is>
          <t>고체향수</t>
        </is>
      </c>
      <c r="F1925" s="20" t="inlineStr">
        <is>
          <t>카페24</t>
        </is>
      </c>
      <c r="H1925" s="20" t="n">
        <v>270</v>
      </c>
      <c r="I1925" s="20" t="inlineStr">
        <is>
          <t>스테이포에버</t>
        </is>
      </c>
      <c r="J1925" s="20" t="n">
        <v>200720</v>
      </c>
      <c r="L1925" s="20">
        <f>VLOOKUP($O1925,매칭테이블!$G:$J,2,0)*H1925</f>
        <v/>
      </c>
      <c r="M1925" s="20">
        <f>L1925-L1925*VLOOKUP($O1925,매칭테이블!$G:$J,3,0)</f>
        <v/>
      </c>
      <c r="N1925" s="20">
        <f>VLOOKUP($O1925,매칭테이블!$G:$J,4,0)*H1925</f>
        <v/>
      </c>
      <c r="O1925" s="20">
        <f>F1925&amp;E1925&amp;I1925&amp;J1925</f>
        <v/>
      </c>
    </row>
    <row r="1926" ht="16.5" customHeight="1" s="17">
      <c r="B1926" s="16" t="n">
        <v>44138</v>
      </c>
      <c r="C1926" s="20" t="inlineStr">
        <is>
          <t>화</t>
        </is>
      </c>
      <c r="E1926" s="20" t="inlineStr">
        <is>
          <t>고체향수</t>
        </is>
      </c>
      <c r="F1926" s="20" t="inlineStr">
        <is>
          <t>카페24</t>
        </is>
      </c>
      <c r="H1926" s="20" t="n">
        <v>83</v>
      </c>
      <c r="I1926" s="20" t="inlineStr">
        <is>
          <t>스테이포에버 2set</t>
        </is>
      </c>
      <c r="J1926" s="20" t="n">
        <v>200720</v>
      </c>
      <c r="L1926" s="20">
        <f>VLOOKUP($O1926,매칭테이블!$G:$J,2,0)*H1926</f>
        <v/>
      </c>
      <c r="M1926" s="20">
        <f>L1926-L1926*VLOOKUP($O1926,매칭테이블!$G:$J,3,0)</f>
        <v/>
      </c>
      <c r="N1926" s="20">
        <f>VLOOKUP($O1926,매칭테이블!$G:$J,4,0)*H1926</f>
        <v/>
      </c>
      <c r="O1926" s="20">
        <f>F1926&amp;E1926&amp;I1926&amp;J1926</f>
        <v/>
      </c>
    </row>
    <row r="1927" ht="16.5" customHeight="1" s="17">
      <c r="B1927" s="16" t="n">
        <v>44138</v>
      </c>
      <c r="C1927" s="20" t="inlineStr">
        <is>
          <t>화</t>
        </is>
      </c>
      <c r="E1927" s="20" t="inlineStr">
        <is>
          <t>고체향수</t>
        </is>
      </c>
      <c r="F1927" s="20" t="inlineStr">
        <is>
          <t>카페24</t>
        </is>
      </c>
      <c r="H1927" s="20" t="n">
        <v>3</v>
      </c>
      <c r="I1927" s="20" t="inlineStr">
        <is>
          <t>이그나이트</t>
        </is>
      </c>
      <c r="J1927" s="20" t="n">
        <v>200720</v>
      </c>
      <c r="L1927" s="20">
        <f>VLOOKUP($O1927,매칭테이블!$G:$J,2,0)*H1927</f>
        <v/>
      </c>
      <c r="M1927" s="20">
        <f>L1927-L1927*VLOOKUP($O1927,매칭테이블!$G:$J,3,0)</f>
        <v/>
      </c>
      <c r="N1927" s="20">
        <f>VLOOKUP($O1927,매칭테이블!$G:$J,4,0)*H1927</f>
        <v/>
      </c>
      <c r="O1927" s="20">
        <f>F1927&amp;E1927&amp;I1927&amp;J1927</f>
        <v/>
      </c>
    </row>
    <row r="1928" ht="16.5" customHeight="1" s="17">
      <c r="B1928" s="16" t="n">
        <v>44138</v>
      </c>
      <c r="C1928" s="20" t="inlineStr">
        <is>
          <t>화</t>
        </is>
      </c>
      <c r="E1928" s="20" t="inlineStr">
        <is>
          <t>고체향수</t>
        </is>
      </c>
      <c r="F1928" s="20" t="inlineStr">
        <is>
          <t>카페24</t>
        </is>
      </c>
      <c r="H1928" s="20" t="n">
        <v>1</v>
      </c>
      <c r="I1928" s="20" t="inlineStr">
        <is>
          <t>이그나이트 2set</t>
        </is>
      </c>
      <c r="J1928" s="20" t="n">
        <v>200720</v>
      </c>
      <c r="L1928" s="20">
        <f>VLOOKUP($O1928,매칭테이블!$G:$J,2,0)*H1928</f>
        <v/>
      </c>
      <c r="M1928" s="20">
        <f>L1928-L1928*VLOOKUP($O1928,매칭테이블!$G:$J,3,0)</f>
        <v/>
      </c>
      <c r="N1928" s="20">
        <f>VLOOKUP($O1928,매칭테이블!$G:$J,4,0)*H1928</f>
        <v/>
      </c>
      <c r="O1928" s="20">
        <f>F1928&amp;E1928&amp;I1928&amp;J1928</f>
        <v/>
      </c>
    </row>
    <row r="1929" ht="16.5" customHeight="1" s="17">
      <c r="B1929" s="16" t="n">
        <v>44138</v>
      </c>
      <c r="C1929" s="20" t="inlineStr">
        <is>
          <t>화</t>
        </is>
      </c>
      <c r="E1929" s="20" t="inlineStr">
        <is>
          <t>쇼핑백</t>
        </is>
      </c>
      <c r="F1929" s="20" t="inlineStr">
        <is>
          <t>카페24</t>
        </is>
      </c>
      <c r="H1929" s="20" t="n">
        <v>6</v>
      </c>
      <c r="I1929" s="20" t="inlineStr">
        <is>
          <t>유즈쇼핑백</t>
        </is>
      </c>
      <c r="J1929" s="20" t="n">
        <v>200720</v>
      </c>
      <c r="L1929" s="20">
        <f>VLOOKUP($O1929,매칭테이블!$G:$J,2,0)*H1929</f>
        <v/>
      </c>
      <c r="M1929" s="20">
        <f>L1929-L1929*VLOOKUP($O1929,매칭테이블!$G:$J,3,0)</f>
        <v/>
      </c>
      <c r="N1929" s="20">
        <f>VLOOKUP($O1929,매칭테이블!$G:$J,4,0)*H1929</f>
        <v/>
      </c>
      <c r="O1929" s="20">
        <f>F1929&amp;E1929&amp;I1929&amp;J1929</f>
        <v/>
      </c>
    </row>
    <row r="1930" ht="16.5" customHeight="1" s="17">
      <c r="B1930" s="16" t="n">
        <v>44139</v>
      </c>
      <c r="C1930" s="20" t="inlineStr">
        <is>
          <t>수</t>
        </is>
      </c>
      <c r="E1930" s="20" t="inlineStr">
        <is>
          <t>고체향수</t>
        </is>
      </c>
      <c r="F1930" s="20" t="inlineStr">
        <is>
          <t>카페24</t>
        </is>
      </c>
      <c r="H1930" s="20" t="n">
        <v>19</v>
      </c>
      <c r="I1930" s="20" t="inlineStr">
        <is>
          <t>이그나이트 + 스테이포에버</t>
        </is>
      </c>
      <c r="J1930" s="20" t="n">
        <v>200720</v>
      </c>
      <c r="L1930" s="20">
        <f>VLOOKUP($O1930,매칭테이블!$G:$J,2,0)*H1930</f>
        <v/>
      </c>
      <c r="M1930" s="20">
        <f>L1930-L1930*VLOOKUP($O1930,매칭테이블!$G:$J,3,0)</f>
        <v/>
      </c>
      <c r="N1930" s="20">
        <f>VLOOKUP($O1930,매칭테이블!$G:$J,4,0)*H1930</f>
        <v/>
      </c>
      <c r="O1930" s="20">
        <f>F1930&amp;E1930&amp;I1930&amp;J1930</f>
        <v/>
      </c>
    </row>
    <row r="1931" ht="16.5" customHeight="1" s="17">
      <c r="B1931" s="16" t="n">
        <v>44139</v>
      </c>
      <c r="C1931" s="20" t="inlineStr">
        <is>
          <t>수</t>
        </is>
      </c>
      <c r="E1931" s="20" t="inlineStr">
        <is>
          <t>고체향수</t>
        </is>
      </c>
      <c r="F1931" s="20" t="inlineStr">
        <is>
          <t>카페24</t>
        </is>
      </c>
      <c r="H1931" s="20" t="n">
        <v>260</v>
      </c>
      <c r="I1931" s="20" t="inlineStr">
        <is>
          <t>스테이포에버</t>
        </is>
      </c>
      <c r="J1931" s="20" t="n">
        <v>200720</v>
      </c>
      <c r="L1931" s="20">
        <f>VLOOKUP($O1931,매칭테이블!$G:$J,2,0)*H1931</f>
        <v/>
      </c>
      <c r="M1931" s="20">
        <f>L1931-L1931*VLOOKUP($O1931,매칭테이블!$G:$J,3,0)</f>
        <v/>
      </c>
      <c r="N1931" s="20">
        <f>VLOOKUP($O1931,매칭테이블!$G:$J,4,0)*H1931</f>
        <v/>
      </c>
      <c r="O1931" s="20">
        <f>F1931&amp;E1931&amp;I1931&amp;J1931</f>
        <v/>
      </c>
    </row>
    <row r="1932" ht="16.5" customHeight="1" s="17">
      <c r="B1932" s="16" t="n">
        <v>44139</v>
      </c>
      <c r="C1932" s="20" t="inlineStr">
        <is>
          <t>수</t>
        </is>
      </c>
      <c r="E1932" s="20" t="inlineStr">
        <is>
          <t>고체향수</t>
        </is>
      </c>
      <c r="F1932" s="20" t="inlineStr">
        <is>
          <t>카페24</t>
        </is>
      </c>
      <c r="H1932" s="20" t="n">
        <v>70</v>
      </c>
      <c r="I1932" s="20" t="inlineStr">
        <is>
          <t>스테이포에버 2set</t>
        </is>
      </c>
      <c r="J1932" s="20" t="n">
        <v>200720</v>
      </c>
      <c r="L1932" s="20">
        <f>VLOOKUP($O1932,매칭테이블!$G:$J,2,0)*H1932</f>
        <v/>
      </c>
      <c r="M1932" s="20">
        <f>L1932-L1932*VLOOKUP($O1932,매칭테이블!$G:$J,3,0)</f>
        <v/>
      </c>
      <c r="N1932" s="20">
        <f>VLOOKUP($O1932,매칭테이블!$G:$J,4,0)*H1932</f>
        <v/>
      </c>
      <c r="O1932" s="20">
        <f>F1932&amp;E1932&amp;I1932&amp;J1932</f>
        <v/>
      </c>
    </row>
    <row r="1933" ht="16.5" customHeight="1" s="17">
      <c r="B1933" s="16" t="n">
        <v>44139</v>
      </c>
      <c r="C1933" s="20" t="inlineStr">
        <is>
          <t>수</t>
        </is>
      </c>
      <c r="E1933" s="20" t="inlineStr">
        <is>
          <t>고체향수</t>
        </is>
      </c>
      <c r="F1933" s="20" t="inlineStr">
        <is>
          <t>카페24</t>
        </is>
      </c>
      <c r="H1933" s="20" t="n">
        <v>3</v>
      </c>
      <c r="I1933" s="20" t="inlineStr">
        <is>
          <t>이그나이트</t>
        </is>
      </c>
      <c r="J1933" s="20" t="n">
        <v>200720</v>
      </c>
      <c r="L1933" s="20">
        <f>VLOOKUP($O1933,매칭테이블!$G:$J,2,0)*H1933</f>
        <v/>
      </c>
      <c r="M1933" s="20">
        <f>L1933-L1933*VLOOKUP($O1933,매칭테이블!$G:$J,3,0)</f>
        <v/>
      </c>
      <c r="N1933" s="20">
        <f>VLOOKUP($O1933,매칭테이블!$G:$J,4,0)*H1933</f>
        <v/>
      </c>
      <c r="O1933" s="20">
        <f>F1933&amp;E1933&amp;I1933&amp;J1933</f>
        <v/>
      </c>
    </row>
    <row r="1934" ht="16.5" customHeight="1" s="17">
      <c r="B1934" s="16" t="n">
        <v>44139</v>
      </c>
      <c r="C1934" s="20" t="inlineStr">
        <is>
          <t>수</t>
        </is>
      </c>
      <c r="E1934" s="20" t="inlineStr">
        <is>
          <t>고체향수</t>
        </is>
      </c>
      <c r="F1934" s="20" t="inlineStr">
        <is>
          <t>카페24</t>
        </is>
      </c>
      <c r="H1934" s="20" t="n">
        <v>2</v>
      </c>
      <c r="I1934" s="20" t="inlineStr">
        <is>
          <t>이그나이트 2set</t>
        </is>
      </c>
      <c r="J1934" s="20" t="n">
        <v>200720</v>
      </c>
      <c r="L1934" s="20">
        <f>VLOOKUP($O1934,매칭테이블!$G:$J,2,0)*H1934</f>
        <v/>
      </c>
      <c r="M1934" s="20">
        <f>L1934-L1934*VLOOKUP($O1934,매칭테이블!$G:$J,3,0)</f>
        <v/>
      </c>
      <c r="N1934" s="20">
        <f>VLOOKUP($O1934,매칭테이블!$G:$J,4,0)*H1934</f>
        <v/>
      </c>
      <c r="O1934" s="20">
        <f>F1934&amp;E1934&amp;I1934&amp;J1934</f>
        <v/>
      </c>
    </row>
    <row r="1935" ht="16.5" customHeight="1" s="17">
      <c r="B1935" s="16" t="n">
        <v>44139</v>
      </c>
      <c r="C1935" s="20" t="inlineStr">
        <is>
          <t>수</t>
        </is>
      </c>
      <c r="E1935" s="20" t="inlineStr">
        <is>
          <t>쇼핑백</t>
        </is>
      </c>
      <c r="F1935" s="20" t="inlineStr">
        <is>
          <t>카페24</t>
        </is>
      </c>
      <c r="H1935" s="20" t="n">
        <v>9</v>
      </c>
      <c r="I1935" s="20" t="inlineStr">
        <is>
          <t>유즈쇼핑백</t>
        </is>
      </c>
      <c r="J1935" s="20" t="n">
        <v>200720</v>
      </c>
      <c r="L1935" s="20">
        <f>VLOOKUP($O1935,매칭테이블!$G:$J,2,0)*H1935</f>
        <v/>
      </c>
      <c r="M1935" s="20">
        <f>L1935-L1935*VLOOKUP($O1935,매칭테이블!$G:$J,3,0)</f>
        <v/>
      </c>
      <c r="N1935" s="20">
        <f>VLOOKUP($O1935,매칭테이블!$G:$J,4,0)*H1935</f>
        <v/>
      </c>
      <c r="O1935" s="20">
        <f>F1935&amp;E1935&amp;I1935&amp;J1935</f>
        <v/>
      </c>
    </row>
    <row r="1936" ht="16.5" customHeight="1" s="17">
      <c r="B1936" s="16" t="n">
        <v>44140</v>
      </c>
      <c r="C1936" s="20" t="inlineStr">
        <is>
          <t>목</t>
        </is>
      </c>
      <c r="E1936" s="20" t="inlineStr">
        <is>
          <t>고체향수</t>
        </is>
      </c>
      <c r="F1936" s="20" t="inlineStr">
        <is>
          <t>카페24</t>
        </is>
      </c>
      <c r="H1936" s="20" t="n">
        <v>15</v>
      </c>
      <c r="I1936" s="20" t="inlineStr">
        <is>
          <t>이그나이트 + 스테이포에버</t>
        </is>
      </c>
      <c r="J1936" s="20" t="n">
        <v>200720</v>
      </c>
      <c r="L1936" s="20">
        <f>VLOOKUP($O1936,매칭테이블!$G:$J,2,0)*H1936</f>
        <v/>
      </c>
      <c r="M1936" s="20">
        <f>L1936-L1936*VLOOKUP($O1936,매칭테이블!$G:$J,3,0)</f>
        <v/>
      </c>
      <c r="N1936" s="20">
        <f>VLOOKUP($O1936,매칭테이블!$G:$J,4,0)*H1936</f>
        <v/>
      </c>
      <c r="O1936" s="20">
        <f>F1936&amp;E1936&amp;I1936&amp;J1936</f>
        <v/>
      </c>
    </row>
    <row r="1937" ht="16.5" customHeight="1" s="17">
      <c r="B1937" s="16" t="n">
        <v>44140</v>
      </c>
      <c r="C1937" s="20" t="inlineStr">
        <is>
          <t>목</t>
        </is>
      </c>
      <c r="E1937" s="20" t="inlineStr">
        <is>
          <t>고체향수</t>
        </is>
      </c>
      <c r="F1937" s="20" t="inlineStr">
        <is>
          <t>카페24</t>
        </is>
      </c>
      <c r="H1937" s="20" t="n">
        <v>258</v>
      </c>
      <c r="I1937" s="20" t="inlineStr">
        <is>
          <t>스테이포에버</t>
        </is>
      </c>
      <c r="J1937" s="20" t="n">
        <v>200720</v>
      </c>
      <c r="L1937" s="20">
        <f>VLOOKUP($O1937,매칭테이블!$G:$J,2,0)*H1937</f>
        <v/>
      </c>
      <c r="M1937" s="20">
        <f>L1937-L1937*VLOOKUP($O1937,매칭테이블!$G:$J,3,0)</f>
        <v/>
      </c>
      <c r="N1937" s="20">
        <f>VLOOKUP($O1937,매칭테이블!$G:$J,4,0)*H1937</f>
        <v/>
      </c>
      <c r="O1937" s="20">
        <f>F1937&amp;E1937&amp;I1937&amp;J1937</f>
        <v/>
      </c>
    </row>
    <row r="1938" ht="16.5" customHeight="1" s="17">
      <c r="B1938" s="16" t="n">
        <v>44140</v>
      </c>
      <c r="C1938" s="20" t="inlineStr">
        <is>
          <t>목</t>
        </is>
      </c>
      <c r="E1938" s="20" t="inlineStr">
        <is>
          <t>고체향수</t>
        </is>
      </c>
      <c r="F1938" s="20" t="inlineStr">
        <is>
          <t>카페24</t>
        </is>
      </c>
      <c r="H1938" s="20" t="n">
        <v>61</v>
      </c>
      <c r="I1938" s="20" t="inlineStr">
        <is>
          <t>스테이포에버 2set</t>
        </is>
      </c>
      <c r="J1938" s="20" t="n">
        <v>200720</v>
      </c>
      <c r="L1938" s="20">
        <f>VLOOKUP($O1938,매칭테이블!$G:$J,2,0)*H1938</f>
        <v/>
      </c>
      <c r="M1938" s="20">
        <f>L1938-L1938*VLOOKUP($O1938,매칭테이블!$G:$J,3,0)</f>
        <v/>
      </c>
      <c r="N1938" s="20">
        <f>VLOOKUP($O1938,매칭테이블!$G:$J,4,0)*H1938</f>
        <v/>
      </c>
      <c r="O1938" s="20">
        <f>F1938&amp;E1938&amp;I1938&amp;J1938</f>
        <v/>
      </c>
    </row>
    <row r="1939" ht="16.5" customHeight="1" s="17">
      <c r="B1939" s="16" t="n">
        <v>44140</v>
      </c>
      <c r="C1939" s="20" t="inlineStr">
        <is>
          <t>목</t>
        </is>
      </c>
      <c r="E1939" s="20" t="inlineStr">
        <is>
          <t>고체향수</t>
        </is>
      </c>
      <c r="F1939" s="20" t="inlineStr">
        <is>
          <t>카페24</t>
        </is>
      </c>
      <c r="H1939" s="20" t="n">
        <v>1</v>
      </c>
      <c r="I1939" s="20" t="inlineStr">
        <is>
          <t>이그나이트</t>
        </is>
      </c>
      <c r="J1939" s="20" t="n">
        <v>200720</v>
      </c>
      <c r="L1939" s="20">
        <f>VLOOKUP($O1939,매칭테이블!$G:$J,2,0)*H1939</f>
        <v/>
      </c>
      <c r="M1939" s="20">
        <f>L1939-L1939*VLOOKUP($O1939,매칭테이블!$G:$J,3,0)</f>
        <v/>
      </c>
      <c r="N1939" s="20">
        <f>VLOOKUP($O1939,매칭테이블!$G:$J,4,0)*H1939</f>
        <v/>
      </c>
      <c r="O1939" s="20">
        <f>F1939&amp;E1939&amp;I1939&amp;J1939</f>
        <v/>
      </c>
    </row>
    <row r="1940" ht="16.5" customHeight="1" s="17">
      <c r="B1940" s="16" t="n">
        <v>44140</v>
      </c>
      <c r="C1940" s="20" t="inlineStr">
        <is>
          <t>목</t>
        </is>
      </c>
      <c r="E1940" s="20" t="inlineStr">
        <is>
          <t>고체향수</t>
        </is>
      </c>
      <c r="F1940" s="20" t="inlineStr">
        <is>
          <t>카페24</t>
        </is>
      </c>
      <c r="H1940" s="20" t="n">
        <v>2</v>
      </c>
      <c r="I1940" s="20" t="inlineStr">
        <is>
          <t>이그나이트 2set</t>
        </is>
      </c>
      <c r="J1940" s="20" t="n">
        <v>200720</v>
      </c>
      <c r="L1940" s="20">
        <f>VLOOKUP($O1940,매칭테이블!$G:$J,2,0)*H1940</f>
        <v/>
      </c>
      <c r="M1940" s="20">
        <f>L1940-L1940*VLOOKUP($O1940,매칭테이블!$G:$J,3,0)</f>
        <v/>
      </c>
      <c r="N1940" s="20">
        <f>VLOOKUP($O1940,매칭테이블!$G:$J,4,0)*H1940</f>
        <v/>
      </c>
      <c r="O1940" s="20">
        <f>F1940&amp;E1940&amp;I1940&amp;J1940</f>
        <v/>
      </c>
    </row>
    <row r="1941" ht="16.5" customHeight="1" s="17">
      <c r="B1941" s="16" t="n">
        <v>44140</v>
      </c>
      <c r="C1941" s="20" t="inlineStr">
        <is>
          <t>목</t>
        </is>
      </c>
      <c r="E1941" s="20" t="inlineStr">
        <is>
          <t>쇼핑백</t>
        </is>
      </c>
      <c r="F1941" s="20" t="inlineStr">
        <is>
          <t>카페24</t>
        </is>
      </c>
      <c r="H1941" s="20" t="n">
        <v>2</v>
      </c>
      <c r="I1941" s="20" t="inlineStr">
        <is>
          <t>유즈쇼핑백</t>
        </is>
      </c>
      <c r="J1941" s="20" t="n">
        <v>200720</v>
      </c>
      <c r="L1941" s="20">
        <f>VLOOKUP($O1941,매칭테이블!$G:$J,2,0)*H1941</f>
        <v/>
      </c>
      <c r="M1941" s="20">
        <f>L1941-L1941*VLOOKUP($O1941,매칭테이블!$G:$J,3,0)</f>
        <v/>
      </c>
      <c r="N1941" s="20">
        <f>VLOOKUP($O1941,매칭테이블!$G:$J,4,0)*H1941</f>
        <v/>
      </c>
      <c r="O1941" s="20">
        <f>F1941&amp;E1941&amp;I1941&amp;J1941</f>
        <v/>
      </c>
    </row>
    <row r="1942" ht="16.5" customHeight="1" s="17">
      <c r="B1942" s="16" t="n">
        <v>44141</v>
      </c>
      <c r="C1942" s="20" t="inlineStr">
        <is>
          <t>금</t>
        </is>
      </c>
      <c r="E1942" s="20" t="inlineStr">
        <is>
          <t>고체향수</t>
        </is>
      </c>
      <c r="F1942" s="20" t="inlineStr">
        <is>
          <t>카페24</t>
        </is>
      </c>
      <c r="H1942" s="20" t="n">
        <v>19</v>
      </c>
      <c r="I1942" s="20" t="inlineStr">
        <is>
          <t>이그나이트 + 스테이포에버</t>
        </is>
      </c>
      <c r="J1942" s="20" t="n">
        <v>200720</v>
      </c>
      <c r="L1942" s="20">
        <f>VLOOKUP($O1942,매칭테이블!$G:$J,2,0)*H1942</f>
        <v/>
      </c>
      <c r="M1942" s="20">
        <f>L1942-L1942*VLOOKUP($O1942,매칭테이블!$G:$J,3,0)</f>
        <v/>
      </c>
      <c r="N1942" s="20">
        <f>VLOOKUP($O1942,매칭테이블!$G:$J,4,0)*H1942</f>
        <v/>
      </c>
      <c r="O1942" s="20">
        <f>F1942&amp;E1942&amp;I1942&amp;J1942</f>
        <v/>
      </c>
    </row>
    <row r="1943" ht="16.5" customHeight="1" s="17">
      <c r="B1943" s="16" t="n">
        <v>44141</v>
      </c>
      <c r="C1943" s="20" t="inlineStr">
        <is>
          <t>금</t>
        </is>
      </c>
      <c r="E1943" s="20" t="inlineStr">
        <is>
          <t>고체향수</t>
        </is>
      </c>
      <c r="F1943" s="20" t="inlineStr">
        <is>
          <t>카페24</t>
        </is>
      </c>
      <c r="H1943" s="20" t="n">
        <v>230</v>
      </c>
      <c r="I1943" s="20" t="inlineStr">
        <is>
          <t>스테이포에버</t>
        </is>
      </c>
      <c r="J1943" s="20" t="n">
        <v>200720</v>
      </c>
      <c r="L1943" s="20">
        <f>VLOOKUP($O1943,매칭테이블!$G:$J,2,0)*H1943</f>
        <v/>
      </c>
      <c r="M1943" s="20">
        <f>L1943-L1943*VLOOKUP($O1943,매칭테이블!$G:$J,3,0)</f>
        <v/>
      </c>
      <c r="N1943" s="20">
        <f>VLOOKUP($O1943,매칭테이블!$G:$J,4,0)*H1943</f>
        <v/>
      </c>
      <c r="O1943" s="20">
        <f>F1943&amp;E1943&amp;I1943&amp;J1943</f>
        <v/>
      </c>
    </row>
    <row r="1944" ht="16.5" customHeight="1" s="17">
      <c r="B1944" s="16" t="n">
        <v>44141</v>
      </c>
      <c r="C1944" s="20" t="inlineStr">
        <is>
          <t>금</t>
        </is>
      </c>
      <c r="E1944" s="20" t="inlineStr">
        <is>
          <t>고체향수</t>
        </is>
      </c>
      <c r="F1944" s="20" t="inlineStr">
        <is>
          <t>카페24</t>
        </is>
      </c>
      <c r="H1944" s="20" t="n">
        <v>77</v>
      </c>
      <c r="I1944" s="20" t="inlineStr">
        <is>
          <t>스테이포에버 2set</t>
        </is>
      </c>
      <c r="J1944" s="20" t="n">
        <v>200720</v>
      </c>
      <c r="L1944" s="20">
        <f>VLOOKUP($O1944,매칭테이블!$G:$J,2,0)*H1944</f>
        <v/>
      </c>
      <c r="M1944" s="20">
        <f>L1944-L1944*VLOOKUP($O1944,매칭테이블!$G:$J,3,0)</f>
        <v/>
      </c>
      <c r="N1944" s="20">
        <f>VLOOKUP($O1944,매칭테이블!$G:$J,4,0)*H1944</f>
        <v/>
      </c>
      <c r="O1944" s="20">
        <f>F1944&amp;E1944&amp;I1944&amp;J1944</f>
        <v/>
      </c>
    </row>
    <row r="1945" ht="16.5" customHeight="1" s="17">
      <c r="B1945" s="16" t="n">
        <v>44141</v>
      </c>
      <c r="C1945" s="20" t="inlineStr">
        <is>
          <t>금</t>
        </is>
      </c>
      <c r="E1945" s="20" t="inlineStr">
        <is>
          <t>고체향수</t>
        </is>
      </c>
      <c r="F1945" s="20" t="inlineStr">
        <is>
          <t>카페24</t>
        </is>
      </c>
      <c r="H1945" s="20" t="n">
        <v>2</v>
      </c>
      <c r="I1945" s="20" t="inlineStr">
        <is>
          <t>이그나이트</t>
        </is>
      </c>
      <c r="J1945" s="20" t="n">
        <v>200720</v>
      </c>
      <c r="L1945" s="20">
        <f>VLOOKUP($O1945,매칭테이블!$G:$J,2,0)*H1945</f>
        <v/>
      </c>
      <c r="M1945" s="20">
        <f>L1945-L1945*VLOOKUP($O1945,매칭테이블!$G:$J,3,0)</f>
        <v/>
      </c>
      <c r="N1945" s="20">
        <f>VLOOKUP($O1945,매칭테이블!$G:$J,4,0)*H1945</f>
        <v/>
      </c>
      <c r="O1945" s="20">
        <f>F1945&amp;E1945&amp;I1945&amp;J1945</f>
        <v/>
      </c>
    </row>
    <row r="1946" ht="16.5" customHeight="1" s="17">
      <c r="B1946" s="16" t="n">
        <v>44141</v>
      </c>
      <c r="C1946" s="20" t="inlineStr">
        <is>
          <t>금</t>
        </is>
      </c>
      <c r="E1946" s="20" t="inlineStr">
        <is>
          <t>고체향수</t>
        </is>
      </c>
      <c r="F1946" s="20" t="inlineStr">
        <is>
          <t>카페24</t>
        </is>
      </c>
      <c r="H1946" s="20" t="n">
        <v>1</v>
      </c>
      <c r="I1946" s="20" t="inlineStr">
        <is>
          <t>이그나이트 2set</t>
        </is>
      </c>
      <c r="J1946" s="20" t="n">
        <v>200720</v>
      </c>
      <c r="L1946" s="20">
        <f>VLOOKUP($O1946,매칭테이블!$G:$J,2,0)*H1946</f>
        <v/>
      </c>
      <c r="M1946" s="20">
        <f>L1946-L1946*VLOOKUP($O1946,매칭테이블!$G:$J,3,0)</f>
        <v/>
      </c>
      <c r="N1946" s="20">
        <f>VLOOKUP($O1946,매칭테이블!$G:$J,4,0)*H1946</f>
        <v/>
      </c>
      <c r="O1946" s="20">
        <f>F1946&amp;E1946&amp;I1946&amp;J1946</f>
        <v/>
      </c>
    </row>
    <row r="1947" ht="16.5" customHeight="1" s="17">
      <c r="B1947" s="16" t="n">
        <v>44141</v>
      </c>
      <c r="C1947" s="20" t="inlineStr">
        <is>
          <t>금</t>
        </is>
      </c>
      <c r="E1947" s="20" t="inlineStr">
        <is>
          <t>쇼핑백</t>
        </is>
      </c>
      <c r="F1947" s="20" t="inlineStr">
        <is>
          <t>카페24</t>
        </is>
      </c>
      <c r="H1947" s="20" t="n">
        <v>7</v>
      </c>
      <c r="I1947" s="20" t="inlineStr">
        <is>
          <t>유즈쇼핑백</t>
        </is>
      </c>
      <c r="J1947" s="20" t="n">
        <v>200720</v>
      </c>
      <c r="L1947" s="20">
        <f>VLOOKUP($O1947,매칭테이블!$G:$J,2,0)*H1947</f>
        <v/>
      </c>
      <c r="M1947" s="20">
        <f>L1947-L1947*VLOOKUP($O1947,매칭테이블!$G:$J,3,0)</f>
        <v/>
      </c>
      <c r="N1947" s="20">
        <f>VLOOKUP($O1947,매칭테이블!$G:$J,4,0)*H1947</f>
        <v/>
      </c>
      <c r="O1947" s="20">
        <f>F1947&amp;E1947&amp;I1947&amp;J1947</f>
        <v/>
      </c>
    </row>
    <row r="1948" ht="16.5" customHeight="1" s="17">
      <c r="B1948" s="16" t="n">
        <v>44142</v>
      </c>
      <c r="C1948" s="20" t="inlineStr">
        <is>
          <t>토</t>
        </is>
      </c>
      <c r="E1948" s="20" t="inlineStr">
        <is>
          <t>고체향수</t>
        </is>
      </c>
      <c r="F1948" s="20" t="inlineStr">
        <is>
          <t>카페24</t>
        </is>
      </c>
      <c r="H1948" s="20" t="n">
        <v>23</v>
      </c>
      <c r="I1948" s="20" t="inlineStr">
        <is>
          <t>이그나이트 + 스테이포에버</t>
        </is>
      </c>
      <c r="J1948" s="20" t="n">
        <v>200720</v>
      </c>
      <c r="L1948" s="20">
        <f>VLOOKUP($O1948,매칭테이블!$G:$J,2,0)*H1948</f>
        <v/>
      </c>
      <c r="M1948" s="20">
        <f>L1948-L1948*VLOOKUP($O1948,매칭테이블!$G:$J,3,0)</f>
        <v/>
      </c>
      <c r="N1948" s="20">
        <f>VLOOKUP($O1948,매칭테이블!$G:$J,4,0)*H1948</f>
        <v/>
      </c>
      <c r="O1948" s="20">
        <f>F1948&amp;E1948&amp;I1948&amp;J1948</f>
        <v/>
      </c>
    </row>
    <row r="1949" ht="16.5" customHeight="1" s="17">
      <c r="B1949" s="16" t="n">
        <v>44142</v>
      </c>
      <c r="C1949" s="20" t="inlineStr">
        <is>
          <t>토</t>
        </is>
      </c>
      <c r="E1949" s="20" t="inlineStr">
        <is>
          <t>고체향수</t>
        </is>
      </c>
      <c r="F1949" s="20" t="inlineStr">
        <is>
          <t>카페24</t>
        </is>
      </c>
      <c r="H1949" s="20" t="n">
        <v>280</v>
      </c>
      <c r="I1949" s="20" t="inlineStr">
        <is>
          <t>스테이포에버</t>
        </is>
      </c>
      <c r="J1949" s="20" t="n">
        <v>200720</v>
      </c>
      <c r="L1949" s="20">
        <f>VLOOKUP($O1949,매칭테이블!$G:$J,2,0)*H1949</f>
        <v/>
      </c>
      <c r="M1949" s="20">
        <f>L1949-L1949*VLOOKUP($O1949,매칭테이블!$G:$J,3,0)</f>
        <v/>
      </c>
      <c r="N1949" s="20">
        <f>VLOOKUP($O1949,매칭테이블!$G:$J,4,0)*H1949</f>
        <v/>
      </c>
      <c r="O1949" s="20">
        <f>F1949&amp;E1949&amp;I1949&amp;J1949</f>
        <v/>
      </c>
    </row>
    <row r="1950" ht="16.5" customHeight="1" s="17">
      <c r="B1950" s="16" t="n">
        <v>44142</v>
      </c>
      <c r="C1950" s="20" t="inlineStr">
        <is>
          <t>토</t>
        </is>
      </c>
      <c r="E1950" s="20" t="inlineStr">
        <is>
          <t>고체향수</t>
        </is>
      </c>
      <c r="F1950" s="20" t="inlineStr">
        <is>
          <t>카페24</t>
        </is>
      </c>
      <c r="H1950" s="20" t="n">
        <v>75</v>
      </c>
      <c r="I1950" s="20" t="inlineStr">
        <is>
          <t>스테이포에버 2set</t>
        </is>
      </c>
      <c r="J1950" s="20" t="n">
        <v>200720</v>
      </c>
      <c r="L1950" s="20">
        <f>VLOOKUP($O1950,매칭테이블!$G:$J,2,0)*H1950</f>
        <v/>
      </c>
      <c r="M1950" s="20">
        <f>L1950-L1950*VLOOKUP($O1950,매칭테이블!$G:$J,3,0)</f>
        <v/>
      </c>
      <c r="N1950" s="20">
        <f>VLOOKUP($O1950,매칭테이블!$G:$J,4,0)*H1950</f>
        <v/>
      </c>
      <c r="O1950" s="20">
        <f>F1950&amp;E1950&amp;I1950&amp;J1950</f>
        <v/>
      </c>
    </row>
    <row r="1951" ht="16.5" customHeight="1" s="17">
      <c r="B1951" s="16" t="n">
        <v>44142</v>
      </c>
      <c r="C1951" s="20" t="inlineStr">
        <is>
          <t>토</t>
        </is>
      </c>
      <c r="E1951" s="20" t="inlineStr">
        <is>
          <t>고체향수</t>
        </is>
      </c>
      <c r="F1951" s="20" t="inlineStr">
        <is>
          <t>카페24</t>
        </is>
      </c>
      <c r="H1951" s="20" t="n">
        <v>4</v>
      </c>
      <c r="I1951" s="20" t="inlineStr">
        <is>
          <t>이그나이트 2set</t>
        </is>
      </c>
      <c r="J1951" s="20" t="n">
        <v>200720</v>
      </c>
      <c r="L1951" s="20">
        <f>VLOOKUP($O1951,매칭테이블!$G:$J,2,0)*H1951</f>
        <v/>
      </c>
      <c r="M1951" s="20">
        <f>L1951-L1951*VLOOKUP($O1951,매칭테이블!$G:$J,3,0)</f>
        <v/>
      </c>
      <c r="N1951" s="20">
        <f>VLOOKUP($O1951,매칭테이블!$G:$J,4,0)*H1951</f>
        <v/>
      </c>
      <c r="O1951" s="20">
        <f>F1951&amp;E1951&amp;I1951&amp;J1951</f>
        <v/>
      </c>
    </row>
    <row r="1952" ht="16.5" customHeight="1" s="17">
      <c r="B1952" s="16" t="n">
        <v>44142</v>
      </c>
      <c r="C1952" s="20" t="inlineStr">
        <is>
          <t>토</t>
        </is>
      </c>
      <c r="E1952" s="20" t="inlineStr">
        <is>
          <t>쇼핑백</t>
        </is>
      </c>
      <c r="F1952" s="20" t="inlineStr">
        <is>
          <t>카페24</t>
        </is>
      </c>
      <c r="H1952" s="20" t="n">
        <v>8</v>
      </c>
      <c r="I1952" s="20" t="inlineStr">
        <is>
          <t>유즈쇼핑백</t>
        </is>
      </c>
      <c r="J1952" s="20" t="n">
        <v>200720</v>
      </c>
      <c r="L1952" s="20">
        <f>VLOOKUP($O1952,매칭테이블!$G:$J,2,0)*H1952</f>
        <v/>
      </c>
      <c r="M1952" s="20">
        <f>L1952-L1952*VLOOKUP($O1952,매칭테이블!$G:$J,3,0)</f>
        <v/>
      </c>
      <c r="N1952" s="20">
        <f>VLOOKUP($O1952,매칭테이블!$G:$J,4,0)*H1952</f>
        <v/>
      </c>
      <c r="O1952" s="20">
        <f>F1952&amp;E1952&amp;I1952&amp;J1952</f>
        <v/>
      </c>
    </row>
    <row r="1953" ht="16.5" customHeight="1" s="17">
      <c r="B1953" s="16" t="n">
        <v>44143</v>
      </c>
      <c r="C1953" s="20" t="inlineStr">
        <is>
          <t>일</t>
        </is>
      </c>
      <c r="E1953" s="20" t="inlineStr">
        <is>
          <t>고체향수</t>
        </is>
      </c>
      <c r="F1953" s="20" t="inlineStr">
        <is>
          <t>카페24</t>
        </is>
      </c>
      <c r="H1953" s="20" t="n">
        <v>19</v>
      </c>
      <c r="I1953" s="20" t="inlineStr">
        <is>
          <t>이그나이트 + 스테이포에버</t>
        </is>
      </c>
      <c r="J1953" s="20" t="n">
        <v>200720</v>
      </c>
      <c r="L1953" s="20">
        <f>VLOOKUP($O1953,매칭테이블!$G:$J,2,0)*H1953</f>
        <v/>
      </c>
      <c r="M1953" s="20">
        <f>L1953-L1953*VLOOKUP($O1953,매칭테이블!$G:$J,3,0)</f>
        <v/>
      </c>
      <c r="N1953" s="20">
        <f>VLOOKUP($O1953,매칭테이블!$G:$J,4,0)*H1953</f>
        <v/>
      </c>
      <c r="O1953" s="20">
        <f>F1953&amp;E1953&amp;I1953&amp;J1953</f>
        <v/>
      </c>
    </row>
    <row r="1954" ht="16.5" customHeight="1" s="17">
      <c r="B1954" s="16" t="n">
        <v>44143</v>
      </c>
      <c r="C1954" s="20" t="inlineStr">
        <is>
          <t>일</t>
        </is>
      </c>
      <c r="E1954" s="20" t="inlineStr">
        <is>
          <t>고체향수</t>
        </is>
      </c>
      <c r="F1954" s="20" t="inlineStr">
        <is>
          <t>카페24</t>
        </is>
      </c>
      <c r="H1954" s="20" t="n">
        <v>1</v>
      </c>
      <c r="I1954" s="20" t="inlineStr">
        <is>
          <t>이그나이트 + 스테이포에버 2set</t>
        </is>
      </c>
      <c r="J1954" s="20" t="n">
        <v>200720</v>
      </c>
      <c r="L1954" s="20">
        <f>VLOOKUP($O1954,매칭테이블!$G:$J,2,0)*H1954</f>
        <v/>
      </c>
      <c r="M1954" s="20">
        <f>L1954-L1954*VLOOKUP($O1954,매칭테이블!$G:$J,3,0)</f>
        <v/>
      </c>
      <c r="N1954" s="20">
        <f>VLOOKUP($O1954,매칭테이블!$G:$J,4,0)*H1954</f>
        <v/>
      </c>
      <c r="O1954" s="20">
        <f>F1954&amp;E1954&amp;I1954&amp;J1954</f>
        <v/>
      </c>
    </row>
    <row r="1955" ht="16.5" customHeight="1" s="17">
      <c r="B1955" s="16" t="n">
        <v>44143</v>
      </c>
      <c r="C1955" s="20" t="inlineStr">
        <is>
          <t>일</t>
        </is>
      </c>
      <c r="E1955" s="20" t="inlineStr">
        <is>
          <t>고체향수</t>
        </is>
      </c>
      <c r="F1955" s="20" t="inlineStr">
        <is>
          <t>카페24</t>
        </is>
      </c>
      <c r="H1955" s="20" t="n">
        <v>255</v>
      </c>
      <c r="I1955" s="20" t="inlineStr">
        <is>
          <t>스테이포에버</t>
        </is>
      </c>
      <c r="J1955" s="20" t="n">
        <v>200720</v>
      </c>
      <c r="L1955" s="20">
        <f>VLOOKUP($O1955,매칭테이블!$G:$J,2,0)*H1955</f>
        <v/>
      </c>
      <c r="M1955" s="20">
        <f>L1955-L1955*VLOOKUP($O1955,매칭테이블!$G:$J,3,0)</f>
        <v/>
      </c>
      <c r="N1955" s="20">
        <f>VLOOKUP($O1955,매칭테이블!$G:$J,4,0)*H1955</f>
        <v/>
      </c>
      <c r="O1955" s="20">
        <f>F1955&amp;E1955&amp;I1955&amp;J1955</f>
        <v/>
      </c>
    </row>
    <row r="1956" ht="16.5" customHeight="1" s="17">
      <c r="B1956" s="16" t="n">
        <v>44143</v>
      </c>
      <c r="C1956" s="20" t="inlineStr">
        <is>
          <t>일</t>
        </is>
      </c>
      <c r="E1956" s="20" t="inlineStr">
        <is>
          <t>고체향수</t>
        </is>
      </c>
      <c r="F1956" s="20" t="inlineStr">
        <is>
          <t>카페24</t>
        </is>
      </c>
      <c r="H1956" s="20" t="n">
        <v>76</v>
      </c>
      <c r="I1956" s="20" t="inlineStr">
        <is>
          <t>스테이포에버 2set</t>
        </is>
      </c>
      <c r="J1956" s="20" t="n">
        <v>200720</v>
      </c>
      <c r="L1956" s="20">
        <f>VLOOKUP($O1956,매칭테이블!$G:$J,2,0)*H1956</f>
        <v/>
      </c>
      <c r="M1956" s="20">
        <f>L1956-L1956*VLOOKUP($O1956,매칭테이블!$G:$J,3,0)</f>
        <v/>
      </c>
      <c r="N1956" s="20">
        <f>VLOOKUP($O1956,매칭테이블!$G:$J,4,0)*H1956</f>
        <v/>
      </c>
      <c r="O1956" s="20">
        <f>F1956&amp;E1956&amp;I1956&amp;J1956</f>
        <v/>
      </c>
    </row>
    <row r="1957" ht="16.5" customHeight="1" s="17">
      <c r="B1957" s="16" t="n">
        <v>44143</v>
      </c>
      <c r="C1957" s="20" t="inlineStr">
        <is>
          <t>일</t>
        </is>
      </c>
      <c r="E1957" s="20" t="inlineStr">
        <is>
          <t>고체향수</t>
        </is>
      </c>
      <c r="F1957" s="20" t="inlineStr">
        <is>
          <t>카페24</t>
        </is>
      </c>
      <c r="H1957" s="20" t="n">
        <v>2</v>
      </c>
      <c r="I1957" s="20" t="inlineStr">
        <is>
          <t>이그나이트</t>
        </is>
      </c>
      <c r="J1957" s="20" t="n">
        <v>200720</v>
      </c>
      <c r="L1957" s="20">
        <f>VLOOKUP($O1957,매칭테이블!$G:$J,2,0)*H1957</f>
        <v/>
      </c>
      <c r="M1957" s="20">
        <f>L1957-L1957*VLOOKUP($O1957,매칭테이블!$G:$J,3,0)</f>
        <v/>
      </c>
      <c r="N1957" s="20">
        <f>VLOOKUP($O1957,매칭테이블!$G:$J,4,0)*H1957</f>
        <v/>
      </c>
      <c r="O1957" s="20">
        <f>F1957&amp;E1957&amp;I1957&amp;J1957</f>
        <v/>
      </c>
    </row>
    <row r="1958" ht="16.5" customHeight="1" s="17">
      <c r="B1958" s="16" t="n">
        <v>44143</v>
      </c>
      <c r="C1958" s="20" t="inlineStr">
        <is>
          <t>일</t>
        </is>
      </c>
      <c r="E1958" s="20" t="inlineStr">
        <is>
          <t>고체향수</t>
        </is>
      </c>
      <c r="F1958" s="20" t="inlineStr">
        <is>
          <t>카페24</t>
        </is>
      </c>
      <c r="H1958" s="20" t="n">
        <v>1</v>
      </c>
      <c r="I1958" s="20" t="inlineStr">
        <is>
          <t>이그나이트 2set</t>
        </is>
      </c>
      <c r="J1958" s="20" t="n">
        <v>200720</v>
      </c>
      <c r="L1958" s="20">
        <f>VLOOKUP($O1958,매칭테이블!$G:$J,2,0)*H1958</f>
        <v/>
      </c>
      <c r="M1958" s="20">
        <f>L1958-L1958*VLOOKUP($O1958,매칭테이블!$G:$J,3,0)</f>
        <v/>
      </c>
      <c r="N1958" s="20">
        <f>VLOOKUP($O1958,매칭테이블!$G:$J,4,0)*H1958</f>
        <v/>
      </c>
      <c r="O1958" s="20">
        <f>F1958&amp;E1958&amp;I1958&amp;J1958</f>
        <v/>
      </c>
    </row>
    <row r="1959" ht="16.5" customHeight="1" s="17">
      <c r="B1959" s="16" t="n">
        <v>44143</v>
      </c>
      <c r="C1959" s="20" t="inlineStr">
        <is>
          <t>일</t>
        </is>
      </c>
      <c r="E1959" s="20" t="inlineStr">
        <is>
          <t>쇼핑백</t>
        </is>
      </c>
      <c r="F1959" s="20" t="inlineStr">
        <is>
          <t>카페24</t>
        </is>
      </c>
      <c r="H1959" s="20" t="n">
        <v>9</v>
      </c>
      <c r="I1959" s="20" t="inlineStr">
        <is>
          <t>유즈쇼핑백</t>
        </is>
      </c>
      <c r="J1959" s="20" t="n">
        <v>200720</v>
      </c>
      <c r="L1959" s="20">
        <f>VLOOKUP($O1959,매칭테이블!$G:$J,2,0)*H1959</f>
        <v/>
      </c>
      <c r="M1959" s="20">
        <f>L1959-L1959*VLOOKUP($O1959,매칭테이블!$G:$J,3,0)</f>
        <v/>
      </c>
      <c r="N1959" s="20">
        <f>VLOOKUP($O1959,매칭테이블!$G:$J,4,0)*H1959</f>
        <v/>
      </c>
      <c r="O1959" s="20">
        <f>F1959&amp;E1959&amp;I1959&amp;J1959</f>
        <v/>
      </c>
    </row>
    <row r="1960" ht="16.5" customHeight="1" s="17">
      <c r="B1960" s="16" t="n">
        <v>44144</v>
      </c>
      <c r="C1960" s="20" t="inlineStr">
        <is>
          <t>월</t>
        </is>
      </c>
      <c r="E1960" s="20" t="inlineStr">
        <is>
          <t>고체향수</t>
        </is>
      </c>
      <c r="F1960" s="20" t="inlineStr">
        <is>
          <t>카페24</t>
        </is>
      </c>
      <c r="H1960" s="20" t="n">
        <v>22</v>
      </c>
      <c r="I1960" s="20" t="inlineStr">
        <is>
          <t>이그나이트 + 스테이포에버</t>
        </is>
      </c>
      <c r="J1960" s="20" t="n">
        <v>200720</v>
      </c>
      <c r="L1960" s="20">
        <f>VLOOKUP($O1960,매칭테이블!$G:$J,2,0)*H1960</f>
        <v/>
      </c>
      <c r="M1960" s="20">
        <f>L1960-L1960*VLOOKUP($O1960,매칭테이블!$G:$J,3,0)</f>
        <v/>
      </c>
      <c r="N1960" s="20">
        <f>VLOOKUP($O1960,매칭테이블!$G:$J,4,0)*H1960</f>
        <v/>
      </c>
      <c r="O1960" s="20">
        <f>F1960&amp;E1960&amp;I1960&amp;J1960</f>
        <v/>
      </c>
    </row>
    <row r="1961" ht="16.5" customHeight="1" s="17">
      <c r="B1961" s="16" t="n">
        <v>44144</v>
      </c>
      <c r="C1961" s="20" t="inlineStr">
        <is>
          <t>월</t>
        </is>
      </c>
      <c r="E1961" s="20" t="inlineStr">
        <is>
          <t>고체향수</t>
        </is>
      </c>
      <c r="F1961" s="20" t="inlineStr">
        <is>
          <t>카페24</t>
        </is>
      </c>
      <c r="H1961" s="20" t="n">
        <v>237</v>
      </c>
      <c r="I1961" s="20" t="inlineStr">
        <is>
          <t>스테이포에버</t>
        </is>
      </c>
      <c r="J1961" s="20" t="n">
        <v>200720</v>
      </c>
      <c r="L1961" s="20">
        <f>VLOOKUP($O1961,매칭테이블!$G:$J,2,0)*H1961</f>
        <v/>
      </c>
      <c r="M1961" s="20">
        <f>L1961-L1961*VLOOKUP($O1961,매칭테이블!$G:$J,3,0)</f>
        <v/>
      </c>
      <c r="N1961" s="20">
        <f>VLOOKUP($O1961,매칭테이블!$G:$J,4,0)*H1961</f>
        <v/>
      </c>
      <c r="O1961" s="20">
        <f>F1961&amp;E1961&amp;I1961&amp;J1961</f>
        <v/>
      </c>
    </row>
    <row r="1962" ht="16.5" customHeight="1" s="17">
      <c r="B1962" s="16" t="n">
        <v>44144</v>
      </c>
      <c r="C1962" s="20" t="inlineStr">
        <is>
          <t>월</t>
        </is>
      </c>
      <c r="E1962" s="20" t="inlineStr">
        <is>
          <t>고체향수</t>
        </is>
      </c>
      <c r="F1962" s="20" t="inlineStr">
        <is>
          <t>카페24</t>
        </is>
      </c>
      <c r="H1962" s="20" t="n">
        <v>47</v>
      </c>
      <c r="I1962" s="20" t="inlineStr">
        <is>
          <t>스테이포에버 2set</t>
        </is>
      </c>
      <c r="J1962" s="20" t="n">
        <v>200720</v>
      </c>
      <c r="L1962" s="20">
        <f>VLOOKUP($O1962,매칭테이블!$G:$J,2,0)*H1962</f>
        <v/>
      </c>
      <c r="M1962" s="20">
        <f>L1962-L1962*VLOOKUP($O1962,매칭테이블!$G:$J,3,0)</f>
        <v/>
      </c>
      <c r="N1962" s="20">
        <f>VLOOKUP($O1962,매칭테이블!$G:$J,4,0)*H1962</f>
        <v/>
      </c>
      <c r="O1962" s="20">
        <f>F1962&amp;E1962&amp;I1962&amp;J1962</f>
        <v/>
      </c>
    </row>
    <row r="1963" ht="16.5" customHeight="1" s="17">
      <c r="B1963" s="16" t="n">
        <v>44144</v>
      </c>
      <c r="C1963" s="20" t="inlineStr">
        <is>
          <t>월</t>
        </is>
      </c>
      <c r="E1963" s="20" t="inlineStr">
        <is>
          <t>고체향수</t>
        </is>
      </c>
      <c r="F1963" s="20" t="inlineStr">
        <is>
          <t>카페24</t>
        </is>
      </c>
      <c r="H1963" s="20" t="n">
        <v>1</v>
      </c>
      <c r="I1963" s="20" t="inlineStr">
        <is>
          <t>이그나이트 2set</t>
        </is>
      </c>
      <c r="J1963" s="20" t="n">
        <v>200720</v>
      </c>
      <c r="L1963" s="20">
        <f>VLOOKUP($O1963,매칭테이블!$G:$J,2,0)*H1963</f>
        <v/>
      </c>
      <c r="M1963" s="20">
        <f>L1963-L1963*VLOOKUP($O1963,매칭테이블!$G:$J,3,0)</f>
        <v/>
      </c>
      <c r="N1963" s="20">
        <f>VLOOKUP($O1963,매칭테이블!$G:$J,4,0)*H1963</f>
        <v/>
      </c>
      <c r="O1963" s="20">
        <f>F1963&amp;E1963&amp;I1963&amp;J1963</f>
        <v/>
      </c>
    </row>
    <row r="1964" ht="16.5" customHeight="1" s="17">
      <c r="B1964" s="16" t="n">
        <v>44144</v>
      </c>
      <c r="C1964" s="20" t="inlineStr">
        <is>
          <t>월</t>
        </is>
      </c>
      <c r="E1964" s="20" t="inlineStr">
        <is>
          <t>쇼핑백</t>
        </is>
      </c>
      <c r="F1964" s="20" t="inlineStr">
        <is>
          <t>카페24</t>
        </is>
      </c>
      <c r="H1964" s="20" t="n">
        <v>3</v>
      </c>
      <c r="I1964" s="20" t="inlineStr">
        <is>
          <t>유즈쇼핑백</t>
        </is>
      </c>
      <c r="J1964" s="20" t="n">
        <v>200720</v>
      </c>
      <c r="L1964" s="20">
        <f>VLOOKUP($O1964,매칭테이블!$G:$J,2,0)*H1964</f>
        <v/>
      </c>
      <c r="M1964" s="20">
        <f>L1964-L1964*VLOOKUP($O1964,매칭테이블!$G:$J,3,0)</f>
        <v/>
      </c>
      <c r="N1964" s="20">
        <f>VLOOKUP($O1964,매칭테이블!$G:$J,4,0)*H1964</f>
        <v/>
      </c>
      <c r="O1964" s="20">
        <f>F1964&amp;E1964&amp;I1964&amp;J1964</f>
        <v/>
      </c>
    </row>
    <row r="1965" ht="16.5" customHeight="1" s="17">
      <c r="B1965" s="16" t="n">
        <v>44145</v>
      </c>
      <c r="C1965" s="20" t="inlineStr">
        <is>
          <t>화</t>
        </is>
      </c>
      <c r="E1965" s="20" t="inlineStr">
        <is>
          <t>고체향수</t>
        </is>
      </c>
      <c r="F1965" s="20" t="inlineStr">
        <is>
          <t>카페24</t>
        </is>
      </c>
      <c r="H1965" s="20" t="n">
        <v>27</v>
      </c>
      <c r="I1965" s="20" t="inlineStr">
        <is>
          <t>이그나이트 + 스테이포에버</t>
        </is>
      </c>
      <c r="J1965" s="20" t="n">
        <v>200720</v>
      </c>
      <c r="L1965" s="20">
        <f>VLOOKUP($O1965,매칭테이블!$G:$J,2,0)*H1965</f>
        <v/>
      </c>
      <c r="M1965" s="20">
        <f>L1965-L1965*VLOOKUP($O1965,매칭테이블!$G:$J,3,0)</f>
        <v/>
      </c>
      <c r="N1965" s="20">
        <f>VLOOKUP($O1965,매칭테이블!$G:$J,4,0)*H1965</f>
        <v/>
      </c>
      <c r="O1965" s="20">
        <f>F1965&amp;E1965&amp;I1965&amp;J1965</f>
        <v/>
      </c>
    </row>
    <row r="1966" ht="16.5" customHeight="1" s="17">
      <c r="B1966" s="16" t="n">
        <v>44145</v>
      </c>
      <c r="C1966" s="20" t="inlineStr">
        <is>
          <t>화</t>
        </is>
      </c>
      <c r="E1966" s="20" t="inlineStr">
        <is>
          <t>고체향수</t>
        </is>
      </c>
      <c r="F1966" s="20" t="inlineStr">
        <is>
          <t>카페24</t>
        </is>
      </c>
      <c r="H1966" s="20" t="n">
        <v>1</v>
      </c>
      <c r="I1966" s="20" t="inlineStr">
        <is>
          <t>이그나이트 + 스테이포에버 2set</t>
        </is>
      </c>
      <c r="J1966" s="20" t="n">
        <v>200720</v>
      </c>
      <c r="L1966" s="20">
        <f>VLOOKUP($O1966,매칭테이블!$G:$J,2,0)*H1966</f>
        <v/>
      </c>
      <c r="M1966" s="20">
        <f>L1966-L1966*VLOOKUP($O1966,매칭테이블!$G:$J,3,0)</f>
        <v/>
      </c>
      <c r="N1966" s="20">
        <f>VLOOKUP($O1966,매칭테이블!$G:$J,4,0)*H1966</f>
        <v/>
      </c>
      <c r="O1966" s="20">
        <f>F1966&amp;E1966&amp;I1966&amp;J1966</f>
        <v/>
      </c>
    </row>
    <row r="1967" ht="16.5" customHeight="1" s="17">
      <c r="B1967" s="16" t="n">
        <v>44145</v>
      </c>
      <c r="C1967" s="20" t="inlineStr">
        <is>
          <t>화</t>
        </is>
      </c>
      <c r="E1967" s="20" t="inlineStr">
        <is>
          <t>고체향수</t>
        </is>
      </c>
      <c r="F1967" s="20" t="inlineStr">
        <is>
          <t>카페24</t>
        </is>
      </c>
      <c r="H1967" s="20" t="n">
        <v>250</v>
      </c>
      <c r="I1967" s="20" t="inlineStr">
        <is>
          <t>스테이포에버</t>
        </is>
      </c>
      <c r="J1967" s="20" t="n">
        <v>200720</v>
      </c>
      <c r="L1967" s="20">
        <f>VLOOKUP($O1967,매칭테이블!$G:$J,2,0)*H1967</f>
        <v/>
      </c>
      <c r="M1967" s="20">
        <f>L1967-L1967*VLOOKUP($O1967,매칭테이블!$G:$J,3,0)</f>
        <v/>
      </c>
      <c r="N1967" s="20">
        <f>VLOOKUP($O1967,매칭테이블!$G:$J,4,0)*H1967</f>
        <v/>
      </c>
      <c r="O1967" s="20">
        <f>F1967&amp;E1967&amp;I1967&amp;J1967</f>
        <v/>
      </c>
    </row>
    <row r="1968" ht="16.5" customHeight="1" s="17">
      <c r="B1968" s="16" t="n">
        <v>44145</v>
      </c>
      <c r="C1968" s="20" t="inlineStr">
        <is>
          <t>화</t>
        </is>
      </c>
      <c r="E1968" s="20" t="inlineStr">
        <is>
          <t>고체향수</t>
        </is>
      </c>
      <c r="F1968" s="20" t="inlineStr">
        <is>
          <t>카페24</t>
        </is>
      </c>
      <c r="H1968" s="20" t="n">
        <v>68</v>
      </c>
      <c r="I1968" s="20" t="inlineStr">
        <is>
          <t>스테이포에버 2set</t>
        </is>
      </c>
      <c r="J1968" s="20" t="n">
        <v>200720</v>
      </c>
      <c r="L1968" s="20">
        <f>VLOOKUP($O1968,매칭테이블!$G:$J,2,0)*H1968</f>
        <v/>
      </c>
      <c r="M1968" s="20">
        <f>L1968-L1968*VLOOKUP($O1968,매칭테이블!$G:$J,3,0)</f>
        <v/>
      </c>
      <c r="N1968" s="20">
        <f>VLOOKUP($O1968,매칭테이블!$G:$J,4,0)*H1968</f>
        <v/>
      </c>
      <c r="O1968" s="20">
        <f>F1968&amp;E1968&amp;I1968&amp;J1968</f>
        <v/>
      </c>
    </row>
    <row r="1969" ht="16.5" customHeight="1" s="17">
      <c r="B1969" s="16" t="n">
        <v>44145</v>
      </c>
      <c r="C1969" s="20" t="inlineStr">
        <is>
          <t>화</t>
        </is>
      </c>
      <c r="E1969" s="20" t="inlineStr">
        <is>
          <t>고체향수</t>
        </is>
      </c>
      <c r="F1969" s="20" t="inlineStr">
        <is>
          <t>카페24</t>
        </is>
      </c>
      <c r="H1969" s="20" t="n">
        <v>1</v>
      </c>
      <c r="I1969" s="20" t="inlineStr">
        <is>
          <t>이그나이트</t>
        </is>
      </c>
      <c r="J1969" s="20" t="n">
        <v>200720</v>
      </c>
      <c r="L1969" s="20">
        <f>VLOOKUP($O1969,매칭테이블!$G:$J,2,0)*H1969</f>
        <v/>
      </c>
      <c r="M1969" s="20">
        <f>L1969-L1969*VLOOKUP($O1969,매칭테이블!$G:$J,3,0)</f>
        <v/>
      </c>
      <c r="N1969" s="20">
        <f>VLOOKUP($O1969,매칭테이블!$G:$J,4,0)*H1969</f>
        <v/>
      </c>
      <c r="O1969" s="20">
        <f>F1969&amp;E1969&amp;I1969&amp;J1969</f>
        <v/>
      </c>
    </row>
    <row r="1970" ht="16.5" customHeight="1" s="17">
      <c r="B1970" s="16" t="n">
        <v>44145</v>
      </c>
      <c r="C1970" s="20" t="inlineStr">
        <is>
          <t>화</t>
        </is>
      </c>
      <c r="E1970" s="20" t="inlineStr">
        <is>
          <t>쇼핑백</t>
        </is>
      </c>
      <c r="F1970" s="20" t="inlineStr">
        <is>
          <t>카페24</t>
        </is>
      </c>
      <c r="H1970" s="20" t="n">
        <v>12</v>
      </c>
      <c r="I1970" s="20" t="inlineStr">
        <is>
          <t>유즈쇼핑백</t>
        </is>
      </c>
      <c r="J1970" s="20" t="n">
        <v>200720</v>
      </c>
      <c r="L1970" s="20">
        <f>VLOOKUP($O1970,매칭테이블!$G:$J,2,0)*H1970</f>
        <v/>
      </c>
      <c r="M1970" s="20">
        <f>L1970-L1970*VLOOKUP($O1970,매칭테이블!$G:$J,3,0)</f>
        <v/>
      </c>
      <c r="N1970" s="20">
        <f>VLOOKUP($O1970,매칭테이블!$G:$J,4,0)*H1970</f>
        <v/>
      </c>
      <c r="O1970" s="20">
        <f>F1970&amp;E1970&amp;I1970&amp;J1970</f>
        <v/>
      </c>
    </row>
    <row r="1971" ht="16.5" customHeight="1" s="17">
      <c r="B1971" s="16" t="n">
        <v>44146</v>
      </c>
      <c r="C1971" s="20" t="inlineStr">
        <is>
          <t>수</t>
        </is>
      </c>
      <c r="E1971" s="20" t="inlineStr">
        <is>
          <t>고체향수</t>
        </is>
      </c>
      <c r="F1971" s="20" t="inlineStr">
        <is>
          <t>카페24</t>
        </is>
      </c>
      <c r="H1971" s="20" t="n">
        <v>35</v>
      </c>
      <c r="I1971" s="20" t="inlineStr">
        <is>
          <t>이그나이트 + 스테이포에버</t>
        </is>
      </c>
      <c r="J1971" s="20" t="n">
        <v>200720</v>
      </c>
      <c r="L1971" s="20">
        <f>VLOOKUP($O1971,매칭테이블!$G:$J,2,0)*H1971</f>
        <v/>
      </c>
      <c r="M1971" s="20">
        <f>L1971-L1971*VLOOKUP($O1971,매칭테이블!$G:$J,3,0)</f>
        <v/>
      </c>
      <c r="N1971" s="20">
        <f>VLOOKUP($O1971,매칭테이블!$G:$J,4,0)*H1971</f>
        <v/>
      </c>
      <c r="O1971" s="20">
        <f>F1971&amp;E1971&amp;I1971&amp;J1971</f>
        <v/>
      </c>
    </row>
    <row r="1972" ht="16.5" customHeight="1" s="17">
      <c r="B1972" s="16" t="n">
        <v>44146</v>
      </c>
      <c r="C1972" s="20" t="inlineStr">
        <is>
          <t>수</t>
        </is>
      </c>
      <c r="E1972" s="20" t="inlineStr">
        <is>
          <t>고체향수</t>
        </is>
      </c>
      <c r="F1972" s="20" t="inlineStr">
        <is>
          <t>카페24</t>
        </is>
      </c>
      <c r="H1972" s="20" t="n">
        <v>294</v>
      </c>
      <c r="I1972" s="20" t="inlineStr">
        <is>
          <t>스테이포에버</t>
        </is>
      </c>
      <c r="J1972" s="20" t="n">
        <v>200720</v>
      </c>
      <c r="L1972" s="20">
        <f>VLOOKUP($O1972,매칭테이블!$G:$J,2,0)*H1972</f>
        <v/>
      </c>
      <c r="M1972" s="20">
        <f>L1972-L1972*VLOOKUP($O1972,매칭테이블!$G:$J,3,0)</f>
        <v/>
      </c>
      <c r="N1972" s="20">
        <f>VLOOKUP($O1972,매칭테이블!$G:$J,4,0)*H1972</f>
        <v/>
      </c>
      <c r="O1972" s="20">
        <f>F1972&amp;E1972&amp;I1972&amp;J1972</f>
        <v/>
      </c>
    </row>
    <row r="1973" ht="16.5" customHeight="1" s="17">
      <c r="B1973" s="16" t="n">
        <v>44146</v>
      </c>
      <c r="C1973" s="20" t="inlineStr">
        <is>
          <t>수</t>
        </is>
      </c>
      <c r="E1973" s="20" t="inlineStr">
        <is>
          <t>고체향수</t>
        </is>
      </c>
      <c r="F1973" s="20" t="inlineStr">
        <is>
          <t>카페24</t>
        </is>
      </c>
      <c r="H1973" s="20" t="n">
        <v>83</v>
      </c>
      <c r="I1973" s="20" t="inlineStr">
        <is>
          <t>스테이포에버 2set</t>
        </is>
      </c>
      <c r="J1973" s="20" t="n">
        <v>200720</v>
      </c>
      <c r="L1973" s="20">
        <f>VLOOKUP($O1973,매칭테이블!$G:$J,2,0)*H1973</f>
        <v/>
      </c>
      <c r="M1973" s="20">
        <f>L1973-L1973*VLOOKUP($O1973,매칭테이블!$G:$J,3,0)</f>
        <v/>
      </c>
      <c r="N1973" s="20">
        <f>VLOOKUP($O1973,매칭테이블!$G:$J,4,0)*H1973</f>
        <v/>
      </c>
      <c r="O1973" s="20">
        <f>F1973&amp;E1973&amp;I1973&amp;J1973</f>
        <v/>
      </c>
    </row>
    <row r="1974" ht="16.5" customHeight="1" s="17">
      <c r="B1974" s="16" t="n">
        <v>44146</v>
      </c>
      <c r="C1974" s="20" t="inlineStr">
        <is>
          <t>수</t>
        </is>
      </c>
      <c r="E1974" s="20" t="inlineStr">
        <is>
          <t>고체향수</t>
        </is>
      </c>
      <c r="F1974" s="20" t="inlineStr">
        <is>
          <t>카페24</t>
        </is>
      </c>
      <c r="H1974" s="20" t="n">
        <v>1</v>
      </c>
      <c r="I1974" s="20" t="inlineStr">
        <is>
          <t>이그나이트</t>
        </is>
      </c>
      <c r="J1974" s="20" t="n">
        <v>200720</v>
      </c>
      <c r="L1974" s="20">
        <f>VLOOKUP($O1974,매칭테이블!$G:$J,2,0)*H1974</f>
        <v/>
      </c>
      <c r="M1974" s="20">
        <f>L1974-L1974*VLOOKUP($O1974,매칭테이블!$G:$J,3,0)</f>
        <v/>
      </c>
      <c r="N1974" s="20">
        <f>VLOOKUP($O1974,매칭테이블!$G:$J,4,0)*H1974</f>
        <v/>
      </c>
      <c r="O1974" s="20">
        <f>F1974&amp;E1974&amp;I1974&amp;J1974</f>
        <v/>
      </c>
    </row>
    <row r="1975" ht="16.5" customHeight="1" s="17">
      <c r="B1975" s="16" t="n">
        <v>44146</v>
      </c>
      <c r="C1975" s="20" t="inlineStr">
        <is>
          <t>수</t>
        </is>
      </c>
      <c r="E1975" s="20" t="inlineStr">
        <is>
          <t>쇼핑백</t>
        </is>
      </c>
      <c r="F1975" s="20" t="inlineStr">
        <is>
          <t>카페24</t>
        </is>
      </c>
      <c r="H1975" s="20" t="n">
        <v>7</v>
      </c>
      <c r="I1975" s="20" t="inlineStr">
        <is>
          <t>유즈쇼핑백</t>
        </is>
      </c>
      <c r="J1975" s="20" t="n">
        <v>200720</v>
      </c>
      <c r="L1975" s="20">
        <f>VLOOKUP($O1975,매칭테이블!$G:$J,2,0)*H1975</f>
        <v/>
      </c>
      <c r="M1975" s="20">
        <f>L1975-L1975*VLOOKUP($O1975,매칭테이블!$G:$J,3,0)</f>
        <v/>
      </c>
      <c r="N1975" s="20">
        <f>VLOOKUP($O1975,매칭테이블!$G:$J,4,0)*H1975</f>
        <v/>
      </c>
      <c r="O1975" s="20">
        <f>F1975&amp;E1975&amp;I1975&amp;J1975</f>
        <v/>
      </c>
    </row>
    <row r="1976" ht="16.5" customHeight="1" s="17">
      <c r="B1976" s="16" t="n">
        <v>44147</v>
      </c>
      <c r="C1976" s="20" t="inlineStr">
        <is>
          <t>목</t>
        </is>
      </c>
      <c r="E1976" s="20" t="inlineStr">
        <is>
          <t>고체향수</t>
        </is>
      </c>
      <c r="F1976" s="20" t="inlineStr">
        <is>
          <t>카페24</t>
        </is>
      </c>
      <c r="H1976" s="20" t="n">
        <v>22</v>
      </c>
      <c r="I1976" s="20" t="inlineStr">
        <is>
          <t>이그나이트 + 스테이포에버</t>
        </is>
      </c>
      <c r="J1976" s="20" t="n">
        <v>200720</v>
      </c>
      <c r="L1976" s="20">
        <f>VLOOKUP($O1976,매칭테이블!$G:$J,2,0)*H1976</f>
        <v/>
      </c>
      <c r="M1976" s="20">
        <f>L1976-L1976*VLOOKUP($O1976,매칭테이블!$G:$J,3,0)</f>
        <v/>
      </c>
      <c r="N1976" s="20">
        <f>VLOOKUP($O1976,매칭테이블!$G:$J,4,0)*H1976</f>
        <v/>
      </c>
      <c r="O1976" s="20">
        <f>F1976&amp;E1976&amp;I1976&amp;J1976</f>
        <v/>
      </c>
    </row>
    <row r="1977" ht="16.5" customHeight="1" s="17">
      <c r="B1977" s="16" t="n">
        <v>44147</v>
      </c>
      <c r="C1977" s="20" t="inlineStr">
        <is>
          <t>목</t>
        </is>
      </c>
      <c r="E1977" s="20" t="inlineStr">
        <is>
          <t>고체향수</t>
        </is>
      </c>
      <c r="F1977" s="20" t="inlineStr">
        <is>
          <t>카페24</t>
        </is>
      </c>
      <c r="H1977" s="20" t="n">
        <v>264</v>
      </c>
      <c r="I1977" s="20" t="inlineStr">
        <is>
          <t>스테이포에버</t>
        </is>
      </c>
      <c r="J1977" s="20" t="n">
        <v>200720</v>
      </c>
      <c r="L1977" s="20">
        <f>VLOOKUP($O1977,매칭테이블!$G:$J,2,0)*H1977</f>
        <v/>
      </c>
      <c r="M1977" s="20">
        <f>L1977-L1977*VLOOKUP($O1977,매칭테이블!$G:$J,3,0)</f>
        <v/>
      </c>
      <c r="N1977" s="20">
        <f>VLOOKUP($O1977,매칭테이블!$G:$J,4,0)*H1977</f>
        <v/>
      </c>
      <c r="O1977" s="20">
        <f>F1977&amp;E1977&amp;I1977&amp;J1977</f>
        <v/>
      </c>
    </row>
    <row r="1978" ht="16.5" customHeight="1" s="17">
      <c r="B1978" s="16" t="n">
        <v>44147</v>
      </c>
      <c r="C1978" s="20" t="inlineStr">
        <is>
          <t>목</t>
        </is>
      </c>
      <c r="E1978" s="20" t="inlineStr">
        <is>
          <t>고체향수</t>
        </is>
      </c>
      <c r="F1978" s="20" t="inlineStr">
        <is>
          <t>카페24</t>
        </is>
      </c>
      <c r="H1978" s="20" t="n">
        <v>75</v>
      </c>
      <c r="I1978" s="20" t="inlineStr">
        <is>
          <t>스테이포에버 2set</t>
        </is>
      </c>
      <c r="J1978" s="20" t="n">
        <v>200720</v>
      </c>
      <c r="L1978" s="20">
        <f>VLOOKUP($O1978,매칭테이블!$G:$J,2,0)*H1978</f>
        <v/>
      </c>
      <c r="M1978" s="20">
        <f>L1978-L1978*VLOOKUP($O1978,매칭테이블!$G:$J,3,0)</f>
        <v/>
      </c>
      <c r="N1978" s="20">
        <f>VLOOKUP($O1978,매칭테이블!$G:$J,4,0)*H1978</f>
        <v/>
      </c>
      <c r="O1978" s="20">
        <f>F1978&amp;E1978&amp;I1978&amp;J1978</f>
        <v/>
      </c>
    </row>
    <row r="1979" ht="16.5" customHeight="1" s="17">
      <c r="B1979" s="16" t="n">
        <v>44147</v>
      </c>
      <c r="C1979" s="20" t="inlineStr">
        <is>
          <t>목</t>
        </is>
      </c>
      <c r="E1979" s="20" t="inlineStr">
        <is>
          <t>고체향수</t>
        </is>
      </c>
      <c r="F1979" s="20" t="inlineStr">
        <is>
          <t>카페24</t>
        </is>
      </c>
      <c r="H1979" s="20" t="n">
        <v>3</v>
      </c>
      <c r="I1979" s="20" t="inlineStr">
        <is>
          <t>이그나이트</t>
        </is>
      </c>
      <c r="J1979" s="20" t="n">
        <v>200720</v>
      </c>
      <c r="L1979" s="20">
        <f>VLOOKUP($O1979,매칭테이블!$G:$J,2,0)*H1979</f>
        <v/>
      </c>
      <c r="M1979" s="20">
        <f>L1979-L1979*VLOOKUP($O1979,매칭테이블!$G:$J,3,0)</f>
        <v/>
      </c>
      <c r="N1979" s="20">
        <f>VLOOKUP($O1979,매칭테이블!$G:$J,4,0)*H1979</f>
        <v/>
      </c>
      <c r="O1979" s="20">
        <f>F1979&amp;E1979&amp;I1979&amp;J1979</f>
        <v/>
      </c>
    </row>
    <row r="1980" ht="16.5" customHeight="1" s="17">
      <c r="B1980" s="16" t="n">
        <v>44147</v>
      </c>
      <c r="C1980" s="20" t="inlineStr">
        <is>
          <t>목</t>
        </is>
      </c>
      <c r="E1980" s="20" t="inlineStr">
        <is>
          <t>쇼핑백</t>
        </is>
      </c>
      <c r="F1980" s="20" t="inlineStr">
        <is>
          <t>카페24</t>
        </is>
      </c>
      <c r="H1980" s="20" t="n">
        <v>8</v>
      </c>
      <c r="I1980" s="20" t="inlineStr">
        <is>
          <t>유즈쇼핑백</t>
        </is>
      </c>
      <c r="J1980" s="20" t="n">
        <v>200720</v>
      </c>
      <c r="L1980" s="20">
        <f>VLOOKUP($O1980,매칭테이블!$G:$J,2,0)*H1980</f>
        <v/>
      </c>
      <c r="M1980" s="20">
        <f>L1980-L1980*VLOOKUP($O1980,매칭테이블!$G:$J,3,0)</f>
        <v/>
      </c>
      <c r="N1980" s="20">
        <f>VLOOKUP($O1980,매칭테이블!$G:$J,4,0)*H1980</f>
        <v/>
      </c>
      <c r="O1980" s="20">
        <f>F1980&amp;E1980&amp;I1980&amp;J1980</f>
        <v/>
      </c>
    </row>
    <row r="1981" ht="16.5" customHeight="1" s="17">
      <c r="B1981" s="16" t="n">
        <v>44147</v>
      </c>
      <c r="C1981" s="20" t="inlineStr">
        <is>
          <t>목</t>
        </is>
      </c>
      <c r="E1981" s="20" t="inlineStr">
        <is>
          <t>고체향수</t>
        </is>
      </c>
      <c r="F1981" s="20" t="inlineStr">
        <is>
          <t>유즈 CS</t>
        </is>
      </c>
      <c r="H1981" s="20" t="n">
        <v>3</v>
      </c>
      <c r="I1981" s="20" t="inlineStr">
        <is>
          <t>이그나이트</t>
        </is>
      </c>
      <c r="J1981" s="20" t="n">
        <v>200520</v>
      </c>
      <c r="L1981" s="20">
        <f>VLOOKUP($O1981,매칭테이블!$G:$J,2,0)*H1981</f>
        <v/>
      </c>
      <c r="M1981" s="20">
        <f>L1981-L1981*VLOOKUP($O1981,매칭테이블!$G:$J,3,0)</f>
        <v/>
      </c>
      <c r="N1981" s="20">
        <f>VLOOKUP($O1981,매칭테이블!$G:$J,4,0)*H1981</f>
        <v/>
      </c>
      <c r="O1981" s="20">
        <f>F1981&amp;E1981&amp;I1981&amp;J1981</f>
        <v/>
      </c>
    </row>
    <row r="1982" ht="16.5" customHeight="1" s="17">
      <c r="B1982" s="16" t="n">
        <v>44148</v>
      </c>
      <c r="C1982" s="20" t="inlineStr">
        <is>
          <t>금</t>
        </is>
      </c>
      <c r="E1982" s="20" t="inlineStr">
        <is>
          <t>고체향수</t>
        </is>
      </c>
      <c r="F1982" s="20" t="inlineStr">
        <is>
          <t>유즈 CS</t>
        </is>
      </c>
      <c r="H1982" s="20" t="n">
        <v>3</v>
      </c>
      <c r="I1982" s="20" t="inlineStr">
        <is>
          <t>스테이포에버</t>
        </is>
      </c>
      <c r="J1982" s="20" t="n">
        <v>200520</v>
      </c>
      <c r="L1982" s="20">
        <f>VLOOKUP($O1982,매칭테이블!$G:$J,2,0)*H1982</f>
        <v/>
      </c>
      <c r="M1982" s="20">
        <f>L1982-L1982*VLOOKUP($O1982,매칭테이블!$G:$J,3,0)</f>
        <v/>
      </c>
      <c r="N1982" s="20">
        <f>VLOOKUP($O1982,매칭테이블!$G:$J,4,0)*H1982</f>
        <v/>
      </c>
      <c r="O1982" s="20">
        <f>F1982&amp;E1982&amp;I1982&amp;J1982</f>
        <v/>
      </c>
    </row>
    <row r="1983" ht="16.5" customHeight="1" s="17">
      <c r="B1983" s="16" t="n">
        <v>44148</v>
      </c>
      <c r="C1983" s="20" t="inlineStr">
        <is>
          <t>금</t>
        </is>
      </c>
      <c r="E1983" s="20" t="inlineStr">
        <is>
          <t>고체향수</t>
        </is>
      </c>
      <c r="F1983" s="20" t="inlineStr">
        <is>
          <t>카페24</t>
        </is>
      </c>
      <c r="H1983" s="20" t="n">
        <v>20</v>
      </c>
      <c r="I1983" s="20" t="inlineStr">
        <is>
          <t>이그나이트 + 스테이포에버</t>
        </is>
      </c>
      <c r="J1983" s="20" t="n">
        <v>200720</v>
      </c>
      <c r="L1983" s="20">
        <f>VLOOKUP($O1983,매칭테이블!$G:$J,2,0)*H1983</f>
        <v/>
      </c>
      <c r="M1983" s="20">
        <f>L1983-L1983*VLOOKUP($O1983,매칭테이블!$G:$J,3,0)</f>
        <v/>
      </c>
      <c r="N1983" s="20">
        <f>VLOOKUP($O1983,매칭테이블!$G:$J,4,0)*H1983</f>
        <v/>
      </c>
      <c r="O1983" s="20">
        <f>F1983&amp;E1983&amp;I1983&amp;J1983</f>
        <v/>
      </c>
    </row>
    <row r="1984" ht="16.5" customHeight="1" s="17">
      <c r="B1984" s="16" t="n">
        <v>44148</v>
      </c>
      <c r="C1984" s="20" t="inlineStr">
        <is>
          <t>금</t>
        </is>
      </c>
      <c r="E1984" s="20" t="inlineStr">
        <is>
          <t>고체향수</t>
        </is>
      </c>
      <c r="F1984" s="20" t="inlineStr">
        <is>
          <t>카페24</t>
        </is>
      </c>
      <c r="H1984" s="20" t="n">
        <v>1</v>
      </c>
      <c r="I1984" s="20" t="inlineStr">
        <is>
          <t>이그나이트 + 스테이포에버 2set</t>
        </is>
      </c>
      <c r="J1984" s="20" t="n">
        <v>200720</v>
      </c>
      <c r="L1984" s="20">
        <f>VLOOKUP($O1984,매칭테이블!$G:$J,2,0)*H1984</f>
        <v/>
      </c>
      <c r="M1984" s="20">
        <f>L1984-L1984*VLOOKUP($O1984,매칭테이블!$G:$J,3,0)</f>
        <v/>
      </c>
      <c r="N1984" s="20">
        <f>VLOOKUP($O1984,매칭테이블!$G:$J,4,0)*H1984</f>
        <v/>
      </c>
      <c r="O1984" s="20">
        <f>F1984&amp;E1984&amp;I1984&amp;J1984</f>
        <v/>
      </c>
    </row>
    <row r="1985" ht="16.5" customHeight="1" s="17">
      <c r="B1985" s="16" t="n">
        <v>44148</v>
      </c>
      <c r="C1985" s="20" t="inlineStr">
        <is>
          <t>금</t>
        </is>
      </c>
      <c r="E1985" s="20" t="inlineStr">
        <is>
          <t>고체향수</t>
        </is>
      </c>
      <c r="F1985" s="20" t="inlineStr">
        <is>
          <t>카페24</t>
        </is>
      </c>
      <c r="H1985" s="20" t="n">
        <v>227</v>
      </c>
      <c r="I1985" s="20" t="inlineStr">
        <is>
          <t>스테이포에버</t>
        </is>
      </c>
      <c r="J1985" s="20" t="n">
        <v>200720</v>
      </c>
      <c r="L1985" s="20">
        <f>VLOOKUP($O1985,매칭테이블!$G:$J,2,0)*H1985</f>
        <v/>
      </c>
      <c r="M1985" s="20">
        <f>L1985-L1985*VLOOKUP($O1985,매칭테이블!$G:$J,3,0)</f>
        <v/>
      </c>
      <c r="N1985" s="20">
        <f>VLOOKUP($O1985,매칭테이블!$G:$J,4,0)*H1985</f>
        <v/>
      </c>
      <c r="O1985" s="20">
        <f>F1985&amp;E1985&amp;I1985&amp;J1985</f>
        <v/>
      </c>
    </row>
    <row r="1986" ht="16.5" customHeight="1" s="17">
      <c r="B1986" s="16" t="n">
        <v>44148</v>
      </c>
      <c r="C1986" s="20" t="inlineStr">
        <is>
          <t>금</t>
        </is>
      </c>
      <c r="E1986" s="20" t="inlineStr">
        <is>
          <t>고체향수</t>
        </is>
      </c>
      <c r="F1986" s="20" t="inlineStr">
        <is>
          <t>카페24</t>
        </is>
      </c>
      <c r="H1986" s="20" t="n">
        <v>83</v>
      </c>
      <c r="I1986" s="20" t="inlineStr">
        <is>
          <t>스테이포에버 2set</t>
        </is>
      </c>
      <c r="J1986" s="20" t="n">
        <v>200720</v>
      </c>
      <c r="L1986" s="20">
        <f>VLOOKUP($O1986,매칭테이블!$G:$J,2,0)*H1986</f>
        <v/>
      </c>
      <c r="M1986" s="20">
        <f>L1986-L1986*VLOOKUP($O1986,매칭테이블!$G:$J,3,0)</f>
        <v/>
      </c>
      <c r="N1986" s="20">
        <f>VLOOKUP($O1986,매칭테이블!$G:$J,4,0)*H1986</f>
        <v/>
      </c>
      <c r="O1986" s="20">
        <f>F1986&amp;E1986&amp;I1986&amp;J1986</f>
        <v/>
      </c>
    </row>
    <row r="1987" ht="16.5" customHeight="1" s="17">
      <c r="B1987" s="16" t="n">
        <v>44148</v>
      </c>
      <c r="C1987" s="20" t="inlineStr">
        <is>
          <t>금</t>
        </is>
      </c>
      <c r="E1987" s="20" t="inlineStr">
        <is>
          <t>고체향수</t>
        </is>
      </c>
      <c r="F1987" s="20" t="inlineStr">
        <is>
          <t>카페24</t>
        </is>
      </c>
      <c r="H1987" s="20" t="n">
        <v>1</v>
      </c>
      <c r="I1987" s="20" t="inlineStr">
        <is>
          <t>이그나이트</t>
        </is>
      </c>
      <c r="J1987" s="20" t="n">
        <v>200720</v>
      </c>
      <c r="L1987" s="20">
        <f>VLOOKUP($O1987,매칭테이블!$G:$J,2,0)*H1987</f>
        <v/>
      </c>
      <c r="M1987" s="20">
        <f>L1987-L1987*VLOOKUP($O1987,매칭테이블!$G:$J,3,0)</f>
        <v/>
      </c>
      <c r="N1987" s="20">
        <f>VLOOKUP($O1987,매칭테이블!$G:$J,4,0)*H1987</f>
        <v/>
      </c>
      <c r="O1987" s="20">
        <f>F1987&amp;E1987&amp;I1987&amp;J1987</f>
        <v/>
      </c>
    </row>
    <row r="1988" ht="16.5" customHeight="1" s="17">
      <c r="B1988" s="16" t="n">
        <v>44148</v>
      </c>
      <c r="C1988" s="20" t="inlineStr">
        <is>
          <t>금</t>
        </is>
      </c>
      <c r="E1988" s="20" t="inlineStr">
        <is>
          <t>고체향수</t>
        </is>
      </c>
      <c r="F1988" s="20" t="inlineStr">
        <is>
          <t>카페24</t>
        </is>
      </c>
      <c r="H1988" s="20" t="n">
        <v>1</v>
      </c>
      <c r="I1988" s="20" t="inlineStr">
        <is>
          <t>이그나이트 2set</t>
        </is>
      </c>
      <c r="J1988" s="20" t="n">
        <v>200720</v>
      </c>
      <c r="L1988" s="20">
        <f>VLOOKUP($O1988,매칭테이블!$G:$J,2,0)*H1988</f>
        <v/>
      </c>
      <c r="M1988" s="20">
        <f>L1988-L1988*VLOOKUP($O1988,매칭테이블!$G:$J,3,0)</f>
        <v/>
      </c>
      <c r="N1988" s="20">
        <f>VLOOKUP($O1988,매칭테이블!$G:$J,4,0)*H1988</f>
        <v/>
      </c>
      <c r="O1988" s="20">
        <f>F1988&amp;E1988&amp;I1988&amp;J1988</f>
        <v/>
      </c>
    </row>
    <row r="1989" ht="16.5" customHeight="1" s="17">
      <c r="B1989" s="16" t="n">
        <v>44148</v>
      </c>
      <c r="C1989" s="20" t="inlineStr">
        <is>
          <t>금</t>
        </is>
      </c>
      <c r="E1989" s="20" t="inlineStr">
        <is>
          <t>쇼핑백</t>
        </is>
      </c>
      <c r="F1989" s="20" t="inlineStr">
        <is>
          <t>카페24</t>
        </is>
      </c>
      <c r="H1989" s="20" t="n">
        <v>1</v>
      </c>
      <c r="I1989" s="20" t="inlineStr">
        <is>
          <t>유즈쇼핑백</t>
        </is>
      </c>
      <c r="J1989" s="20" t="n">
        <v>200720</v>
      </c>
      <c r="L1989" s="20">
        <f>VLOOKUP($O1989,매칭테이블!$G:$J,2,0)*H1989</f>
        <v/>
      </c>
      <c r="M1989" s="20">
        <f>L1989-L1989*VLOOKUP($O1989,매칭테이블!$G:$J,3,0)</f>
        <v/>
      </c>
      <c r="N1989" s="20">
        <f>VLOOKUP($O1989,매칭테이블!$G:$J,4,0)*H1989</f>
        <v/>
      </c>
      <c r="O1989" s="20">
        <f>F1989&amp;E1989&amp;I1989&amp;J1989</f>
        <v/>
      </c>
    </row>
    <row r="1990" ht="16.5" customHeight="1" s="17">
      <c r="B1990" s="16" t="n">
        <v>44149</v>
      </c>
      <c r="C1990" s="20" t="inlineStr">
        <is>
          <t>토</t>
        </is>
      </c>
      <c r="E1990" s="20" t="inlineStr">
        <is>
          <t>고체향수</t>
        </is>
      </c>
      <c r="F1990" s="20" t="inlineStr">
        <is>
          <t>카페24</t>
        </is>
      </c>
      <c r="H1990" s="20" t="n">
        <v>28</v>
      </c>
      <c r="I1990" s="20" t="inlineStr">
        <is>
          <t>이그나이트 + 스테이포에버</t>
        </is>
      </c>
      <c r="J1990" s="20" t="n">
        <v>200720</v>
      </c>
      <c r="L1990" s="20">
        <f>VLOOKUP($O1990,매칭테이블!$G:$J,2,0)*H1990</f>
        <v/>
      </c>
      <c r="M1990" s="20">
        <f>L1990-L1990*VLOOKUP($O1990,매칭테이블!$G:$J,3,0)</f>
        <v/>
      </c>
      <c r="N1990" s="20">
        <f>VLOOKUP($O1990,매칭테이블!$G:$J,4,0)*H1990</f>
        <v/>
      </c>
      <c r="O1990" s="20">
        <f>F1990&amp;E1990&amp;I1990&amp;J1990</f>
        <v/>
      </c>
    </row>
    <row r="1991" ht="16.5" customHeight="1" s="17">
      <c r="B1991" s="16" t="n">
        <v>44149</v>
      </c>
      <c r="C1991" s="20" t="inlineStr">
        <is>
          <t>토</t>
        </is>
      </c>
      <c r="E1991" s="20" t="inlineStr">
        <is>
          <t>고체향수</t>
        </is>
      </c>
      <c r="F1991" s="20" t="inlineStr">
        <is>
          <t>카페24</t>
        </is>
      </c>
      <c r="H1991" s="20" t="n">
        <v>293</v>
      </c>
      <c r="I1991" s="20" t="inlineStr">
        <is>
          <t>스테이포에버</t>
        </is>
      </c>
      <c r="J1991" s="20" t="n">
        <v>200720</v>
      </c>
      <c r="L1991" s="20">
        <f>VLOOKUP($O1991,매칭테이블!$G:$J,2,0)*H1991</f>
        <v/>
      </c>
      <c r="M1991" s="20">
        <f>L1991-L1991*VLOOKUP($O1991,매칭테이블!$G:$J,3,0)</f>
        <v/>
      </c>
      <c r="N1991" s="20">
        <f>VLOOKUP($O1991,매칭테이블!$G:$J,4,0)*H1991</f>
        <v/>
      </c>
      <c r="O1991" s="20">
        <f>F1991&amp;E1991&amp;I1991&amp;J1991</f>
        <v/>
      </c>
    </row>
    <row r="1992" ht="16.5" customHeight="1" s="17">
      <c r="B1992" s="16" t="n">
        <v>44149</v>
      </c>
      <c r="C1992" s="20" t="inlineStr">
        <is>
          <t>토</t>
        </is>
      </c>
      <c r="E1992" s="20" t="inlineStr">
        <is>
          <t>고체향수</t>
        </is>
      </c>
      <c r="F1992" s="20" t="inlineStr">
        <is>
          <t>카페24</t>
        </is>
      </c>
      <c r="H1992" s="20" t="n">
        <v>81</v>
      </c>
      <c r="I1992" s="20" t="inlineStr">
        <is>
          <t>스테이포에버 2set</t>
        </is>
      </c>
      <c r="J1992" s="20" t="n">
        <v>200720</v>
      </c>
      <c r="L1992" s="20">
        <f>VLOOKUP($O1992,매칭테이블!$G:$J,2,0)*H1992</f>
        <v/>
      </c>
      <c r="M1992" s="20">
        <f>L1992-L1992*VLOOKUP($O1992,매칭테이블!$G:$J,3,0)</f>
        <v/>
      </c>
      <c r="N1992" s="20">
        <f>VLOOKUP($O1992,매칭테이블!$G:$J,4,0)*H1992</f>
        <v/>
      </c>
      <c r="O1992" s="20">
        <f>F1992&amp;E1992&amp;I1992&amp;J1992</f>
        <v/>
      </c>
    </row>
    <row r="1993" ht="16.5" customHeight="1" s="17">
      <c r="B1993" s="16" t="n">
        <v>44149</v>
      </c>
      <c r="C1993" s="20" t="inlineStr">
        <is>
          <t>토</t>
        </is>
      </c>
      <c r="E1993" s="20" t="inlineStr">
        <is>
          <t>고체향수</t>
        </is>
      </c>
      <c r="F1993" s="20" t="inlineStr">
        <is>
          <t>카페24</t>
        </is>
      </c>
      <c r="H1993" s="20" t="n">
        <v>10</v>
      </c>
      <c r="I1993" s="20" t="inlineStr">
        <is>
          <t>이그나이트</t>
        </is>
      </c>
      <c r="J1993" s="20" t="n">
        <v>200720</v>
      </c>
      <c r="L1993" s="20">
        <f>VLOOKUP($O1993,매칭테이블!$G:$J,2,0)*H1993</f>
        <v/>
      </c>
      <c r="M1993" s="20">
        <f>L1993-L1993*VLOOKUP($O1993,매칭테이블!$G:$J,3,0)</f>
        <v/>
      </c>
      <c r="N1993" s="20">
        <f>VLOOKUP($O1993,매칭테이블!$G:$J,4,0)*H1993</f>
        <v/>
      </c>
      <c r="O1993" s="20">
        <f>F1993&amp;E1993&amp;I1993&amp;J1993</f>
        <v/>
      </c>
    </row>
    <row r="1994" ht="16.5" customHeight="1" s="17">
      <c r="B1994" s="16" t="n">
        <v>44149</v>
      </c>
      <c r="C1994" s="20" t="inlineStr">
        <is>
          <t>토</t>
        </is>
      </c>
      <c r="E1994" s="20" t="inlineStr">
        <is>
          <t>고체향수</t>
        </is>
      </c>
      <c r="F1994" s="20" t="inlineStr">
        <is>
          <t>카페24</t>
        </is>
      </c>
      <c r="H1994" s="20" t="n">
        <v>1</v>
      </c>
      <c r="I1994" s="20" t="inlineStr">
        <is>
          <t>이그나이트 2set</t>
        </is>
      </c>
      <c r="J1994" s="20" t="n">
        <v>200720</v>
      </c>
      <c r="L1994" s="20">
        <f>VLOOKUP($O1994,매칭테이블!$G:$J,2,0)*H1994</f>
        <v/>
      </c>
      <c r="M1994" s="20">
        <f>L1994-L1994*VLOOKUP($O1994,매칭테이블!$G:$J,3,0)</f>
        <v/>
      </c>
      <c r="N1994" s="20">
        <f>VLOOKUP($O1994,매칭테이블!$G:$J,4,0)*H1994</f>
        <v/>
      </c>
      <c r="O1994" s="20">
        <f>F1994&amp;E1994&amp;I1994&amp;J1994</f>
        <v/>
      </c>
    </row>
    <row r="1995" ht="16.5" customHeight="1" s="17">
      <c r="B1995" s="16" t="n">
        <v>44149</v>
      </c>
      <c r="C1995" s="20" t="inlineStr">
        <is>
          <t>토</t>
        </is>
      </c>
      <c r="E1995" s="20" t="inlineStr">
        <is>
          <t>쇼핑백</t>
        </is>
      </c>
      <c r="F1995" s="20" t="inlineStr">
        <is>
          <t>카페24</t>
        </is>
      </c>
      <c r="H1995" s="20" t="n">
        <v>10</v>
      </c>
      <c r="I1995" s="20" t="inlineStr">
        <is>
          <t>유즈쇼핑백</t>
        </is>
      </c>
      <c r="J1995" s="20" t="n">
        <v>200720</v>
      </c>
      <c r="L1995" s="20">
        <f>VLOOKUP($O1995,매칭테이블!$G:$J,2,0)*H1995</f>
        <v/>
      </c>
      <c r="M1995" s="20">
        <f>L1995-L1995*VLOOKUP($O1995,매칭테이블!$G:$J,3,0)</f>
        <v/>
      </c>
      <c r="N1995" s="20">
        <f>VLOOKUP($O1995,매칭테이블!$G:$J,4,0)*H1995</f>
        <v/>
      </c>
      <c r="O1995" s="20">
        <f>F1995&amp;E1995&amp;I1995&amp;J1995</f>
        <v/>
      </c>
    </row>
    <row r="1996" ht="16.5" customHeight="1" s="17">
      <c r="B1996" s="16" t="n">
        <v>44150</v>
      </c>
      <c r="C1996" s="20" t="inlineStr">
        <is>
          <t>일</t>
        </is>
      </c>
      <c r="E1996" s="20" t="inlineStr">
        <is>
          <t>고체향수</t>
        </is>
      </c>
      <c r="F1996" s="20" t="inlineStr">
        <is>
          <t>카페24</t>
        </is>
      </c>
      <c r="H1996" s="20" t="n">
        <v>18</v>
      </c>
      <c r="I1996" s="20" t="inlineStr">
        <is>
          <t>이그나이트 + 스테이포에버</t>
        </is>
      </c>
      <c r="J1996" s="20" t="n">
        <v>200720</v>
      </c>
      <c r="L1996" s="20">
        <f>VLOOKUP($O1996,매칭테이블!$G:$J,2,0)*H1996</f>
        <v/>
      </c>
      <c r="M1996" s="20">
        <f>L1996-L1996*VLOOKUP($O1996,매칭테이블!$G:$J,3,0)</f>
        <v/>
      </c>
      <c r="N1996" s="20">
        <f>VLOOKUP($O1996,매칭테이블!$G:$J,4,0)*H1996</f>
        <v/>
      </c>
      <c r="O1996" s="20">
        <f>F1996&amp;E1996&amp;I1996&amp;J1996</f>
        <v/>
      </c>
    </row>
    <row r="1997" ht="16.5" customHeight="1" s="17">
      <c r="B1997" s="16" t="n">
        <v>44150</v>
      </c>
      <c r="C1997" s="20" t="inlineStr">
        <is>
          <t>일</t>
        </is>
      </c>
      <c r="E1997" s="20" t="inlineStr">
        <is>
          <t>고체향수</t>
        </is>
      </c>
      <c r="F1997" s="20" t="inlineStr">
        <is>
          <t>카페24</t>
        </is>
      </c>
      <c r="H1997" s="20" t="n">
        <v>1</v>
      </c>
      <c r="I1997" s="20" t="inlineStr">
        <is>
          <t>이그나이트 + 스테이포에버 2set</t>
        </is>
      </c>
      <c r="J1997" s="20" t="n">
        <v>200720</v>
      </c>
      <c r="L1997" s="20">
        <f>VLOOKUP($O1997,매칭테이블!$G:$J,2,0)*H1997</f>
        <v/>
      </c>
      <c r="M1997" s="20">
        <f>L1997-L1997*VLOOKUP($O1997,매칭테이블!$G:$J,3,0)</f>
        <v/>
      </c>
      <c r="N1997" s="20">
        <f>VLOOKUP($O1997,매칭테이블!$G:$J,4,0)*H1997</f>
        <v/>
      </c>
      <c r="O1997" s="20">
        <f>F1997&amp;E1997&amp;I1997&amp;J1997</f>
        <v/>
      </c>
    </row>
    <row r="1998" ht="16.5" customHeight="1" s="17">
      <c r="B1998" s="16" t="n">
        <v>44150</v>
      </c>
      <c r="C1998" s="20" t="inlineStr">
        <is>
          <t>일</t>
        </is>
      </c>
      <c r="E1998" s="20" t="inlineStr">
        <is>
          <t>고체향수</t>
        </is>
      </c>
      <c r="F1998" s="20" t="inlineStr">
        <is>
          <t>카페24</t>
        </is>
      </c>
      <c r="H1998" s="20" t="n">
        <v>211</v>
      </c>
      <c r="I1998" s="20" t="inlineStr">
        <is>
          <t>스테이포에버</t>
        </is>
      </c>
      <c r="J1998" s="20" t="n">
        <v>200720</v>
      </c>
      <c r="L1998" s="20">
        <f>VLOOKUP($O1998,매칭테이블!$G:$J,2,0)*H1998</f>
        <v/>
      </c>
      <c r="M1998" s="20">
        <f>L1998-L1998*VLOOKUP($O1998,매칭테이블!$G:$J,3,0)</f>
        <v/>
      </c>
      <c r="N1998" s="20">
        <f>VLOOKUP($O1998,매칭테이블!$G:$J,4,0)*H1998</f>
        <v/>
      </c>
      <c r="O1998" s="20">
        <f>F1998&amp;E1998&amp;I1998&amp;J1998</f>
        <v/>
      </c>
    </row>
    <row r="1999" ht="16.5" customHeight="1" s="17">
      <c r="B1999" s="16" t="n">
        <v>44150</v>
      </c>
      <c r="C1999" s="20" t="inlineStr">
        <is>
          <t>일</t>
        </is>
      </c>
      <c r="E1999" s="20" t="inlineStr">
        <is>
          <t>고체향수</t>
        </is>
      </c>
      <c r="F1999" s="20" t="inlineStr">
        <is>
          <t>카페24</t>
        </is>
      </c>
      <c r="H1999" s="20" t="n">
        <v>52</v>
      </c>
      <c r="I1999" s="20" t="inlineStr">
        <is>
          <t>스테이포에버 2set</t>
        </is>
      </c>
      <c r="J1999" s="20" t="n">
        <v>200720</v>
      </c>
      <c r="L1999" s="20">
        <f>VLOOKUP($O1999,매칭테이블!$G:$J,2,0)*H1999</f>
        <v/>
      </c>
      <c r="M1999" s="20">
        <f>L1999-L1999*VLOOKUP($O1999,매칭테이블!$G:$J,3,0)</f>
        <v/>
      </c>
      <c r="N1999" s="20">
        <f>VLOOKUP($O1999,매칭테이블!$G:$J,4,0)*H1999</f>
        <v/>
      </c>
      <c r="O1999" s="20">
        <f>F1999&amp;E1999&amp;I1999&amp;J1999</f>
        <v/>
      </c>
    </row>
    <row r="2000" ht="16.5" customHeight="1" s="17">
      <c r="B2000" s="16" t="n">
        <v>44150</v>
      </c>
      <c r="C2000" s="20" t="inlineStr">
        <is>
          <t>일</t>
        </is>
      </c>
      <c r="E2000" s="20" t="inlineStr">
        <is>
          <t>고체향수</t>
        </is>
      </c>
      <c r="F2000" s="20" t="inlineStr">
        <is>
          <t>카페24</t>
        </is>
      </c>
      <c r="H2000" s="20" t="n">
        <v>6</v>
      </c>
      <c r="I2000" s="20" t="inlineStr">
        <is>
          <t>이그나이트</t>
        </is>
      </c>
      <c r="J2000" s="20" t="n">
        <v>200720</v>
      </c>
      <c r="L2000" s="20">
        <f>VLOOKUP($O2000,매칭테이블!$G:$J,2,0)*H2000</f>
        <v/>
      </c>
      <c r="M2000" s="20">
        <f>L2000-L2000*VLOOKUP($O2000,매칭테이블!$G:$J,3,0)</f>
        <v/>
      </c>
      <c r="N2000" s="20">
        <f>VLOOKUP($O2000,매칭테이블!$G:$J,4,0)*H2000</f>
        <v/>
      </c>
      <c r="O2000" s="20">
        <f>F2000&amp;E2000&amp;I2000&amp;J2000</f>
        <v/>
      </c>
    </row>
    <row r="2001" ht="16.5" customHeight="1" s="17">
      <c r="B2001" s="16" t="n">
        <v>44150</v>
      </c>
      <c r="C2001" s="20" t="inlineStr">
        <is>
          <t>일</t>
        </is>
      </c>
      <c r="E2001" s="20" t="inlineStr">
        <is>
          <t>쇼핑백</t>
        </is>
      </c>
      <c r="F2001" s="20" t="inlineStr">
        <is>
          <t>카페24</t>
        </is>
      </c>
      <c r="H2001" s="20" t="n">
        <v>6</v>
      </c>
      <c r="I2001" s="20" t="inlineStr">
        <is>
          <t>유즈쇼핑백</t>
        </is>
      </c>
      <c r="J2001" s="20" t="n">
        <v>200720</v>
      </c>
      <c r="L2001" s="20">
        <f>VLOOKUP($O2001,매칭테이블!$G:$J,2,0)*H2001</f>
        <v/>
      </c>
      <c r="M2001" s="20">
        <f>L2001-L2001*VLOOKUP($O2001,매칭테이블!$G:$J,3,0)</f>
        <v/>
      </c>
      <c r="N2001" s="20">
        <f>VLOOKUP($O2001,매칭테이블!$G:$J,4,0)*H2001</f>
        <v/>
      </c>
      <c r="O2001" s="20">
        <f>F2001&amp;E2001&amp;I2001&amp;J2001</f>
        <v/>
      </c>
    </row>
    <row r="2002" ht="16.5" customHeight="1" s="17">
      <c r="B2002" s="16" t="n">
        <v>44151</v>
      </c>
      <c r="C2002" s="20" t="inlineStr">
        <is>
          <t>월</t>
        </is>
      </c>
      <c r="E2002" s="20" t="inlineStr">
        <is>
          <t>고체향수</t>
        </is>
      </c>
      <c r="F2002" s="20" t="inlineStr">
        <is>
          <t>유즈 CS</t>
        </is>
      </c>
      <c r="H2002" s="20" t="n">
        <v>1</v>
      </c>
      <c r="I2002" s="20" t="inlineStr">
        <is>
          <t>스테이포에버</t>
        </is>
      </c>
      <c r="J2002" s="20" t="n">
        <v>200520</v>
      </c>
      <c r="L2002" s="20">
        <f>VLOOKUP($O2002,매칭테이블!$G:$J,2,0)*H2002</f>
        <v/>
      </c>
      <c r="M2002" s="20">
        <f>L2002-L2002*VLOOKUP($O2002,매칭테이블!$G:$J,3,0)</f>
        <v/>
      </c>
      <c r="N2002" s="20">
        <f>VLOOKUP($O2002,매칭테이블!$G:$J,4,0)*H2002</f>
        <v/>
      </c>
      <c r="O2002" s="20">
        <f>F2002&amp;E2002&amp;I2002&amp;J2002</f>
        <v/>
      </c>
    </row>
    <row r="2003" ht="16.5" customHeight="1" s="17">
      <c r="B2003" s="16" t="n">
        <v>44151</v>
      </c>
      <c r="C2003" s="20" t="inlineStr">
        <is>
          <t>월</t>
        </is>
      </c>
      <c r="E2003" s="20" t="inlineStr">
        <is>
          <t>고체향수</t>
        </is>
      </c>
      <c r="F2003" s="20" t="inlineStr">
        <is>
          <t>카페24</t>
        </is>
      </c>
      <c r="H2003" s="20" t="n">
        <v>18</v>
      </c>
      <c r="I2003" s="20" t="inlineStr">
        <is>
          <t>이그나이트 + 스테이포에버</t>
        </is>
      </c>
      <c r="J2003" s="20" t="n">
        <v>200720</v>
      </c>
      <c r="L2003" s="20">
        <f>VLOOKUP($O2003,매칭테이블!$G:$J,2,0)*H2003</f>
        <v/>
      </c>
      <c r="M2003" s="20">
        <f>L2003-L2003*VLOOKUP($O2003,매칭테이블!$G:$J,3,0)</f>
        <v/>
      </c>
      <c r="N2003" s="20">
        <f>VLOOKUP($O2003,매칭테이블!$G:$J,4,0)*H2003</f>
        <v/>
      </c>
      <c r="O2003" s="20">
        <f>F2003&amp;E2003&amp;I2003&amp;J2003</f>
        <v/>
      </c>
    </row>
    <row r="2004" ht="16.5" customHeight="1" s="17">
      <c r="B2004" s="16" t="n">
        <v>44151</v>
      </c>
      <c r="C2004" s="20" t="inlineStr">
        <is>
          <t>월</t>
        </is>
      </c>
      <c r="E2004" s="20" t="inlineStr">
        <is>
          <t>고체향수</t>
        </is>
      </c>
      <c r="F2004" s="20" t="inlineStr">
        <is>
          <t>카페24</t>
        </is>
      </c>
      <c r="H2004" s="20" t="n">
        <v>152</v>
      </c>
      <c r="I2004" s="20" t="inlineStr">
        <is>
          <t>스테이포에버</t>
        </is>
      </c>
      <c r="J2004" s="20" t="n">
        <v>200720</v>
      </c>
      <c r="L2004" s="20">
        <f>VLOOKUP($O2004,매칭테이블!$G:$J,2,0)*H2004</f>
        <v/>
      </c>
      <c r="M2004" s="20">
        <f>L2004-L2004*VLOOKUP($O2004,매칭테이블!$G:$J,3,0)</f>
        <v/>
      </c>
      <c r="N2004" s="20">
        <f>VLOOKUP($O2004,매칭테이블!$G:$J,4,0)*H2004</f>
        <v/>
      </c>
      <c r="O2004" s="20">
        <f>F2004&amp;E2004&amp;I2004&amp;J2004</f>
        <v/>
      </c>
    </row>
    <row r="2005" ht="16.5" customHeight="1" s="17">
      <c r="B2005" s="16" t="n">
        <v>44151</v>
      </c>
      <c r="C2005" s="20" t="inlineStr">
        <is>
          <t>월</t>
        </is>
      </c>
      <c r="E2005" s="20" t="inlineStr">
        <is>
          <t>고체향수</t>
        </is>
      </c>
      <c r="F2005" s="20" t="inlineStr">
        <is>
          <t>카페24</t>
        </is>
      </c>
      <c r="H2005" s="20" t="n">
        <v>56</v>
      </c>
      <c r="I2005" s="20" t="inlineStr">
        <is>
          <t>스테이포에버 2set</t>
        </is>
      </c>
      <c r="J2005" s="20" t="n">
        <v>200720</v>
      </c>
      <c r="L2005" s="20">
        <f>VLOOKUP($O2005,매칭테이블!$G:$J,2,0)*H2005</f>
        <v/>
      </c>
      <c r="M2005" s="20">
        <f>L2005-L2005*VLOOKUP($O2005,매칭테이블!$G:$J,3,0)</f>
        <v/>
      </c>
      <c r="N2005" s="20">
        <f>VLOOKUP($O2005,매칭테이블!$G:$J,4,0)*H2005</f>
        <v/>
      </c>
      <c r="O2005" s="20">
        <f>F2005&amp;E2005&amp;I2005&amp;J2005</f>
        <v/>
      </c>
    </row>
    <row r="2006" ht="16.5" customHeight="1" s="17">
      <c r="B2006" s="16" t="n">
        <v>44151</v>
      </c>
      <c r="C2006" s="20" t="inlineStr">
        <is>
          <t>월</t>
        </is>
      </c>
      <c r="E2006" s="20" t="inlineStr">
        <is>
          <t>고체향수</t>
        </is>
      </c>
      <c r="F2006" s="20" t="inlineStr">
        <is>
          <t>카페24</t>
        </is>
      </c>
      <c r="H2006" s="20" t="n">
        <v>1</v>
      </c>
      <c r="I2006" s="20" t="inlineStr">
        <is>
          <t>이그나이트</t>
        </is>
      </c>
      <c r="J2006" s="20" t="n">
        <v>200720</v>
      </c>
      <c r="L2006" s="20">
        <f>VLOOKUP($O2006,매칭테이블!$G:$J,2,0)*H2006</f>
        <v/>
      </c>
      <c r="M2006" s="20">
        <f>L2006-L2006*VLOOKUP($O2006,매칭테이블!$G:$J,3,0)</f>
        <v/>
      </c>
      <c r="N2006" s="20">
        <f>VLOOKUP($O2006,매칭테이블!$G:$J,4,0)*H2006</f>
        <v/>
      </c>
      <c r="O2006" s="20">
        <f>F2006&amp;E2006&amp;I2006&amp;J2006</f>
        <v/>
      </c>
    </row>
    <row r="2007" ht="16.5" customHeight="1" s="17">
      <c r="B2007" s="16" t="n">
        <v>44151</v>
      </c>
      <c r="C2007" s="20" t="inlineStr">
        <is>
          <t>월</t>
        </is>
      </c>
      <c r="E2007" s="20" t="inlineStr">
        <is>
          <t>고체향수</t>
        </is>
      </c>
      <c r="F2007" s="20" t="inlineStr">
        <is>
          <t>카페24</t>
        </is>
      </c>
      <c r="H2007" s="20" t="n">
        <v>4</v>
      </c>
      <c r="I2007" s="20" t="inlineStr">
        <is>
          <t>이그나이트 2set</t>
        </is>
      </c>
      <c r="J2007" s="20" t="n">
        <v>200720</v>
      </c>
      <c r="L2007" s="20">
        <f>VLOOKUP($O2007,매칭테이블!$G:$J,2,0)*H2007</f>
        <v/>
      </c>
      <c r="M2007" s="20">
        <f>L2007-L2007*VLOOKUP($O2007,매칭테이블!$G:$J,3,0)</f>
        <v/>
      </c>
      <c r="N2007" s="20">
        <f>VLOOKUP($O2007,매칭테이블!$G:$J,4,0)*H2007</f>
        <v/>
      </c>
      <c r="O2007" s="20">
        <f>F2007&amp;E2007&amp;I2007&amp;J2007</f>
        <v/>
      </c>
    </row>
    <row r="2008" ht="16.5" customHeight="1" s="17">
      <c r="B2008" s="16" t="n">
        <v>44151</v>
      </c>
      <c r="C2008" s="20" t="inlineStr">
        <is>
          <t>월</t>
        </is>
      </c>
      <c r="E2008" s="20" t="inlineStr">
        <is>
          <t>쇼핑백</t>
        </is>
      </c>
      <c r="F2008" s="20" t="inlineStr">
        <is>
          <t>카페24</t>
        </is>
      </c>
      <c r="H2008" s="20" t="n">
        <v>7</v>
      </c>
      <c r="I2008" s="20" t="inlineStr">
        <is>
          <t>유즈쇼핑백</t>
        </is>
      </c>
      <c r="J2008" s="20" t="n">
        <v>200720</v>
      </c>
      <c r="L2008" s="20">
        <f>VLOOKUP($O2008,매칭테이블!$G:$J,2,0)*H2008</f>
        <v/>
      </c>
      <c r="M2008" s="20">
        <f>L2008-L2008*VLOOKUP($O2008,매칭테이블!$G:$J,3,0)</f>
        <v/>
      </c>
      <c r="N2008" s="20">
        <f>VLOOKUP($O2008,매칭테이블!$G:$J,4,0)*H2008</f>
        <v/>
      </c>
      <c r="O2008" s="20">
        <f>F2008&amp;E2008&amp;I2008&amp;J2008</f>
        <v/>
      </c>
    </row>
    <row r="2009" ht="16.5" customHeight="1" s="17">
      <c r="B2009" s="16" t="n">
        <v>44152</v>
      </c>
      <c r="C2009" s="20" t="inlineStr">
        <is>
          <t>화</t>
        </is>
      </c>
      <c r="E2009" s="20" t="inlineStr">
        <is>
          <t>고체향수</t>
        </is>
      </c>
      <c r="F2009" s="20" t="inlineStr">
        <is>
          <t>카페24</t>
        </is>
      </c>
      <c r="H2009" s="20" t="n">
        <v>20</v>
      </c>
      <c r="I2009" s="20" t="inlineStr">
        <is>
          <t>이그나이트 + 스테이포에버</t>
        </is>
      </c>
      <c r="J2009" s="20" t="n">
        <v>200720</v>
      </c>
      <c r="L2009" s="20">
        <f>VLOOKUP($O2009,매칭테이블!$G:$J,2,0)*H2009</f>
        <v/>
      </c>
      <c r="M2009" s="20">
        <f>L2009-L2009*VLOOKUP($O2009,매칭테이블!$G:$J,3,0)</f>
        <v/>
      </c>
      <c r="N2009" s="20">
        <f>VLOOKUP($O2009,매칭테이블!$G:$J,4,0)*H2009</f>
        <v/>
      </c>
      <c r="O2009" s="20">
        <f>F2009&amp;E2009&amp;I2009&amp;J2009</f>
        <v/>
      </c>
    </row>
    <row r="2010" ht="16.5" customHeight="1" s="17">
      <c r="B2010" s="16" t="n">
        <v>44152</v>
      </c>
      <c r="C2010" s="20" t="inlineStr">
        <is>
          <t>화</t>
        </is>
      </c>
      <c r="E2010" s="20" t="inlineStr">
        <is>
          <t>고체향수</t>
        </is>
      </c>
      <c r="F2010" s="20" t="inlineStr">
        <is>
          <t>카페24</t>
        </is>
      </c>
      <c r="H2010" s="20" t="n">
        <v>1</v>
      </c>
      <c r="I2010" s="20" t="inlineStr">
        <is>
          <t>이그나이트 + 스테이포에버 2set</t>
        </is>
      </c>
      <c r="J2010" s="20" t="n">
        <v>200720</v>
      </c>
      <c r="L2010" s="20">
        <f>VLOOKUP($O2010,매칭테이블!$G:$J,2,0)*H2010</f>
        <v/>
      </c>
      <c r="M2010" s="20">
        <f>L2010-L2010*VLOOKUP($O2010,매칭테이블!$G:$J,3,0)</f>
        <v/>
      </c>
      <c r="N2010" s="20">
        <f>VLOOKUP($O2010,매칭테이블!$G:$J,4,0)*H2010</f>
        <v/>
      </c>
      <c r="O2010" s="20">
        <f>F2010&amp;E2010&amp;I2010&amp;J2010</f>
        <v/>
      </c>
    </row>
    <row r="2011" ht="16.5" customHeight="1" s="17">
      <c r="B2011" s="16" t="n">
        <v>44152</v>
      </c>
      <c r="C2011" s="20" t="inlineStr">
        <is>
          <t>화</t>
        </is>
      </c>
      <c r="E2011" s="20" t="inlineStr">
        <is>
          <t>고체향수</t>
        </is>
      </c>
      <c r="F2011" s="20" t="inlineStr">
        <is>
          <t>카페24</t>
        </is>
      </c>
      <c r="H2011" s="20" t="n">
        <v>198</v>
      </c>
      <c r="I2011" s="20" t="inlineStr">
        <is>
          <t>스테이포에버</t>
        </is>
      </c>
      <c r="J2011" s="20" t="n">
        <v>200720</v>
      </c>
      <c r="L2011" s="20">
        <f>VLOOKUP($O2011,매칭테이블!$G:$J,2,0)*H2011</f>
        <v/>
      </c>
      <c r="M2011" s="20">
        <f>L2011-L2011*VLOOKUP($O2011,매칭테이블!$G:$J,3,0)</f>
        <v/>
      </c>
      <c r="N2011" s="20">
        <f>VLOOKUP($O2011,매칭테이블!$G:$J,4,0)*H2011</f>
        <v/>
      </c>
      <c r="O2011" s="20">
        <f>F2011&amp;E2011&amp;I2011&amp;J2011</f>
        <v/>
      </c>
    </row>
    <row r="2012" ht="16.5" customHeight="1" s="17">
      <c r="B2012" s="16" t="n">
        <v>44152</v>
      </c>
      <c r="C2012" s="20" t="inlineStr">
        <is>
          <t>화</t>
        </is>
      </c>
      <c r="E2012" s="20" t="inlineStr">
        <is>
          <t>고체향수</t>
        </is>
      </c>
      <c r="F2012" s="20" t="inlineStr">
        <is>
          <t>카페24</t>
        </is>
      </c>
      <c r="H2012" s="20" t="n">
        <v>82</v>
      </c>
      <c r="I2012" s="20" t="inlineStr">
        <is>
          <t>스테이포에버 2set</t>
        </is>
      </c>
      <c r="J2012" s="20" t="n">
        <v>200720</v>
      </c>
      <c r="L2012" s="20">
        <f>VLOOKUP($O2012,매칭테이블!$G:$J,2,0)*H2012</f>
        <v/>
      </c>
      <c r="M2012" s="20">
        <f>L2012-L2012*VLOOKUP($O2012,매칭테이블!$G:$J,3,0)</f>
        <v/>
      </c>
      <c r="N2012" s="20">
        <f>VLOOKUP($O2012,매칭테이블!$G:$J,4,0)*H2012</f>
        <v/>
      </c>
      <c r="O2012" s="20">
        <f>F2012&amp;E2012&amp;I2012&amp;J2012</f>
        <v/>
      </c>
    </row>
    <row r="2013" ht="16.5" customHeight="1" s="17">
      <c r="B2013" s="16" t="n">
        <v>44152</v>
      </c>
      <c r="C2013" s="20" t="inlineStr">
        <is>
          <t>화</t>
        </is>
      </c>
      <c r="E2013" s="20" t="inlineStr">
        <is>
          <t>고체향수</t>
        </is>
      </c>
      <c r="F2013" s="20" t="inlineStr">
        <is>
          <t>카페24</t>
        </is>
      </c>
      <c r="H2013" s="20" t="n">
        <v>5</v>
      </c>
      <c r="I2013" s="20" t="inlineStr">
        <is>
          <t>이그나이트</t>
        </is>
      </c>
      <c r="J2013" s="20" t="n">
        <v>200720</v>
      </c>
      <c r="L2013" s="20">
        <f>VLOOKUP($O2013,매칭테이블!$G:$J,2,0)*H2013</f>
        <v/>
      </c>
      <c r="M2013" s="20">
        <f>L2013-L2013*VLOOKUP($O2013,매칭테이블!$G:$J,3,0)</f>
        <v/>
      </c>
      <c r="N2013" s="20">
        <f>VLOOKUP($O2013,매칭테이블!$G:$J,4,0)*H2013</f>
        <v/>
      </c>
      <c r="O2013" s="20">
        <f>F2013&amp;E2013&amp;I2013&amp;J2013</f>
        <v/>
      </c>
    </row>
    <row r="2014" ht="16.5" customHeight="1" s="17">
      <c r="B2014" s="16" t="n">
        <v>44152</v>
      </c>
      <c r="C2014" s="20" t="inlineStr">
        <is>
          <t>화</t>
        </is>
      </c>
      <c r="E2014" s="20" t="inlineStr">
        <is>
          <t>쇼핑백</t>
        </is>
      </c>
      <c r="F2014" s="20" t="inlineStr">
        <is>
          <t>카페24</t>
        </is>
      </c>
      <c r="H2014" s="20" t="n">
        <v>6</v>
      </c>
      <c r="I2014" s="20" t="inlineStr">
        <is>
          <t>유즈쇼핑백</t>
        </is>
      </c>
      <c r="J2014" s="20" t="n">
        <v>200720</v>
      </c>
      <c r="L2014" s="20">
        <f>VLOOKUP($O2014,매칭테이블!$G:$J,2,0)*H2014</f>
        <v/>
      </c>
      <c r="M2014" s="20">
        <f>L2014-L2014*VLOOKUP($O2014,매칭테이블!$G:$J,3,0)</f>
        <v/>
      </c>
      <c r="N2014" s="20">
        <f>VLOOKUP($O2014,매칭테이블!$G:$J,4,0)*H2014</f>
        <v/>
      </c>
      <c r="O2014" s="20">
        <f>F2014&amp;E2014&amp;I2014&amp;J2014</f>
        <v/>
      </c>
    </row>
    <row r="2015" ht="16.5" customHeight="1" s="17">
      <c r="B2015" s="16" t="n">
        <v>44153</v>
      </c>
      <c r="C2015" s="20" t="inlineStr">
        <is>
          <t>수</t>
        </is>
      </c>
      <c r="E2015" s="20" t="inlineStr">
        <is>
          <t>고체향수</t>
        </is>
      </c>
      <c r="F2015" s="20" t="inlineStr">
        <is>
          <t>카페24</t>
        </is>
      </c>
      <c r="H2015" s="20" t="n">
        <v>15</v>
      </c>
      <c r="I2015" s="20" t="inlineStr">
        <is>
          <t>이그나이트 + 스테이포에버</t>
        </is>
      </c>
      <c r="J2015" s="20" t="n">
        <v>200720</v>
      </c>
      <c r="L2015" s="20">
        <f>VLOOKUP($O2015,매칭테이블!$G:$J,2,0)*H2015</f>
        <v/>
      </c>
      <c r="M2015" s="20">
        <f>L2015-L2015*VLOOKUP($O2015,매칭테이블!$G:$J,3,0)</f>
        <v/>
      </c>
      <c r="N2015" s="20">
        <f>VLOOKUP($O2015,매칭테이블!$G:$J,4,0)*H2015</f>
        <v/>
      </c>
      <c r="O2015" s="20">
        <f>F2015&amp;E2015&amp;I2015&amp;J2015</f>
        <v/>
      </c>
    </row>
    <row r="2016" ht="16.5" customHeight="1" s="17">
      <c r="B2016" s="16" t="n">
        <v>44153</v>
      </c>
      <c r="C2016" s="20" t="inlineStr">
        <is>
          <t>수</t>
        </is>
      </c>
      <c r="E2016" s="20" t="inlineStr">
        <is>
          <t>고체향수</t>
        </is>
      </c>
      <c r="F2016" s="20" t="inlineStr">
        <is>
          <t>카페24</t>
        </is>
      </c>
      <c r="H2016" s="20" t="n">
        <v>1</v>
      </c>
      <c r="I2016" s="20" t="inlineStr">
        <is>
          <t>이그나이트 + 스테이포에버 2set</t>
        </is>
      </c>
      <c r="J2016" s="20" t="n">
        <v>200720</v>
      </c>
      <c r="L2016" s="20">
        <f>VLOOKUP($O2016,매칭테이블!$G:$J,2,0)*H2016</f>
        <v/>
      </c>
      <c r="M2016" s="20">
        <f>L2016-L2016*VLOOKUP($O2016,매칭테이블!$G:$J,3,0)</f>
        <v/>
      </c>
      <c r="N2016" s="20">
        <f>VLOOKUP($O2016,매칭테이블!$G:$J,4,0)*H2016</f>
        <v/>
      </c>
      <c r="O2016" s="20">
        <f>F2016&amp;E2016&amp;I2016&amp;J2016</f>
        <v/>
      </c>
    </row>
    <row r="2017" ht="16.5" customHeight="1" s="17">
      <c r="B2017" s="16" t="n">
        <v>44153</v>
      </c>
      <c r="C2017" s="20" t="inlineStr">
        <is>
          <t>수</t>
        </is>
      </c>
      <c r="E2017" s="20" t="inlineStr">
        <is>
          <t>고체향수</t>
        </is>
      </c>
      <c r="F2017" s="20" t="inlineStr">
        <is>
          <t>카페24</t>
        </is>
      </c>
      <c r="H2017" s="20" t="n">
        <v>161</v>
      </c>
      <c r="I2017" s="20" t="inlineStr">
        <is>
          <t>스테이포에버</t>
        </is>
      </c>
      <c r="J2017" s="20" t="n">
        <v>200720</v>
      </c>
      <c r="L2017" s="20">
        <f>VLOOKUP($O2017,매칭테이블!$G:$J,2,0)*H2017</f>
        <v/>
      </c>
      <c r="M2017" s="20">
        <f>L2017-L2017*VLOOKUP($O2017,매칭테이블!$G:$J,3,0)</f>
        <v/>
      </c>
      <c r="N2017" s="20">
        <f>VLOOKUP($O2017,매칭테이블!$G:$J,4,0)*H2017</f>
        <v/>
      </c>
      <c r="O2017" s="20">
        <f>F2017&amp;E2017&amp;I2017&amp;J2017</f>
        <v/>
      </c>
    </row>
    <row r="2018" ht="16.5" customHeight="1" s="17">
      <c r="B2018" s="16" t="n">
        <v>44153</v>
      </c>
      <c r="C2018" s="20" t="inlineStr">
        <is>
          <t>수</t>
        </is>
      </c>
      <c r="E2018" s="20" t="inlineStr">
        <is>
          <t>고체향수</t>
        </is>
      </c>
      <c r="F2018" s="20" t="inlineStr">
        <is>
          <t>카페24</t>
        </is>
      </c>
      <c r="H2018" s="20" t="n">
        <v>76</v>
      </c>
      <c r="I2018" s="20" t="inlineStr">
        <is>
          <t>스테이포에버 2set</t>
        </is>
      </c>
      <c r="J2018" s="20" t="n">
        <v>200720</v>
      </c>
      <c r="L2018" s="20">
        <f>VLOOKUP($O2018,매칭테이블!$G:$J,2,0)*H2018</f>
        <v/>
      </c>
      <c r="M2018" s="20">
        <f>L2018-L2018*VLOOKUP($O2018,매칭테이블!$G:$J,3,0)</f>
        <v/>
      </c>
      <c r="N2018" s="20">
        <f>VLOOKUP($O2018,매칭테이블!$G:$J,4,0)*H2018</f>
        <v/>
      </c>
      <c r="O2018" s="20">
        <f>F2018&amp;E2018&amp;I2018&amp;J2018</f>
        <v/>
      </c>
    </row>
    <row r="2019" ht="16.5" customHeight="1" s="17">
      <c r="B2019" s="16" t="n">
        <v>44153</v>
      </c>
      <c r="C2019" s="20" t="inlineStr">
        <is>
          <t>수</t>
        </is>
      </c>
      <c r="E2019" s="20" t="inlineStr">
        <is>
          <t>고체향수</t>
        </is>
      </c>
      <c r="F2019" s="20" t="inlineStr">
        <is>
          <t>카페24</t>
        </is>
      </c>
      <c r="H2019" s="20" t="n">
        <v>6</v>
      </c>
      <c r="I2019" s="20" t="inlineStr">
        <is>
          <t>이그나이트</t>
        </is>
      </c>
      <c r="J2019" s="20" t="n">
        <v>200720</v>
      </c>
      <c r="L2019" s="20">
        <f>VLOOKUP($O2019,매칭테이블!$G:$J,2,0)*H2019</f>
        <v/>
      </c>
      <c r="M2019" s="20">
        <f>L2019-L2019*VLOOKUP($O2019,매칭테이블!$G:$J,3,0)</f>
        <v/>
      </c>
      <c r="N2019" s="20">
        <f>VLOOKUP($O2019,매칭테이블!$G:$J,4,0)*H2019</f>
        <v/>
      </c>
      <c r="O2019" s="20">
        <f>F2019&amp;E2019&amp;I2019&amp;J2019</f>
        <v/>
      </c>
    </row>
    <row r="2020" ht="16.5" customHeight="1" s="17">
      <c r="B2020" s="16" t="n">
        <v>44153</v>
      </c>
      <c r="C2020" s="20" t="inlineStr">
        <is>
          <t>수</t>
        </is>
      </c>
      <c r="E2020" s="20" t="inlineStr">
        <is>
          <t>고체향수</t>
        </is>
      </c>
      <c r="F2020" s="20" t="inlineStr">
        <is>
          <t>카페24</t>
        </is>
      </c>
      <c r="H2020" s="20" t="n">
        <v>1</v>
      </c>
      <c r="I2020" s="20" t="inlineStr">
        <is>
          <t>이그나이트 2set</t>
        </is>
      </c>
      <c r="J2020" s="20" t="n">
        <v>200720</v>
      </c>
      <c r="L2020" s="20">
        <f>VLOOKUP($O2020,매칭테이블!$G:$J,2,0)*H2020</f>
        <v/>
      </c>
      <c r="M2020" s="20">
        <f>L2020-L2020*VLOOKUP($O2020,매칭테이블!$G:$J,3,0)</f>
        <v/>
      </c>
      <c r="N2020" s="20">
        <f>VLOOKUP($O2020,매칭테이블!$G:$J,4,0)*H2020</f>
        <v/>
      </c>
      <c r="O2020" s="20">
        <f>F2020&amp;E2020&amp;I2020&amp;J2020</f>
        <v/>
      </c>
    </row>
    <row r="2021" ht="16.5" customHeight="1" s="17">
      <c r="B2021" s="16" t="n">
        <v>44153</v>
      </c>
      <c r="C2021" s="20" t="inlineStr">
        <is>
          <t>수</t>
        </is>
      </c>
      <c r="E2021" s="20" t="inlineStr">
        <is>
          <t>쇼핑백</t>
        </is>
      </c>
      <c r="F2021" s="20" t="inlineStr">
        <is>
          <t>카페24</t>
        </is>
      </c>
      <c r="H2021" s="20" t="n">
        <v>6</v>
      </c>
      <c r="I2021" s="20" t="inlineStr">
        <is>
          <t>유즈쇼핑백</t>
        </is>
      </c>
      <c r="J2021" s="20" t="n">
        <v>200720</v>
      </c>
      <c r="L2021" s="20">
        <f>VLOOKUP($O2021,매칭테이블!$G:$J,2,0)*H2021</f>
        <v/>
      </c>
      <c r="M2021" s="20">
        <f>L2021-L2021*VLOOKUP($O2021,매칭테이블!$G:$J,3,0)</f>
        <v/>
      </c>
      <c r="N2021" s="20">
        <f>VLOOKUP($O2021,매칭테이블!$G:$J,4,0)*H2021</f>
        <v/>
      </c>
      <c r="O2021" s="20">
        <f>F2021&amp;E2021&amp;I2021&amp;J2021</f>
        <v/>
      </c>
    </row>
    <row r="2022" ht="16.5" customHeight="1" s="17">
      <c r="B2022" s="16" t="n">
        <v>44154</v>
      </c>
      <c r="C2022" s="20" t="inlineStr">
        <is>
          <t>목</t>
        </is>
      </c>
      <c r="E2022" s="20" t="inlineStr">
        <is>
          <t>고체향수</t>
        </is>
      </c>
      <c r="F2022" s="20" t="inlineStr">
        <is>
          <t>카페24</t>
        </is>
      </c>
      <c r="H2022" s="20" t="n">
        <v>18</v>
      </c>
      <c r="I2022" s="20" t="inlineStr">
        <is>
          <t>이그나이트 + 스테이포에버</t>
        </is>
      </c>
      <c r="J2022" s="20" t="n">
        <v>200720</v>
      </c>
      <c r="L2022" s="20">
        <f>VLOOKUP($O2022,매칭테이블!$G:$J,2,0)*H2022</f>
        <v/>
      </c>
      <c r="M2022" s="20">
        <f>L2022-L2022*VLOOKUP($O2022,매칭테이블!$G:$J,3,0)</f>
        <v/>
      </c>
      <c r="N2022" s="20">
        <f>VLOOKUP($O2022,매칭테이블!$G:$J,4,0)*H2022</f>
        <v/>
      </c>
      <c r="O2022" s="20">
        <f>F2022&amp;E2022&amp;I2022&amp;J2022</f>
        <v/>
      </c>
    </row>
    <row r="2023" ht="16.5" customHeight="1" s="17">
      <c r="B2023" s="16" t="n">
        <v>44154</v>
      </c>
      <c r="C2023" s="20" t="inlineStr">
        <is>
          <t>목</t>
        </is>
      </c>
      <c r="E2023" s="20" t="inlineStr">
        <is>
          <t>고체향수</t>
        </is>
      </c>
      <c r="F2023" s="20" t="inlineStr">
        <is>
          <t>카페24</t>
        </is>
      </c>
      <c r="H2023" s="20" t="n">
        <v>1</v>
      </c>
      <c r="I2023" s="20" t="inlineStr">
        <is>
          <t>이그나이트 + 스테이포에버 2set</t>
        </is>
      </c>
      <c r="J2023" s="20" t="n">
        <v>200720</v>
      </c>
      <c r="L2023" s="20">
        <f>VLOOKUP($O2023,매칭테이블!$G:$J,2,0)*H2023</f>
        <v/>
      </c>
      <c r="M2023" s="20">
        <f>L2023-L2023*VLOOKUP($O2023,매칭테이블!$G:$J,3,0)</f>
        <v/>
      </c>
      <c r="N2023" s="20">
        <f>VLOOKUP($O2023,매칭테이블!$G:$J,4,0)*H2023</f>
        <v/>
      </c>
      <c r="O2023" s="20">
        <f>F2023&amp;E2023&amp;I2023&amp;J2023</f>
        <v/>
      </c>
    </row>
    <row r="2024" ht="16.5" customHeight="1" s="17">
      <c r="B2024" s="16" t="n">
        <v>44154</v>
      </c>
      <c r="C2024" s="20" t="inlineStr">
        <is>
          <t>목</t>
        </is>
      </c>
      <c r="E2024" s="20" t="inlineStr">
        <is>
          <t>고체향수</t>
        </is>
      </c>
      <c r="F2024" s="20" t="inlineStr">
        <is>
          <t>카페24</t>
        </is>
      </c>
      <c r="H2024" s="20" t="n">
        <v>175</v>
      </c>
      <c r="I2024" s="20" t="inlineStr">
        <is>
          <t>스테이포에버</t>
        </is>
      </c>
      <c r="J2024" s="20" t="n">
        <v>200720</v>
      </c>
      <c r="L2024" s="20">
        <f>VLOOKUP($O2024,매칭테이블!$G:$J,2,0)*H2024</f>
        <v/>
      </c>
      <c r="M2024" s="20">
        <f>L2024-L2024*VLOOKUP($O2024,매칭테이블!$G:$J,3,0)</f>
        <v/>
      </c>
      <c r="N2024" s="20">
        <f>VLOOKUP($O2024,매칭테이블!$G:$J,4,0)*H2024</f>
        <v/>
      </c>
      <c r="O2024" s="20">
        <f>F2024&amp;E2024&amp;I2024&amp;J2024</f>
        <v/>
      </c>
    </row>
    <row r="2025" ht="16.5" customHeight="1" s="17">
      <c r="B2025" s="16" t="n">
        <v>44154</v>
      </c>
      <c r="C2025" s="20" t="inlineStr">
        <is>
          <t>목</t>
        </is>
      </c>
      <c r="E2025" s="20" t="inlineStr">
        <is>
          <t>고체향수</t>
        </is>
      </c>
      <c r="F2025" s="20" t="inlineStr">
        <is>
          <t>카페24</t>
        </is>
      </c>
      <c r="H2025" s="20" t="n">
        <v>69</v>
      </c>
      <c r="I2025" s="20" t="inlineStr">
        <is>
          <t>스테이포에버 2set</t>
        </is>
      </c>
      <c r="J2025" s="20" t="n">
        <v>200720</v>
      </c>
      <c r="L2025" s="20">
        <f>VLOOKUP($O2025,매칭테이블!$G:$J,2,0)*H2025</f>
        <v/>
      </c>
      <c r="M2025" s="20">
        <f>L2025-L2025*VLOOKUP($O2025,매칭테이블!$G:$J,3,0)</f>
        <v/>
      </c>
      <c r="N2025" s="20">
        <f>VLOOKUP($O2025,매칭테이블!$G:$J,4,0)*H2025</f>
        <v/>
      </c>
      <c r="O2025" s="20">
        <f>F2025&amp;E2025&amp;I2025&amp;J2025</f>
        <v/>
      </c>
    </row>
    <row r="2026" ht="16.5" customHeight="1" s="17">
      <c r="B2026" s="16" t="n">
        <v>44154</v>
      </c>
      <c r="C2026" s="20" t="inlineStr">
        <is>
          <t>목</t>
        </is>
      </c>
      <c r="E2026" s="20" t="inlineStr">
        <is>
          <t>고체향수</t>
        </is>
      </c>
      <c r="F2026" s="20" t="inlineStr">
        <is>
          <t>카페24</t>
        </is>
      </c>
      <c r="H2026" s="20" t="n">
        <v>3</v>
      </c>
      <c r="I2026" s="20" t="inlineStr">
        <is>
          <t>이그나이트</t>
        </is>
      </c>
      <c r="J2026" s="20" t="n">
        <v>200720</v>
      </c>
      <c r="L2026" s="20">
        <f>VLOOKUP($O2026,매칭테이블!$G:$J,2,0)*H2026</f>
        <v/>
      </c>
      <c r="M2026" s="20">
        <f>L2026-L2026*VLOOKUP($O2026,매칭테이블!$G:$J,3,0)</f>
        <v/>
      </c>
      <c r="N2026" s="20">
        <f>VLOOKUP($O2026,매칭테이블!$G:$J,4,0)*H2026</f>
        <v/>
      </c>
      <c r="O2026" s="20">
        <f>F2026&amp;E2026&amp;I2026&amp;J2026</f>
        <v/>
      </c>
    </row>
    <row r="2027" ht="16.5" customHeight="1" s="17">
      <c r="B2027" s="16" t="n">
        <v>44154</v>
      </c>
      <c r="C2027" s="20" t="inlineStr">
        <is>
          <t>목</t>
        </is>
      </c>
      <c r="E2027" s="20" t="inlineStr">
        <is>
          <t>쇼핑백</t>
        </is>
      </c>
      <c r="F2027" s="20" t="inlineStr">
        <is>
          <t>카페24</t>
        </is>
      </c>
      <c r="H2027" s="20" t="n">
        <v>6</v>
      </c>
      <c r="I2027" s="20" t="inlineStr">
        <is>
          <t>유즈쇼핑백</t>
        </is>
      </c>
      <c r="J2027" s="20" t="n">
        <v>200720</v>
      </c>
      <c r="L2027" s="20">
        <f>VLOOKUP($O2027,매칭테이블!$G:$J,2,0)*H2027</f>
        <v/>
      </c>
      <c r="M2027" s="20">
        <f>L2027-L2027*VLOOKUP($O2027,매칭테이블!$G:$J,3,0)</f>
        <v/>
      </c>
      <c r="N2027" s="20">
        <f>VLOOKUP($O2027,매칭테이블!$G:$J,4,0)*H2027</f>
        <v/>
      </c>
      <c r="O2027" s="20">
        <f>F2027&amp;E2027&amp;I2027&amp;J2027</f>
        <v/>
      </c>
    </row>
    <row r="2028" ht="16.5" customHeight="1" s="17">
      <c r="B2028" s="16" t="n">
        <v>44155</v>
      </c>
      <c r="C2028" s="20" t="inlineStr">
        <is>
          <t>금</t>
        </is>
      </c>
      <c r="E2028" s="20" t="inlineStr">
        <is>
          <t>고체향수</t>
        </is>
      </c>
      <c r="F2028" s="20" t="inlineStr">
        <is>
          <t>카페24</t>
        </is>
      </c>
      <c r="H2028" s="20" t="n">
        <v>15</v>
      </c>
      <c r="I2028" s="20" t="inlineStr">
        <is>
          <t>이그나이트 + 스테이포에버</t>
        </is>
      </c>
      <c r="J2028" s="20" t="n">
        <v>200720</v>
      </c>
      <c r="L2028" s="20">
        <f>VLOOKUP($O2028,매칭테이블!$G:$J,2,0)*H2028</f>
        <v/>
      </c>
      <c r="M2028" s="20">
        <f>L2028-L2028*VLOOKUP($O2028,매칭테이블!$G:$J,3,0)</f>
        <v/>
      </c>
      <c r="N2028" s="20">
        <f>VLOOKUP($O2028,매칭테이블!$G:$J,4,0)*H2028</f>
        <v/>
      </c>
      <c r="O2028" s="20">
        <f>F2028&amp;E2028&amp;I2028&amp;J2028</f>
        <v/>
      </c>
    </row>
    <row r="2029" ht="16.5" customHeight="1" s="17">
      <c r="B2029" s="16" t="n">
        <v>44155</v>
      </c>
      <c r="C2029" s="20" t="inlineStr">
        <is>
          <t>금</t>
        </is>
      </c>
      <c r="E2029" s="20" t="inlineStr">
        <is>
          <t>고체향수</t>
        </is>
      </c>
      <c r="F2029" s="20" t="inlineStr">
        <is>
          <t>카페24</t>
        </is>
      </c>
      <c r="H2029" s="20" t="n">
        <v>1</v>
      </c>
      <c r="I2029" s="20" t="inlineStr">
        <is>
          <t>이그나이트 + 스테이포에버 2set</t>
        </is>
      </c>
      <c r="J2029" s="20" t="n">
        <v>200720</v>
      </c>
      <c r="L2029" s="20">
        <f>VLOOKUP($O2029,매칭테이블!$G:$J,2,0)*H2029</f>
        <v/>
      </c>
      <c r="M2029" s="20">
        <f>L2029-L2029*VLOOKUP($O2029,매칭테이블!$G:$J,3,0)</f>
        <v/>
      </c>
      <c r="N2029" s="20">
        <f>VLOOKUP($O2029,매칭테이블!$G:$J,4,0)*H2029</f>
        <v/>
      </c>
      <c r="O2029" s="20">
        <f>F2029&amp;E2029&amp;I2029&amp;J2029</f>
        <v/>
      </c>
    </row>
    <row r="2030" ht="16.5" customHeight="1" s="17">
      <c r="B2030" s="16" t="n">
        <v>44155</v>
      </c>
      <c r="C2030" s="20" t="inlineStr">
        <is>
          <t>금</t>
        </is>
      </c>
      <c r="E2030" s="20" t="inlineStr">
        <is>
          <t>고체향수</t>
        </is>
      </c>
      <c r="F2030" s="20" t="inlineStr">
        <is>
          <t>카페24</t>
        </is>
      </c>
      <c r="H2030" s="20" t="n">
        <v>168</v>
      </c>
      <c r="I2030" s="20" t="inlineStr">
        <is>
          <t>스테이포에버</t>
        </is>
      </c>
      <c r="J2030" s="20" t="n">
        <v>200720</v>
      </c>
      <c r="L2030" s="20">
        <f>VLOOKUP($O2030,매칭테이블!$G:$J,2,0)*H2030</f>
        <v/>
      </c>
      <c r="M2030" s="20">
        <f>L2030-L2030*VLOOKUP($O2030,매칭테이블!$G:$J,3,0)</f>
        <v/>
      </c>
      <c r="N2030" s="20">
        <f>VLOOKUP($O2030,매칭테이블!$G:$J,4,0)*H2030</f>
        <v/>
      </c>
      <c r="O2030" s="20">
        <f>F2030&amp;E2030&amp;I2030&amp;J2030</f>
        <v/>
      </c>
    </row>
    <row r="2031" ht="16.5" customHeight="1" s="17">
      <c r="B2031" s="16" t="n">
        <v>44155</v>
      </c>
      <c r="C2031" s="20" t="inlineStr">
        <is>
          <t>금</t>
        </is>
      </c>
      <c r="E2031" s="20" t="inlineStr">
        <is>
          <t>고체향수</t>
        </is>
      </c>
      <c r="F2031" s="20" t="inlineStr">
        <is>
          <t>카페24</t>
        </is>
      </c>
      <c r="H2031" s="20" t="n">
        <v>87</v>
      </c>
      <c r="I2031" s="20" t="inlineStr">
        <is>
          <t>스테이포에버 2set</t>
        </is>
      </c>
      <c r="J2031" s="20" t="n">
        <v>200720</v>
      </c>
      <c r="L2031" s="20">
        <f>VLOOKUP($O2031,매칭테이블!$G:$J,2,0)*H2031</f>
        <v/>
      </c>
      <c r="M2031" s="20">
        <f>L2031-L2031*VLOOKUP($O2031,매칭테이블!$G:$J,3,0)</f>
        <v/>
      </c>
      <c r="N2031" s="20">
        <f>VLOOKUP($O2031,매칭테이블!$G:$J,4,0)*H2031</f>
        <v/>
      </c>
      <c r="O2031" s="20">
        <f>F2031&amp;E2031&amp;I2031&amp;J2031</f>
        <v/>
      </c>
    </row>
    <row r="2032" ht="16.5" customHeight="1" s="17">
      <c r="B2032" s="16" t="n">
        <v>44155</v>
      </c>
      <c r="C2032" s="20" t="inlineStr">
        <is>
          <t>금</t>
        </is>
      </c>
      <c r="E2032" s="20" t="inlineStr">
        <is>
          <t>고체향수</t>
        </is>
      </c>
      <c r="F2032" s="20" t="inlineStr">
        <is>
          <t>카페24</t>
        </is>
      </c>
      <c r="H2032" s="20" t="n">
        <v>3</v>
      </c>
      <c r="I2032" s="20" t="inlineStr">
        <is>
          <t>이그나이트 2set</t>
        </is>
      </c>
      <c r="J2032" s="20" t="n">
        <v>200720</v>
      </c>
      <c r="L2032" s="20">
        <f>VLOOKUP($O2032,매칭테이블!$G:$J,2,0)*H2032</f>
        <v/>
      </c>
      <c r="M2032" s="20">
        <f>L2032-L2032*VLOOKUP($O2032,매칭테이블!$G:$J,3,0)</f>
        <v/>
      </c>
      <c r="N2032" s="20">
        <f>VLOOKUP($O2032,매칭테이블!$G:$J,4,0)*H2032</f>
        <v/>
      </c>
      <c r="O2032" s="20">
        <f>F2032&amp;E2032&amp;I2032&amp;J2032</f>
        <v/>
      </c>
    </row>
    <row r="2033" ht="16.5" customHeight="1" s="17">
      <c r="B2033" s="16" t="n">
        <v>44155</v>
      </c>
      <c r="C2033" s="20" t="inlineStr">
        <is>
          <t>금</t>
        </is>
      </c>
      <c r="E2033" s="20" t="inlineStr">
        <is>
          <t>쇼핑백</t>
        </is>
      </c>
      <c r="F2033" s="20" t="inlineStr">
        <is>
          <t>카페24</t>
        </is>
      </c>
      <c r="H2033" s="20" t="n">
        <v>9</v>
      </c>
      <c r="I2033" s="20" t="inlineStr">
        <is>
          <t>유즈쇼핑백</t>
        </is>
      </c>
      <c r="J2033" s="20" t="n">
        <v>200720</v>
      </c>
      <c r="L2033" s="20">
        <f>VLOOKUP($O2033,매칭테이블!$G:$J,2,0)*H2033</f>
        <v/>
      </c>
      <c r="M2033" s="20">
        <f>L2033-L2033*VLOOKUP($O2033,매칭테이블!$G:$J,3,0)</f>
        <v/>
      </c>
      <c r="N2033" s="20">
        <f>VLOOKUP($O2033,매칭테이블!$G:$J,4,0)*H2033</f>
        <v/>
      </c>
      <c r="O2033" s="20">
        <f>F2033&amp;E2033&amp;I2033&amp;J2033</f>
        <v/>
      </c>
    </row>
    <row r="2034" ht="16.5" customHeight="1" s="17">
      <c r="B2034" s="16" t="n">
        <v>44156</v>
      </c>
      <c r="C2034" s="20" t="inlineStr">
        <is>
          <t>토</t>
        </is>
      </c>
      <c r="E2034" s="20" t="inlineStr">
        <is>
          <t>고체향수</t>
        </is>
      </c>
      <c r="F2034" s="20" t="inlineStr">
        <is>
          <t>카페24</t>
        </is>
      </c>
      <c r="H2034" s="20" t="n">
        <v>15</v>
      </c>
      <c r="I2034" s="20" t="inlineStr">
        <is>
          <t>이그나이트 + 스테이포에버</t>
        </is>
      </c>
      <c r="J2034" s="20" t="n">
        <v>200720</v>
      </c>
      <c r="L2034" s="20">
        <f>VLOOKUP($O2034,매칭테이블!$G:$J,2,0)*H2034</f>
        <v/>
      </c>
      <c r="M2034" s="20">
        <f>L2034-L2034*VLOOKUP($O2034,매칭테이블!$G:$J,3,0)</f>
        <v/>
      </c>
      <c r="N2034" s="20">
        <f>VLOOKUP($O2034,매칭테이블!$G:$J,4,0)*H2034</f>
        <v/>
      </c>
      <c r="O2034" s="20">
        <f>F2034&amp;E2034&amp;I2034&amp;J2034</f>
        <v/>
      </c>
    </row>
    <row r="2035" ht="16.5" customHeight="1" s="17">
      <c r="B2035" s="16" t="n">
        <v>44156</v>
      </c>
      <c r="C2035" s="20" t="inlineStr">
        <is>
          <t>토</t>
        </is>
      </c>
      <c r="E2035" s="20" t="inlineStr">
        <is>
          <t>고체향수</t>
        </is>
      </c>
      <c r="F2035" s="20" t="inlineStr">
        <is>
          <t>카페24</t>
        </is>
      </c>
      <c r="H2035" s="20" t="n">
        <v>1</v>
      </c>
      <c r="I2035" s="20" t="inlineStr">
        <is>
          <t>이그나이트 + 스테이포에버 2set</t>
        </is>
      </c>
      <c r="J2035" s="20" t="n">
        <v>200720</v>
      </c>
      <c r="L2035" s="20">
        <f>VLOOKUP($O2035,매칭테이블!$G:$J,2,0)*H2035</f>
        <v/>
      </c>
      <c r="M2035" s="20">
        <f>L2035-L2035*VLOOKUP($O2035,매칭테이블!$G:$J,3,0)</f>
        <v/>
      </c>
      <c r="N2035" s="20">
        <f>VLOOKUP($O2035,매칭테이블!$G:$J,4,0)*H2035</f>
        <v/>
      </c>
      <c r="O2035" s="20">
        <f>F2035&amp;E2035&amp;I2035&amp;J2035</f>
        <v/>
      </c>
    </row>
    <row r="2036" ht="16.5" customHeight="1" s="17">
      <c r="B2036" s="16" t="n">
        <v>44156</v>
      </c>
      <c r="C2036" s="20" t="inlineStr">
        <is>
          <t>토</t>
        </is>
      </c>
      <c r="E2036" s="20" t="inlineStr">
        <is>
          <t>고체향수</t>
        </is>
      </c>
      <c r="F2036" s="20" t="inlineStr">
        <is>
          <t>카페24</t>
        </is>
      </c>
      <c r="H2036" s="20" t="n">
        <v>210</v>
      </c>
      <c r="I2036" s="20" t="inlineStr">
        <is>
          <t>스테이포에버</t>
        </is>
      </c>
      <c r="J2036" s="20" t="n">
        <v>200720</v>
      </c>
      <c r="L2036" s="20">
        <f>VLOOKUP($O2036,매칭테이블!$G:$J,2,0)*H2036</f>
        <v/>
      </c>
      <c r="M2036" s="20">
        <f>L2036-L2036*VLOOKUP($O2036,매칭테이블!$G:$J,3,0)</f>
        <v/>
      </c>
      <c r="N2036" s="20">
        <f>VLOOKUP($O2036,매칭테이블!$G:$J,4,0)*H2036</f>
        <v/>
      </c>
      <c r="O2036" s="20">
        <f>F2036&amp;E2036&amp;I2036&amp;J2036</f>
        <v/>
      </c>
    </row>
    <row r="2037" ht="16.5" customHeight="1" s="17">
      <c r="B2037" s="16" t="n">
        <v>44156</v>
      </c>
      <c r="C2037" s="20" t="inlineStr">
        <is>
          <t>토</t>
        </is>
      </c>
      <c r="E2037" s="20" t="inlineStr">
        <is>
          <t>고체향수</t>
        </is>
      </c>
      <c r="F2037" s="20" t="inlineStr">
        <is>
          <t>카페24</t>
        </is>
      </c>
      <c r="H2037" s="20" t="n">
        <v>96</v>
      </c>
      <c r="I2037" s="20" t="inlineStr">
        <is>
          <t>스테이포에버 2set</t>
        </is>
      </c>
      <c r="J2037" s="20" t="n">
        <v>200720</v>
      </c>
      <c r="L2037" s="20">
        <f>VLOOKUP($O2037,매칭테이블!$G:$J,2,0)*H2037</f>
        <v/>
      </c>
      <c r="M2037" s="20">
        <f>L2037-L2037*VLOOKUP($O2037,매칭테이블!$G:$J,3,0)</f>
        <v/>
      </c>
      <c r="N2037" s="20">
        <f>VLOOKUP($O2037,매칭테이블!$G:$J,4,0)*H2037</f>
        <v/>
      </c>
      <c r="O2037" s="20">
        <f>F2037&amp;E2037&amp;I2037&amp;J2037</f>
        <v/>
      </c>
    </row>
    <row r="2038" ht="16.5" customHeight="1" s="17">
      <c r="B2038" s="16" t="n">
        <v>44156</v>
      </c>
      <c r="C2038" s="20" t="inlineStr">
        <is>
          <t>토</t>
        </is>
      </c>
      <c r="E2038" s="20" t="inlineStr">
        <is>
          <t>고체향수</t>
        </is>
      </c>
      <c r="F2038" s="20" t="inlineStr">
        <is>
          <t>카페24</t>
        </is>
      </c>
      <c r="H2038" s="20" t="n">
        <v>3</v>
      </c>
      <c r="I2038" s="20" t="inlineStr">
        <is>
          <t>이그나이트</t>
        </is>
      </c>
      <c r="J2038" s="20" t="n">
        <v>200720</v>
      </c>
      <c r="L2038" s="20">
        <f>VLOOKUP($O2038,매칭테이블!$G:$J,2,0)*H2038</f>
        <v/>
      </c>
      <c r="M2038" s="20">
        <f>L2038-L2038*VLOOKUP($O2038,매칭테이블!$G:$J,3,0)</f>
        <v/>
      </c>
      <c r="N2038" s="20">
        <f>VLOOKUP($O2038,매칭테이블!$G:$J,4,0)*H2038</f>
        <v/>
      </c>
      <c r="O2038" s="20">
        <f>F2038&amp;E2038&amp;I2038&amp;J2038</f>
        <v/>
      </c>
    </row>
    <row r="2039" ht="16.5" customHeight="1" s="17">
      <c r="B2039" s="16" t="n">
        <v>44156</v>
      </c>
      <c r="C2039" s="20" t="inlineStr">
        <is>
          <t>토</t>
        </is>
      </c>
      <c r="E2039" s="20" t="inlineStr">
        <is>
          <t>고체향수</t>
        </is>
      </c>
      <c r="F2039" s="20" t="inlineStr">
        <is>
          <t>카페24</t>
        </is>
      </c>
      <c r="H2039" s="20" t="n">
        <v>1</v>
      </c>
      <c r="I2039" s="20" t="inlineStr">
        <is>
          <t>이그나이트 2set</t>
        </is>
      </c>
      <c r="J2039" s="20" t="n">
        <v>200720</v>
      </c>
      <c r="L2039" s="20">
        <f>VLOOKUP($O2039,매칭테이블!$G:$J,2,0)*H2039</f>
        <v/>
      </c>
      <c r="M2039" s="20">
        <f>L2039-L2039*VLOOKUP($O2039,매칭테이블!$G:$J,3,0)</f>
        <v/>
      </c>
      <c r="N2039" s="20">
        <f>VLOOKUP($O2039,매칭테이블!$G:$J,4,0)*H2039</f>
        <v/>
      </c>
      <c r="O2039" s="20">
        <f>F2039&amp;E2039&amp;I2039&amp;J2039</f>
        <v/>
      </c>
    </row>
    <row r="2040" ht="16.5" customHeight="1" s="17">
      <c r="B2040" s="16" t="n">
        <v>44156</v>
      </c>
      <c r="C2040" s="20" t="inlineStr">
        <is>
          <t>토</t>
        </is>
      </c>
      <c r="E2040" s="20" t="inlineStr">
        <is>
          <t>쇼핑백</t>
        </is>
      </c>
      <c r="F2040" s="20" t="inlineStr">
        <is>
          <t>카페24</t>
        </is>
      </c>
      <c r="H2040" s="20" t="n">
        <v>5</v>
      </c>
      <c r="I2040" s="20" t="inlineStr">
        <is>
          <t>유즈쇼핑백</t>
        </is>
      </c>
      <c r="J2040" s="20" t="n">
        <v>200720</v>
      </c>
      <c r="L2040" s="20">
        <f>VLOOKUP($O2040,매칭테이블!$G:$J,2,0)*H2040</f>
        <v/>
      </c>
      <c r="M2040" s="20">
        <f>L2040-L2040*VLOOKUP($O2040,매칭테이블!$G:$J,3,0)</f>
        <v/>
      </c>
      <c r="N2040" s="20">
        <f>VLOOKUP($O2040,매칭테이블!$G:$J,4,0)*H2040</f>
        <v/>
      </c>
      <c r="O2040" s="20">
        <f>F2040&amp;E2040&amp;I2040&amp;J2040</f>
        <v/>
      </c>
    </row>
    <row r="2041" ht="16.5" customHeight="1" s="17">
      <c r="B2041" s="16" t="n">
        <v>44157</v>
      </c>
      <c r="C2041" s="20" t="inlineStr">
        <is>
          <t>일</t>
        </is>
      </c>
      <c r="E2041" s="20" t="inlineStr">
        <is>
          <t>고체향수</t>
        </is>
      </c>
      <c r="F2041" s="20" t="inlineStr">
        <is>
          <t>카페24</t>
        </is>
      </c>
      <c r="H2041" s="20" t="n">
        <v>24</v>
      </c>
      <c r="I2041" s="20" t="inlineStr">
        <is>
          <t>이그나이트 + 스테이포에버</t>
        </is>
      </c>
      <c r="J2041" s="20" t="n">
        <v>200720</v>
      </c>
      <c r="L2041" s="20">
        <f>VLOOKUP($O2041,매칭테이블!$G:$J,2,0)*H2041</f>
        <v/>
      </c>
      <c r="M2041" s="20">
        <f>L2041-L2041*VLOOKUP($O2041,매칭테이블!$G:$J,3,0)</f>
        <v/>
      </c>
      <c r="N2041" s="20">
        <f>VLOOKUP($O2041,매칭테이블!$G:$J,4,0)*H2041</f>
        <v/>
      </c>
      <c r="O2041" s="20">
        <f>F2041&amp;E2041&amp;I2041&amp;J2041</f>
        <v/>
      </c>
    </row>
    <row r="2042" ht="16.5" customHeight="1" s="17">
      <c r="B2042" s="16" t="n">
        <v>44157</v>
      </c>
      <c r="C2042" s="20" t="inlineStr">
        <is>
          <t>일</t>
        </is>
      </c>
      <c r="E2042" s="20" t="inlineStr">
        <is>
          <t>고체향수</t>
        </is>
      </c>
      <c r="F2042" s="20" t="inlineStr">
        <is>
          <t>카페24</t>
        </is>
      </c>
      <c r="H2042" s="20" t="n">
        <v>196</v>
      </c>
      <c r="I2042" s="20" t="inlineStr">
        <is>
          <t>스테이포에버</t>
        </is>
      </c>
      <c r="J2042" s="20" t="n">
        <v>200720</v>
      </c>
      <c r="L2042" s="20">
        <f>VLOOKUP($O2042,매칭테이블!$G:$J,2,0)*H2042</f>
        <v/>
      </c>
      <c r="M2042" s="20">
        <f>L2042-L2042*VLOOKUP($O2042,매칭테이블!$G:$J,3,0)</f>
        <v/>
      </c>
      <c r="N2042" s="20">
        <f>VLOOKUP($O2042,매칭테이블!$G:$J,4,0)*H2042</f>
        <v/>
      </c>
      <c r="O2042" s="20">
        <f>F2042&amp;E2042&amp;I2042&amp;J2042</f>
        <v/>
      </c>
    </row>
    <row r="2043" ht="16.5" customHeight="1" s="17">
      <c r="B2043" s="16" t="n">
        <v>44157</v>
      </c>
      <c r="C2043" s="20" t="inlineStr">
        <is>
          <t>일</t>
        </is>
      </c>
      <c r="E2043" s="20" t="inlineStr">
        <is>
          <t>고체향수</t>
        </is>
      </c>
      <c r="F2043" s="20" t="inlineStr">
        <is>
          <t>카페24</t>
        </is>
      </c>
      <c r="H2043" s="20" t="n">
        <v>99</v>
      </c>
      <c r="I2043" s="20" t="inlineStr">
        <is>
          <t>스테이포에버 2set</t>
        </is>
      </c>
      <c r="J2043" s="20" t="n">
        <v>200720</v>
      </c>
      <c r="L2043" s="20">
        <f>VLOOKUP($O2043,매칭테이블!$G:$J,2,0)*H2043</f>
        <v/>
      </c>
      <c r="M2043" s="20">
        <f>L2043-L2043*VLOOKUP($O2043,매칭테이블!$G:$J,3,0)</f>
        <v/>
      </c>
      <c r="N2043" s="20">
        <f>VLOOKUP($O2043,매칭테이블!$G:$J,4,0)*H2043</f>
        <v/>
      </c>
      <c r="O2043" s="20">
        <f>F2043&amp;E2043&amp;I2043&amp;J2043</f>
        <v/>
      </c>
    </row>
    <row r="2044" ht="16.5" customHeight="1" s="17">
      <c r="B2044" s="16" t="n">
        <v>44157</v>
      </c>
      <c r="C2044" s="20" t="inlineStr">
        <is>
          <t>일</t>
        </is>
      </c>
      <c r="E2044" s="20" t="inlineStr">
        <is>
          <t>고체향수</t>
        </is>
      </c>
      <c r="F2044" s="20" t="inlineStr">
        <is>
          <t>카페24</t>
        </is>
      </c>
      <c r="H2044" s="20" t="n">
        <v>7</v>
      </c>
      <c r="I2044" s="20" t="inlineStr">
        <is>
          <t>이그나이트</t>
        </is>
      </c>
      <c r="J2044" s="20" t="n">
        <v>200720</v>
      </c>
      <c r="L2044" s="20">
        <f>VLOOKUP($O2044,매칭테이블!$G:$J,2,0)*H2044</f>
        <v/>
      </c>
      <c r="M2044" s="20">
        <f>L2044-L2044*VLOOKUP($O2044,매칭테이블!$G:$J,3,0)</f>
        <v/>
      </c>
      <c r="N2044" s="20">
        <f>VLOOKUP($O2044,매칭테이블!$G:$J,4,0)*H2044</f>
        <v/>
      </c>
      <c r="O2044" s="20">
        <f>F2044&amp;E2044&amp;I2044&amp;J2044</f>
        <v/>
      </c>
    </row>
    <row r="2045" ht="16.5" customHeight="1" s="17">
      <c r="B2045" s="16" t="n">
        <v>44157</v>
      </c>
      <c r="C2045" s="20" t="inlineStr">
        <is>
          <t>일</t>
        </is>
      </c>
      <c r="E2045" s="20" t="inlineStr">
        <is>
          <t>쇼핑백</t>
        </is>
      </c>
      <c r="F2045" s="20" t="inlineStr">
        <is>
          <t>카페24</t>
        </is>
      </c>
      <c r="H2045" s="20" t="n">
        <v>7</v>
      </c>
      <c r="I2045" s="20" t="inlineStr">
        <is>
          <t>유즈쇼핑백</t>
        </is>
      </c>
      <c r="J2045" s="20" t="n">
        <v>200720</v>
      </c>
      <c r="L2045" s="20">
        <f>VLOOKUP($O2045,매칭테이블!$G:$J,2,0)*H2045</f>
        <v/>
      </c>
      <c r="M2045" s="20">
        <f>L2045-L2045*VLOOKUP($O2045,매칭테이블!$G:$J,3,0)</f>
        <v/>
      </c>
      <c r="N2045" s="20">
        <f>VLOOKUP($O2045,매칭테이블!$G:$J,4,0)*H2045</f>
        <v/>
      </c>
      <c r="O2045" s="20">
        <f>F2045&amp;E2045&amp;I2045&amp;J2045</f>
        <v/>
      </c>
    </row>
    <row r="2046" ht="16.5" customHeight="1" s="17">
      <c r="B2046" s="16" t="n">
        <v>44158</v>
      </c>
      <c r="C2046" s="20" t="inlineStr">
        <is>
          <t>월</t>
        </is>
      </c>
      <c r="E2046" s="20" t="inlineStr">
        <is>
          <t>고체향수</t>
        </is>
      </c>
      <c r="F2046" s="20" t="inlineStr">
        <is>
          <t>카페24</t>
        </is>
      </c>
      <c r="H2046" s="20" t="n">
        <v>12</v>
      </c>
      <c r="I2046" s="20" t="inlineStr">
        <is>
          <t>이그나이트 + 스테이포에버</t>
        </is>
      </c>
      <c r="J2046" s="20" t="n">
        <v>200720</v>
      </c>
      <c r="L2046" s="20">
        <f>VLOOKUP($O2046,매칭테이블!$G:$J,2,0)*H2046</f>
        <v/>
      </c>
      <c r="M2046" s="20">
        <f>L2046-L2046*VLOOKUP($O2046,매칭테이블!$G:$J,3,0)</f>
        <v/>
      </c>
      <c r="N2046" s="20">
        <f>VLOOKUP($O2046,매칭테이블!$G:$J,4,0)*H2046</f>
        <v/>
      </c>
      <c r="O2046" s="20">
        <f>F2046&amp;E2046&amp;I2046&amp;J2046</f>
        <v/>
      </c>
    </row>
    <row r="2047" ht="16.5" customHeight="1" s="17">
      <c r="B2047" s="16" t="n">
        <v>44158</v>
      </c>
      <c r="C2047" s="20" t="inlineStr">
        <is>
          <t>월</t>
        </is>
      </c>
      <c r="E2047" s="20" t="inlineStr">
        <is>
          <t>고체향수</t>
        </is>
      </c>
      <c r="F2047" s="20" t="inlineStr">
        <is>
          <t>카페24</t>
        </is>
      </c>
      <c r="H2047" s="20" t="n">
        <v>128</v>
      </c>
      <c r="I2047" s="20" t="inlineStr">
        <is>
          <t>스테이포에버</t>
        </is>
      </c>
      <c r="J2047" s="20" t="n">
        <v>200720</v>
      </c>
      <c r="L2047" s="20">
        <f>VLOOKUP($O2047,매칭테이블!$G:$J,2,0)*H2047</f>
        <v/>
      </c>
      <c r="M2047" s="20">
        <f>L2047-L2047*VLOOKUP($O2047,매칭테이블!$G:$J,3,0)</f>
        <v/>
      </c>
      <c r="N2047" s="20">
        <f>VLOOKUP($O2047,매칭테이블!$G:$J,4,0)*H2047</f>
        <v/>
      </c>
      <c r="O2047" s="20">
        <f>F2047&amp;E2047&amp;I2047&amp;J2047</f>
        <v/>
      </c>
    </row>
    <row r="2048" ht="16.5" customHeight="1" s="17">
      <c r="B2048" s="16" t="n">
        <v>44158</v>
      </c>
      <c r="C2048" s="20" t="inlineStr">
        <is>
          <t>월</t>
        </is>
      </c>
      <c r="E2048" s="20" t="inlineStr">
        <is>
          <t>고체향수</t>
        </is>
      </c>
      <c r="F2048" s="20" t="inlineStr">
        <is>
          <t>카페24</t>
        </is>
      </c>
      <c r="H2048" s="20" t="n">
        <v>62</v>
      </c>
      <c r="I2048" s="20" t="inlineStr">
        <is>
          <t>스테이포에버 2set</t>
        </is>
      </c>
      <c r="J2048" s="20" t="n">
        <v>200720</v>
      </c>
      <c r="L2048" s="20">
        <f>VLOOKUP($O2048,매칭테이블!$G:$J,2,0)*H2048</f>
        <v/>
      </c>
      <c r="M2048" s="20">
        <f>L2048-L2048*VLOOKUP($O2048,매칭테이블!$G:$J,3,0)</f>
        <v/>
      </c>
      <c r="N2048" s="20">
        <f>VLOOKUP($O2048,매칭테이블!$G:$J,4,0)*H2048</f>
        <v/>
      </c>
      <c r="O2048" s="20">
        <f>F2048&amp;E2048&amp;I2048&amp;J2048</f>
        <v/>
      </c>
    </row>
    <row r="2049" ht="16.5" customHeight="1" s="17">
      <c r="B2049" s="16" t="n">
        <v>44158</v>
      </c>
      <c r="C2049" s="20" t="inlineStr">
        <is>
          <t>월</t>
        </is>
      </c>
      <c r="E2049" s="20" t="inlineStr">
        <is>
          <t>고체향수</t>
        </is>
      </c>
      <c r="F2049" s="20" t="inlineStr">
        <is>
          <t>카페24</t>
        </is>
      </c>
      <c r="H2049" s="20" t="n">
        <v>1</v>
      </c>
      <c r="I2049" s="20" t="inlineStr">
        <is>
          <t>이그나이트</t>
        </is>
      </c>
      <c r="J2049" s="20" t="n">
        <v>200720</v>
      </c>
      <c r="L2049" s="20">
        <f>VLOOKUP($O2049,매칭테이블!$G:$J,2,0)*H2049</f>
        <v/>
      </c>
      <c r="M2049" s="20">
        <f>L2049-L2049*VLOOKUP($O2049,매칭테이블!$G:$J,3,0)</f>
        <v/>
      </c>
      <c r="N2049" s="20">
        <f>VLOOKUP($O2049,매칭테이블!$G:$J,4,0)*H2049</f>
        <v/>
      </c>
      <c r="O2049" s="20">
        <f>F2049&amp;E2049&amp;I2049&amp;J2049</f>
        <v/>
      </c>
    </row>
    <row r="2050" ht="16.5" customHeight="1" s="17">
      <c r="B2050" s="16" t="n">
        <v>44158</v>
      </c>
      <c r="C2050" s="20" t="inlineStr">
        <is>
          <t>월</t>
        </is>
      </c>
      <c r="E2050" s="20" t="inlineStr">
        <is>
          <t>쇼핑백</t>
        </is>
      </c>
      <c r="F2050" s="20" t="inlineStr">
        <is>
          <t>카페24</t>
        </is>
      </c>
      <c r="H2050" s="20" t="n">
        <v>4</v>
      </c>
      <c r="I2050" s="20" t="inlineStr">
        <is>
          <t>유즈쇼핑백</t>
        </is>
      </c>
      <c r="J2050" s="20" t="n">
        <v>200720</v>
      </c>
      <c r="L2050" s="20">
        <f>VLOOKUP($O2050,매칭테이블!$G:$J,2,0)*H2050</f>
        <v/>
      </c>
      <c r="M2050" s="20">
        <f>L2050-L2050*VLOOKUP($O2050,매칭테이블!$G:$J,3,0)</f>
        <v/>
      </c>
      <c r="N2050" s="20">
        <f>VLOOKUP($O2050,매칭테이블!$G:$J,4,0)*H2050</f>
        <v/>
      </c>
      <c r="O2050" s="20">
        <f>F2050&amp;E2050&amp;I2050&amp;J2050</f>
        <v/>
      </c>
    </row>
    <row r="2051" ht="16.5" customHeight="1" s="17">
      <c r="B2051" s="16" t="n">
        <v>44159</v>
      </c>
      <c r="C2051" s="20" t="inlineStr">
        <is>
          <t>화</t>
        </is>
      </c>
      <c r="E2051" s="20" t="inlineStr">
        <is>
          <t>고체향수</t>
        </is>
      </c>
      <c r="F2051" s="20" t="inlineStr">
        <is>
          <t>카페24</t>
        </is>
      </c>
      <c r="H2051" s="20" t="n">
        <v>11</v>
      </c>
      <c r="I2051" s="20" t="inlineStr">
        <is>
          <t>이그나이트 + 스테이포에버</t>
        </is>
      </c>
      <c r="J2051" s="20" t="n">
        <v>200720</v>
      </c>
      <c r="L2051" s="20">
        <f>VLOOKUP($O2051,매칭테이블!$G:$J,2,0)*H2051</f>
        <v/>
      </c>
      <c r="M2051" s="20">
        <f>L2051-L2051*VLOOKUP($O2051,매칭테이블!$G:$J,3,0)</f>
        <v/>
      </c>
      <c r="N2051" s="20">
        <f>VLOOKUP($O2051,매칭테이블!$G:$J,4,0)*H2051</f>
        <v/>
      </c>
      <c r="O2051" s="20">
        <f>F2051&amp;E2051&amp;I2051&amp;J2051</f>
        <v/>
      </c>
    </row>
    <row r="2052" ht="16.5" customHeight="1" s="17">
      <c r="B2052" s="16" t="n">
        <v>44159</v>
      </c>
      <c r="C2052" s="20" t="inlineStr">
        <is>
          <t>화</t>
        </is>
      </c>
      <c r="E2052" s="20" t="inlineStr">
        <is>
          <t>고체향수</t>
        </is>
      </c>
      <c r="F2052" s="20" t="inlineStr">
        <is>
          <t>카페24</t>
        </is>
      </c>
      <c r="H2052" s="20" t="n">
        <v>140</v>
      </c>
      <c r="I2052" s="20" t="inlineStr">
        <is>
          <t>스테이포에버</t>
        </is>
      </c>
      <c r="J2052" s="20" t="n">
        <v>200720</v>
      </c>
      <c r="L2052" s="20">
        <f>VLOOKUP($O2052,매칭테이블!$G:$J,2,0)*H2052</f>
        <v/>
      </c>
      <c r="M2052" s="20">
        <f>L2052-L2052*VLOOKUP($O2052,매칭테이블!$G:$J,3,0)</f>
        <v/>
      </c>
      <c r="N2052" s="20">
        <f>VLOOKUP($O2052,매칭테이블!$G:$J,4,0)*H2052</f>
        <v/>
      </c>
      <c r="O2052" s="20">
        <f>F2052&amp;E2052&amp;I2052&amp;J2052</f>
        <v/>
      </c>
    </row>
    <row r="2053" ht="16.5" customHeight="1" s="17">
      <c r="B2053" s="16" t="n">
        <v>44159</v>
      </c>
      <c r="C2053" s="20" t="inlineStr">
        <is>
          <t>화</t>
        </is>
      </c>
      <c r="E2053" s="20" t="inlineStr">
        <is>
          <t>고체향수</t>
        </is>
      </c>
      <c r="F2053" s="20" t="inlineStr">
        <is>
          <t>카페24</t>
        </is>
      </c>
      <c r="H2053" s="20" t="n">
        <v>48</v>
      </c>
      <c r="I2053" s="20" t="inlineStr">
        <is>
          <t>스테이포에버 2set</t>
        </is>
      </c>
      <c r="J2053" s="20" t="n">
        <v>200720</v>
      </c>
      <c r="L2053" s="20">
        <f>VLOOKUP($O2053,매칭테이블!$G:$J,2,0)*H2053</f>
        <v/>
      </c>
      <c r="M2053" s="20">
        <f>L2053-L2053*VLOOKUP($O2053,매칭테이블!$G:$J,3,0)</f>
        <v/>
      </c>
      <c r="N2053" s="20">
        <f>VLOOKUP($O2053,매칭테이블!$G:$J,4,0)*H2053</f>
        <v/>
      </c>
      <c r="O2053" s="20">
        <f>F2053&amp;E2053&amp;I2053&amp;J2053</f>
        <v/>
      </c>
    </row>
    <row r="2054" ht="16.5" customHeight="1" s="17">
      <c r="B2054" s="16" t="n">
        <v>44159</v>
      </c>
      <c r="C2054" s="20" t="inlineStr">
        <is>
          <t>화</t>
        </is>
      </c>
      <c r="E2054" s="20" t="inlineStr">
        <is>
          <t>고체향수</t>
        </is>
      </c>
      <c r="F2054" s="20" t="inlineStr">
        <is>
          <t>카페24</t>
        </is>
      </c>
      <c r="H2054" s="20" t="n">
        <v>6</v>
      </c>
      <c r="I2054" s="20" t="inlineStr">
        <is>
          <t>이그나이트</t>
        </is>
      </c>
      <c r="J2054" s="20" t="n">
        <v>200720</v>
      </c>
      <c r="L2054" s="20">
        <f>VLOOKUP($O2054,매칭테이블!$G:$J,2,0)*H2054</f>
        <v/>
      </c>
      <c r="M2054" s="20">
        <f>L2054-L2054*VLOOKUP($O2054,매칭테이블!$G:$J,3,0)</f>
        <v/>
      </c>
      <c r="N2054" s="20">
        <f>VLOOKUP($O2054,매칭테이블!$G:$J,4,0)*H2054</f>
        <v/>
      </c>
      <c r="O2054" s="20">
        <f>F2054&amp;E2054&amp;I2054&amp;J2054</f>
        <v/>
      </c>
    </row>
    <row r="2055" ht="16.5" customHeight="1" s="17">
      <c r="B2055" s="16" t="n">
        <v>44159</v>
      </c>
      <c r="C2055" s="20" t="inlineStr">
        <is>
          <t>화</t>
        </is>
      </c>
      <c r="E2055" s="20" t="inlineStr">
        <is>
          <t>쇼핑백</t>
        </is>
      </c>
      <c r="F2055" s="20" t="inlineStr">
        <is>
          <t>카페24</t>
        </is>
      </c>
      <c r="H2055" s="20" t="n">
        <v>3</v>
      </c>
      <c r="I2055" s="20" t="inlineStr">
        <is>
          <t>유즈쇼핑백</t>
        </is>
      </c>
      <c r="J2055" s="20" t="n">
        <v>200720</v>
      </c>
      <c r="L2055" s="20">
        <f>VLOOKUP($O2055,매칭테이블!$G:$J,2,0)*H2055</f>
        <v/>
      </c>
      <c r="M2055" s="20">
        <f>L2055-L2055*VLOOKUP($O2055,매칭테이블!$G:$J,3,0)</f>
        <v/>
      </c>
      <c r="N2055" s="20">
        <f>VLOOKUP($O2055,매칭테이블!$G:$J,4,0)*H2055</f>
        <v/>
      </c>
      <c r="O2055" s="20">
        <f>F2055&amp;E2055&amp;I2055&amp;J2055</f>
        <v/>
      </c>
    </row>
    <row r="2056" ht="16.5" customHeight="1" s="17">
      <c r="B2056" s="16" t="n">
        <v>44160</v>
      </c>
      <c r="C2056" s="20" t="inlineStr">
        <is>
          <t>수</t>
        </is>
      </c>
      <c r="E2056" s="20" t="inlineStr">
        <is>
          <t>고체향수</t>
        </is>
      </c>
      <c r="F2056" s="20" t="inlineStr">
        <is>
          <t>카페24</t>
        </is>
      </c>
      <c r="H2056" s="20" t="n">
        <v>21</v>
      </c>
      <c r="I2056" s="20" t="inlineStr">
        <is>
          <t>이그나이트 + 스테이포에버</t>
        </is>
      </c>
      <c r="J2056" s="20" t="n">
        <v>200720</v>
      </c>
      <c r="L2056" s="20">
        <f>VLOOKUP($O2056,매칭테이블!$G:$J,2,0)*H2056</f>
        <v/>
      </c>
      <c r="M2056" s="20">
        <f>L2056-L2056*VLOOKUP($O2056,매칭테이블!$G:$J,3,0)</f>
        <v/>
      </c>
      <c r="N2056" s="20">
        <f>VLOOKUP($O2056,매칭테이블!$G:$J,4,0)*H2056</f>
        <v/>
      </c>
      <c r="O2056" s="20">
        <f>F2056&amp;E2056&amp;I2056&amp;J2056</f>
        <v/>
      </c>
    </row>
    <row r="2057" ht="16.5" customHeight="1" s="17">
      <c r="B2057" s="16" t="n">
        <v>44160</v>
      </c>
      <c r="C2057" s="20" t="inlineStr">
        <is>
          <t>수</t>
        </is>
      </c>
      <c r="E2057" s="20" t="inlineStr">
        <is>
          <t>고체향수</t>
        </is>
      </c>
      <c r="F2057" s="20" t="inlineStr">
        <is>
          <t>카페24</t>
        </is>
      </c>
      <c r="H2057" s="20" t="n">
        <v>119</v>
      </c>
      <c r="I2057" s="20" t="inlineStr">
        <is>
          <t>스테이포에버</t>
        </is>
      </c>
      <c r="J2057" s="20" t="n">
        <v>200720</v>
      </c>
      <c r="L2057" s="20">
        <f>VLOOKUP($O2057,매칭테이블!$G:$J,2,0)*H2057</f>
        <v/>
      </c>
      <c r="M2057" s="20">
        <f>L2057-L2057*VLOOKUP($O2057,매칭테이블!$G:$J,3,0)</f>
        <v/>
      </c>
      <c r="N2057" s="20">
        <f>VLOOKUP($O2057,매칭테이블!$G:$J,4,0)*H2057</f>
        <v/>
      </c>
      <c r="O2057" s="20">
        <f>F2057&amp;E2057&amp;I2057&amp;J2057</f>
        <v/>
      </c>
    </row>
    <row r="2058" ht="16.5" customHeight="1" s="17">
      <c r="B2058" s="16" t="n">
        <v>44160</v>
      </c>
      <c r="C2058" s="20" t="inlineStr">
        <is>
          <t>수</t>
        </is>
      </c>
      <c r="E2058" s="20" t="inlineStr">
        <is>
          <t>고체향수</t>
        </is>
      </c>
      <c r="F2058" s="20" t="inlineStr">
        <is>
          <t>카페24</t>
        </is>
      </c>
      <c r="H2058" s="20" t="n">
        <v>51</v>
      </c>
      <c r="I2058" s="20" t="inlineStr">
        <is>
          <t>스테이포에버 2set</t>
        </is>
      </c>
      <c r="J2058" s="20" t="n">
        <v>200720</v>
      </c>
      <c r="L2058" s="20">
        <f>VLOOKUP($O2058,매칭테이블!$G:$J,2,0)*H2058</f>
        <v/>
      </c>
      <c r="M2058" s="20">
        <f>L2058-L2058*VLOOKUP($O2058,매칭테이블!$G:$J,3,0)</f>
        <v/>
      </c>
      <c r="N2058" s="20">
        <f>VLOOKUP($O2058,매칭테이블!$G:$J,4,0)*H2058</f>
        <v/>
      </c>
      <c r="O2058" s="20">
        <f>F2058&amp;E2058&amp;I2058&amp;J2058</f>
        <v/>
      </c>
    </row>
    <row r="2059" ht="16.5" customHeight="1" s="17">
      <c r="B2059" s="16" t="n">
        <v>44160</v>
      </c>
      <c r="C2059" s="20" t="inlineStr">
        <is>
          <t>수</t>
        </is>
      </c>
      <c r="E2059" s="20" t="inlineStr">
        <is>
          <t>고체향수</t>
        </is>
      </c>
      <c r="F2059" s="20" t="inlineStr">
        <is>
          <t>카페24</t>
        </is>
      </c>
      <c r="H2059" s="20" t="n">
        <v>3</v>
      </c>
      <c r="I2059" s="20" t="inlineStr">
        <is>
          <t>이그나이트</t>
        </is>
      </c>
      <c r="J2059" s="20" t="n">
        <v>200720</v>
      </c>
      <c r="L2059" s="20">
        <f>VLOOKUP($O2059,매칭테이블!$G:$J,2,0)*H2059</f>
        <v/>
      </c>
      <c r="M2059" s="20">
        <f>L2059-L2059*VLOOKUP($O2059,매칭테이블!$G:$J,3,0)</f>
        <v/>
      </c>
      <c r="N2059" s="20">
        <f>VLOOKUP($O2059,매칭테이블!$G:$J,4,0)*H2059</f>
        <v/>
      </c>
      <c r="O2059" s="20">
        <f>F2059&amp;E2059&amp;I2059&amp;J2059</f>
        <v/>
      </c>
    </row>
    <row r="2060" ht="16.5" customHeight="1" s="17">
      <c r="B2060" s="16" t="n">
        <v>44160</v>
      </c>
      <c r="C2060" s="20" t="inlineStr">
        <is>
          <t>수</t>
        </is>
      </c>
      <c r="E2060" s="20" t="inlineStr">
        <is>
          <t>쇼핑백</t>
        </is>
      </c>
      <c r="F2060" s="20" t="inlineStr">
        <is>
          <t>카페24</t>
        </is>
      </c>
      <c r="H2060" s="20" t="n">
        <v>1</v>
      </c>
      <c r="I2060" s="20" t="inlineStr">
        <is>
          <t>유즈쇼핑백</t>
        </is>
      </c>
      <c r="J2060" s="20" t="n">
        <v>200720</v>
      </c>
      <c r="L2060" s="20">
        <f>VLOOKUP($O2060,매칭테이블!$G:$J,2,0)*H2060</f>
        <v/>
      </c>
      <c r="M2060" s="20">
        <f>L2060-L2060*VLOOKUP($O2060,매칭테이블!$G:$J,3,0)</f>
        <v/>
      </c>
      <c r="N2060" s="20">
        <f>VLOOKUP($O2060,매칭테이블!$G:$J,4,0)*H2060</f>
        <v/>
      </c>
      <c r="O2060" s="20">
        <f>F2060&amp;E2060&amp;I2060&amp;J2060</f>
        <v/>
      </c>
    </row>
    <row r="2061" ht="16.5" customHeight="1" s="17">
      <c r="B2061" s="16" t="n">
        <v>44161</v>
      </c>
      <c r="C2061" s="20" t="inlineStr">
        <is>
          <t>목</t>
        </is>
      </c>
      <c r="E2061" s="20" t="inlineStr">
        <is>
          <t>고체향수</t>
        </is>
      </c>
      <c r="F2061" s="20" t="inlineStr">
        <is>
          <t>카페24</t>
        </is>
      </c>
      <c r="H2061" s="20" t="n">
        <v>11</v>
      </c>
      <c r="I2061" s="20" t="inlineStr">
        <is>
          <t>이그나이트 + 스테이포에버</t>
        </is>
      </c>
      <c r="J2061" s="20" t="n">
        <v>200720</v>
      </c>
      <c r="L2061" s="20">
        <f>VLOOKUP($O2061,매칭테이블!$G:$J,2,0)*H2061</f>
        <v/>
      </c>
      <c r="M2061" s="20">
        <f>L2061-L2061*VLOOKUP($O2061,매칭테이블!$G:$J,3,0)</f>
        <v/>
      </c>
      <c r="N2061" s="20">
        <f>VLOOKUP($O2061,매칭테이블!$G:$J,4,0)*H2061</f>
        <v/>
      </c>
      <c r="O2061" s="20">
        <f>F2061&amp;E2061&amp;I2061&amp;J2061</f>
        <v/>
      </c>
    </row>
    <row r="2062" ht="16.5" customHeight="1" s="17">
      <c r="B2062" s="16" t="n">
        <v>44161</v>
      </c>
      <c r="C2062" s="20" t="inlineStr">
        <is>
          <t>목</t>
        </is>
      </c>
      <c r="E2062" s="20" t="inlineStr">
        <is>
          <t>고체향수</t>
        </is>
      </c>
      <c r="F2062" s="20" t="inlineStr">
        <is>
          <t>카페24</t>
        </is>
      </c>
      <c r="H2062" s="20" t="n">
        <v>138</v>
      </c>
      <c r="I2062" s="20" t="inlineStr">
        <is>
          <t>스테이포에버</t>
        </is>
      </c>
      <c r="J2062" s="20" t="n">
        <v>200720</v>
      </c>
      <c r="L2062" s="20">
        <f>VLOOKUP($O2062,매칭테이블!$G:$J,2,0)*H2062</f>
        <v/>
      </c>
      <c r="M2062" s="20">
        <f>L2062-L2062*VLOOKUP($O2062,매칭테이블!$G:$J,3,0)</f>
        <v/>
      </c>
      <c r="N2062" s="20">
        <f>VLOOKUP($O2062,매칭테이블!$G:$J,4,0)*H2062</f>
        <v/>
      </c>
      <c r="O2062" s="20">
        <f>F2062&amp;E2062&amp;I2062&amp;J2062</f>
        <v/>
      </c>
    </row>
    <row r="2063" ht="16.5" customHeight="1" s="17">
      <c r="B2063" s="16" t="n">
        <v>44161</v>
      </c>
      <c r="C2063" s="20" t="inlineStr">
        <is>
          <t>목</t>
        </is>
      </c>
      <c r="E2063" s="20" t="inlineStr">
        <is>
          <t>고체향수</t>
        </is>
      </c>
      <c r="F2063" s="20" t="inlineStr">
        <is>
          <t>카페24</t>
        </is>
      </c>
      <c r="H2063" s="20" t="n">
        <v>43</v>
      </c>
      <c r="I2063" s="20" t="inlineStr">
        <is>
          <t>스테이포에버 2set</t>
        </is>
      </c>
      <c r="J2063" s="20" t="n">
        <v>200720</v>
      </c>
      <c r="L2063" s="20">
        <f>VLOOKUP($O2063,매칭테이블!$G:$J,2,0)*H2063</f>
        <v/>
      </c>
      <c r="M2063" s="20">
        <f>L2063-L2063*VLOOKUP($O2063,매칭테이블!$G:$J,3,0)</f>
        <v/>
      </c>
      <c r="N2063" s="20">
        <f>VLOOKUP($O2063,매칭테이블!$G:$J,4,0)*H2063</f>
        <v/>
      </c>
      <c r="O2063" s="20">
        <f>F2063&amp;E2063&amp;I2063&amp;J2063</f>
        <v/>
      </c>
    </row>
    <row r="2064" ht="16.5" customHeight="1" s="17">
      <c r="B2064" s="16" t="n">
        <v>44161</v>
      </c>
      <c r="C2064" s="20" t="inlineStr">
        <is>
          <t>목</t>
        </is>
      </c>
      <c r="E2064" s="20" t="inlineStr">
        <is>
          <t>고체향수</t>
        </is>
      </c>
      <c r="F2064" s="20" t="inlineStr">
        <is>
          <t>카페24</t>
        </is>
      </c>
      <c r="H2064" s="20" t="n">
        <v>2</v>
      </c>
      <c r="I2064" s="20" t="inlineStr">
        <is>
          <t>이그나이트</t>
        </is>
      </c>
      <c r="J2064" s="20" t="n">
        <v>200720</v>
      </c>
      <c r="L2064" s="20">
        <f>VLOOKUP($O2064,매칭테이블!$G:$J,2,0)*H2064</f>
        <v/>
      </c>
      <c r="M2064" s="20">
        <f>L2064-L2064*VLOOKUP($O2064,매칭테이블!$G:$J,3,0)</f>
        <v/>
      </c>
      <c r="N2064" s="20">
        <f>VLOOKUP($O2064,매칭테이블!$G:$J,4,0)*H2064</f>
        <v/>
      </c>
      <c r="O2064" s="20">
        <f>F2064&amp;E2064&amp;I2064&amp;J2064</f>
        <v/>
      </c>
    </row>
    <row r="2065" ht="16.5" customHeight="1" s="17">
      <c r="B2065" s="16" t="n">
        <v>44161</v>
      </c>
      <c r="C2065" s="20" t="inlineStr">
        <is>
          <t>목</t>
        </is>
      </c>
      <c r="E2065" s="20" t="inlineStr">
        <is>
          <t>쇼핑백</t>
        </is>
      </c>
      <c r="F2065" s="20" t="inlineStr">
        <is>
          <t>카페24</t>
        </is>
      </c>
      <c r="H2065" s="20" t="n">
        <v>6</v>
      </c>
      <c r="I2065" s="20" t="inlineStr">
        <is>
          <t>유즈쇼핑백</t>
        </is>
      </c>
      <c r="J2065" s="20" t="n">
        <v>200720</v>
      </c>
      <c r="L2065" s="20">
        <f>VLOOKUP($O2065,매칭테이블!$G:$J,2,0)*H2065</f>
        <v/>
      </c>
      <c r="M2065" s="20">
        <f>L2065-L2065*VLOOKUP($O2065,매칭테이블!$G:$J,3,0)</f>
        <v/>
      </c>
      <c r="N2065" s="20">
        <f>VLOOKUP($O2065,매칭테이블!$G:$J,4,0)*H2065</f>
        <v/>
      </c>
      <c r="O2065" s="20">
        <f>F2065&amp;E2065&amp;I2065&amp;J2065</f>
        <v/>
      </c>
    </row>
    <row r="2066" ht="16.5" customHeight="1" s="17">
      <c r="B2066" s="16" t="n">
        <v>44162</v>
      </c>
      <c r="C2066" s="20" t="inlineStr">
        <is>
          <t>금</t>
        </is>
      </c>
      <c r="E2066" s="20" t="inlineStr">
        <is>
          <t>고체향수</t>
        </is>
      </c>
      <c r="F2066" s="20" t="inlineStr">
        <is>
          <t>카페24</t>
        </is>
      </c>
      <c r="H2066" s="20" t="n">
        <v>11</v>
      </c>
      <c r="I2066" s="20" t="inlineStr">
        <is>
          <t>이그나이트 + 스테이포에버</t>
        </is>
      </c>
      <c r="J2066" s="20" t="n">
        <v>200720</v>
      </c>
      <c r="L2066" s="20">
        <f>VLOOKUP($O2066,매칭테이블!$G:$J,2,0)*H2066</f>
        <v/>
      </c>
      <c r="M2066" s="20">
        <f>L2066-L2066*VLOOKUP($O2066,매칭테이블!$G:$J,3,0)</f>
        <v/>
      </c>
      <c r="N2066" s="20">
        <f>VLOOKUP($O2066,매칭테이블!$G:$J,4,0)*H2066</f>
        <v/>
      </c>
      <c r="O2066" s="20">
        <f>F2066&amp;E2066&amp;I2066&amp;J2066</f>
        <v/>
      </c>
    </row>
    <row r="2067" ht="16.5" customHeight="1" s="17">
      <c r="B2067" s="16" t="n">
        <v>44162</v>
      </c>
      <c r="C2067" s="20" t="inlineStr">
        <is>
          <t>금</t>
        </is>
      </c>
      <c r="E2067" s="20" t="inlineStr">
        <is>
          <t>고체향수</t>
        </is>
      </c>
      <c r="F2067" s="20" t="inlineStr">
        <is>
          <t>카페24</t>
        </is>
      </c>
      <c r="H2067" s="20" t="n">
        <v>2</v>
      </c>
      <c r="I2067" s="20" t="inlineStr">
        <is>
          <t>이그나이트 + 스테이포에버 2set</t>
        </is>
      </c>
      <c r="J2067" s="20" t="n">
        <v>200720</v>
      </c>
      <c r="L2067" s="20">
        <f>VLOOKUP($O2067,매칭테이블!$G:$J,2,0)*H2067</f>
        <v/>
      </c>
      <c r="M2067" s="20">
        <f>L2067-L2067*VLOOKUP($O2067,매칭테이블!$G:$J,3,0)</f>
        <v/>
      </c>
      <c r="N2067" s="20">
        <f>VLOOKUP($O2067,매칭테이블!$G:$J,4,0)*H2067</f>
        <v/>
      </c>
      <c r="O2067" s="20">
        <f>F2067&amp;E2067&amp;I2067&amp;J2067</f>
        <v/>
      </c>
    </row>
    <row r="2068" ht="16.5" customHeight="1" s="17">
      <c r="B2068" s="16" t="n">
        <v>44162</v>
      </c>
      <c r="C2068" s="20" t="inlineStr">
        <is>
          <t>금</t>
        </is>
      </c>
      <c r="E2068" s="20" t="inlineStr">
        <is>
          <t>고체향수</t>
        </is>
      </c>
      <c r="F2068" s="20" t="inlineStr">
        <is>
          <t>카페24</t>
        </is>
      </c>
      <c r="H2068" s="20" t="n">
        <v>140</v>
      </c>
      <c r="I2068" s="20" t="inlineStr">
        <is>
          <t>스테이포에버</t>
        </is>
      </c>
      <c r="J2068" s="20" t="n">
        <v>200720</v>
      </c>
      <c r="L2068" s="20">
        <f>VLOOKUP($O2068,매칭테이블!$G:$J,2,0)*H2068</f>
        <v/>
      </c>
      <c r="M2068" s="20">
        <f>L2068-L2068*VLOOKUP($O2068,매칭테이블!$G:$J,3,0)</f>
        <v/>
      </c>
      <c r="N2068" s="20">
        <f>VLOOKUP($O2068,매칭테이블!$G:$J,4,0)*H2068</f>
        <v/>
      </c>
      <c r="O2068" s="20">
        <f>F2068&amp;E2068&amp;I2068&amp;J2068</f>
        <v/>
      </c>
    </row>
    <row r="2069" ht="16.5" customHeight="1" s="17">
      <c r="B2069" s="16" t="n">
        <v>44162</v>
      </c>
      <c r="C2069" s="20" t="inlineStr">
        <is>
          <t>금</t>
        </is>
      </c>
      <c r="E2069" s="20" t="inlineStr">
        <is>
          <t>고체향수</t>
        </is>
      </c>
      <c r="F2069" s="20" t="inlineStr">
        <is>
          <t>카페24</t>
        </is>
      </c>
      <c r="H2069" s="20" t="n">
        <v>54</v>
      </c>
      <c r="I2069" s="20" t="inlineStr">
        <is>
          <t>스테이포에버 2set</t>
        </is>
      </c>
      <c r="J2069" s="20" t="n">
        <v>200720</v>
      </c>
      <c r="L2069" s="20">
        <f>VLOOKUP($O2069,매칭테이블!$G:$J,2,0)*H2069</f>
        <v/>
      </c>
      <c r="M2069" s="20">
        <f>L2069-L2069*VLOOKUP($O2069,매칭테이블!$G:$J,3,0)</f>
        <v/>
      </c>
      <c r="N2069" s="20">
        <f>VLOOKUP($O2069,매칭테이블!$G:$J,4,0)*H2069</f>
        <v/>
      </c>
      <c r="O2069" s="20">
        <f>F2069&amp;E2069&amp;I2069&amp;J2069</f>
        <v/>
      </c>
    </row>
    <row r="2070" ht="16.5" customHeight="1" s="17">
      <c r="B2070" s="16" t="n">
        <v>44162</v>
      </c>
      <c r="C2070" s="20" t="inlineStr">
        <is>
          <t>금</t>
        </is>
      </c>
      <c r="E2070" s="20" t="inlineStr">
        <is>
          <t>고체향수</t>
        </is>
      </c>
      <c r="F2070" s="20" t="inlineStr">
        <is>
          <t>카페24</t>
        </is>
      </c>
      <c r="H2070" s="20" t="n">
        <v>2</v>
      </c>
      <c r="I2070" s="20" t="inlineStr">
        <is>
          <t>이그나이트</t>
        </is>
      </c>
      <c r="J2070" s="20" t="n">
        <v>200720</v>
      </c>
      <c r="L2070" s="20">
        <f>VLOOKUP($O2070,매칭테이블!$G:$J,2,0)*H2070</f>
        <v/>
      </c>
      <c r="M2070" s="20">
        <f>L2070-L2070*VLOOKUP($O2070,매칭테이블!$G:$J,3,0)</f>
        <v/>
      </c>
      <c r="N2070" s="20">
        <f>VLOOKUP($O2070,매칭테이블!$G:$J,4,0)*H2070</f>
        <v/>
      </c>
      <c r="O2070" s="20">
        <f>F2070&amp;E2070&amp;I2070&amp;J2070</f>
        <v/>
      </c>
    </row>
    <row r="2071" ht="16.5" customHeight="1" s="17">
      <c r="B2071" s="16" t="n">
        <v>44162</v>
      </c>
      <c r="C2071" s="20" t="inlineStr">
        <is>
          <t>금</t>
        </is>
      </c>
      <c r="E2071" s="20" t="inlineStr">
        <is>
          <t>고체향수</t>
        </is>
      </c>
      <c r="F2071" s="20" t="inlineStr">
        <is>
          <t>카페24</t>
        </is>
      </c>
      <c r="H2071" s="20" t="n">
        <v>1</v>
      </c>
      <c r="I2071" s="20" t="inlineStr">
        <is>
          <t>이그나이트 2set</t>
        </is>
      </c>
      <c r="J2071" s="20" t="n">
        <v>200720</v>
      </c>
      <c r="L2071" s="20">
        <f>VLOOKUP($O2071,매칭테이블!$G:$J,2,0)*H2071</f>
        <v/>
      </c>
      <c r="M2071" s="20">
        <f>L2071-L2071*VLOOKUP($O2071,매칭테이블!$G:$J,3,0)</f>
        <v/>
      </c>
      <c r="N2071" s="20">
        <f>VLOOKUP($O2071,매칭테이블!$G:$J,4,0)*H2071</f>
        <v/>
      </c>
      <c r="O2071" s="20">
        <f>F2071&amp;E2071&amp;I2071&amp;J2071</f>
        <v/>
      </c>
    </row>
    <row r="2072" ht="16.5" customHeight="1" s="17">
      <c r="B2072" s="16" t="n">
        <v>44162</v>
      </c>
      <c r="C2072" s="20" t="inlineStr">
        <is>
          <t>금</t>
        </is>
      </c>
      <c r="E2072" s="20" t="inlineStr">
        <is>
          <t>쇼핑백</t>
        </is>
      </c>
      <c r="F2072" s="20" t="inlineStr">
        <is>
          <t>카페24</t>
        </is>
      </c>
      <c r="H2072" s="20" t="n">
        <v>7</v>
      </c>
      <c r="I2072" s="20" t="inlineStr">
        <is>
          <t>유즈쇼핑백</t>
        </is>
      </c>
      <c r="J2072" s="20" t="n">
        <v>200720</v>
      </c>
      <c r="L2072" s="20">
        <f>VLOOKUP($O2072,매칭테이블!$G:$J,2,0)*H2072</f>
        <v/>
      </c>
      <c r="M2072" s="20">
        <f>L2072-L2072*VLOOKUP($O2072,매칭테이블!$G:$J,3,0)</f>
        <v/>
      </c>
      <c r="N2072" s="20">
        <f>VLOOKUP($O2072,매칭테이블!$G:$J,4,0)*H2072</f>
        <v/>
      </c>
      <c r="O2072" s="20">
        <f>F2072&amp;E2072&amp;I2072&amp;J2072</f>
        <v/>
      </c>
    </row>
    <row r="2073" ht="16.5" customHeight="1" s="17">
      <c r="B2073" s="16" t="n">
        <v>44163</v>
      </c>
      <c r="C2073" s="20" t="inlineStr">
        <is>
          <t>토</t>
        </is>
      </c>
      <c r="E2073" s="20" t="inlineStr">
        <is>
          <t>고체향수</t>
        </is>
      </c>
      <c r="F2073" s="20" t="inlineStr">
        <is>
          <t>카페24</t>
        </is>
      </c>
      <c r="H2073" s="20" t="n">
        <v>13</v>
      </c>
      <c r="I2073" s="20" t="inlineStr">
        <is>
          <t>이그나이트 + 스테이포에버</t>
        </is>
      </c>
      <c r="J2073" s="20" t="n">
        <v>200720</v>
      </c>
      <c r="L2073" s="20">
        <f>VLOOKUP($O2073,매칭테이블!$G:$J,2,0)*H2073</f>
        <v/>
      </c>
      <c r="M2073" s="20">
        <f>L2073-L2073*VLOOKUP($O2073,매칭테이블!$G:$J,3,0)</f>
        <v/>
      </c>
      <c r="N2073" s="20">
        <f>VLOOKUP($O2073,매칭테이블!$G:$J,4,0)*H2073</f>
        <v/>
      </c>
      <c r="O2073" s="20">
        <f>F2073&amp;E2073&amp;I2073&amp;J2073</f>
        <v/>
      </c>
    </row>
    <row r="2074" ht="16.5" customHeight="1" s="17">
      <c r="B2074" s="16" t="n">
        <v>44163</v>
      </c>
      <c r="C2074" s="20" t="inlineStr">
        <is>
          <t>토</t>
        </is>
      </c>
      <c r="E2074" s="20" t="inlineStr">
        <is>
          <t>고체향수</t>
        </is>
      </c>
      <c r="F2074" s="20" t="inlineStr">
        <is>
          <t>카페24</t>
        </is>
      </c>
      <c r="H2074" s="20" t="n">
        <v>150</v>
      </c>
      <c r="I2074" s="20" t="inlineStr">
        <is>
          <t>스테이포에버</t>
        </is>
      </c>
      <c r="J2074" s="20" t="n">
        <v>200720</v>
      </c>
      <c r="L2074" s="20">
        <f>VLOOKUP($O2074,매칭테이블!$G:$J,2,0)*H2074</f>
        <v/>
      </c>
      <c r="M2074" s="20">
        <f>L2074-L2074*VLOOKUP($O2074,매칭테이블!$G:$J,3,0)</f>
        <v/>
      </c>
      <c r="N2074" s="20">
        <f>VLOOKUP($O2074,매칭테이블!$G:$J,4,0)*H2074</f>
        <v/>
      </c>
      <c r="O2074" s="20">
        <f>F2074&amp;E2074&amp;I2074&amp;J2074</f>
        <v/>
      </c>
    </row>
    <row r="2075" ht="16.5" customHeight="1" s="17">
      <c r="B2075" s="16" t="n">
        <v>44163</v>
      </c>
      <c r="C2075" s="20" t="inlineStr">
        <is>
          <t>토</t>
        </is>
      </c>
      <c r="E2075" s="20" t="inlineStr">
        <is>
          <t>고체향수</t>
        </is>
      </c>
      <c r="F2075" s="20" t="inlineStr">
        <is>
          <t>카페24</t>
        </is>
      </c>
      <c r="H2075" s="20" t="n">
        <v>74</v>
      </c>
      <c r="I2075" s="20" t="inlineStr">
        <is>
          <t>스테이포에버 2set</t>
        </is>
      </c>
      <c r="J2075" s="20" t="n">
        <v>200720</v>
      </c>
      <c r="L2075" s="20">
        <f>VLOOKUP($O2075,매칭테이블!$G:$J,2,0)*H2075</f>
        <v/>
      </c>
      <c r="M2075" s="20">
        <f>L2075-L2075*VLOOKUP($O2075,매칭테이블!$G:$J,3,0)</f>
        <v/>
      </c>
      <c r="N2075" s="20">
        <f>VLOOKUP($O2075,매칭테이블!$G:$J,4,0)*H2075</f>
        <v/>
      </c>
      <c r="O2075" s="20">
        <f>F2075&amp;E2075&amp;I2075&amp;J2075</f>
        <v/>
      </c>
    </row>
    <row r="2076" ht="16.5" customHeight="1" s="17">
      <c r="B2076" s="16" t="n">
        <v>44163</v>
      </c>
      <c r="C2076" s="20" t="inlineStr">
        <is>
          <t>토</t>
        </is>
      </c>
      <c r="E2076" s="20" t="inlineStr">
        <is>
          <t>고체향수</t>
        </is>
      </c>
      <c r="F2076" s="20" t="inlineStr">
        <is>
          <t>카페24</t>
        </is>
      </c>
      <c r="H2076" s="20" t="n">
        <v>2</v>
      </c>
      <c r="I2076" s="20" t="inlineStr">
        <is>
          <t>이그나이트 2set</t>
        </is>
      </c>
      <c r="J2076" s="20" t="n">
        <v>200720</v>
      </c>
      <c r="L2076" s="20">
        <f>VLOOKUP($O2076,매칭테이블!$G:$J,2,0)*H2076</f>
        <v/>
      </c>
      <c r="M2076" s="20">
        <f>L2076-L2076*VLOOKUP($O2076,매칭테이블!$G:$J,3,0)</f>
        <v/>
      </c>
      <c r="N2076" s="20">
        <f>VLOOKUP($O2076,매칭테이블!$G:$J,4,0)*H2076</f>
        <v/>
      </c>
      <c r="O2076" s="20">
        <f>F2076&amp;E2076&amp;I2076&amp;J2076</f>
        <v/>
      </c>
    </row>
    <row r="2077" ht="16.5" customHeight="1" s="17">
      <c r="B2077" s="16" t="n">
        <v>44163</v>
      </c>
      <c r="C2077" s="20" t="inlineStr">
        <is>
          <t>토</t>
        </is>
      </c>
      <c r="E2077" s="20" t="inlineStr">
        <is>
          <t>쇼핑백</t>
        </is>
      </c>
      <c r="F2077" s="20" t="inlineStr">
        <is>
          <t>카페24</t>
        </is>
      </c>
      <c r="H2077" s="20" t="n">
        <v>9</v>
      </c>
      <c r="I2077" s="20" t="inlineStr">
        <is>
          <t>유즈쇼핑백</t>
        </is>
      </c>
      <c r="J2077" s="20" t="n">
        <v>200720</v>
      </c>
      <c r="L2077" s="20">
        <f>VLOOKUP($O2077,매칭테이블!$G:$J,2,0)*H2077</f>
        <v/>
      </c>
      <c r="M2077" s="20">
        <f>L2077-L2077*VLOOKUP($O2077,매칭테이블!$G:$J,3,0)</f>
        <v/>
      </c>
      <c r="N2077" s="20">
        <f>VLOOKUP($O2077,매칭테이블!$G:$J,4,0)*H2077</f>
        <v/>
      </c>
      <c r="O2077" s="20">
        <f>F2077&amp;E2077&amp;I2077&amp;J2077</f>
        <v/>
      </c>
    </row>
    <row r="2078" ht="16.5" customHeight="1" s="17">
      <c r="B2078" s="16" t="n">
        <v>44164</v>
      </c>
      <c r="C2078" s="20" t="inlineStr">
        <is>
          <t>일</t>
        </is>
      </c>
      <c r="E2078" s="20" t="inlineStr">
        <is>
          <t>고체향수</t>
        </is>
      </c>
      <c r="F2078" s="20" t="inlineStr">
        <is>
          <t>카페24</t>
        </is>
      </c>
      <c r="H2078" s="20" t="n">
        <v>20</v>
      </c>
      <c r="I2078" s="20" t="inlineStr">
        <is>
          <t>이그나이트 + 스테이포에버</t>
        </is>
      </c>
      <c r="J2078" s="20" t="n">
        <v>200720</v>
      </c>
      <c r="L2078" s="20">
        <f>VLOOKUP($O2078,매칭테이블!$G:$J,2,0)*H2078</f>
        <v/>
      </c>
      <c r="M2078" s="20">
        <f>L2078-L2078*VLOOKUP($O2078,매칭테이블!$G:$J,3,0)</f>
        <v/>
      </c>
      <c r="N2078" s="20">
        <f>VLOOKUP($O2078,매칭테이블!$G:$J,4,0)*H2078</f>
        <v/>
      </c>
      <c r="O2078" s="20">
        <f>F2078&amp;E2078&amp;I2078&amp;J2078</f>
        <v/>
      </c>
    </row>
    <row r="2079" ht="16.5" customHeight="1" s="17">
      <c r="B2079" s="16" t="n">
        <v>44164</v>
      </c>
      <c r="C2079" s="20" t="inlineStr">
        <is>
          <t>일</t>
        </is>
      </c>
      <c r="E2079" s="20" t="inlineStr">
        <is>
          <t>고체향수</t>
        </is>
      </c>
      <c r="F2079" s="20" t="inlineStr">
        <is>
          <t>카페24</t>
        </is>
      </c>
      <c r="H2079" s="20" t="n">
        <v>164</v>
      </c>
      <c r="I2079" s="20" t="inlineStr">
        <is>
          <t>스테이포에버</t>
        </is>
      </c>
      <c r="J2079" s="20" t="n">
        <v>200720</v>
      </c>
      <c r="L2079" s="20">
        <f>VLOOKUP($O2079,매칭테이블!$G:$J,2,0)*H2079</f>
        <v/>
      </c>
      <c r="M2079" s="20">
        <f>L2079-L2079*VLOOKUP($O2079,매칭테이블!$G:$J,3,0)</f>
        <v/>
      </c>
      <c r="N2079" s="20">
        <f>VLOOKUP($O2079,매칭테이블!$G:$J,4,0)*H2079</f>
        <v/>
      </c>
      <c r="O2079" s="20">
        <f>F2079&amp;E2079&amp;I2079&amp;J2079</f>
        <v/>
      </c>
    </row>
    <row r="2080" ht="16.5" customHeight="1" s="17">
      <c r="B2080" s="16" t="n">
        <v>44164</v>
      </c>
      <c r="C2080" s="20" t="inlineStr">
        <is>
          <t>일</t>
        </is>
      </c>
      <c r="E2080" s="20" t="inlineStr">
        <is>
          <t>고체향수</t>
        </is>
      </c>
      <c r="F2080" s="20" t="inlineStr">
        <is>
          <t>카페24</t>
        </is>
      </c>
      <c r="H2080" s="20" t="n">
        <v>87</v>
      </c>
      <c r="I2080" s="20" t="inlineStr">
        <is>
          <t>스테이포에버 2set</t>
        </is>
      </c>
      <c r="J2080" s="20" t="n">
        <v>200720</v>
      </c>
      <c r="L2080" s="20">
        <f>VLOOKUP($O2080,매칭테이블!$G:$J,2,0)*H2080</f>
        <v/>
      </c>
      <c r="M2080" s="20">
        <f>L2080-L2080*VLOOKUP($O2080,매칭테이블!$G:$J,3,0)</f>
        <v/>
      </c>
      <c r="N2080" s="20">
        <f>VLOOKUP($O2080,매칭테이블!$G:$J,4,0)*H2080</f>
        <v/>
      </c>
      <c r="O2080" s="20">
        <f>F2080&amp;E2080&amp;I2080&amp;J2080</f>
        <v/>
      </c>
    </row>
    <row r="2081" ht="16.5" customHeight="1" s="17">
      <c r="B2081" s="16" t="n">
        <v>44164</v>
      </c>
      <c r="C2081" s="20" t="inlineStr">
        <is>
          <t>일</t>
        </is>
      </c>
      <c r="E2081" s="20" t="inlineStr">
        <is>
          <t>고체향수</t>
        </is>
      </c>
      <c r="F2081" s="20" t="inlineStr">
        <is>
          <t>카페24</t>
        </is>
      </c>
      <c r="H2081" s="20" t="n">
        <v>1</v>
      </c>
      <c r="I2081" s="20" t="inlineStr">
        <is>
          <t>이그나이트</t>
        </is>
      </c>
      <c r="J2081" s="20" t="n">
        <v>200720</v>
      </c>
      <c r="L2081" s="20">
        <f>VLOOKUP($O2081,매칭테이블!$G:$J,2,0)*H2081</f>
        <v/>
      </c>
      <c r="M2081" s="20">
        <f>L2081-L2081*VLOOKUP($O2081,매칭테이블!$G:$J,3,0)</f>
        <v/>
      </c>
      <c r="N2081" s="20">
        <f>VLOOKUP($O2081,매칭테이블!$G:$J,4,0)*H2081</f>
        <v/>
      </c>
      <c r="O2081" s="20">
        <f>F2081&amp;E2081&amp;I2081&amp;J2081</f>
        <v/>
      </c>
    </row>
    <row r="2082" ht="16.5" customHeight="1" s="17">
      <c r="B2082" s="16" t="n">
        <v>44164</v>
      </c>
      <c r="C2082" s="20" t="inlineStr">
        <is>
          <t>일</t>
        </is>
      </c>
      <c r="E2082" s="20" t="inlineStr">
        <is>
          <t>고체향수</t>
        </is>
      </c>
      <c r="F2082" s="20" t="inlineStr">
        <is>
          <t>카페24</t>
        </is>
      </c>
      <c r="H2082" s="20" t="n">
        <v>2</v>
      </c>
      <c r="I2082" s="20" t="inlineStr">
        <is>
          <t>이그나이트 2set</t>
        </is>
      </c>
      <c r="J2082" s="20" t="n">
        <v>200720</v>
      </c>
      <c r="L2082" s="20">
        <f>VLOOKUP($O2082,매칭테이블!$G:$J,2,0)*H2082</f>
        <v/>
      </c>
      <c r="M2082" s="20">
        <f>L2082-L2082*VLOOKUP($O2082,매칭테이블!$G:$J,3,0)</f>
        <v/>
      </c>
      <c r="N2082" s="20">
        <f>VLOOKUP($O2082,매칭테이블!$G:$J,4,0)*H2082</f>
        <v/>
      </c>
      <c r="O2082" s="20">
        <f>F2082&amp;E2082&amp;I2082&amp;J2082</f>
        <v/>
      </c>
    </row>
    <row r="2083" ht="16.5" customHeight="1" s="17">
      <c r="B2083" s="16" t="n">
        <v>44164</v>
      </c>
      <c r="C2083" s="20" t="inlineStr">
        <is>
          <t>일</t>
        </is>
      </c>
      <c r="E2083" s="20" t="inlineStr">
        <is>
          <t>쇼핑백</t>
        </is>
      </c>
      <c r="F2083" s="20" t="inlineStr">
        <is>
          <t>카페24</t>
        </is>
      </c>
      <c r="H2083" s="20" t="n">
        <v>7</v>
      </c>
      <c r="I2083" s="20" t="inlineStr">
        <is>
          <t>유즈쇼핑백</t>
        </is>
      </c>
      <c r="J2083" s="20" t="n">
        <v>200720</v>
      </c>
      <c r="L2083" s="20">
        <f>VLOOKUP($O2083,매칭테이블!$G:$J,2,0)*H2083</f>
        <v/>
      </c>
      <c r="M2083" s="20">
        <f>L2083-L2083*VLOOKUP($O2083,매칭테이블!$G:$J,3,0)</f>
        <v/>
      </c>
      <c r="N2083" s="20">
        <f>VLOOKUP($O2083,매칭테이블!$G:$J,4,0)*H2083</f>
        <v/>
      </c>
      <c r="O2083" s="20">
        <f>F2083&amp;E2083&amp;I2083&amp;J2083</f>
        <v/>
      </c>
    </row>
    <row r="2084" ht="16.5" customHeight="1" s="17">
      <c r="B2084" s="16" t="n">
        <v>44165</v>
      </c>
      <c r="C2084" s="20" t="inlineStr">
        <is>
          <t>월</t>
        </is>
      </c>
      <c r="E2084" s="20" t="inlineStr">
        <is>
          <t>고체향수</t>
        </is>
      </c>
      <c r="F2084" s="20" t="inlineStr">
        <is>
          <t>카페24</t>
        </is>
      </c>
      <c r="H2084" s="20" t="n">
        <v>12</v>
      </c>
      <c r="I2084" s="20" t="inlineStr">
        <is>
          <t>이그나이트 + 스테이포에버</t>
        </is>
      </c>
      <c r="J2084" s="20" t="n">
        <v>200720</v>
      </c>
      <c r="L2084" s="20">
        <f>VLOOKUP($O2084,매칭테이블!$G:$J,2,0)*H2084</f>
        <v/>
      </c>
      <c r="M2084" s="20">
        <f>L2084-L2084*VLOOKUP($O2084,매칭테이블!$G:$J,3,0)</f>
        <v/>
      </c>
      <c r="N2084" s="20">
        <f>VLOOKUP($O2084,매칭테이블!$G:$J,4,0)*H2084</f>
        <v/>
      </c>
      <c r="O2084" s="20">
        <f>F2084&amp;E2084&amp;I2084&amp;J2084</f>
        <v/>
      </c>
    </row>
    <row r="2085" ht="16.5" customHeight="1" s="17">
      <c r="B2085" s="16" t="n">
        <v>44165</v>
      </c>
      <c r="C2085" s="20" t="inlineStr">
        <is>
          <t>월</t>
        </is>
      </c>
      <c r="E2085" s="20" t="inlineStr">
        <is>
          <t>고체향수</t>
        </is>
      </c>
      <c r="F2085" s="20" t="inlineStr">
        <is>
          <t>카페24</t>
        </is>
      </c>
      <c r="H2085" s="20" t="n">
        <v>133</v>
      </c>
      <c r="I2085" s="20" t="inlineStr">
        <is>
          <t>스테이포에버</t>
        </is>
      </c>
      <c r="J2085" s="20" t="n">
        <v>200720</v>
      </c>
      <c r="L2085" s="20">
        <f>VLOOKUP($O2085,매칭테이블!$G:$J,2,0)*H2085</f>
        <v/>
      </c>
      <c r="M2085" s="20">
        <f>L2085-L2085*VLOOKUP($O2085,매칭테이블!$G:$J,3,0)</f>
        <v/>
      </c>
      <c r="N2085" s="20">
        <f>VLOOKUP($O2085,매칭테이블!$G:$J,4,0)*H2085</f>
        <v/>
      </c>
      <c r="O2085" s="20">
        <f>F2085&amp;E2085&amp;I2085&amp;J2085</f>
        <v/>
      </c>
    </row>
    <row r="2086" ht="16.5" customHeight="1" s="17">
      <c r="B2086" s="16" t="n">
        <v>44165</v>
      </c>
      <c r="C2086" s="20" t="inlineStr">
        <is>
          <t>월</t>
        </is>
      </c>
      <c r="E2086" s="20" t="inlineStr">
        <is>
          <t>고체향수</t>
        </is>
      </c>
      <c r="F2086" s="20" t="inlineStr">
        <is>
          <t>카페24</t>
        </is>
      </c>
      <c r="H2086" s="20" t="n">
        <v>63</v>
      </c>
      <c r="I2086" s="20" t="inlineStr">
        <is>
          <t>스테이포에버 2set</t>
        </is>
      </c>
      <c r="J2086" s="20" t="n">
        <v>200720</v>
      </c>
      <c r="L2086" s="20">
        <f>VLOOKUP($O2086,매칭테이블!$G:$J,2,0)*H2086</f>
        <v/>
      </c>
      <c r="M2086" s="20">
        <f>L2086-L2086*VLOOKUP($O2086,매칭테이블!$G:$J,3,0)</f>
        <v/>
      </c>
      <c r="N2086" s="20">
        <f>VLOOKUP($O2086,매칭테이블!$G:$J,4,0)*H2086</f>
        <v/>
      </c>
      <c r="O2086" s="20">
        <f>F2086&amp;E2086&amp;I2086&amp;J2086</f>
        <v/>
      </c>
    </row>
    <row r="2087" ht="16.5" customHeight="1" s="17">
      <c r="B2087" s="16" t="n">
        <v>44165</v>
      </c>
      <c r="C2087" s="20" t="inlineStr">
        <is>
          <t>월</t>
        </is>
      </c>
      <c r="E2087" s="20" t="inlineStr">
        <is>
          <t>고체향수</t>
        </is>
      </c>
      <c r="F2087" s="20" t="inlineStr">
        <is>
          <t>카페24</t>
        </is>
      </c>
      <c r="H2087" s="20" t="n">
        <v>4</v>
      </c>
      <c r="I2087" s="20" t="inlineStr">
        <is>
          <t>이그나이트</t>
        </is>
      </c>
      <c r="J2087" s="20" t="n">
        <v>200720</v>
      </c>
      <c r="L2087" s="20">
        <f>VLOOKUP($O2087,매칭테이블!$G:$J,2,0)*H2087</f>
        <v/>
      </c>
      <c r="M2087" s="20">
        <f>L2087-L2087*VLOOKUP($O2087,매칭테이블!$G:$J,3,0)</f>
        <v/>
      </c>
      <c r="N2087" s="20">
        <f>VLOOKUP($O2087,매칭테이블!$G:$J,4,0)*H2087</f>
        <v/>
      </c>
      <c r="O2087" s="20">
        <f>F2087&amp;E2087&amp;I2087&amp;J2087</f>
        <v/>
      </c>
    </row>
    <row r="2088" ht="16.5" customHeight="1" s="17">
      <c r="B2088" s="16" t="n">
        <v>44165</v>
      </c>
      <c r="C2088" s="20" t="inlineStr">
        <is>
          <t>월</t>
        </is>
      </c>
      <c r="E2088" s="20" t="inlineStr">
        <is>
          <t>쇼핑백</t>
        </is>
      </c>
      <c r="F2088" s="20" t="inlineStr">
        <is>
          <t>카페24</t>
        </is>
      </c>
      <c r="H2088" s="20" t="n">
        <v>7</v>
      </c>
      <c r="I2088" s="20" t="inlineStr">
        <is>
          <t>유즈쇼핑백</t>
        </is>
      </c>
      <c r="J2088" s="20" t="n">
        <v>200720</v>
      </c>
      <c r="L2088" s="20">
        <f>VLOOKUP($O2088,매칭테이블!$G:$J,2,0)*H2088</f>
        <v/>
      </c>
      <c r="M2088" s="20">
        <f>L2088-L2088*VLOOKUP($O2088,매칭테이블!$G:$J,3,0)</f>
        <v/>
      </c>
      <c r="N2088" s="20">
        <f>VLOOKUP($O2088,매칭테이블!$G:$J,4,0)*H2088</f>
        <v/>
      </c>
      <c r="O2088" s="20">
        <f>F2088&amp;E2088&amp;I2088&amp;J2088</f>
        <v/>
      </c>
    </row>
    <row r="2089" ht="16.5" customHeight="1" s="17">
      <c r="B2089" s="16" t="n">
        <v>44166</v>
      </c>
      <c r="C2089" s="20" t="inlineStr">
        <is>
          <t>화</t>
        </is>
      </c>
      <c r="E2089" s="20" t="inlineStr">
        <is>
          <t>고체향수</t>
        </is>
      </c>
      <c r="F2089" s="20" t="inlineStr">
        <is>
          <t>카페24</t>
        </is>
      </c>
      <c r="H2089" s="20" t="n">
        <v>25</v>
      </c>
      <c r="I2089" s="20" t="inlineStr">
        <is>
          <t>이그나이트 + 스테이포에버</t>
        </is>
      </c>
      <c r="J2089" s="20" t="n">
        <v>200720</v>
      </c>
      <c r="L2089" s="20">
        <f>VLOOKUP($O2089,매칭테이블!$G:$J,2,0)*H2089</f>
        <v/>
      </c>
      <c r="M2089" s="20">
        <f>L2089-L2089*VLOOKUP($O2089,매칭테이블!$G:$J,3,0)</f>
        <v/>
      </c>
      <c r="N2089" s="20">
        <f>VLOOKUP($O2089,매칭테이블!$G:$J,4,0)*H2089</f>
        <v/>
      </c>
      <c r="O2089" s="20">
        <f>F2089&amp;E2089&amp;I2089&amp;J2089</f>
        <v/>
      </c>
    </row>
    <row r="2090" ht="16.5" customHeight="1" s="17">
      <c r="B2090" s="16" t="n">
        <v>44166</v>
      </c>
      <c r="C2090" s="20" t="inlineStr">
        <is>
          <t>화</t>
        </is>
      </c>
      <c r="E2090" s="20" t="inlineStr">
        <is>
          <t>고체향수</t>
        </is>
      </c>
      <c r="F2090" s="20" t="inlineStr">
        <is>
          <t>카페24</t>
        </is>
      </c>
      <c r="H2090" s="20" t="n">
        <v>1</v>
      </c>
      <c r="I2090" s="20" t="inlineStr">
        <is>
          <t>이그나이트 + 스테이포에버 2set</t>
        </is>
      </c>
      <c r="J2090" s="20" t="n">
        <v>200720</v>
      </c>
      <c r="L2090" s="20">
        <f>VLOOKUP($O2090,매칭테이블!$G:$J,2,0)*H2090</f>
        <v/>
      </c>
      <c r="M2090" s="20">
        <f>L2090-L2090*VLOOKUP($O2090,매칭테이블!$G:$J,3,0)</f>
        <v/>
      </c>
      <c r="N2090" s="20">
        <f>VLOOKUP($O2090,매칭테이블!$G:$J,4,0)*H2090</f>
        <v/>
      </c>
      <c r="O2090" s="20">
        <f>F2090&amp;E2090&amp;I2090&amp;J2090</f>
        <v/>
      </c>
    </row>
    <row r="2091" ht="16.5" customHeight="1" s="17">
      <c r="B2091" s="16" t="n">
        <v>44166</v>
      </c>
      <c r="C2091" s="20" t="inlineStr">
        <is>
          <t>화</t>
        </is>
      </c>
      <c r="E2091" s="20" t="inlineStr">
        <is>
          <t>고체향수</t>
        </is>
      </c>
      <c r="F2091" s="20" t="inlineStr">
        <is>
          <t>카페24</t>
        </is>
      </c>
      <c r="H2091" s="20" t="n">
        <v>191</v>
      </c>
      <c r="I2091" s="20" t="inlineStr">
        <is>
          <t>스테이포에버</t>
        </is>
      </c>
      <c r="J2091" s="20" t="n">
        <v>200720</v>
      </c>
      <c r="L2091" s="20">
        <f>VLOOKUP($O2091,매칭테이블!$G:$J,2,0)*H2091</f>
        <v/>
      </c>
      <c r="M2091" s="20">
        <f>L2091-L2091*VLOOKUP($O2091,매칭테이블!$G:$J,3,0)</f>
        <v/>
      </c>
      <c r="N2091" s="20">
        <f>VLOOKUP($O2091,매칭테이블!$G:$J,4,0)*H2091</f>
        <v/>
      </c>
      <c r="O2091" s="20">
        <f>F2091&amp;E2091&amp;I2091&amp;J2091</f>
        <v/>
      </c>
    </row>
    <row r="2092" ht="16.5" customHeight="1" s="17">
      <c r="B2092" s="16" t="n">
        <v>44166</v>
      </c>
      <c r="C2092" s="20" t="inlineStr">
        <is>
          <t>화</t>
        </is>
      </c>
      <c r="E2092" s="20" t="inlineStr">
        <is>
          <t>고체향수</t>
        </is>
      </c>
      <c r="F2092" s="20" t="inlineStr">
        <is>
          <t>카페24</t>
        </is>
      </c>
      <c r="H2092" s="20" t="n">
        <v>74</v>
      </c>
      <c r="I2092" s="20" t="inlineStr">
        <is>
          <t>스테이포에버 2set</t>
        </is>
      </c>
      <c r="J2092" s="20" t="n">
        <v>200720</v>
      </c>
      <c r="L2092" s="20">
        <f>VLOOKUP($O2092,매칭테이블!$G:$J,2,0)*H2092</f>
        <v/>
      </c>
      <c r="M2092" s="20">
        <f>L2092-L2092*VLOOKUP($O2092,매칭테이블!$G:$J,3,0)</f>
        <v/>
      </c>
      <c r="N2092" s="20">
        <f>VLOOKUP($O2092,매칭테이블!$G:$J,4,0)*H2092</f>
        <v/>
      </c>
      <c r="O2092" s="20">
        <f>F2092&amp;E2092&amp;I2092&amp;J2092</f>
        <v/>
      </c>
    </row>
    <row r="2093" ht="16.5" customHeight="1" s="17">
      <c r="B2093" s="16" t="n">
        <v>44166</v>
      </c>
      <c r="C2093" s="20" t="inlineStr">
        <is>
          <t>화</t>
        </is>
      </c>
      <c r="E2093" s="20" t="inlineStr">
        <is>
          <t>고체향수</t>
        </is>
      </c>
      <c r="F2093" s="20" t="inlineStr">
        <is>
          <t>카페24</t>
        </is>
      </c>
      <c r="H2093" s="20" t="n">
        <v>1</v>
      </c>
      <c r="I2093" s="20" t="inlineStr">
        <is>
          <t>이그나이트 2set</t>
        </is>
      </c>
      <c r="J2093" s="20" t="n">
        <v>200720</v>
      </c>
      <c r="L2093" s="20">
        <f>VLOOKUP($O2093,매칭테이블!$G:$J,2,0)*H2093</f>
        <v/>
      </c>
      <c r="M2093" s="20">
        <f>L2093-L2093*VLOOKUP($O2093,매칭테이블!$G:$J,3,0)</f>
        <v/>
      </c>
      <c r="N2093" s="20">
        <f>VLOOKUP($O2093,매칭테이블!$G:$J,4,0)*H2093</f>
        <v/>
      </c>
      <c r="O2093" s="20">
        <f>F2093&amp;E2093&amp;I2093&amp;J2093</f>
        <v/>
      </c>
    </row>
    <row r="2094" ht="16.5" customHeight="1" s="17">
      <c r="B2094" s="16" t="n">
        <v>44166</v>
      </c>
      <c r="C2094" s="20" t="inlineStr">
        <is>
          <t>화</t>
        </is>
      </c>
      <c r="E2094" s="20" t="inlineStr">
        <is>
          <t>쇼핑백</t>
        </is>
      </c>
      <c r="F2094" s="20" t="inlineStr">
        <is>
          <t>카페24</t>
        </is>
      </c>
      <c r="H2094" s="20" t="n">
        <v>7</v>
      </c>
      <c r="I2094" s="20" t="inlineStr">
        <is>
          <t>유즈쇼핑백</t>
        </is>
      </c>
      <c r="J2094" s="20" t="n">
        <v>200720</v>
      </c>
      <c r="L2094" s="20">
        <f>VLOOKUP($O2094,매칭테이블!$G:$J,2,0)*H2094</f>
        <v/>
      </c>
      <c r="M2094" s="20">
        <f>L2094-L2094*VLOOKUP($O2094,매칭테이블!$G:$J,3,0)</f>
        <v/>
      </c>
      <c r="N2094" s="20">
        <f>VLOOKUP($O2094,매칭테이블!$G:$J,4,0)*H2094</f>
        <v/>
      </c>
      <c r="O2094" s="20">
        <f>F2094&amp;E2094&amp;I2094&amp;J2094</f>
        <v/>
      </c>
    </row>
    <row r="2095" ht="16.5" customHeight="1" s="17">
      <c r="B2095" s="16" t="n">
        <v>44168</v>
      </c>
      <c r="C2095" s="20">
        <f>TEXT(B2095,"aaa")</f>
        <v/>
      </c>
      <c r="E2095" s="20">
        <f>INDEX(매칭테이블!C:C,MATCH(RD!G2095,매칭테이블!D:D,0))</f>
        <v/>
      </c>
      <c r="F2095" s="20" t="inlineStr">
        <is>
          <t>카페24</t>
        </is>
      </c>
      <c r="G2095" s="20" t="inlineStr">
        <is>
          <t>유즈 솔리드퍼퓸 - 30ml (스테이포에버 주문 시 12/14 부터 순차배송)향=이그나이트, 세트 선택=1 개</t>
        </is>
      </c>
      <c r="H2095" s="20" t="n">
        <v>2</v>
      </c>
      <c r="I2095" s="20">
        <f>VLOOKUP(G2095,매칭테이블!D:E,2,0)</f>
        <v/>
      </c>
      <c r="J2095" s="20" t="n">
        <v>201210</v>
      </c>
      <c r="L2095" s="20">
        <f>VLOOKUP($O2095,매칭테이블!$G:$J,2,0)*H2095</f>
        <v/>
      </c>
      <c r="M2095" s="20">
        <f>L2095-L2095*VLOOKUP($O2095,매칭테이블!$G:$J,3,0)</f>
        <v/>
      </c>
      <c r="N2095" s="20">
        <f>VLOOKUP($O2095,매칭테이블!$G:$J,4,0)*H2095</f>
        <v/>
      </c>
      <c r="O2095" s="20">
        <f>F2095&amp;E2095&amp;G2095&amp;J2095</f>
        <v/>
      </c>
    </row>
    <row r="2096" ht="16.5" customHeight="1" s="17">
      <c r="B2096" s="16" t="n">
        <v>44167</v>
      </c>
      <c r="C2096" s="20">
        <f>TEXT(B2096,"aaa")</f>
        <v/>
      </c>
      <c r="E2096" s="20">
        <f>INDEX(매칭테이블!C:C,MATCH(RD!G2096,매칭테이블!D:D,0))</f>
        <v/>
      </c>
      <c r="F2096" s="20" t="inlineStr">
        <is>
          <t>카페24</t>
        </is>
      </c>
      <c r="G2096" s="20" t="inlineStr">
        <is>
          <t>유즈 솔리드퍼퓸 - 30ml (스테이포에버 주문 시 12/14 부터 순차배송)향=스테이포에버, 세트 선택=1 개</t>
        </is>
      </c>
      <c r="H2096" s="20" t="n">
        <v>6</v>
      </c>
      <c r="I2096" s="20">
        <f>VLOOKUP(G2096,매칭테이블!D:E,2,0)</f>
        <v/>
      </c>
      <c r="J2096" s="20" t="n">
        <v>201210</v>
      </c>
      <c r="L2096" s="20">
        <f>VLOOKUP($O2096,매칭테이블!$G:$J,2,0)*H2096</f>
        <v/>
      </c>
      <c r="M2096" s="20">
        <f>L2096-L2096*VLOOKUP($O2096,매칭테이블!$G:$J,3,0)</f>
        <v/>
      </c>
      <c r="N2096" s="20">
        <f>VLOOKUP($O2096,매칭테이블!$G:$J,4,0)*H2096</f>
        <v/>
      </c>
      <c r="O2096" s="20">
        <f>F2096&amp;E2096&amp;G2096&amp;J2096</f>
        <v/>
      </c>
    </row>
    <row r="2097" ht="16.5" customHeight="1" s="17">
      <c r="B2097" s="16" t="n">
        <v>44168</v>
      </c>
      <c r="C2097" s="20">
        <f>TEXT(B2097,"aaa")</f>
        <v/>
      </c>
      <c r="E2097" s="20">
        <f>INDEX(매칭테이블!C:C,MATCH(RD!G2097,매칭테이블!D:D,0))</f>
        <v/>
      </c>
      <c r="F2097" s="20" t="inlineStr">
        <is>
          <t>카페24</t>
        </is>
      </c>
      <c r="G2097" s="20" t="inlineStr">
        <is>
          <t>유즈 솔리드퍼퓸 - 30ml (스테이포에버 주문 시 12/14 부터 순차배송)향=스테이포에버, 세트 선택=2개 (28% off)</t>
        </is>
      </c>
      <c r="H2097" s="20" t="n">
        <v>2</v>
      </c>
      <c r="I2097" s="20">
        <f>VLOOKUP(G2097,매칭테이블!D:E,2,0)</f>
        <v/>
      </c>
      <c r="J2097" s="20" t="n">
        <v>201210</v>
      </c>
      <c r="L2097" s="20">
        <f>VLOOKUP($O2097,매칭테이블!$G:$J,2,0)*H2097</f>
        <v/>
      </c>
      <c r="M2097" s="20">
        <f>L2097-L2097*VLOOKUP($O2097,매칭테이블!$G:$J,3,0)</f>
        <v/>
      </c>
      <c r="N2097" s="20">
        <f>VLOOKUP($O2097,매칭테이블!$G:$J,4,0)*H2097</f>
        <v/>
      </c>
      <c r="O2097" s="20">
        <f>F2097&amp;E2097&amp;G2097&amp;J2097</f>
        <v/>
      </c>
    </row>
    <row r="2098" ht="16.5" customHeight="1" s="17">
      <c r="B2098" s="16" t="n">
        <v>44167</v>
      </c>
      <c r="C2098" s="20">
        <f>TEXT(B2098,"aaa")</f>
        <v/>
      </c>
      <c r="E2098" s="20">
        <f>INDEX(매칭테이블!C:C,MATCH(RD!G2098,매칭테이블!D:D,0))</f>
        <v/>
      </c>
      <c r="F2098" s="20" t="inlineStr">
        <is>
          <t>카페24</t>
        </is>
      </c>
      <c r="G2098" s="20" t="inlineStr">
        <is>
          <t>유즈 솔리드퍼퓸 - 30ml (스테이포에버 주문 시 12/14 부터 순차배송)향=이그나이트 + 스테이포에버, 세트 선택=1 SET</t>
        </is>
      </c>
      <c r="H2098" s="20" t="n">
        <v>7</v>
      </c>
      <c r="I2098" s="20">
        <f>VLOOKUP(G2098,매칭테이블!D:E,2,0)</f>
        <v/>
      </c>
      <c r="J2098" s="20" t="n">
        <v>201210</v>
      </c>
      <c r="L2098" s="20">
        <f>VLOOKUP($O2098,매칭테이블!$G:$J,2,0)*H2098</f>
        <v/>
      </c>
      <c r="M2098" s="20">
        <f>L2098-L2098*VLOOKUP($O2098,매칭테이블!$G:$J,3,0)</f>
        <v/>
      </c>
      <c r="N2098" s="20">
        <f>VLOOKUP($O2098,매칭테이블!$G:$J,4,0)*H2098</f>
        <v/>
      </c>
      <c r="O2098" s="20">
        <f>F2098&amp;E2098&amp;G2098&amp;J2098</f>
        <v/>
      </c>
    </row>
    <row r="2099" ht="16.5" customHeight="1" s="17">
      <c r="B2099" s="16" t="n">
        <v>44170</v>
      </c>
      <c r="C2099" s="20">
        <f>TEXT(B2099,"aaa")</f>
        <v/>
      </c>
      <c r="E2099" s="20">
        <f>INDEX(매칭테이블!C:C,MATCH(RD!G2099,매칭테이블!D:D,0))</f>
        <v/>
      </c>
      <c r="F2099" s="20" t="inlineStr">
        <is>
          <t>카페24</t>
        </is>
      </c>
      <c r="G2099" s="20" t="inlineStr">
        <is>
          <t>유즈 솔리드퍼퓸 - 30ml (스테이포에버 주문 시 12/14 순차배송)향=이그나이트, 세트 선택=1 개</t>
        </is>
      </c>
      <c r="H2099" s="20" t="n">
        <v>2</v>
      </c>
      <c r="I2099" s="20">
        <f>VLOOKUP(G2099,매칭테이블!D:E,2,0)</f>
        <v/>
      </c>
      <c r="J2099" s="20" t="n">
        <v>201210</v>
      </c>
      <c r="L2099" s="20">
        <f>VLOOKUP($O2099,매칭테이블!$G:$J,2,0)*H2099</f>
        <v/>
      </c>
      <c r="M2099" s="20">
        <f>L2099-L2099*VLOOKUP($O2099,매칭테이블!$G:$J,3,0)</f>
        <v/>
      </c>
      <c r="N2099" s="20">
        <f>VLOOKUP($O2099,매칭테이블!$G:$J,4,0)*H2099</f>
        <v/>
      </c>
      <c r="O2099" s="20">
        <f>F2099&amp;E2099&amp;G2099&amp;J2099</f>
        <v/>
      </c>
    </row>
    <row r="2100" ht="16.5" customHeight="1" s="17">
      <c r="B2100" s="16" t="n">
        <v>44170</v>
      </c>
      <c r="C2100" s="20">
        <f>TEXT(B2100,"aaa")</f>
        <v/>
      </c>
      <c r="E2100" s="20">
        <f>INDEX(매칭테이블!C:C,MATCH(RD!G2100,매칭테이블!D:D,0))</f>
        <v/>
      </c>
      <c r="F2100" s="20" t="inlineStr">
        <is>
          <t>카페24</t>
        </is>
      </c>
      <c r="G2100" s="20" t="inlineStr">
        <is>
          <t>유즈 솔리드퍼퓸 - 30ml (스테이포에버 주문 시 12/14 순차배송)향=스테이포에버, 세트 선택=1 개</t>
        </is>
      </c>
      <c r="H2100" s="20" t="n">
        <v>9</v>
      </c>
      <c r="I2100" s="20">
        <f>VLOOKUP(G2100,매칭테이블!D:E,2,0)</f>
        <v/>
      </c>
      <c r="J2100" s="20" t="n">
        <v>201210</v>
      </c>
      <c r="L2100" s="20">
        <f>VLOOKUP($O2100,매칭테이블!$G:$J,2,0)*H2100</f>
        <v/>
      </c>
      <c r="M2100" s="20">
        <f>L2100-L2100*VLOOKUP($O2100,매칭테이블!$G:$J,3,0)</f>
        <v/>
      </c>
      <c r="N2100" s="20">
        <f>VLOOKUP($O2100,매칭테이블!$G:$J,4,0)*H2100</f>
        <v/>
      </c>
      <c r="O2100" s="20">
        <f>F2100&amp;E2100&amp;G2100&amp;J2100</f>
        <v/>
      </c>
    </row>
    <row r="2101" ht="16.5" customHeight="1" s="17">
      <c r="B2101" s="16" t="n">
        <v>44170</v>
      </c>
      <c r="C2101" s="20">
        <f>TEXT(B2101,"aaa")</f>
        <v/>
      </c>
      <c r="E2101" s="20">
        <f>INDEX(매칭테이블!C:C,MATCH(RD!G2101,매칭테이블!D:D,0))</f>
        <v/>
      </c>
      <c r="F2101" s="20" t="inlineStr">
        <is>
          <t>카페24</t>
        </is>
      </c>
      <c r="G2101" s="20" t="inlineStr">
        <is>
          <t>유즈 솔리드퍼퓸 - 30ml (스테이포에버 주문 시 12/14 순차배송)향=스테이포에버, 세트 선택=2개 (28% off)</t>
        </is>
      </c>
      <c r="H2101" s="20" t="n">
        <v>8</v>
      </c>
      <c r="I2101" s="20">
        <f>VLOOKUP(G2101,매칭테이블!D:E,2,0)</f>
        <v/>
      </c>
      <c r="J2101" s="20" t="n">
        <v>201210</v>
      </c>
      <c r="L2101" s="20">
        <f>VLOOKUP($O2101,매칭테이블!$G:$J,2,0)*H2101</f>
        <v/>
      </c>
      <c r="M2101" s="20">
        <f>L2101-L2101*VLOOKUP($O2101,매칭테이블!$G:$J,3,0)</f>
        <v/>
      </c>
      <c r="N2101" s="20">
        <f>VLOOKUP($O2101,매칭테이블!$G:$J,4,0)*H2101</f>
        <v/>
      </c>
      <c r="O2101" s="20">
        <f>F2101&amp;E2101&amp;G2101&amp;J2101</f>
        <v/>
      </c>
    </row>
    <row r="2102" ht="16.5" customHeight="1" s="17">
      <c r="B2102" s="16" t="n">
        <v>44170</v>
      </c>
      <c r="C2102" s="20">
        <f>TEXT(B2102,"aaa")</f>
        <v/>
      </c>
      <c r="E2102" s="20">
        <f>INDEX(매칭테이블!C:C,MATCH(RD!G2102,매칭테이블!D:D,0))</f>
        <v/>
      </c>
      <c r="F2102" s="20" t="inlineStr">
        <is>
          <t>카페24</t>
        </is>
      </c>
      <c r="G2102" s="20" t="inlineStr">
        <is>
          <t>유즈 솔리드퍼퓸 - 30ml (스테이포에버 주문 시 12/14 순차배송)향=이그나이트 + 스테이포에버, 세트 선택=1 SET</t>
        </is>
      </c>
      <c r="H2102" s="20" t="n">
        <v>6</v>
      </c>
      <c r="I2102" s="20">
        <f>VLOOKUP(G2102,매칭테이블!D:E,2,0)</f>
        <v/>
      </c>
      <c r="J2102" s="20" t="n">
        <v>201210</v>
      </c>
      <c r="L2102" s="20">
        <f>VLOOKUP($O2102,매칭테이블!$G:$J,2,0)*H2102</f>
        <v/>
      </c>
      <c r="M2102" s="20">
        <f>L2102-L2102*VLOOKUP($O2102,매칭테이블!$G:$J,3,0)</f>
        <v/>
      </c>
      <c r="N2102" s="20">
        <f>VLOOKUP($O2102,매칭테이블!$G:$J,4,0)*H2102</f>
        <v/>
      </c>
      <c r="O2102" s="20">
        <f>F2102&amp;E2102&amp;G2102&amp;J2102</f>
        <v/>
      </c>
    </row>
    <row r="2103" ht="16.5" customHeight="1" s="17">
      <c r="B2103" s="16" t="n">
        <v>44170</v>
      </c>
      <c r="C2103" s="20">
        <f>TEXT(B2103,"aaa")</f>
        <v/>
      </c>
      <c r="E2103" s="20">
        <f>INDEX(매칭테이블!C:C,MATCH(RD!G2103,매칭테이블!D:D,0))</f>
        <v/>
      </c>
      <c r="F2103" s="20" t="inlineStr">
        <is>
          <t>카페24</t>
        </is>
      </c>
      <c r="G2103" s="20" t="inlineStr">
        <is>
          <t>유즈 솔리드퍼퓸 - 30ml (스테이포에버 주문 시 12/14 순차배송)향=이그나이트 + 스테이포에버, 세트 선택=2 SET (42% off)</t>
        </is>
      </c>
      <c r="H2103" s="20" t="n">
        <v>1</v>
      </c>
      <c r="I2103" s="20">
        <f>VLOOKUP(G2103,매칭테이블!D:E,2,0)</f>
        <v/>
      </c>
      <c r="J2103" s="20" t="n">
        <v>201210</v>
      </c>
      <c r="L2103" s="20">
        <f>VLOOKUP($O2103,매칭테이블!$G:$J,2,0)*H2103</f>
        <v/>
      </c>
      <c r="M2103" s="20">
        <f>L2103-L2103*VLOOKUP($O2103,매칭테이블!$G:$J,3,0)</f>
        <v/>
      </c>
      <c r="N2103" s="20">
        <f>VLOOKUP($O2103,매칭테이블!$G:$J,4,0)*H2103</f>
        <v/>
      </c>
      <c r="O2103" s="20">
        <f>F2103&amp;E2103&amp;G2103&amp;J2103</f>
        <v/>
      </c>
    </row>
    <row r="2104" ht="16.5" customHeight="1" s="17">
      <c r="B2104" s="16" t="n">
        <v>44170</v>
      </c>
      <c r="C2104" s="20">
        <f>TEXT(B2104,"aaa")</f>
        <v/>
      </c>
      <c r="E2104" s="20">
        <f>INDEX(매칭테이블!C:C,MATCH(RD!G2104,매칭테이블!D:D,0))</f>
        <v/>
      </c>
      <c r="F2104" s="20" t="inlineStr">
        <is>
          <t>카페24</t>
        </is>
      </c>
      <c r="G2104" s="20" t="inlineStr">
        <is>
          <t>유즈 스테이포에버 솔리드퍼퓸 002 (스테이포에버 주문시 12/14 순차배송)제품선택=스테이포에버 솔리드퍼퓸 002[Pre-order 이벤트 17% 할인]</t>
        </is>
      </c>
      <c r="H2104" s="20" t="n">
        <v>175</v>
      </c>
      <c r="I2104" s="20">
        <f>VLOOKUP(G2104,매칭테이블!D:E,2,0)</f>
        <v/>
      </c>
      <c r="J2104" s="20" t="n">
        <v>201210</v>
      </c>
      <c r="L2104" s="20">
        <f>VLOOKUP($O2104,매칭테이블!$G:$J,2,0)*H2104</f>
        <v/>
      </c>
      <c r="M2104" s="20">
        <f>L2104-L2104*VLOOKUP($O2104,매칭테이블!$G:$J,3,0)</f>
        <v/>
      </c>
      <c r="N2104" s="20">
        <f>VLOOKUP($O2104,매칭테이블!$G:$J,4,0)*H2104</f>
        <v/>
      </c>
      <c r="O2104" s="20">
        <f>F2104&amp;E2104&amp;G2104&amp;J2104</f>
        <v/>
      </c>
    </row>
    <row r="2105" ht="16.5" customHeight="1" s="17">
      <c r="B2105" s="16" t="n">
        <v>44170</v>
      </c>
      <c r="C2105" s="20">
        <f>TEXT(B2105,"aaa")</f>
        <v/>
      </c>
      <c r="E2105" s="20">
        <f>INDEX(매칭테이블!C:C,MATCH(RD!G2105,매칭테이블!D:D,0))</f>
        <v/>
      </c>
      <c r="F2105" s="20" t="inlineStr">
        <is>
          <t>카페24</t>
        </is>
      </c>
      <c r="G2105" s="20" t="inlineStr">
        <is>
          <t>유즈 스테이포에버 솔리드퍼퓸 002 (스테이포에버 주문시 12/14 순차배송)제품선택=스테이포에버 2개 세트[Pre-order 이벤트 28% 할인]</t>
        </is>
      </c>
      <c r="H2105" s="20" t="n">
        <v>64</v>
      </c>
      <c r="I2105" s="20">
        <f>VLOOKUP(G2105,매칭테이블!D:E,2,0)</f>
        <v/>
      </c>
      <c r="J2105" s="20" t="n">
        <v>201210</v>
      </c>
      <c r="L2105" s="20">
        <f>VLOOKUP($O2105,매칭테이블!$G:$J,2,0)*H2105</f>
        <v/>
      </c>
      <c r="M2105" s="20">
        <f>L2105-L2105*VLOOKUP($O2105,매칭테이블!$G:$J,3,0)</f>
        <v/>
      </c>
      <c r="N2105" s="20">
        <f>VLOOKUP($O2105,매칭테이블!$G:$J,4,0)*H2105</f>
        <v/>
      </c>
      <c r="O2105" s="20">
        <f>F2105&amp;E2105&amp;G2105&amp;J2105</f>
        <v/>
      </c>
    </row>
    <row r="2106" ht="16.5" customHeight="1" s="17">
      <c r="B2106" s="16" t="n">
        <v>44170</v>
      </c>
      <c r="C2106" s="20">
        <f>TEXT(B2106,"aaa")</f>
        <v/>
      </c>
      <c r="E2106" s="20">
        <f>INDEX(매칭테이블!C:C,MATCH(RD!G2106,매칭테이블!D:D,0))</f>
        <v/>
      </c>
      <c r="F2106" s="20" t="inlineStr">
        <is>
          <t>카페24</t>
        </is>
      </c>
      <c r="G2106" s="20" t="inlineStr">
        <is>
          <t>유즈 스테이포에버 솔리드퍼퓸 002 (스테이포에버 주문시 12/14 순차배송)제품선택=스테이포에버 + 이그나이트 세트</t>
        </is>
      </c>
      <c r="H2106" s="20" t="n">
        <v>19</v>
      </c>
      <c r="I2106" s="20">
        <f>VLOOKUP(G2106,매칭테이블!D:E,2,0)</f>
        <v/>
      </c>
      <c r="J2106" s="20" t="n">
        <v>201210</v>
      </c>
      <c r="L2106" s="20">
        <f>VLOOKUP($O2106,매칭테이블!$G:$J,2,0)*H2106</f>
        <v/>
      </c>
      <c r="M2106" s="20">
        <f>L2106-L2106*VLOOKUP($O2106,매칭테이블!$G:$J,3,0)</f>
        <v/>
      </c>
      <c r="N2106" s="20">
        <f>VLOOKUP($O2106,매칭테이블!$G:$J,4,0)*H2106</f>
        <v/>
      </c>
      <c r="O2106" s="20">
        <f>F2106&amp;E2106&amp;G2106&amp;J2106</f>
        <v/>
      </c>
    </row>
    <row r="2107" ht="16.5" customHeight="1" s="17">
      <c r="B2107" s="16" t="n">
        <v>44170</v>
      </c>
      <c r="C2107" s="20">
        <f>TEXT(B2107,"aaa")</f>
        <v/>
      </c>
      <c r="E2107" s="20">
        <f>INDEX(매칭테이블!C:C,MATCH(RD!G2107,매칭테이블!D:D,0))</f>
        <v/>
      </c>
      <c r="F2107" s="20" t="inlineStr">
        <is>
          <t>카페24</t>
        </is>
      </c>
      <c r="G2107" s="20" t="inlineStr">
        <is>
          <t>유즈 스테이포에버 솔리드퍼퓸 002 (스테이포에버 주문시 12/14 순차배송)쇼핑백=선물용 쇼핑백</t>
        </is>
      </c>
      <c r="H2107" s="20" t="n">
        <v>6</v>
      </c>
      <c r="I2107" s="20">
        <f>VLOOKUP(G2107,매칭테이블!D:E,2,0)</f>
        <v/>
      </c>
      <c r="J2107" s="20" t="n">
        <v>201210</v>
      </c>
      <c r="L2107" s="20">
        <f>VLOOKUP($O2107,매칭테이블!$G:$J,2,0)*H2107</f>
        <v/>
      </c>
      <c r="M2107" s="20">
        <f>L2107-L2107*VLOOKUP($O2107,매칭테이블!$G:$J,3,0)</f>
        <v/>
      </c>
      <c r="N2107" s="20">
        <f>VLOOKUP($O2107,매칭테이블!$G:$J,4,0)*H2107</f>
        <v/>
      </c>
      <c r="O2107" s="20">
        <f>F2107&amp;E2107&amp;G2107&amp;J2107</f>
        <v/>
      </c>
    </row>
    <row r="2108" ht="16.5" customHeight="1" s="17">
      <c r="B2108" s="16" t="n">
        <v>44170</v>
      </c>
      <c r="C2108" s="20">
        <f>TEXT(B2108,"aaa")</f>
        <v/>
      </c>
      <c r="E2108" s="20">
        <f>INDEX(매칭테이블!C:C,MATCH(RD!G2108,매칭테이블!D:D,0))</f>
        <v/>
      </c>
      <c r="F2108" s="20" t="inlineStr">
        <is>
          <t>카페24</t>
        </is>
      </c>
      <c r="G2108" s="20" t="inlineStr">
        <is>
          <t>유즈 이그나이트 솔리드퍼퓸 001제품선택=이그나이트 솔리드퍼퓸 - 30ml</t>
        </is>
      </c>
      <c r="H2108" s="20" t="n">
        <v>2</v>
      </c>
      <c r="I2108" s="20">
        <f>VLOOKUP(G2108,매칭테이블!D:E,2,0)</f>
        <v/>
      </c>
      <c r="J2108" s="20" t="n">
        <v>201210</v>
      </c>
      <c r="L2108" s="20">
        <f>VLOOKUP($O2108,매칭테이블!$G:$J,2,0)*H2108</f>
        <v/>
      </c>
      <c r="M2108" s="20">
        <f>L2108-L2108*VLOOKUP($O2108,매칭테이블!$G:$J,3,0)</f>
        <v/>
      </c>
      <c r="N2108" s="20">
        <f>VLOOKUP($O2108,매칭테이블!$G:$J,4,0)*H2108</f>
        <v/>
      </c>
      <c r="O2108" s="20">
        <f>F2108&amp;E2108&amp;G2108&amp;J2108</f>
        <v/>
      </c>
    </row>
    <row r="2109" ht="16.5" customHeight="1" s="17">
      <c r="B2109" s="16" t="n">
        <v>44168</v>
      </c>
      <c r="C2109" s="20">
        <f>TEXT(B2109,"aaa")</f>
        <v/>
      </c>
      <c r="E2109" s="20">
        <f>INDEX(매칭테이블!C:C,MATCH(RD!G2109,매칭테이블!D:D,0))</f>
        <v/>
      </c>
      <c r="F2109" s="20" t="inlineStr">
        <is>
          <t>카페24</t>
        </is>
      </c>
      <c r="G2109" s="20" t="inlineStr">
        <is>
          <t>유즈 솔리드퍼퓸 - 30ml (스테이포에버 주문 시 12/14 순차배송)향=스테이포에버, 세트 선택=1 개</t>
        </is>
      </c>
      <c r="H2109" s="20" t="n">
        <v>49</v>
      </c>
      <c r="I2109" s="20">
        <f>VLOOKUP(G2109,매칭테이블!D:E,2,0)</f>
        <v/>
      </c>
      <c r="J2109" s="20" t="n">
        <v>201210</v>
      </c>
      <c r="L2109" s="20">
        <f>VLOOKUP($O2109,매칭테이블!$G:$J,2,0)*H2109</f>
        <v/>
      </c>
      <c r="M2109" s="20">
        <f>L2109-L2109*VLOOKUP($O2109,매칭테이블!$G:$J,3,0)</f>
        <v/>
      </c>
      <c r="N2109" s="20">
        <f>VLOOKUP($O2109,매칭테이블!$G:$J,4,0)*H2109</f>
        <v/>
      </c>
      <c r="O2109" s="20">
        <f>F2109&amp;E2109&amp;G2109&amp;J2109</f>
        <v/>
      </c>
    </row>
    <row r="2110" ht="16.5" customHeight="1" s="17">
      <c r="B2110" s="16" t="n">
        <v>44168</v>
      </c>
      <c r="C2110" s="20">
        <f>TEXT(B2110,"aaa")</f>
        <v/>
      </c>
      <c r="E2110" s="20">
        <f>INDEX(매칭테이블!C:C,MATCH(RD!G2110,매칭테이블!D:D,0))</f>
        <v/>
      </c>
      <c r="F2110" s="20" t="inlineStr">
        <is>
          <t>카페24</t>
        </is>
      </c>
      <c r="G2110" s="20" t="inlineStr">
        <is>
          <t>유즈 솔리드퍼퓸 - 30ml (스테이포에버 주문 시 12/14 순차배송)향=스테이포에버, 세트 선택=2개 (28% off)</t>
        </is>
      </c>
      <c r="H2110" s="20" t="n">
        <v>16</v>
      </c>
      <c r="I2110" s="20">
        <f>VLOOKUP(G2110,매칭테이블!D:E,2,0)</f>
        <v/>
      </c>
      <c r="J2110" s="20" t="n">
        <v>201210</v>
      </c>
      <c r="L2110" s="20">
        <f>VLOOKUP($O2110,매칭테이블!$G:$J,2,0)*H2110</f>
        <v/>
      </c>
      <c r="M2110" s="20">
        <f>L2110-L2110*VLOOKUP($O2110,매칭테이블!$G:$J,3,0)</f>
        <v/>
      </c>
      <c r="N2110" s="20">
        <f>VLOOKUP($O2110,매칭테이블!$G:$J,4,0)*H2110</f>
        <v/>
      </c>
      <c r="O2110" s="20">
        <f>F2110&amp;E2110&amp;G2110&amp;J2110</f>
        <v/>
      </c>
    </row>
    <row r="2111" ht="16.5" customHeight="1" s="17">
      <c r="B2111" s="16" t="n">
        <v>44168</v>
      </c>
      <c r="C2111" s="20">
        <f>TEXT(B2111,"aaa")</f>
        <v/>
      </c>
      <c r="E2111" s="20">
        <f>INDEX(매칭테이블!C:C,MATCH(RD!G2111,매칭테이블!D:D,0))</f>
        <v/>
      </c>
      <c r="F2111" s="20" t="inlineStr">
        <is>
          <t>카페24</t>
        </is>
      </c>
      <c r="G2111" s="20" t="inlineStr">
        <is>
          <t>유즈 솔리드퍼퓸 - 30ml (스테이포에버 주문 시 12/14 순차배송)향=이그나이트 + 스테이포에버, 세트 선택=1 SET</t>
        </is>
      </c>
      <c r="H2111" s="20" t="n">
        <v>23</v>
      </c>
      <c r="I2111" s="20">
        <f>VLOOKUP(G2111,매칭테이블!D:E,2,0)</f>
        <v/>
      </c>
      <c r="J2111" s="20" t="n">
        <v>201210</v>
      </c>
      <c r="L2111" s="20">
        <f>VLOOKUP($O2111,매칭테이블!$G:$J,2,0)*H2111</f>
        <v/>
      </c>
      <c r="M2111" s="20">
        <f>L2111-L2111*VLOOKUP($O2111,매칭테이블!$G:$J,3,0)</f>
        <v/>
      </c>
      <c r="N2111" s="20">
        <f>VLOOKUP($O2111,매칭테이블!$G:$J,4,0)*H2111</f>
        <v/>
      </c>
      <c r="O2111" s="20">
        <f>F2111&amp;E2111&amp;G2111&amp;J2111</f>
        <v/>
      </c>
    </row>
    <row r="2112" ht="16.5" customHeight="1" s="17">
      <c r="B2112" s="16" t="n">
        <v>44168</v>
      </c>
      <c r="C2112" s="20">
        <f>TEXT(B2112,"aaa")</f>
        <v/>
      </c>
      <c r="E2112" s="20">
        <f>INDEX(매칭테이블!C:C,MATCH(RD!G2112,매칭테이블!D:D,0))</f>
        <v/>
      </c>
      <c r="F2112" s="20" t="inlineStr">
        <is>
          <t>카페24</t>
        </is>
      </c>
      <c r="G2112" s="20" t="inlineStr">
        <is>
          <t>유즈 솔리드퍼퓸 - 30ml (스테이포에버 주문 시 12/14 순차배송)향=이그나이트 + 스테이포에버, 세트 선택=2 SET (42% off)</t>
        </is>
      </c>
      <c r="H2112" s="20" t="n">
        <v>3</v>
      </c>
      <c r="I2112" s="20">
        <f>VLOOKUP(G2112,매칭테이블!D:E,2,0)</f>
        <v/>
      </c>
      <c r="J2112" s="20" t="n">
        <v>201210</v>
      </c>
      <c r="L2112" s="20">
        <f>VLOOKUP($O2112,매칭테이블!$G:$J,2,0)*H2112</f>
        <v/>
      </c>
      <c r="M2112" s="20">
        <f>L2112-L2112*VLOOKUP($O2112,매칭테이블!$G:$J,3,0)</f>
        <v/>
      </c>
      <c r="N2112" s="20">
        <f>VLOOKUP($O2112,매칭테이블!$G:$J,4,0)*H2112</f>
        <v/>
      </c>
      <c r="O2112" s="20">
        <f>F2112&amp;E2112&amp;G2112&amp;J2112</f>
        <v/>
      </c>
    </row>
    <row r="2113" ht="16.5" customHeight="1" s="17">
      <c r="B2113" s="16" t="n">
        <v>44172</v>
      </c>
      <c r="C2113" s="20">
        <f>TEXT(B2113,"aaa")</f>
        <v/>
      </c>
      <c r="E2113" s="20">
        <f>INDEX(매칭테이블!C:C,MATCH(RD!G2113,매칭테이블!D:D,0))</f>
        <v/>
      </c>
      <c r="F2113" s="20" t="inlineStr">
        <is>
          <t>카페24</t>
        </is>
      </c>
      <c r="G2113" s="20" t="inlineStr">
        <is>
          <t>유즈 솔리드퍼퓸 - 30ml (스테이포에버 주문 시 12/15 순차배송)향=이그나이트, 세트 선택=1 개</t>
        </is>
      </c>
      <c r="H2113" s="20" t="n">
        <v>1</v>
      </c>
      <c r="I2113" s="20">
        <f>VLOOKUP(G2113,매칭테이블!D:E,2,0)</f>
        <v/>
      </c>
      <c r="J2113" s="20" t="n">
        <v>201210</v>
      </c>
      <c r="L2113" s="20">
        <f>VLOOKUP($O2113,매칭테이블!$G:$J,2,0)*H2113</f>
        <v/>
      </c>
      <c r="M2113" s="20">
        <f>L2113-L2113*VLOOKUP($O2113,매칭테이블!$G:$J,3,0)</f>
        <v/>
      </c>
      <c r="N2113" s="20">
        <f>VLOOKUP($O2113,매칭테이블!$G:$J,4,0)*H2113</f>
        <v/>
      </c>
      <c r="O2113" s="20">
        <f>F2113&amp;E2113&amp;G2113&amp;J2113</f>
        <v/>
      </c>
    </row>
    <row r="2114" ht="16.5" customHeight="1" s="17">
      <c r="B2114" s="16" t="n">
        <v>44172</v>
      </c>
      <c r="C2114" s="20">
        <f>TEXT(B2114,"aaa")</f>
        <v/>
      </c>
      <c r="E2114" s="20">
        <f>INDEX(매칭테이블!C:C,MATCH(RD!G2114,매칭테이블!D:D,0))</f>
        <v/>
      </c>
      <c r="F2114" s="20" t="inlineStr">
        <is>
          <t>카페24</t>
        </is>
      </c>
      <c r="G2114" s="20" t="inlineStr">
        <is>
          <t>유즈 솔리드퍼퓸 - 30ml (스테이포에버 주문 시 12/15 순차배송)향=스테이포에버, 세트 선택=1 개</t>
        </is>
      </c>
      <c r="H2114" s="20" t="n">
        <v>24</v>
      </c>
      <c r="I2114" s="20">
        <f>VLOOKUP(G2114,매칭테이블!D:E,2,0)</f>
        <v/>
      </c>
      <c r="J2114" s="20" t="n">
        <v>201210</v>
      </c>
      <c r="L2114" s="20">
        <f>VLOOKUP($O2114,매칭테이블!$G:$J,2,0)*H2114</f>
        <v/>
      </c>
      <c r="M2114" s="20">
        <f>L2114-L2114*VLOOKUP($O2114,매칭테이블!$G:$J,3,0)</f>
        <v/>
      </c>
      <c r="N2114" s="20">
        <f>VLOOKUP($O2114,매칭테이블!$G:$J,4,0)*H2114</f>
        <v/>
      </c>
      <c r="O2114" s="20">
        <f>F2114&amp;E2114&amp;G2114&amp;J2114</f>
        <v/>
      </c>
    </row>
    <row r="2115" ht="16.5" customHeight="1" s="17">
      <c r="B2115" s="16" t="n">
        <v>44172</v>
      </c>
      <c r="C2115" s="20">
        <f>TEXT(B2115,"aaa")</f>
        <v/>
      </c>
      <c r="E2115" s="20">
        <f>INDEX(매칭테이블!C:C,MATCH(RD!G2115,매칭테이블!D:D,0))</f>
        <v/>
      </c>
      <c r="F2115" s="20" t="inlineStr">
        <is>
          <t>카페24</t>
        </is>
      </c>
      <c r="G2115" s="20" t="inlineStr">
        <is>
          <t>유즈 솔리드퍼퓸 - 30ml (스테이포에버 주문 시 12/15 순차배송)향=스테이포에버, 세트 선택=2개 (28% off)</t>
        </is>
      </c>
      <c r="H2115" s="20" t="n">
        <v>9</v>
      </c>
      <c r="I2115" s="20">
        <f>VLOOKUP(G2115,매칭테이블!D:E,2,0)</f>
        <v/>
      </c>
      <c r="J2115" s="20" t="n">
        <v>201210</v>
      </c>
      <c r="L2115" s="20">
        <f>VLOOKUP($O2115,매칭테이블!$G:$J,2,0)*H2115</f>
        <v/>
      </c>
      <c r="M2115" s="20">
        <f>L2115-L2115*VLOOKUP($O2115,매칭테이블!$G:$J,3,0)</f>
        <v/>
      </c>
      <c r="N2115" s="20">
        <f>VLOOKUP($O2115,매칭테이블!$G:$J,4,0)*H2115</f>
        <v/>
      </c>
      <c r="O2115" s="20">
        <f>F2115&amp;E2115&amp;G2115&amp;J2115</f>
        <v/>
      </c>
    </row>
    <row r="2116" ht="16.5" customHeight="1" s="17">
      <c r="B2116" s="16" t="n">
        <v>44172</v>
      </c>
      <c r="C2116" s="20">
        <f>TEXT(B2116,"aaa")</f>
        <v/>
      </c>
      <c r="E2116" s="20">
        <f>INDEX(매칭테이블!C:C,MATCH(RD!G2116,매칭테이블!D:D,0))</f>
        <v/>
      </c>
      <c r="F2116" s="20" t="inlineStr">
        <is>
          <t>카페24</t>
        </is>
      </c>
      <c r="G2116" s="20" t="inlineStr">
        <is>
          <t>유즈 솔리드퍼퓸 - 30ml (스테이포에버 주문 시 12/15 순차배송)향=이그나이트 + 스테이포에버, 세트 선택=1 SET</t>
        </is>
      </c>
      <c r="H2116" s="20" t="n">
        <v>10</v>
      </c>
      <c r="I2116" s="20">
        <f>VLOOKUP(G2116,매칭테이블!D:E,2,0)</f>
        <v/>
      </c>
      <c r="J2116" s="20" t="n">
        <v>201210</v>
      </c>
      <c r="L2116" s="20">
        <f>VLOOKUP($O2116,매칭테이블!$G:$J,2,0)*H2116</f>
        <v/>
      </c>
      <c r="M2116" s="20">
        <f>L2116-L2116*VLOOKUP($O2116,매칭테이블!$G:$J,3,0)</f>
        <v/>
      </c>
      <c r="N2116" s="20">
        <f>VLOOKUP($O2116,매칭테이블!$G:$J,4,0)*H2116</f>
        <v/>
      </c>
      <c r="O2116" s="20">
        <f>F2116&amp;E2116&amp;G2116&amp;J2116</f>
        <v/>
      </c>
    </row>
    <row r="2117" ht="16.5" customHeight="1" s="17">
      <c r="B2117" s="16" t="n">
        <v>44167</v>
      </c>
      <c r="C2117" s="20">
        <f>TEXT(B2117,"aaa")</f>
        <v/>
      </c>
      <c r="E2117" s="20">
        <f>INDEX(매칭테이블!C:C,MATCH(RD!G2117,매칭테이블!D:D,0))</f>
        <v/>
      </c>
      <c r="F2117" s="20" t="inlineStr">
        <is>
          <t>카페24</t>
        </is>
      </c>
      <c r="G2117" s="20" t="inlineStr">
        <is>
          <t>유즈 솔리드퍼퓸 - 30ml (스테이포에버 주문 시 12/4 부터 순차배송)향=스테이포에버, 세트 선택=1 개</t>
        </is>
      </c>
      <c r="H2117" s="20" t="n">
        <v>6</v>
      </c>
      <c r="I2117" s="20">
        <f>VLOOKUP(G2117,매칭테이블!D:E,2,0)</f>
        <v/>
      </c>
      <c r="J2117" s="20" t="n">
        <v>201210</v>
      </c>
      <c r="L2117" s="20">
        <f>VLOOKUP($O2117,매칭테이블!$G:$J,2,0)*H2117</f>
        <v/>
      </c>
      <c r="M2117" s="20">
        <f>L2117-L2117*VLOOKUP($O2117,매칭테이블!$G:$J,3,0)</f>
        <v/>
      </c>
      <c r="N2117" s="20">
        <f>VLOOKUP($O2117,매칭테이블!$G:$J,4,0)*H2117</f>
        <v/>
      </c>
      <c r="O2117" s="20">
        <f>F2117&amp;E2117&amp;G2117&amp;J2117</f>
        <v/>
      </c>
    </row>
    <row r="2118" ht="16.5" customHeight="1" s="17">
      <c r="B2118" s="16" t="n">
        <v>44167</v>
      </c>
      <c r="C2118" s="20">
        <f>TEXT(B2118,"aaa")</f>
        <v/>
      </c>
      <c r="E2118" s="20">
        <f>INDEX(매칭테이블!C:C,MATCH(RD!G2118,매칭테이블!D:D,0))</f>
        <v/>
      </c>
      <c r="F2118" s="20" t="inlineStr">
        <is>
          <t>카페24</t>
        </is>
      </c>
      <c r="G2118" s="20" t="inlineStr">
        <is>
          <t>유즈 솔리드퍼퓸 - 30ml (스테이포에버 주문 시 12/4 부터 순차배송)향=이그나이트 + 스테이포에버, 세트 선택=1 SET</t>
        </is>
      </c>
      <c r="H2118" s="20" t="n">
        <v>3</v>
      </c>
      <c r="I2118" s="20">
        <f>VLOOKUP(G2118,매칭테이블!D:E,2,0)</f>
        <v/>
      </c>
      <c r="J2118" s="20" t="n">
        <v>201210</v>
      </c>
      <c r="L2118" s="20">
        <f>VLOOKUP($O2118,매칭테이블!$G:$J,2,0)*H2118</f>
        <v/>
      </c>
      <c r="M2118" s="20">
        <f>L2118-L2118*VLOOKUP($O2118,매칭테이블!$G:$J,3,0)</f>
        <v/>
      </c>
      <c r="N2118" s="20">
        <f>VLOOKUP($O2118,매칭테이블!$G:$J,4,0)*H2118</f>
        <v/>
      </c>
      <c r="O2118" s="20">
        <f>F2118&amp;E2118&amp;G2118&amp;J2118</f>
        <v/>
      </c>
    </row>
    <row r="2119" ht="16.5" customHeight="1" s="17">
      <c r="B2119" s="16" t="n">
        <v>44172</v>
      </c>
      <c r="C2119" s="20">
        <f>TEXT(B2119,"aaa")</f>
        <v/>
      </c>
      <c r="E2119" s="20">
        <f>INDEX(매칭테이블!C:C,MATCH(RD!G2119,매칭테이블!D:D,0))</f>
        <v/>
      </c>
      <c r="F2119" s="20" t="inlineStr">
        <is>
          <t>카페24</t>
        </is>
      </c>
      <c r="G2119" s="20" t="inlineStr">
        <is>
          <t>유즈 스테이포에버 솔리드퍼퓸 002제품선택=스테이포에버 솔리드퍼퓸</t>
        </is>
      </c>
      <c r="H2119" s="20" t="n">
        <v>1</v>
      </c>
      <c r="I2119" s="20">
        <f>VLOOKUP(G2119,매칭테이블!D:E,2,0)</f>
        <v/>
      </c>
      <c r="J2119" s="20" t="n">
        <v>201210</v>
      </c>
      <c r="L2119" s="20">
        <f>VLOOKUP($O2119,매칭테이블!$G:$J,2,0)*H2119</f>
        <v/>
      </c>
      <c r="M2119" s="20">
        <f>L2119-L2119*VLOOKUP($O2119,매칭테이블!$G:$J,3,0)</f>
        <v/>
      </c>
      <c r="N2119" s="20">
        <f>VLOOKUP($O2119,매칭테이블!$G:$J,4,0)*H2119</f>
        <v/>
      </c>
      <c r="O2119" s="20">
        <f>F2119&amp;E2119&amp;G2119&amp;J2119</f>
        <v/>
      </c>
    </row>
    <row r="2120" ht="16.5" customHeight="1" s="17">
      <c r="B2120" s="16" t="n">
        <v>44167</v>
      </c>
      <c r="C2120" s="20">
        <f>TEXT(B2120,"aaa")</f>
        <v/>
      </c>
      <c r="E2120" s="20">
        <f>INDEX(매칭테이블!C:C,MATCH(RD!G2120,매칭테이블!D:D,0))</f>
        <v/>
      </c>
      <c r="F2120" s="20" t="inlineStr">
        <is>
          <t>카페24</t>
        </is>
      </c>
      <c r="G2120" s="20" t="inlineStr">
        <is>
          <t>유즈 스테이포에버 솔리드퍼퓸 002 (12/14 부터 순차배송)제품선택=스테이포에버 솔리드퍼퓸 002[Pre-order 이벤트 17% 할인]</t>
        </is>
      </c>
      <c r="H2120" s="20" t="n">
        <v>127</v>
      </c>
      <c r="I2120" s="20">
        <f>VLOOKUP(G2120,매칭테이블!D:E,2,0)</f>
        <v/>
      </c>
      <c r="J2120" s="20" t="n">
        <v>201210</v>
      </c>
      <c r="L2120" s="20">
        <f>VLOOKUP($O2120,매칭테이블!$G:$J,2,0)*H2120</f>
        <v/>
      </c>
      <c r="M2120" s="20">
        <f>L2120-L2120*VLOOKUP($O2120,매칭테이블!$G:$J,3,0)</f>
        <v/>
      </c>
      <c r="N2120" s="20">
        <f>VLOOKUP($O2120,매칭테이블!$G:$J,4,0)*H2120</f>
        <v/>
      </c>
      <c r="O2120" s="20">
        <f>F2120&amp;E2120&amp;G2120&amp;J2120</f>
        <v/>
      </c>
    </row>
    <row r="2121" ht="16.5" customHeight="1" s="17">
      <c r="B2121" s="16" t="n">
        <v>44167</v>
      </c>
      <c r="C2121" s="20">
        <f>TEXT(B2121,"aaa")</f>
        <v/>
      </c>
      <c r="E2121" s="20">
        <f>INDEX(매칭테이블!C:C,MATCH(RD!G2121,매칭테이블!D:D,0))</f>
        <v/>
      </c>
      <c r="F2121" s="20" t="inlineStr">
        <is>
          <t>카페24</t>
        </is>
      </c>
      <c r="G2121" s="20" t="inlineStr">
        <is>
          <t>유즈 스테이포에버 솔리드퍼퓸 002 (12/14 부터 순차배송)제품선택=스테이포에버 2개 세트[Pre-order 이벤트 28% 할인]</t>
        </is>
      </c>
      <c r="H2121" s="20" t="n">
        <v>54</v>
      </c>
      <c r="I2121" s="20">
        <f>VLOOKUP(G2121,매칭테이블!D:E,2,0)</f>
        <v/>
      </c>
      <c r="J2121" s="20" t="n">
        <v>201210</v>
      </c>
      <c r="L2121" s="20">
        <f>VLOOKUP($O2121,매칭테이블!$G:$J,2,0)*H2121</f>
        <v/>
      </c>
      <c r="M2121" s="20">
        <f>L2121-L2121*VLOOKUP($O2121,매칭테이블!$G:$J,3,0)</f>
        <v/>
      </c>
      <c r="N2121" s="20">
        <f>VLOOKUP($O2121,매칭테이블!$G:$J,4,0)*H2121</f>
        <v/>
      </c>
      <c r="O2121" s="20">
        <f>F2121&amp;E2121&amp;G2121&amp;J2121</f>
        <v/>
      </c>
    </row>
    <row r="2122" ht="16.5" customHeight="1" s="17">
      <c r="B2122" s="16" t="n">
        <v>44167</v>
      </c>
      <c r="C2122" s="20">
        <f>TEXT(B2122,"aaa")</f>
        <v/>
      </c>
      <c r="E2122" s="20">
        <f>INDEX(매칭테이블!C:C,MATCH(RD!G2122,매칭테이블!D:D,0))</f>
        <v/>
      </c>
      <c r="F2122" s="20" t="inlineStr">
        <is>
          <t>카페24</t>
        </is>
      </c>
      <c r="G2122" s="20" t="inlineStr">
        <is>
          <t>유즈 스테이포에버 솔리드퍼퓸 002 (12/14 부터 순차배송)제품선택=스테이포에버 + 이그나이트 세트</t>
        </is>
      </c>
      <c r="H2122" s="20" t="n">
        <v>12</v>
      </c>
      <c r="I2122" s="20">
        <f>VLOOKUP(G2122,매칭테이블!D:E,2,0)</f>
        <v/>
      </c>
      <c r="J2122" s="20" t="n">
        <v>201210</v>
      </c>
      <c r="L2122" s="20">
        <f>VLOOKUP($O2122,매칭테이블!$G:$J,2,0)*H2122</f>
        <v/>
      </c>
      <c r="M2122" s="20">
        <f>L2122-L2122*VLOOKUP($O2122,매칭테이블!$G:$J,3,0)</f>
        <v/>
      </c>
      <c r="N2122" s="20">
        <f>VLOOKUP($O2122,매칭테이블!$G:$J,4,0)*H2122</f>
        <v/>
      </c>
      <c r="O2122" s="20">
        <f>F2122&amp;E2122&amp;G2122&amp;J2122</f>
        <v/>
      </c>
    </row>
    <row r="2123" ht="16.5" customHeight="1" s="17">
      <c r="B2123" s="16" t="n">
        <v>44167</v>
      </c>
      <c r="C2123" s="20">
        <f>TEXT(B2123,"aaa")</f>
        <v/>
      </c>
      <c r="E2123" s="20">
        <f>INDEX(매칭테이블!C:C,MATCH(RD!G2123,매칭테이블!D:D,0))</f>
        <v/>
      </c>
      <c r="F2123" s="20" t="inlineStr">
        <is>
          <t>카페24</t>
        </is>
      </c>
      <c r="G2123" s="20" t="inlineStr">
        <is>
          <t>유즈 스테이포에버 솔리드퍼퓸 002 (12/14 부터 순차배송)쇼핑백=선물용 쇼핑백</t>
        </is>
      </c>
      <c r="H2123" s="20" t="n">
        <v>5</v>
      </c>
      <c r="I2123" s="20">
        <f>VLOOKUP(G2123,매칭테이블!D:E,2,0)</f>
        <v/>
      </c>
      <c r="J2123" s="20" t="n">
        <v>201210</v>
      </c>
      <c r="L2123" s="20">
        <f>VLOOKUP($O2123,매칭테이블!$G:$J,2,0)*H2123</f>
        <v/>
      </c>
      <c r="M2123" s="20">
        <f>L2123-L2123*VLOOKUP($O2123,매칭테이블!$G:$J,3,0)</f>
        <v/>
      </c>
      <c r="N2123" s="20">
        <f>VLOOKUP($O2123,매칭테이블!$G:$J,4,0)*H2123</f>
        <v/>
      </c>
      <c r="O2123" s="20">
        <f>F2123&amp;E2123&amp;G2123&amp;J2123</f>
        <v/>
      </c>
    </row>
    <row r="2124" ht="16.5" customHeight="1" s="17">
      <c r="B2124" s="16" t="n">
        <v>44168</v>
      </c>
      <c r="C2124" s="20">
        <f>TEXT(B2124,"aaa")</f>
        <v/>
      </c>
      <c r="E2124" s="20">
        <f>INDEX(매칭테이블!C:C,MATCH(RD!G2124,매칭테이블!D:D,0))</f>
        <v/>
      </c>
      <c r="F2124" s="20" t="inlineStr">
        <is>
          <t>카페24</t>
        </is>
      </c>
      <c r="G2124" s="20" t="inlineStr">
        <is>
          <t>유즈 스테이포에버 솔리드퍼퓸 002 (12/14 순차배송)제품선택=스테이포에버 솔리드퍼퓸 002[Pre-order 이벤트 17% 할인]</t>
        </is>
      </c>
      <c r="H2124" s="20" t="n">
        <v>2</v>
      </c>
      <c r="I2124" s="20">
        <f>VLOOKUP(G2124,매칭테이블!D:E,2,0)</f>
        <v/>
      </c>
      <c r="J2124" s="20" t="n">
        <v>201210</v>
      </c>
      <c r="L2124" s="20">
        <f>VLOOKUP($O2124,매칭테이블!$G:$J,2,0)*H2124</f>
        <v/>
      </c>
      <c r="M2124" s="20">
        <f>L2124-L2124*VLOOKUP($O2124,매칭테이블!$G:$J,3,0)</f>
        <v/>
      </c>
      <c r="N2124" s="20">
        <f>VLOOKUP($O2124,매칭테이블!$G:$J,4,0)*H2124</f>
        <v/>
      </c>
      <c r="O2124" s="20">
        <f>F2124&amp;E2124&amp;G2124&amp;J2124</f>
        <v/>
      </c>
    </row>
    <row r="2125" ht="16.5" customHeight="1" s="17">
      <c r="B2125" s="16" t="n">
        <v>44168</v>
      </c>
      <c r="C2125" s="20">
        <f>TEXT(B2125,"aaa")</f>
        <v/>
      </c>
      <c r="E2125" s="20">
        <f>INDEX(매칭테이블!C:C,MATCH(RD!G2125,매칭테이블!D:D,0))</f>
        <v/>
      </c>
      <c r="F2125" s="20" t="inlineStr">
        <is>
          <t>카페24</t>
        </is>
      </c>
      <c r="G2125" s="20" t="inlineStr">
        <is>
          <t>유즈 스테이포에버 솔리드퍼퓸 002 (12/14 순차배송)제품선택=스테이포에버 2개 세트[Pre-order 이벤트 28% 할인]</t>
        </is>
      </c>
      <c r="H2125" s="20" t="n">
        <v>3</v>
      </c>
      <c r="I2125" s="20">
        <f>VLOOKUP(G2125,매칭테이블!D:E,2,0)</f>
        <v/>
      </c>
      <c r="J2125" s="20" t="n">
        <v>201210</v>
      </c>
      <c r="L2125" s="20">
        <f>VLOOKUP($O2125,매칭테이블!$G:$J,2,0)*H2125</f>
        <v/>
      </c>
      <c r="M2125" s="20">
        <f>L2125-L2125*VLOOKUP($O2125,매칭테이블!$G:$J,3,0)</f>
        <v/>
      </c>
      <c r="N2125" s="20">
        <f>VLOOKUP($O2125,매칭테이블!$G:$J,4,0)*H2125</f>
        <v/>
      </c>
      <c r="O2125" s="20">
        <f>F2125&amp;E2125&amp;G2125&amp;J2125</f>
        <v/>
      </c>
    </row>
    <row r="2126" ht="16.5" customHeight="1" s="17">
      <c r="B2126" s="16" t="n">
        <v>44168</v>
      </c>
      <c r="C2126" s="20">
        <f>TEXT(B2126,"aaa")</f>
        <v/>
      </c>
      <c r="E2126" s="20">
        <f>INDEX(매칭테이블!C:C,MATCH(RD!G2126,매칭테이블!D:D,0))</f>
        <v/>
      </c>
      <c r="F2126" s="20" t="inlineStr">
        <is>
          <t>카페24</t>
        </is>
      </c>
      <c r="G2126" s="20" t="inlineStr">
        <is>
          <t>유즈 스테이포에버 솔리드퍼퓸 002 (12/14 순차배송)쇼핑백=선물용 쇼핑백</t>
        </is>
      </c>
      <c r="H2126" s="20" t="n">
        <v>1</v>
      </c>
      <c r="I2126" s="20">
        <f>VLOOKUP(G2126,매칭테이블!D:E,2,0)</f>
        <v/>
      </c>
      <c r="J2126" s="20" t="n">
        <v>201210</v>
      </c>
      <c r="L2126" s="20">
        <f>VLOOKUP($O2126,매칭테이블!$G:$J,2,0)*H2126</f>
        <v/>
      </c>
      <c r="M2126" s="20">
        <f>L2126-L2126*VLOOKUP($O2126,매칭테이블!$G:$J,3,0)</f>
        <v/>
      </c>
      <c r="N2126" s="20">
        <f>VLOOKUP($O2126,매칭테이블!$G:$J,4,0)*H2126</f>
        <v/>
      </c>
      <c r="O2126" s="20">
        <f>F2126&amp;E2126&amp;G2126&amp;J2126</f>
        <v/>
      </c>
    </row>
    <row r="2127" ht="16.5" customHeight="1" s="17">
      <c r="B2127" s="16" t="n">
        <v>44167</v>
      </c>
      <c r="C2127" s="20">
        <f>TEXT(B2127,"aaa")</f>
        <v/>
      </c>
      <c r="E2127" s="20">
        <f>INDEX(매칭테이블!C:C,MATCH(RD!G2127,매칭테이블!D:D,0))</f>
        <v/>
      </c>
      <c r="F2127" s="20" t="inlineStr">
        <is>
          <t>카페24</t>
        </is>
      </c>
      <c r="G2127" s="20" t="inlineStr">
        <is>
          <t>유즈 스테이포에버 솔리드퍼퓸 002 (12/4 부터 순차배송)쇼핑백=선물용 쇼핑백</t>
        </is>
      </c>
      <c r="H2127" s="20" t="n">
        <v>7</v>
      </c>
      <c r="I2127" s="20">
        <f>VLOOKUP(G2127,매칭테이블!D:E,2,0)</f>
        <v/>
      </c>
      <c r="J2127" s="20" t="n">
        <v>201210</v>
      </c>
      <c r="L2127" s="20">
        <f>VLOOKUP($O2127,매칭테이블!$G:$J,2,0)*H2127</f>
        <v/>
      </c>
      <c r="M2127" s="20">
        <f>L2127-L2127*VLOOKUP($O2127,매칭테이블!$G:$J,3,0)</f>
        <v/>
      </c>
      <c r="N2127" s="20">
        <f>VLOOKUP($O2127,매칭테이블!$G:$J,4,0)*H2127</f>
        <v/>
      </c>
      <c r="O2127" s="20">
        <f>F2127&amp;E2127&amp;G2127&amp;J2127</f>
        <v/>
      </c>
    </row>
    <row r="2128" ht="16.5" customHeight="1" s="17">
      <c r="B2128" s="16" t="n">
        <v>44168</v>
      </c>
      <c r="C2128" s="20">
        <f>TEXT(B2128,"aaa")</f>
        <v/>
      </c>
      <c r="E2128" s="20">
        <f>INDEX(매칭테이블!C:C,MATCH(RD!G2128,매칭테이블!D:D,0))</f>
        <v/>
      </c>
      <c r="F2128" s="20" t="inlineStr">
        <is>
          <t>카페24</t>
        </is>
      </c>
      <c r="G2128" s="20" t="inlineStr">
        <is>
          <t>유즈 스테이포에버 솔리드퍼퓸 002 (스테이포에버 주문시 12/14 순차배송)쇼핑백=선물용 쇼핑백</t>
        </is>
      </c>
      <c r="H2128" s="20" t="n">
        <v>31</v>
      </c>
      <c r="I2128" s="20">
        <f>VLOOKUP(G2128,매칭테이블!D:E,2,0)</f>
        <v/>
      </c>
      <c r="J2128" s="20" t="n">
        <v>201210</v>
      </c>
      <c r="L2128" s="20">
        <f>VLOOKUP($O2128,매칭테이블!$G:$J,2,0)*H2128</f>
        <v/>
      </c>
      <c r="M2128" s="20">
        <f>L2128-L2128*VLOOKUP($O2128,매칭테이블!$G:$J,3,0)</f>
        <v/>
      </c>
      <c r="N2128" s="20">
        <f>VLOOKUP($O2128,매칭테이블!$G:$J,4,0)*H2128</f>
        <v/>
      </c>
      <c r="O2128" s="20">
        <f>F2128&amp;E2128&amp;G2128&amp;J2128</f>
        <v/>
      </c>
    </row>
    <row r="2129" ht="16.5" customHeight="1" s="17">
      <c r="B2129" s="16" t="n">
        <v>44168</v>
      </c>
      <c r="C2129" s="20">
        <f>TEXT(B2129,"aaa")</f>
        <v/>
      </c>
      <c r="E2129" s="20">
        <f>INDEX(매칭테이블!C:C,MATCH(RD!G2129,매칭테이블!D:D,0))</f>
        <v/>
      </c>
      <c r="F2129" s="20" t="inlineStr">
        <is>
          <t>카페24</t>
        </is>
      </c>
      <c r="G2129" s="20" t="inlineStr">
        <is>
          <t>유즈 스테이포에버 솔리드퍼퓸 002 (12/14 입고 이후 순차배송)제품선택=스테이포에버 솔리드퍼퓸 002[Pre-order 이벤트 17% 할인]</t>
        </is>
      </c>
      <c r="H2129" s="20" t="n">
        <v>2</v>
      </c>
      <c r="I2129" s="20">
        <f>VLOOKUP(G2129,매칭테이블!D:E,2,0)</f>
        <v/>
      </c>
      <c r="J2129" s="20" t="n">
        <v>201210</v>
      </c>
      <c r="L2129" s="20">
        <f>VLOOKUP($O2129,매칭테이블!$G:$J,2,0)*H2129</f>
        <v/>
      </c>
      <c r="M2129" s="20">
        <f>L2129-L2129*VLOOKUP($O2129,매칭테이블!$G:$J,3,0)</f>
        <v/>
      </c>
      <c r="N2129" s="20">
        <f>VLOOKUP($O2129,매칭테이블!$G:$J,4,0)*H2129</f>
        <v/>
      </c>
      <c r="O2129" s="20">
        <f>F2129&amp;E2129&amp;G2129&amp;J2129</f>
        <v/>
      </c>
    </row>
    <row r="2130" ht="16.5" customHeight="1" s="17">
      <c r="B2130" s="16" t="n">
        <v>44167</v>
      </c>
      <c r="C2130" s="20">
        <f>TEXT(B2130,"aaa")</f>
        <v/>
      </c>
      <c r="E2130" s="20">
        <f>INDEX(매칭테이블!C:C,MATCH(RD!G2130,매칭테이블!D:D,0))</f>
        <v/>
      </c>
      <c r="F2130" s="20" t="inlineStr">
        <is>
          <t>카페24</t>
        </is>
      </c>
      <c r="G2130" s="20" t="inlineStr">
        <is>
          <t>유즈 스테이포에버 솔리드퍼퓸 002 (12/4 부터 순차배송)제품선택=스테이포에버 솔리드퍼퓸 002[Pre-order 이벤트 17% 할인]</t>
        </is>
      </c>
      <c r="H2130" s="20" t="n">
        <v>83</v>
      </c>
      <c r="I2130" s="20">
        <f>VLOOKUP(G2130,매칭테이블!D:E,2,0)</f>
        <v/>
      </c>
      <c r="J2130" s="20" t="n">
        <v>201210</v>
      </c>
      <c r="L2130" s="20">
        <f>VLOOKUP($O2130,매칭테이블!$G:$J,2,0)*H2130</f>
        <v/>
      </c>
      <c r="M2130" s="20">
        <f>L2130-L2130*VLOOKUP($O2130,매칭테이블!$G:$J,3,0)</f>
        <v/>
      </c>
      <c r="N2130" s="20">
        <f>VLOOKUP($O2130,매칭테이블!$G:$J,4,0)*H2130</f>
        <v/>
      </c>
      <c r="O2130" s="20">
        <f>F2130&amp;E2130&amp;G2130&amp;J2130</f>
        <v/>
      </c>
    </row>
    <row r="2131" ht="16.5" customHeight="1" s="17">
      <c r="B2131" s="16" t="n">
        <v>44167</v>
      </c>
      <c r="C2131" s="20">
        <f>TEXT(B2131,"aaa")</f>
        <v/>
      </c>
      <c r="E2131" s="20">
        <f>INDEX(매칭테이블!C:C,MATCH(RD!G2131,매칭테이블!D:D,0))</f>
        <v/>
      </c>
      <c r="F2131" s="20" t="inlineStr">
        <is>
          <t>카페24</t>
        </is>
      </c>
      <c r="G2131" s="20" t="inlineStr">
        <is>
          <t>유즈 스테이포에버 솔리드퍼퓸 002 (12/4 부터 순차배송)제품선택=스테이포에버 2개 세트[Pre-order 이벤트 28% 할인]</t>
        </is>
      </c>
      <c r="H2131" s="20" t="n">
        <v>25</v>
      </c>
      <c r="I2131" s="20">
        <f>VLOOKUP(G2131,매칭테이블!D:E,2,0)</f>
        <v/>
      </c>
      <c r="J2131" s="20" t="n">
        <v>201210</v>
      </c>
      <c r="L2131" s="20">
        <f>VLOOKUP($O2131,매칭테이블!$G:$J,2,0)*H2131</f>
        <v/>
      </c>
      <c r="M2131" s="20">
        <f>L2131-L2131*VLOOKUP($O2131,매칭테이블!$G:$J,3,0)</f>
        <v/>
      </c>
      <c r="N2131" s="20">
        <f>VLOOKUP($O2131,매칭테이블!$G:$J,4,0)*H2131</f>
        <v/>
      </c>
      <c r="O2131" s="20">
        <f>F2131&amp;E2131&amp;G2131&amp;J2131</f>
        <v/>
      </c>
    </row>
    <row r="2132" ht="16.5" customHeight="1" s="17">
      <c r="B2132" s="16" t="n">
        <v>44167</v>
      </c>
      <c r="C2132" s="20">
        <f>TEXT(B2132,"aaa")</f>
        <v/>
      </c>
      <c r="E2132" s="20">
        <f>INDEX(매칭테이블!C:C,MATCH(RD!G2132,매칭테이블!D:D,0))</f>
        <v/>
      </c>
      <c r="F2132" s="20" t="inlineStr">
        <is>
          <t>카페24</t>
        </is>
      </c>
      <c r="G2132" s="20" t="inlineStr">
        <is>
          <t>유즈 스테이포에버 솔리드퍼퓸 002 (12/4 부터 순차배송)제품선택=스테이포에버 + 이그나이트 세트</t>
        </is>
      </c>
      <c r="H2132" s="20" t="n">
        <v>6</v>
      </c>
      <c r="I2132" s="20">
        <f>VLOOKUP(G2132,매칭테이블!D:E,2,0)</f>
        <v/>
      </c>
      <c r="J2132" s="20" t="n">
        <v>201210</v>
      </c>
      <c r="L2132" s="20">
        <f>VLOOKUP($O2132,매칭테이블!$G:$J,2,0)*H2132</f>
        <v/>
      </c>
      <c r="M2132" s="20">
        <f>L2132-L2132*VLOOKUP($O2132,매칭테이블!$G:$J,3,0)</f>
        <v/>
      </c>
      <c r="N2132" s="20">
        <f>VLOOKUP($O2132,매칭테이블!$G:$J,4,0)*H2132</f>
        <v/>
      </c>
      <c r="O2132" s="20">
        <f>F2132&amp;E2132&amp;G2132&amp;J2132</f>
        <v/>
      </c>
    </row>
    <row r="2133" ht="16.5" customHeight="1" s="17">
      <c r="B2133" s="16" t="n">
        <v>44168</v>
      </c>
      <c r="C2133" s="20">
        <f>TEXT(B2133,"aaa")</f>
        <v/>
      </c>
      <c r="E2133" s="20">
        <f>INDEX(매칭테이블!C:C,MATCH(RD!G2133,매칭테이블!D:D,0))</f>
        <v/>
      </c>
      <c r="F2133" s="20" t="inlineStr">
        <is>
          <t>카페24</t>
        </is>
      </c>
      <c r="G2133" s="20" t="inlineStr">
        <is>
          <t>유즈 스테이포에버 솔리드퍼퓸 002 (스테이포에버 주문시 12/14 순차배송)제품선택=스테이포에버 솔리드퍼퓸 002[Pre-order 이벤트 17% 할인]</t>
        </is>
      </c>
      <c r="H2133" s="20" t="n">
        <v>712</v>
      </c>
      <c r="I2133" s="20">
        <f>VLOOKUP(G2133,매칭테이블!D:E,2,0)</f>
        <v/>
      </c>
      <c r="J2133" s="20" t="n">
        <v>201210</v>
      </c>
      <c r="L2133" s="20">
        <f>VLOOKUP($O2133,매칭테이블!$G:$J,2,0)*H2133</f>
        <v/>
      </c>
      <c r="M2133" s="20">
        <f>L2133-L2133*VLOOKUP($O2133,매칭테이블!$G:$J,3,0)</f>
        <v/>
      </c>
      <c r="N2133" s="20">
        <f>VLOOKUP($O2133,매칭테이블!$G:$J,4,0)*H2133</f>
        <v/>
      </c>
      <c r="O2133" s="20">
        <f>F2133&amp;E2133&amp;G2133&amp;J2133</f>
        <v/>
      </c>
    </row>
    <row r="2134" ht="16.5" customHeight="1" s="17">
      <c r="B2134" s="16" t="n">
        <v>44168</v>
      </c>
      <c r="C2134" s="20">
        <f>TEXT(B2134,"aaa")</f>
        <v/>
      </c>
      <c r="E2134" s="20">
        <f>INDEX(매칭테이블!C:C,MATCH(RD!G2134,매칭테이블!D:D,0))</f>
        <v/>
      </c>
      <c r="F2134" s="20" t="inlineStr">
        <is>
          <t>카페24</t>
        </is>
      </c>
      <c r="G2134" s="20" t="inlineStr">
        <is>
          <t>유즈 스테이포에버 솔리드퍼퓸 002 (스테이포에버 주문시 12/14 순차배송)제품선택=스테이포에버 2개 세트[Pre-order 이벤트 28% 할인]</t>
        </is>
      </c>
      <c r="H2134" s="20" t="n">
        <v>260</v>
      </c>
      <c r="I2134" s="20">
        <f>VLOOKUP(G2134,매칭테이블!D:E,2,0)</f>
        <v/>
      </c>
      <c r="J2134" s="20" t="n">
        <v>201210</v>
      </c>
      <c r="L2134" s="20">
        <f>VLOOKUP($O2134,매칭테이블!$G:$J,2,0)*H2134</f>
        <v/>
      </c>
      <c r="M2134" s="20">
        <f>L2134-L2134*VLOOKUP($O2134,매칭테이블!$G:$J,3,0)</f>
        <v/>
      </c>
      <c r="N2134" s="20">
        <f>VLOOKUP($O2134,매칭테이블!$G:$J,4,0)*H2134</f>
        <v/>
      </c>
      <c r="O2134" s="20">
        <f>F2134&amp;E2134&amp;G2134&amp;J2134</f>
        <v/>
      </c>
    </row>
    <row r="2135" ht="16.5" customHeight="1" s="17">
      <c r="B2135" s="16" t="n">
        <v>44168</v>
      </c>
      <c r="C2135" s="20">
        <f>TEXT(B2135,"aaa")</f>
        <v/>
      </c>
      <c r="E2135" s="20">
        <f>INDEX(매칭테이블!C:C,MATCH(RD!G2135,매칭테이블!D:D,0))</f>
        <v/>
      </c>
      <c r="F2135" s="20" t="inlineStr">
        <is>
          <t>카페24</t>
        </is>
      </c>
      <c r="G2135" s="20" t="inlineStr">
        <is>
          <t>유즈 스테이포에버 솔리드퍼퓸 002 (스테이포에버 주문시 12/14 순차배송)제품선택=스테이포에버 + 이그나이트 세트</t>
        </is>
      </c>
      <c r="H2135" s="20" t="n">
        <v>57</v>
      </c>
      <c r="I2135" s="20">
        <f>VLOOKUP(G2135,매칭테이블!D:E,2,0)</f>
        <v/>
      </c>
      <c r="J2135" s="20" t="n">
        <v>201210</v>
      </c>
      <c r="L2135" s="20">
        <f>VLOOKUP($O2135,매칭테이블!$G:$J,2,0)*H2135</f>
        <v/>
      </c>
      <c r="M2135" s="20">
        <f>L2135-L2135*VLOOKUP($O2135,매칭테이블!$G:$J,3,0)</f>
        <v/>
      </c>
      <c r="N2135" s="20">
        <f>VLOOKUP($O2135,매칭테이블!$G:$J,4,0)*H2135</f>
        <v/>
      </c>
      <c r="O2135" s="20">
        <f>F2135&amp;E2135&amp;G2135&amp;J2135</f>
        <v/>
      </c>
    </row>
    <row r="2136" ht="16.5" customHeight="1" s="17">
      <c r="B2136" s="16" t="n">
        <v>44172</v>
      </c>
      <c r="C2136" s="20">
        <f>TEXT(B2136,"aaa")</f>
        <v/>
      </c>
      <c r="E2136" s="20">
        <f>INDEX(매칭테이블!C:C,MATCH(RD!G2136,매칭테이블!D:D,0))</f>
        <v/>
      </c>
      <c r="F2136" s="20" t="inlineStr">
        <is>
          <t>카페24</t>
        </is>
      </c>
      <c r="G2136" s="20" t="inlineStr">
        <is>
          <t>유즈 스테이포에버 솔리드퍼퓸 002 (스테이포에버 주문시 12/15 순차배송)제품선택=스테이포에버 솔리드퍼퓸 002[Pre-order 이벤트 17% 할인]</t>
        </is>
      </c>
      <c r="H2136" s="20" t="n">
        <v>322</v>
      </c>
      <c r="I2136" s="20">
        <f>VLOOKUP(G2136,매칭테이블!D:E,2,0)</f>
        <v/>
      </c>
      <c r="J2136" s="20" t="n">
        <v>201210</v>
      </c>
      <c r="L2136" s="20">
        <f>VLOOKUP($O2136,매칭테이블!$G:$J,2,0)*H2136</f>
        <v/>
      </c>
      <c r="M2136" s="20">
        <f>L2136-L2136*VLOOKUP($O2136,매칭테이블!$G:$J,3,0)</f>
        <v/>
      </c>
      <c r="N2136" s="20">
        <f>VLOOKUP($O2136,매칭테이블!$G:$J,4,0)*H2136</f>
        <v/>
      </c>
      <c r="O2136" s="20">
        <f>F2136&amp;E2136&amp;G2136&amp;J2136</f>
        <v/>
      </c>
    </row>
    <row r="2137" ht="16.5" customHeight="1" s="17">
      <c r="B2137" s="16" t="n">
        <v>44172</v>
      </c>
      <c r="C2137" s="20">
        <f>TEXT(B2137,"aaa")</f>
        <v/>
      </c>
      <c r="E2137" s="20">
        <f>INDEX(매칭테이블!C:C,MATCH(RD!G2137,매칭테이블!D:D,0))</f>
        <v/>
      </c>
      <c r="F2137" s="20" t="inlineStr">
        <is>
          <t>카페24</t>
        </is>
      </c>
      <c r="G2137" s="20" t="inlineStr">
        <is>
          <t>유즈 스테이포에버 솔리드퍼퓸 002 (스테이포에버 주문시 12/15 순차배송)제품선택=스테이포에버 2개 세트[Pre-order 이벤트 28% 할인]</t>
        </is>
      </c>
      <c r="H2137" s="20" t="n">
        <v>120</v>
      </c>
      <c r="I2137" s="20">
        <f>VLOOKUP(G2137,매칭테이블!D:E,2,0)</f>
        <v/>
      </c>
      <c r="J2137" s="20" t="n">
        <v>201210</v>
      </c>
      <c r="L2137" s="20">
        <f>VLOOKUP($O2137,매칭테이블!$G:$J,2,0)*H2137</f>
        <v/>
      </c>
      <c r="M2137" s="20">
        <f>L2137-L2137*VLOOKUP($O2137,매칭테이블!$G:$J,3,0)</f>
        <v/>
      </c>
      <c r="N2137" s="20">
        <f>VLOOKUP($O2137,매칭테이블!$G:$J,4,0)*H2137</f>
        <v/>
      </c>
      <c r="O2137" s="20">
        <f>F2137&amp;E2137&amp;G2137&amp;J2137</f>
        <v/>
      </c>
    </row>
    <row r="2138" ht="16.5" customHeight="1" s="17">
      <c r="B2138" s="16" t="n">
        <v>44172</v>
      </c>
      <c r="C2138" s="20">
        <f>TEXT(B2138,"aaa")</f>
        <v/>
      </c>
      <c r="E2138" s="20">
        <f>INDEX(매칭테이블!C:C,MATCH(RD!G2138,매칭테이블!D:D,0))</f>
        <v/>
      </c>
      <c r="F2138" s="20" t="inlineStr">
        <is>
          <t>카페24</t>
        </is>
      </c>
      <c r="G2138" s="20" t="inlineStr">
        <is>
          <t>유즈 스테이포에버 솔리드퍼퓸 002 (스테이포에버 주문시 12/15 순차배송)제품선택=스테이포에버 + 이그나이트 세트</t>
        </is>
      </c>
      <c r="H2138" s="20" t="n">
        <v>18</v>
      </c>
      <c r="I2138" s="20">
        <f>VLOOKUP(G2138,매칭테이블!D:E,2,0)</f>
        <v/>
      </c>
      <c r="J2138" s="20" t="n">
        <v>201210</v>
      </c>
      <c r="L2138" s="20">
        <f>VLOOKUP($O2138,매칭테이블!$G:$J,2,0)*H2138</f>
        <v/>
      </c>
      <c r="M2138" s="20">
        <f>L2138-L2138*VLOOKUP($O2138,매칭테이블!$G:$J,3,0)</f>
        <v/>
      </c>
      <c r="N2138" s="20">
        <f>VLOOKUP($O2138,매칭테이블!$G:$J,4,0)*H2138</f>
        <v/>
      </c>
      <c r="O2138" s="20">
        <f>F2138&amp;E2138&amp;G2138&amp;J2138</f>
        <v/>
      </c>
    </row>
    <row r="2139" ht="16.5" customHeight="1" s="17">
      <c r="B2139" s="16" t="n">
        <v>44172</v>
      </c>
      <c r="C2139" s="20">
        <f>TEXT(B2139,"aaa")</f>
        <v/>
      </c>
      <c r="E2139" s="20">
        <f>INDEX(매칭테이블!C:C,MATCH(RD!G2139,매칭테이블!D:D,0))</f>
        <v/>
      </c>
      <c r="F2139" s="20" t="inlineStr">
        <is>
          <t>카페24</t>
        </is>
      </c>
      <c r="G2139" s="20" t="inlineStr">
        <is>
          <t>유즈 스테이포에버 솔리드퍼퓸 002 (스테이포에버 주문시 12/15 순차배송)쇼핑백=선물용 쇼핑백</t>
        </is>
      </c>
      <c r="H2139" s="20" t="n">
        <v>10</v>
      </c>
      <c r="I2139" s="20">
        <f>VLOOKUP(G2139,매칭테이블!D:E,2,0)</f>
        <v/>
      </c>
      <c r="J2139" s="20" t="n">
        <v>201210</v>
      </c>
      <c r="L2139" s="20">
        <f>VLOOKUP($O2139,매칭테이블!$G:$J,2,0)*H2139</f>
        <v/>
      </c>
      <c r="M2139" s="20">
        <f>L2139-L2139*VLOOKUP($O2139,매칭테이블!$G:$J,3,0)</f>
        <v/>
      </c>
      <c r="N2139" s="20">
        <f>VLOOKUP($O2139,매칭테이블!$G:$J,4,0)*H2139</f>
        <v/>
      </c>
      <c r="O2139" s="20">
        <f>F2139&amp;E2139&amp;G2139&amp;J2139</f>
        <v/>
      </c>
    </row>
    <row r="2140" ht="16.5" customHeight="1" s="17">
      <c r="B2140" s="16" t="n">
        <v>44168</v>
      </c>
      <c r="C2140" s="20">
        <f>TEXT(B2140,"aaa")</f>
        <v/>
      </c>
      <c r="E2140" s="20">
        <f>INDEX(매칭테이블!C:C,MATCH(RD!G2140,매칭테이블!D:D,0))</f>
        <v/>
      </c>
      <c r="F2140" s="20" t="inlineStr">
        <is>
          <t>카페24</t>
        </is>
      </c>
      <c r="G2140" s="20" t="inlineStr">
        <is>
          <t>유즈 이그나이트 솔리드퍼퓸 001제품선택=이그나이트 솔리드퍼퓸 - 30ml</t>
        </is>
      </c>
      <c r="H2140" s="20" t="n">
        <v>17</v>
      </c>
      <c r="I2140" s="20">
        <f>VLOOKUP(G2140,매칭테이블!D:E,2,0)</f>
        <v/>
      </c>
      <c r="J2140" s="20" t="n">
        <v>201210</v>
      </c>
      <c r="L2140" s="20">
        <f>VLOOKUP($O2140,매칭테이블!$G:$J,2,0)*H2140</f>
        <v/>
      </c>
      <c r="M2140" s="20">
        <f>L2140-L2140*VLOOKUP($O2140,매칭테이블!$G:$J,3,0)</f>
        <v/>
      </c>
      <c r="N2140" s="20">
        <f>VLOOKUP($O2140,매칭테이블!$G:$J,4,0)*H2140</f>
        <v/>
      </c>
      <c r="O2140" s="20">
        <f>F2140&amp;E2140&amp;G2140&amp;J2140</f>
        <v/>
      </c>
    </row>
    <row r="2141" ht="16.5" customHeight="1" s="17">
      <c r="B2141" s="16" t="n">
        <v>44168</v>
      </c>
      <c r="C2141" s="20">
        <f>TEXT(B2141,"aaa")</f>
        <v/>
      </c>
      <c r="E2141" s="20">
        <f>INDEX(매칭테이블!C:C,MATCH(RD!G2141,매칭테이블!D:D,0))</f>
        <v/>
      </c>
      <c r="F2141" s="20" t="inlineStr">
        <is>
          <t>카페24</t>
        </is>
      </c>
      <c r="G2141" s="20" t="inlineStr">
        <is>
          <t>유즈 이그나이트 솔리드퍼퓸 001제품선택=이그나이트 2개 세트</t>
        </is>
      </c>
      <c r="H2141" s="20" t="n">
        <v>5</v>
      </c>
      <c r="I2141" s="20">
        <f>VLOOKUP(G2141,매칭테이블!D:E,2,0)</f>
        <v/>
      </c>
      <c r="J2141" s="20" t="n">
        <v>201210</v>
      </c>
      <c r="L2141" s="20">
        <f>VLOOKUP($O2141,매칭테이블!$G:$J,2,0)*H2141</f>
        <v/>
      </c>
      <c r="M2141" s="20">
        <f>L2141-L2141*VLOOKUP($O2141,매칭테이블!$G:$J,3,0)</f>
        <v/>
      </c>
      <c r="N2141" s="20">
        <f>VLOOKUP($O2141,매칭테이블!$G:$J,4,0)*H2141</f>
        <v/>
      </c>
      <c r="O2141" s="20">
        <f>F2141&amp;E2141&amp;G2141&amp;J2141</f>
        <v/>
      </c>
    </row>
    <row r="2142" ht="16.5" customHeight="1" s="17">
      <c r="B2142" s="16" t="n">
        <v>44169</v>
      </c>
      <c r="C2142" s="20">
        <f>TEXT(B2142,"aaa")</f>
        <v/>
      </c>
      <c r="E2142" s="20">
        <f>INDEX(매칭테이블!C:C,MATCH(RD!G2142,매칭테이블!D:D,0))</f>
        <v/>
      </c>
      <c r="F2142" s="20" t="inlineStr">
        <is>
          <t>유즈 CS</t>
        </is>
      </c>
      <c r="G2142" s="20" t="inlineStr">
        <is>
          <t>유즈 솔리드퍼퓸 - 30ml (스테이포에버 주문 시 12/14 순차배송)향=스테이포에버, 세트 선택=1 개</t>
        </is>
      </c>
      <c r="H2142" s="20" t="n">
        <v>1</v>
      </c>
      <c r="I2142" s="20">
        <f>VLOOKUP(G2142,매칭테이블!D:E,2,0)</f>
        <v/>
      </c>
      <c r="J2142" s="20" t="n">
        <v>201210</v>
      </c>
      <c r="L2142" s="20">
        <f>VLOOKUP($O2142,매칭테이블!$G:$J,2,0)*H2142</f>
        <v/>
      </c>
      <c r="M2142" s="20">
        <f>L2142-L2142*VLOOKUP($O2142,매칭테이블!$G:$J,3,0)</f>
        <v/>
      </c>
      <c r="N2142" s="20">
        <f>VLOOKUP($O2142,매칭테이블!$G:$J,4,0)*H2142</f>
        <v/>
      </c>
      <c r="O2142" s="20">
        <f>F2142&amp;E2142&amp;G2142&amp;J2142</f>
        <v/>
      </c>
    </row>
    <row r="2143" ht="16.5" customHeight="1" s="17">
      <c r="B2143" s="16" t="n">
        <v>44169</v>
      </c>
      <c r="C2143" s="20">
        <f>TEXT(B2143,"aaa")</f>
        <v/>
      </c>
      <c r="E2143" s="20">
        <f>INDEX(매칭테이블!C:C,MATCH(RD!G2143,매칭테이블!D:D,0))</f>
        <v/>
      </c>
      <c r="F2143" s="20" t="inlineStr">
        <is>
          <t>유즈 CS</t>
        </is>
      </c>
      <c r="G2143" s="20" t="inlineStr">
        <is>
          <t>유즈 스테이포에버 솔리드퍼퓸 002 (스테이포에버 주문시 12/14 순차배송)제품선택=스테이포에버 솔리드퍼퓸 002[Pre-order 이벤트 17% 할인]</t>
        </is>
      </c>
      <c r="H2143" s="20" t="n">
        <v>1</v>
      </c>
      <c r="I2143" s="20">
        <f>VLOOKUP(G2143,매칭테이블!D:E,2,0)</f>
        <v/>
      </c>
      <c r="J2143" s="20" t="n">
        <v>201210</v>
      </c>
      <c r="L2143" s="20">
        <f>VLOOKUP($O2143,매칭테이블!$G:$J,2,0)*H2143</f>
        <v/>
      </c>
      <c r="M2143" s="20">
        <f>L2143-L2143*VLOOKUP($O2143,매칭테이블!$G:$J,3,0)</f>
        <v/>
      </c>
      <c r="N2143" s="20">
        <f>VLOOKUP($O2143,매칭테이블!$G:$J,4,0)*H2143</f>
        <v/>
      </c>
      <c r="O2143" s="20">
        <f>F2143&amp;E2143&amp;G2143&amp;J2143</f>
        <v/>
      </c>
    </row>
    <row r="2144" ht="16.5" customHeight="1" s="17">
      <c r="B2144" s="16" t="n">
        <v>44169</v>
      </c>
      <c r="C2144" s="20">
        <f>TEXT(B2144,"aaa")</f>
        <v/>
      </c>
      <c r="E2144" s="20">
        <f>INDEX(매칭테이블!C:C,MATCH(RD!G2144,매칭테이블!D:D,0))</f>
        <v/>
      </c>
      <c r="F2144" s="20" t="inlineStr">
        <is>
          <t>카페24</t>
        </is>
      </c>
      <c r="G2144" s="20" t="inlineStr">
        <is>
          <t>유즈 솔리드퍼퓸 - 30ml (스테이포에버 주문 시 12/14 순차배송)향=스테이포에버, 세트 선택=1 개</t>
        </is>
      </c>
      <c r="H2144" s="20" t="n">
        <v>14</v>
      </c>
      <c r="I2144" s="20">
        <f>VLOOKUP(G2144,매칭테이블!D:E,2,0)</f>
        <v/>
      </c>
      <c r="J2144" s="20" t="n">
        <v>201210</v>
      </c>
      <c r="L2144" s="20">
        <f>VLOOKUP($O2144,매칭테이블!$G:$J,2,0)*H2144</f>
        <v/>
      </c>
      <c r="M2144" s="20">
        <f>L2144-L2144*VLOOKUP($O2144,매칭테이블!$G:$J,3,0)</f>
        <v/>
      </c>
      <c r="N2144" s="20">
        <f>VLOOKUP($O2144,매칭테이블!$G:$J,4,0)*H2144</f>
        <v/>
      </c>
      <c r="O2144" s="20">
        <f>F2144&amp;E2144&amp;G2144&amp;J2144</f>
        <v/>
      </c>
    </row>
    <row r="2145" ht="16.5" customHeight="1" s="17">
      <c r="B2145" s="16" t="n">
        <v>44169</v>
      </c>
      <c r="C2145" s="20">
        <f>TEXT(B2145,"aaa")</f>
        <v/>
      </c>
      <c r="E2145" s="20">
        <f>INDEX(매칭테이블!C:C,MATCH(RD!G2145,매칭테이블!D:D,0))</f>
        <v/>
      </c>
      <c r="F2145" s="20" t="inlineStr">
        <is>
          <t>카페24</t>
        </is>
      </c>
      <c r="G2145" s="20" t="inlineStr">
        <is>
          <t>유즈 솔리드퍼퓸 - 30ml (스테이포에버 주문 시 12/14 순차배송)향=스테이포에버, 세트 선택=2개 (28% off)</t>
        </is>
      </c>
      <c r="H2145" s="20" t="n">
        <v>1</v>
      </c>
      <c r="I2145" s="20">
        <f>VLOOKUP(G2145,매칭테이블!D:E,2,0)</f>
        <v/>
      </c>
      <c r="J2145" s="20" t="n">
        <v>201210</v>
      </c>
      <c r="L2145" s="20">
        <f>VLOOKUP($O2145,매칭테이블!$G:$J,2,0)*H2145</f>
        <v/>
      </c>
      <c r="M2145" s="20">
        <f>L2145-L2145*VLOOKUP($O2145,매칭테이블!$G:$J,3,0)</f>
        <v/>
      </c>
      <c r="N2145" s="20">
        <f>VLOOKUP($O2145,매칭테이블!$G:$J,4,0)*H2145</f>
        <v/>
      </c>
      <c r="O2145" s="20">
        <f>F2145&amp;E2145&amp;G2145&amp;J2145</f>
        <v/>
      </c>
    </row>
    <row r="2146" ht="16.5" customHeight="1" s="17">
      <c r="B2146" s="16" t="n">
        <v>44169</v>
      </c>
      <c r="C2146" s="20">
        <f>TEXT(B2146,"aaa")</f>
        <v/>
      </c>
      <c r="E2146" s="20">
        <f>INDEX(매칭테이블!C:C,MATCH(RD!G2146,매칭테이블!D:D,0))</f>
        <v/>
      </c>
      <c r="F2146" s="20" t="inlineStr">
        <is>
          <t>카페24</t>
        </is>
      </c>
      <c r="G2146" s="20" t="inlineStr">
        <is>
          <t>유즈 솔리드퍼퓸 - 30ml (스테이포에버 주문 시 12/14 순차배송)향=이그나이트 + 스테이포에버, 세트 선택=1 SET</t>
        </is>
      </c>
      <c r="H2146" s="20" t="n">
        <v>4</v>
      </c>
      <c r="I2146" s="20">
        <f>VLOOKUP(G2146,매칭테이블!D:E,2,0)</f>
        <v/>
      </c>
      <c r="J2146" s="20" t="n">
        <v>201210</v>
      </c>
      <c r="L2146" s="20">
        <f>VLOOKUP($O2146,매칭테이블!$G:$J,2,0)*H2146</f>
        <v/>
      </c>
      <c r="M2146" s="20">
        <f>L2146-L2146*VLOOKUP($O2146,매칭테이블!$G:$J,3,0)</f>
        <v/>
      </c>
      <c r="N2146" s="20">
        <f>VLOOKUP($O2146,매칭테이블!$G:$J,4,0)*H2146</f>
        <v/>
      </c>
      <c r="O2146" s="20">
        <f>F2146&amp;E2146&amp;G2146&amp;J2146</f>
        <v/>
      </c>
    </row>
    <row r="2147" ht="16.5" customHeight="1" s="17">
      <c r="B2147" s="16" t="n">
        <v>44169</v>
      </c>
      <c r="C2147" s="20">
        <f>TEXT(B2147,"aaa")</f>
        <v/>
      </c>
      <c r="E2147" s="20">
        <f>INDEX(매칭테이블!C:C,MATCH(RD!G2147,매칭테이블!D:D,0))</f>
        <v/>
      </c>
      <c r="F2147" s="20" t="inlineStr">
        <is>
          <t>카페24</t>
        </is>
      </c>
      <c r="G2147" s="20" t="inlineStr">
        <is>
          <t>유즈 스테이포에버 솔리드퍼퓸 002 (12/4 부터 순차배송)제품선택=스테이포에버 솔리드퍼퓸 002[Pre-order 이벤트 17% 할인]</t>
        </is>
      </c>
      <c r="H2147" s="20" t="n">
        <v>1</v>
      </c>
      <c r="I2147" s="20">
        <f>VLOOKUP(G2147,매칭테이블!D:E,2,0)</f>
        <v/>
      </c>
      <c r="J2147" s="20" t="n">
        <v>201210</v>
      </c>
      <c r="L2147" s="20">
        <f>VLOOKUP($O2147,매칭테이블!$G:$J,2,0)*H2147</f>
        <v/>
      </c>
      <c r="M2147" s="20">
        <f>L2147-L2147*VLOOKUP($O2147,매칭테이블!$G:$J,3,0)</f>
        <v/>
      </c>
      <c r="N2147" s="20">
        <f>VLOOKUP($O2147,매칭테이블!$G:$J,4,0)*H2147</f>
        <v/>
      </c>
      <c r="O2147" s="20">
        <f>F2147&amp;E2147&amp;G2147&amp;J2147</f>
        <v/>
      </c>
    </row>
    <row r="2148" ht="16.5" customHeight="1" s="17">
      <c r="B2148" s="16" t="n">
        <v>44169</v>
      </c>
      <c r="C2148" s="20">
        <f>TEXT(B2148,"aaa")</f>
        <v/>
      </c>
      <c r="E2148" s="20">
        <f>INDEX(매칭테이블!C:C,MATCH(RD!G2148,매칭테이블!D:D,0))</f>
        <v/>
      </c>
      <c r="F2148" s="20" t="inlineStr">
        <is>
          <t>카페24</t>
        </is>
      </c>
      <c r="G2148" s="20" t="inlineStr">
        <is>
          <t>유즈 스테이포에버 솔리드퍼퓸 002 (스테이포에버 주문시 12/14 순차배송)제품선택=스테이포에버 솔리드퍼퓸 002[Pre-order 이벤트 17% 할인]</t>
        </is>
      </c>
      <c r="H2148" s="20" t="n">
        <v>166</v>
      </c>
      <c r="I2148" s="20">
        <f>VLOOKUP(G2148,매칭테이블!D:E,2,0)</f>
        <v/>
      </c>
      <c r="J2148" s="20" t="n">
        <v>201210</v>
      </c>
      <c r="L2148" s="20">
        <f>VLOOKUP($O2148,매칭테이블!$G:$J,2,0)*H2148</f>
        <v/>
      </c>
      <c r="M2148" s="20">
        <f>L2148-L2148*VLOOKUP($O2148,매칭테이블!$G:$J,3,0)</f>
        <v/>
      </c>
      <c r="N2148" s="20">
        <f>VLOOKUP($O2148,매칭테이블!$G:$J,4,0)*H2148</f>
        <v/>
      </c>
      <c r="O2148" s="20">
        <f>F2148&amp;E2148&amp;G2148&amp;J2148</f>
        <v/>
      </c>
    </row>
    <row r="2149" ht="16.5" customHeight="1" s="17">
      <c r="B2149" s="16" t="n">
        <v>44169</v>
      </c>
      <c r="C2149" s="20">
        <f>TEXT(B2149,"aaa")</f>
        <v/>
      </c>
      <c r="E2149" s="20">
        <f>INDEX(매칭테이블!C:C,MATCH(RD!G2149,매칭테이블!D:D,0))</f>
        <v/>
      </c>
      <c r="F2149" s="20" t="inlineStr">
        <is>
          <t>카페24</t>
        </is>
      </c>
      <c r="G2149" s="20" t="inlineStr">
        <is>
          <t>유즈 스테이포에버 솔리드퍼퓸 002 (스테이포에버 주문시 12/14 순차배송)제품선택=스테이포에버 2개 세트[Pre-order 이벤트 28% 할인]</t>
        </is>
      </c>
      <c r="H2149" s="20" t="n">
        <v>47</v>
      </c>
      <c r="I2149" s="20">
        <f>VLOOKUP(G2149,매칭테이블!D:E,2,0)</f>
        <v/>
      </c>
      <c r="J2149" s="20" t="n">
        <v>201210</v>
      </c>
      <c r="L2149" s="20">
        <f>VLOOKUP($O2149,매칭테이블!$G:$J,2,0)*H2149</f>
        <v/>
      </c>
      <c r="M2149" s="20">
        <f>L2149-L2149*VLOOKUP($O2149,매칭테이블!$G:$J,3,0)</f>
        <v/>
      </c>
      <c r="N2149" s="20">
        <f>VLOOKUP($O2149,매칭테이블!$G:$J,4,0)*H2149</f>
        <v/>
      </c>
      <c r="O2149" s="20">
        <f>F2149&amp;E2149&amp;G2149&amp;J2149</f>
        <v/>
      </c>
    </row>
    <row r="2150" ht="16.5" customHeight="1" s="17">
      <c r="B2150" s="16" t="n">
        <v>44169</v>
      </c>
      <c r="C2150" s="20">
        <f>TEXT(B2150,"aaa")</f>
        <v/>
      </c>
      <c r="E2150" s="20">
        <f>INDEX(매칭테이블!C:C,MATCH(RD!G2150,매칭테이블!D:D,0))</f>
        <v/>
      </c>
      <c r="F2150" s="20" t="inlineStr">
        <is>
          <t>카페24</t>
        </is>
      </c>
      <c r="G2150" s="20" t="inlineStr">
        <is>
          <t>유즈 스테이포에버 솔리드퍼퓸 002 (스테이포에버 주문시 12/14 순차배송)제품선택=스테이포에버 + 이그나이트 세트</t>
        </is>
      </c>
      <c r="H2150" s="20" t="n">
        <v>12</v>
      </c>
      <c r="I2150" s="20">
        <f>VLOOKUP(G2150,매칭테이블!D:E,2,0)</f>
        <v/>
      </c>
      <c r="J2150" s="20" t="n">
        <v>201210</v>
      </c>
      <c r="L2150" s="20">
        <f>VLOOKUP($O2150,매칭테이블!$G:$J,2,0)*H2150</f>
        <v/>
      </c>
      <c r="M2150" s="20">
        <f>L2150-L2150*VLOOKUP($O2150,매칭테이블!$G:$J,3,0)</f>
        <v/>
      </c>
      <c r="N2150" s="20">
        <f>VLOOKUP($O2150,매칭테이블!$G:$J,4,0)*H2150</f>
        <v/>
      </c>
      <c r="O2150" s="20">
        <f>F2150&amp;E2150&amp;G2150&amp;J2150</f>
        <v/>
      </c>
    </row>
    <row r="2151" ht="16.5" customHeight="1" s="17">
      <c r="B2151" s="16" t="n">
        <v>44169</v>
      </c>
      <c r="C2151" s="20">
        <f>TEXT(B2151,"aaa")</f>
        <v/>
      </c>
      <c r="E2151" s="20">
        <f>INDEX(매칭테이블!C:C,MATCH(RD!G2151,매칭테이블!D:D,0))</f>
        <v/>
      </c>
      <c r="F2151" s="20" t="inlineStr">
        <is>
          <t>카페24</t>
        </is>
      </c>
      <c r="G2151" s="20" t="inlineStr">
        <is>
          <t>유즈 스테이포에버 솔리드퍼퓸 002 (스테이포에버 주문시 12/14 순차배송)쇼핑백=선물용 쇼핑백</t>
        </is>
      </c>
      <c r="H2151" s="20" t="n">
        <v>5</v>
      </c>
      <c r="I2151" s="20">
        <f>VLOOKUP(G2151,매칭테이블!D:E,2,0)</f>
        <v/>
      </c>
      <c r="J2151" s="20" t="n">
        <v>201210</v>
      </c>
      <c r="L2151" s="20">
        <f>VLOOKUP($O2151,매칭테이블!$G:$J,2,0)*H2151</f>
        <v/>
      </c>
      <c r="M2151" s="20">
        <f>L2151-L2151*VLOOKUP($O2151,매칭테이블!$G:$J,3,0)</f>
        <v/>
      </c>
      <c r="N2151" s="20">
        <f>VLOOKUP($O2151,매칭테이블!$G:$J,4,0)*H2151</f>
        <v/>
      </c>
      <c r="O2151" s="20">
        <f>F2151&amp;E2151&amp;G2151&amp;J2151</f>
        <v/>
      </c>
    </row>
    <row r="2152" ht="16.5" customHeight="1" s="17">
      <c r="B2152" s="16" t="n">
        <v>44169</v>
      </c>
      <c r="C2152" s="20">
        <f>TEXT(B2152,"aaa")</f>
        <v/>
      </c>
      <c r="E2152" s="20">
        <f>INDEX(매칭테이블!C:C,MATCH(RD!G2152,매칭테이블!D:D,0))</f>
        <v/>
      </c>
      <c r="F2152" s="20" t="inlineStr">
        <is>
          <t>카페24</t>
        </is>
      </c>
      <c r="G2152" s="20" t="inlineStr">
        <is>
          <t>유즈 이그나이트 솔리드퍼퓸 001제품선택=이그나이트 솔리드퍼퓸 - 30ml</t>
        </is>
      </c>
      <c r="H2152" s="20" t="n">
        <v>2</v>
      </c>
      <c r="I2152" s="20">
        <f>VLOOKUP(G2152,매칭테이블!D:E,2,0)</f>
        <v/>
      </c>
      <c r="J2152" s="20" t="n">
        <v>201210</v>
      </c>
      <c r="L2152" s="20">
        <f>VLOOKUP($O2152,매칭테이블!$G:$J,2,0)*H2152</f>
        <v/>
      </c>
      <c r="M2152" s="20">
        <f>L2152-L2152*VLOOKUP($O2152,매칭테이블!$G:$J,3,0)</f>
        <v/>
      </c>
      <c r="N2152" s="20">
        <f>VLOOKUP($O2152,매칭테이블!$G:$J,4,0)*H2152</f>
        <v/>
      </c>
      <c r="O2152" s="20">
        <f>F2152&amp;E2152&amp;G2152&amp;J2152</f>
        <v/>
      </c>
    </row>
    <row r="2153" ht="16.5" customHeight="1" s="17">
      <c r="B2153" s="16" t="n">
        <v>44171</v>
      </c>
      <c r="C2153" s="20">
        <f>TEXT(B2153,"aaa")</f>
        <v/>
      </c>
      <c r="E2153" s="20">
        <f>INDEX(매칭테이블!C:C,MATCH(RD!G2153,매칭테이블!D:D,0))</f>
        <v/>
      </c>
      <c r="F2153" s="20" t="inlineStr">
        <is>
          <t>카페24</t>
        </is>
      </c>
      <c r="G2153" s="20" t="inlineStr">
        <is>
          <t>유즈 솔리드퍼퓸 - 30ml (스테이포에버 주문 시 12/14 부터 순차배송)향=스테이포에버, 세트 선택=1 개</t>
        </is>
      </c>
      <c r="H2153" s="20" t="n">
        <v>1</v>
      </c>
      <c r="I2153" s="20">
        <f>VLOOKUP(G2153,매칭테이블!D:E,2,0)</f>
        <v/>
      </c>
      <c r="J2153" s="20" t="n">
        <v>201210</v>
      </c>
      <c r="L2153" s="20">
        <f>VLOOKUP($O2153,매칭테이블!$G:$J,2,0)*H2153</f>
        <v/>
      </c>
      <c r="M2153" s="20">
        <f>L2153-L2153*VLOOKUP($O2153,매칭테이블!$G:$J,3,0)</f>
        <v/>
      </c>
      <c r="N2153" s="20">
        <f>VLOOKUP($O2153,매칭테이블!$G:$J,4,0)*H2153</f>
        <v/>
      </c>
      <c r="O2153" s="20">
        <f>F2153&amp;E2153&amp;G2153&amp;J2153</f>
        <v/>
      </c>
    </row>
    <row r="2154" ht="16.5" customHeight="1" s="17">
      <c r="B2154" s="16" t="n">
        <v>44171</v>
      </c>
      <c r="C2154" s="20">
        <f>TEXT(B2154,"aaa")</f>
        <v/>
      </c>
      <c r="E2154" s="20">
        <f>INDEX(매칭테이블!C:C,MATCH(RD!G2154,매칭테이블!D:D,0))</f>
        <v/>
      </c>
      <c r="F2154" s="20" t="inlineStr">
        <is>
          <t>카페24</t>
        </is>
      </c>
      <c r="G2154" s="20" t="inlineStr">
        <is>
          <t>유즈 솔리드퍼퓸 - 30ml (스테이포에버 주문 시 12/14 순차배송)향=이그나이트, 세트 선택=1 개</t>
        </is>
      </c>
      <c r="H2154" s="20" t="n">
        <v>1</v>
      </c>
      <c r="I2154" s="20">
        <f>VLOOKUP(G2154,매칭테이블!D:E,2,0)</f>
        <v/>
      </c>
      <c r="J2154" s="20" t="n">
        <v>201210</v>
      </c>
      <c r="L2154" s="20">
        <f>VLOOKUP($O2154,매칭테이블!$G:$J,2,0)*H2154</f>
        <v/>
      </c>
      <c r="M2154" s="20">
        <f>L2154-L2154*VLOOKUP($O2154,매칭테이블!$G:$J,3,0)</f>
        <v/>
      </c>
      <c r="N2154" s="20">
        <f>VLOOKUP($O2154,매칭테이블!$G:$J,4,0)*H2154</f>
        <v/>
      </c>
      <c r="O2154" s="20">
        <f>F2154&amp;E2154&amp;G2154&amp;J2154</f>
        <v/>
      </c>
    </row>
    <row r="2155" ht="16.5" customHeight="1" s="17">
      <c r="B2155" s="16" t="n">
        <v>44171</v>
      </c>
      <c r="C2155" s="20">
        <f>TEXT(B2155,"aaa")</f>
        <v/>
      </c>
      <c r="E2155" s="20">
        <f>INDEX(매칭테이블!C:C,MATCH(RD!G2155,매칭테이블!D:D,0))</f>
        <v/>
      </c>
      <c r="F2155" s="20" t="inlineStr">
        <is>
          <t>카페24</t>
        </is>
      </c>
      <c r="G2155" s="20" t="inlineStr">
        <is>
          <t>유즈 솔리드퍼퓸 - 30ml (스테이포에버 주문 시 12/14 순차배송)향=스테이포에버, 세트 선택=1 개</t>
        </is>
      </c>
      <c r="H2155" s="20" t="n">
        <v>11</v>
      </c>
      <c r="I2155" s="20">
        <f>VLOOKUP(G2155,매칭테이블!D:E,2,0)</f>
        <v/>
      </c>
      <c r="J2155" s="20" t="n">
        <v>201210</v>
      </c>
      <c r="L2155" s="20">
        <f>VLOOKUP($O2155,매칭테이블!$G:$J,2,0)*H2155</f>
        <v/>
      </c>
      <c r="M2155" s="20">
        <f>L2155-L2155*VLOOKUP($O2155,매칭테이블!$G:$J,3,0)</f>
        <v/>
      </c>
      <c r="N2155" s="20">
        <f>VLOOKUP($O2155,매칭테이블!$G:$J,4,0)*H2155</f>
        <v/>
      </c>
      <c r="O2155" s="20">
        <f>F2155&amp;E2155&amp;G2155&amp;J2155</f>
        <v/>
      </c>
    </row>
    <row r="2156" ht="16.5" customHeight="1" s="17">
      <c r="B2156" s="16" t="n">
        <v>44171</v>
      </c>
      <c r="C2156" s="20">
        <f>TEXT(B2156,"aaa")</f>
        <v/>
      </c>
      <c r="E2156" s="20">
        <f>INDEX(매칭테이블!C:C,MATCH(RD!G2156,매칭테이블!D:D,0))</f>
        <v/>
      </c>
      <c r="F2156" s="20" t="inlineStr">
        <is>
          <t>카페24</t>
        </is>
      </c>
      <c r="G2156" s="20" t="inlineStr">
        <is>
          <t>유즈 솔리드퍼퓸 - 30ml (스테이포에버 주문 시 12/14 순차배송)향=스테이포에버, 세트 선택=2개 (28% off)</t>
        </is>
      </c>
      <c r="H2156" s="20" t="n">
        <v>3</v>
      </c>
      <c r="I2156" s="20">
        <f>VLOOKUP(G2156,매칭테이블!D:E,2,0)</f>
        <v/>
      </c>
      <c r="J2156" s="20" t="n">
        <v>201210</v>
      </c>
      <c r="L2156" s="20">
        <f>VLOOKUP($O2156,매칭테이블!$G:$J,2,0)*H2156</f>
        <v/>
      </c>
      <c r="M2156" s="20">
        <f>L2156-L2156*VLOOKUP($O2156,매칭테이블!$G:$J,3,0)</f>
        <v/>
      </c>
      <c r="N2156" s="20">
        <f>VLOOKUP($O2156,매칭테이블!$G:$J,4,0)*H2156</f>
        <v/>
      </c>
      <c r="O2156" s="20">
        <f>F2156&amp;E2156&amp;G2156&amp;J2156</f>
        <v/>
      </c>
    </row>
    <row r="2157" ht="16.5" customHeight="1" s="17">
      <c r="B2157" s="16" t="n">
        <v>44171</v>
      </c>
      <c r="C2157" s="20">
        <f>TEXT(B2157,"aaa")</f>
        <v/>
      </c>
      <c r="E2157" s="20">
        <f>INDEX(매칭테이블!C:C,MATCH(RD!G2157,매칭테이블!D:D,0))</f>
        <v/>
      </c>
      <c r="F2157" s="20" t="inlineStr">
        <is>
          <t>카페24</t>
        </is>
      </c>
      <c r="G2157" s="20" t="inlineStr">
        <is>
          <t>유즈 솔리드퍼퓸 - 30ml (스테이포에버 주문 시 12/14 순차배송)향=이그나이트 + 스테이포에버, 세트 선택=1 SET</t>
        </is>
      </c>
      <c r="H2157" s="20" t="n">
        <v>7</v>
      </c>
      <c r="I2157" s="20">
        <f>VLOOKUP(G2157,매칭테이블!D:E,2,0)</f>
        <v/>
      </c>
      <c r="J2157" s="20" t="n">
        <v>201210</v>
      </c>
      <c r="L2157" s="20">
        <f>VLOOKUP($O2157,매칭테이블!$G:$J,2,0)*H2157</f>
        <v/>
      </c>
      <c r="M2157" s="20">
        <f>L2157-L2157*VLOOKUP($O2157,매칭테이블!$G:$J,3,0)</f>
        <v/>
      </c>
      <c r="N2157" s="20">
        <f>VLOOKUP($O2157,매칭테이블!$G:$J,4,0)*H2157</f>
        <v/>
      </c>
      <c r="O2157" s="20">
        <f>F2157&amp;E2157&amp;G2157&amp;J2157</f>
        <v/>
      </c>
    </row>
    <row r="2158" ht="16.5" customHeight="1" s="17">
      <c r="B2158" s="16" t="n">
        <v>44171</v>
      </c>
      <c r="C2158" s="20">
        <f>TEXT(B2158,"aaa")</f>
        <v/>
      </c>
      <c r="E2158" s="20">
        <f>INDEX(매칭테이블!C:C,MATCH(RD!G2158,매칭테이블!D:D,0))</f>
        <v/>
      </c>
      <c r="F2158" s="20" t="inlineStr">
        <is>
          <t>카페24</t>
        </is>
      </c>
      <c r="G2158" s="20" t="inlineStr">
        <is>
          <t>유즈 스테이포에버 솔리드퍼퓸 002 (12/4 부터 순차배송)제품선택=스테이포에버 + 이그나이트 세트</t>
        </is>
      </c>
      <c r="H2158" s="20" t="n">
        <v>1</v>
      </c>
      <c r="I2158" s="20">
        <f>VLOOKUP(G2158,매칭테이블!D:E,2,0)</f>
        <v/>
      </c>
      <c r="J2158" s="20" t="n">
        <v>201210</v>
      </c>
      <c r="L2158" s="20">
        <f>VLOOKUP($O2158,매칭테이블!$G:$J,2,0)*H2158</f>
        <v/>
      </c>
      <c r="M2158" s="20">
        <f>L2158-L2158*VLOOKUP($O2158,매칭테이블!$G:$J,3,0)</f>
        <v/>
      </c>
      <c r="N2158" s="20">
        <f>VLOOKUP($O2158,매칭테이블!$G:$J,4,0)*H2158</f>
        <v/>
      </c>
      <c r="O2158" s="20">
        <f>F2158&amp;E2158&amp;G2158&amp;J2158</f>
        <v/>
      </c>
    </row>
    <row r="2159" ht="16.5" customHeight="1" s="17">
      <c r="B2159" s="16" t="n">
        <v>44171</v>
      </c>
      <c r="C2159" s="20">
        <f>TEXT(B2159,"aaa")</f>
        <v/>
      </c>
      <c r="E2159" s="20">
        <f>INDEX(매칭테이블!C:C,MATCH(RD!G2159,매칭테이블!D:D,0))</f>
        <v/>
      </c>
      <c r="F2159" s="20" t="inlineStr">
        <is>
          <t>카페24</t>
        </is>
      </c>
      <c r="G2159" s="20" t="inlineStr">
        <is>
          <t>유즈 스테이포에버 솔리드퍼퓸 002 (스테이포에버 주문시 12/14 순차배송)제품선택=스테이포에버 솔리드퍼퓸 002[Pre-order 이벤트 17% 할인]</t>
        </is>
      </c>
      <c r="H2159" s="20" t="n">
        <v>189</v>
      </c>
      <c r="I2159" s="20">
        <f>VLOOKUP(G2159,매칭테이블!D:E,2,0)</f>
        <v/>
      </c>
      <c r="J2159" s="20" t="n">
        <v>201210</v>
      </c>
      <c r="L2159" s="20">
        <f>VLOOKUP($O2159,매칭테이블!$G:$J,2,0)*H2159</f>
        <v/>
      </c>
      <c r="M2159" s="20">
        <f>L2159-L2159*VLOOKUP($O2159,매칭테이블!$G:$J,3,0)</f>
        <v/>
      </c>
      <c r="N2159" s="20">
        <f>VLOOKUP($O2159,매칭테이블!$G:$J,4,0)*H2159</f>
        <v/>
      </c>
      <c r="O2159" s="20">
        <f>F2159&amp;E2159&amp;G2159&amp;J2159</f>
        <v/>
      </c>
    </row>
    <row r="2160" ht="16.5" customHeight="1" s="17">
      <c r="B2160" s="16" t="n">
        <v>44171</v>
      </c>
      <c r="C2160" s="20">
        <f>TEXT(B2160,"aaa")</f>
        <v/>
      </c>
      <c r="E2160" s="20">
        <f>INDEX(매칭테이블!C:C,MATCH(RD!G2160,매칭테이블!D:D,0))</f>
        <v/>
      </c>
      <c r="F2160" s="20" t="inlineStr">
        <is>
          <t>카페24</t>
        </is>
      </c>
      <c r="G2160" s="20" t="inlineStr">
        <is>
          <t>유즈 스테이포에버 솔리드퍼퓸 002 (스테이포에버 주문시 12/14 순차배송)제품선택=스테이포에버 2개 세트[Pre-order 이벤트 28% 할인]</t>
        </is>
      </c>
      <c r="H2160" s="20" t="n">
        <v>73</v>
      </c>
      <c r="I2160" s="20">
        <f>VLOOKUP(G2160,매칭테이블!D:E,2,0)</f>
        <v/>
      </c>
      <c r="J2160" s="20" t="n">
        <v>201210</v>
      </c>
      <c r="L2160" s="20">
        <f>VLOOKUP($O2160,매칭테이블!$G:$J,2,0)*H2160</f>
        <v/>
      </c>
      <c r="M2160" s="20">
        <f>L2160-L2160*VLOOKUP($O2160,매칭테이블!$G:$J,3,0)</f>
        <v/>
      </c>
      <c r="N2160" s="20">
        <f>VLOOKUP($O2160,매칭테이블!$G:$J,4,0)*H2160</f>
        <v/>
      </c>
      <c r="O2160" s="20">
        <f>F2160&amp;E2160&amp;G2160&amp;J2160</f>
        <v/>
      </c>
    </row>
    <row r="2161" ht="16.5" customHeight="1" s="17">
      <c r="B2161" s="16" t="n">
        <v>44171</v>
      </c>
      <c r="C2161" s="20">
        <f>TEXT(B2161,"aaa")</f>
        <v/>
      </c>
      <c r="E2161" s="20">
        <f>INDEX(매칭테이블!C:C,MATCH(RD!G2161,매칭테이블!D:D,0))</f>
        <v/>
      </c>
      <c r="F2161" s="20" t="inlineStr">
        <is>
          <t>카페24</t>
        </is>
      </c>
      <c r="G2161" s="20" t="inlineStr">
        <is>
          <t>유즈 스테이포에버 솔리드퍼퓸 002 (스테이포에버 주문시 12/14 순차배송)제품선택=스테이포에버 + 이그나이트 세트</t>
        </is>
      </c>
      <c r="H2161" s="20" t="n">
        <v>17</v>
      </c>
      <c r="I2161" s="20">
        <f>VLOOKUP(G2161,매칭테이블!D:E,2,0)</f>
        <v/>
      </c>
      <c r="J2161" s="20" t="n">
        <v>201210</v>
      </c>
      <c r="L2161" s="20">
        <f>VLOOKUP($O2161,매칭테이블!$G:$J,2,0)*H2161</f>
        <v/>
      </c>
      <c r="M2161" s="20">
        <f>L2161-L2161*VLOOKUP($O2161,매칭테이블!$G:$J,3,0)</f>
        <v/>
      </c>
      <c r="N2161" s="20">
        <f>VLOOKUP($O2161,매칭테이블!$G:$J,4,0)*H2161</f>
        <v/>
      </c>
      <c r="O2161" s="20">
        <f>F2161&amp;E2161&amp;G2161&amp;J2161</f>
        <v/>
      </c>
    </row>
    <row r="2162" ht="16.5" customHeight="1" s="17">
      <c r="B2162" s="16" t="n">
        <v>44171</v>
      </c>
      <c r="C2162" s="20">
        <f>TEXT(B2162,"aaa")</f>
        <v/>
      </c>
      <c r="E2162" s="20">
        <f>INDEX(매칭테이블!C:C,MATCH(RD!G2162,매칭테이블!D:D,0))</f>
        <v/>
      </c>
      <c r="F2162" s="20" t="inlineStr">
        <is>
          <t>카페24</t>
        </is>
      </c>
      <c r="G2162" s="20" t="inlineStr">
        <is>
          <t>유즈 스테이포에버 솔리드퍼퓸 002 (스테이포에버 주문시 12/14 순차배송)쇼핑백=선물용 쇼핑백</t>
        </is>
      </c>
      <c r="H2162" s="20" t="n">
        <v>8</v>
      </c>
      <c r="I2162" s="20">
        <f>VLOOKUP(G2162,매칭테이블!D:E,2,0)</f>
        <v/>
      </c>
      <c r="J2162" s="20" t="n">
        <v>201210</v>
      </c>
      <c r="L2162" s="20">
        <f>VLOOKUP($O2162,매칭테이블!$G:$J,2,0)*H2162</f>
        <v/>
      </c>
      <c r="M2162" s="20">
        <f>L2162-L2162*VLOOKUP($O2162,매칭테이블!$G:$J,3,0)</f>
        <v/>
      </c>
      <c r="N2162" s="20">
        <f>VLOOKUP($O2162,매칭테이블!$G:$J,4,0)*H2162</f>
        <v/>
      </c>
      <c r="O2162" s="20">
        <f>F2162&amp;E2162&amp;G2162&amp;J2162</f>
        <v/>
      </c>
    </row>
    <row r="2163" ht="16.5" customHeight="1" s="17">
      <c r="B2163" s="16" t="n">
        <v>44171</v>
      </c>
      <c r="C2163" s="20">
        <f>TEXT(B2163,"aaa")</f>
        <v/>
      </c>
      <c r="E2163" s="20">
        <f>INDEX(매칭테이블!C:C,MATCH(RD!G2163,매칭테이블!D:D,0))</f>
        <v/>
      </c>
      <c r="F2163" s="20" t="inlineStr">
        <is>
          <t>카페24</t>
        </is>
      </c>
      <c r="G2163" s="20" t="inlineStr">
        <is>
          <t>유즈 이그나이트 솔리드퍼퓸 001제품선택=이그나이트 솔리드퍼퓸 - 30ml</t>
        </is>
      </c>
      <c r="H2163" s="20" t="n">
        <v>2</v>
      </c>
      <c r="I2163" s="20">
        <f>VLOOKUP(G2163,매칭테이블!D:E,2,0)</f>
        <v/>
      </c>
      <c r="J2163" s="20" t="n">
        <v>201210</v>
      </c>
      <c r="L2163" s="20">
        <f>VLOOKUP($O2163,매칭테이블!$G:$J,2,0)*H2163</f>
        <v/>
      </c>
      <c r="M2163" s="20">
        <f>L2163-L2163*VLOOKUP($O2163,매칭테이블!$G:$J,3,0)</f>
        <v/>
      </c>
      <c r="N2163" s="20">
        <f>VLOOKUP($O2163,매칭테이블!$G:$J,4,0)*H2163</f>
        <v/>
      </c>
      <c r="O2163" s="20">
        <f>F2163&amp;E2163&amp;G2163&amp;J2163</f>
        <v/>
      </c>
    </row>
    <row r="2164" ht="16.5" customHeight="1" s="17">
      <c r="B2164" s="16" t="n">
        <v>44171</v>
      </c>
      <c r="C2164" s="20">
        <f>TEXT(B2164,"aaa")</f>
        <v/>
      </c>
      <c r="E2164" s="20">
        <f>INDEX(매칭테이블!C:C,MATCH(RD!G2164,매칭테이블!D:D,0))</f>
        <v/>
      </c>
      <c r="F2164" s="20" t="inlineStr">
        <is>
          <t>카페24</t>
        </is>
      </c>
      <c r="G2164" s="20" t="inlineStr">
        <is>
          <t>유즈 이그나이트 솔리드퍼퓸 001제품선택=이그나이트 2개 세트</t>
        </is>
      </c>
      <c r="H2164" s="20" t="n">
        <v>2</v>
      </c>
      <c r="I2164" s="20">
        <f>VLOOKUP(G2164,매칭테이블!D:E,2,0)</f>
        <v/>
      </c>
      <c r="J2164" s="20" t="n">
        <v>201210</v>
      </c>
      <c r="L2164" s="20">
        <f>VLOOKUP($O2164,매칭테이블!$G:$J,2,0)*H2164</f>
        <v/>
      </c>
      <c r="M2164" s="20">
        <f>L2164-L2164*VLOOKUP($O2164,매칭테이블!$G:$J,3,0)</f>
        <v/>
      </c>
      <c r="N2164" s="20">
        <f>VLOOKUP($O2164,매칭테이블!$G:$J,4,0)*H2164</f>
        <v/>
      </c>
      <c r="O2164" s="20">
        <f>F2164&amp;E2164&amp;G2164&amp;J2164</f>
        <v/>
      </c>
    </row>
    <row r="2165" ht="16.5" customHeight="1" s="17">
      <c r="B2165" s="16" t="n">
        <v>44173</v>
      </c>
      <c r="C2165" s="20">
        <f>TEXT(B2165,"aaa")</f>
        <v/>
      </c>
      <c r="E2165" s="20">
        <f>INDEX(매칭테이블!C:C,MATCH(RD!G2165,매칭테이블!D:D,0))</f>
        <v/>
      </c>
      <c r="F2165" s="20" t="inlineStr">
        <is>
          <t>카페24</t>
        </is>
      </c>
      <c r="G2165" s="20" t="inlineStr">
        <is>
          <t>유즈 솔리드퍼퓸 - 30ml (스테이포에버 주문 시 12/15 순차배송)향=스테이포에버, 세트 선택=1 개</t>
        </is>
      </c>
      <c r="H2165" s="20" t="n">
        <v>8</v>
      </c>
      <c r="I2165" s="20">
        <f>VLOOKUP(G2165,매칭테이블!D:E,2,0)</f>
        <v/>
      </c>
      <c r="J2165" s="20" t="n">
        <v>201210</v>
      </c>
      <c r="L2165" s="20">
        <f>VLOOKUP($O2165,매칭테이블!$G:$J,2,0)*H2165</f>
        <v/>
      </c>
      <c r="M2165" s="20">
        <f>L2165-L2165*VLOOKUP($O2165,매칭테이블!$G:$J,3,0)</f>
        <v/>
      </c>
      <c r="N2165" s="20">
        <f>VLOOKUP($O2165,매칭테이블!$G:$J,4,0)*H2165</f>
        <v/>
      </c>
      <c r="O2165" s="20">
        <f>F2165&amp;E2165&amp;G2165&amp;J2165</f>
        <v/>
      </c>
    </row>
    <row r="2166" ht="16.5" customHeight="1" s="17">
      <c r="B2166" s="16" t="n">
        <v>44173</v>
      </c>
      <c r="C2166" s="20">
        <f>TEXT(B2166,"aaa")</f>
        <v/>
      </c>
      <c r="E2166" s="20">
        <f>INDEX(매칭테이블!C:C,MATCH(RD!G2166,매칭테이블!D:D,0))</f>
        <v/>
      </c>
      <c r="F2166" s="20" t="inlineStr">
        <is>
          <t>카페24</t>
        </is>
      </c>
      <c r="G2166" s="20" t="inlineStr">
        <is>
          <t>유즈 솔리드퍼퓸 - 30ml (스테이포에버 주문 시 12/15 순차배송)향=스테이포에버, 세트 선택=2개 (28% off)</t>
        </is>
      </c>
      <c r="H2166" s="20" t="n">
        <v>4</v>
      </c>
      <c r="I2166" s="20">
        <f>VLOOKUP(G2166,매칭테이블!D:E,2,0)</f>
        <v/>
      </c>
      <c r="J2166" s="20" t="n">
        <v>201210</v>
      </c>
      <c r="L2166" s="20">
        <f>VLOOKUP($O2166,매칭테이블!$G:$J,2,0)*H2166</f>
        <v/>
      </c>
      <c r="M2166" s="20">
        <f>L2166-L2166*VLOOKUP($O2166,매칭테이블!$G:$J,3,0)</f>
        <v/>
      </c>
      <c r="N2166" s="20">
        <f>VLOOKUP($O2166,매칭테이블!$G:$J,4,0)*H2166</f>
        <v/>
      </c>
      <c r="O2166" s="20">
        <f>F2166&amp;E2166&amp;G2166&amp;J2166</f>
        <v/>
      </c>
    </row>
    <row r="2167" ht="16.5" customHeight="1" s="17">
      <c r="B2167" s="16" t="n">
        <v>44173</v>
      </c>
      <c r="C2167" s="20">
        <f>TEXT(B2167,"aaa")</f>
        <v/>
      </c>
      <c r="E2167" s="20">
        <f>INDEX(매칭테이블!C:C,MATCH(RD!G2167,매칭테이블!D:D,0))</f>
        <v/>
      </c>
      <c r="F2167" s="20" t="inlineStr">
        <is>
          <t>카페24</t>
        </is>
      </c>
      <c r="G2167" s="20" t="inlineStr">
        <is>
          <t>유즈 솔리드퍼퓸 - 30ml (스테이포에버 주문 시 12/15 순차배송)향=이그나이트 + 스테이포에버, 세트 선택=1 SET</t>
        </is>
      </c>
      <c r="H2167" s="20" t="n">
        <v>4</v>
      </c>
      <c r="I2167" s="20">
        <f>VLOOKUP(G2167,매칭테이블!D:E,2,0)</f>
        <v/>
      </c>
      <c r="J2167" s="20" t="n">
        <v>201210</v>
      </c>
      <c r="L2167" s="20">
        <f>VLOOKUP($O2167,매칭테이블!$G:$J,2,0)*H2167</f>
        <v/>
      </c>
      <c r="M2167" s="20">
        <f>L2167-L2167*VLOOKUP($O2167,매칭테이블!$G:$J,3,0)</f>
        <v/>
      </c>
      <c r="N2167" s="20">
        <f>VLOOKUP($O2167,매칭테이블!$G:$J,4,0)*H2167</f>
        <v/>
      </c>
      <c r="O2167" s="20">
        <f>F2167&amp;E2167&amp;G2167&amp;J2167</f>
        <v/>
      </c>
    </row>
    <row r="2168" ht="16.5" customHeight="1" s="17">
      <c r="B2168" s="16" t="n">
        <v>44173</v>
      </c>
      <c r="C2168" s="20">
        <f>TEXT(B2168,"aaa")</f>
        <v/>
      </c>
      <c r="E2168" s="20">
        <f>INDEX(매칭테이블!C:C,MATCH(RD!G2168,매칭테이블!D:D,0))</f>
        <v/>
      </c>
      <c r="F2168" s="20" t="inlineStr">
        <is>
          <t>카페24</t>
        </is>
      </c>
      <c r="G2168" s="20" t="inlineStr">
        <is>
          <t>유즈 솔리드퍼퓸 - 30ml (스테이포에버 주문 시 12/15 순차배송)향=이그나이트 + 스테이포에버, 세트 선택=2 SET (42% off)</t>
        </is>
      </c>
      <c r="H2168" s="20" t="n">
        <v>1</v>
      </c>
      <c r="I2168" s="20">
        <f>VLOOKUP(G2168,매칭테이블!D:E,2,0)</f>
        <v/>
      </c>
      <c r="J2168" s="20" t="n">
        <v>201210</v>
      </c>
      <c r="L2168" s="20">
        <f>VLOOKUP($O2168,매칭테이블!$G:$J,2,0)*H2168</f>
        <v/>
      </c>
      <c r="M2168" s="20">
        <f>L2168-L2168*VLOOKUP($O2168,매칭테이블!$G:$J,3,0)</f>
        <v/>
      </c>
      <c r="N2168" s="20">
        <f>VLOOKUP($O2168,매칭테이블!$G:$J,4,0)*H2168</f>
        <v/>
      </c>
      <c r="O2168" s="20">
        <f>F2168&amp;E2168&amp;G2168&amp;J2168</f>
        <v/>
      </c>
    </row>
    <row r="2169" ht="16.5" customHeight="1" s="17">
      <c r="B2169" s="16" t="n">
        <v>44173</v>
      </c>
      <c r="C2169" s="20">
        <f>TEXT(B2169,"aaa")</f>
        <v/>
      </c>
      <c r="E2169" s="20">
        <f>INDEX(매칭테이블!C:C,MATCH(RD!G2169,매칭테이블!D:D,0))</f>
        <v/>
      </c>
      <c r="F2169" s="20" t="inlineStr">
        <is>
          <t>카페24</t>
        </is>
      </c>
      <c r="G2169" s="20" t="inlineStr">
        <is>
          <t>유즈 스테이포에버 솔리드퍼퓸 002 (스테이포에버 주문시 12/14 순차배송)제품선택=스테이포에버 2개 세트[Pre-order 이벤트 28% 할인]</t>
        </is>
      </c>
      <c r="H2169" s="20" t="n">
        <v>3</v>
      </c>
      <c r="I2169" s="20">
        <f>VLOOKUP(G2169,매칭테이블!D:E,2,0)</f>
        <v/>
      </c>
      <c r="J2169" s="20" t="n">
        <v>201210</v>
      </c>
      <c r="L2169" s="20">
        <f>VLOOKUP($O2169,매칭테이블!$G:$J,2,0)*H2169</f>
        <v/>
      </c>
      <c r="M2169" s="20">
        <f>L2169-L2169*VLOOKUP($O2169,매칭테이블!$G:$J,3,0)</f>
        <v/>
      </c>
      <c r="N2169" s="20">
        <f>VLOOKUP($O2169,매칭테이블!$G:$J,4,0)*H2169</f>
        <v/>
      </c>
      <c r="O2169" s="20">
        <f>F2169&amp;E2169&amp;G2169&amp;J2169</f>
        <v/>
      </c>
    </row>
    <row r="2170" ht="16.5" customHeight="1" s="17">
      <c r="B2170" s="16" t="n">
        <v>44173</v>
      </c>
      <c r="C2170" s="20">
        <f>TEXT(B2170,"aaa")</f>
        <v/>
      </c>
      <c r="E2170" s="20">
        <f>INDEX(매칭테이블!C:C,MATCH(RD!G2170,매칭테이블!D:D,0))</f>
        <v/>
      </c>
      <c r="F2170" s="20" t="inlineStr">
        <is>
          <t>카페24</t>
        </is>
      </c>
      <c r="G2170" s="20" t="inlineStr">
        <is>
          <t>유즈 스테이포에버 솔리드퍼퓸 002 (스테이포에버 주문시 12/15 순차배송)제품선택=스테이포에버 솔리드퍼퓸 002[Pre-order 이벤트 17% 할인]</t>
        </is>
      </c>
      <c r="H2170" s="20" t="n">
        <v>148</v>
      </c>
      <c r="I2170" s="20">
        <f>VLOOKUP(G2170,매칭테이블!D:E,2,0)</f>
        <v/>
      </c>
      <c r="J2170" s="20" t="n">
        <v>201210</v>
      </c>
      <c r="L2170" s="20">
        <f>VLOOKUP($O2170,매칭테이블!$G:$J,2,0)*H2170</f>
        <v/>
      </c>
      <c r="M2170" s="20">
        <f>L2170-L2170*VLOOKUP($O2170,매칭테이블!$G:$J,3,0)</f>
        <v/>
      </c>
      <c r="N2170" s="20">
        <f>VLOOKUP($O2170,매칭테이블!$G:$J,4,0)*H2170</f>
        <v/>
      </c>
      <c r="O2170" s="20">
        <f>F2170&amp;E2170&amp;G2170&amp;J2170</f>
        <v/>
      </c>
    </row>
    <row r="2171" ht="16.5" customHeight="1" s="17">
      <c r="B2171" s="16" t="n">
        <v>44173</v>
      </c>
      <c r="C2171" s="20">
        <f>TEXT(B2171,"aaa")</f>
        <v/>
      </c>
      <c r="E2171" s="20">
        <f>INDEX(매칭테이블!C:C,MATCH(RD!G2171,매칭테이블!D:D,0))</f>
        <v/>
      </c>
      <c r="F2171" s="20" t="inlineStr">
        <is>
          <t>카페24</t>
        </is>
      </c>
      <c r="G2171" s="20" t="inlineStr">
        <is>
          <t>유즈 스테이포에버 솔리드퍼퓸 002 (스테이포에버 주문시 12/15 순차배송)제품선택=스테이포에버 2개 세트[Pre-order 이벤트 28% 할인]</t>
        </is>
      </c>
      <c r="H2171" s="20" t="n">
        <v>59</v>
      </c>
      <c r="I2171" s="20">
        <f>VLOOKUP(G2171,매칭테이블!D:E,2,0)</f>
        <v/>
      </c>
      <c r="J2171" s="20" t="n">
        <v>201210</v>
      </c>
      <c r="L2171" s="20">
        <f>VLOOKUP($O2171,매칭테이블!$G:$J,2,0)*H2171</f>
        <v/>
      </c>
      <c r="M2171" s="20">
        <f>L2171-L2171*VLOOKUP($O2171,매칭테이블!$G:$J,3,0)</f>
        <v/>
      </c>
      <c r="N2171" s="20">
        <f>VLOOKUP($O2171,매칭테이블!$G:$J,4,0)*H2171</f>
        <v/>
      </c>
      <c r="O2171" s="20">
        <f>F2171&amp;E2171&amp;G2171&amp;J2171</f>
        <v/>
      </c>
    </row>
    <row r="2172" ht="16.5" customHeight="1" s="17">
      <c r="B2172" s="16" t="n">
        <v>44173</v>
      </c>
      <c r="C2172" s="20">
        <f>TEXT(B2172,"aaa")</f>
        <v/>
      </c>
      <c r="E2172" s="20">
        <f>INDEX(매칭테이블!C:C,MATCH(RD!G2172,매칭테이블!D:D,0))</f>
        <v/>
      </c>
      <c r="F2172" s="20" t="inlineStr">
        <is>
          <t>카페24</t>
        </is>
      </c>
      <c r="G2172" s="20" t="inlineStr">
        <is>
          <t>유즈 스테이포에버 솔리드퍼퓸 002 (스테이포에버 주문시 12/15 순차배송)제품선택=스테이포에버 + 이그나이트 세트</t>
        </is>
      </c>
      <c r="H2172" s="20" t="n">
        <v>11</v>
      </c>
      <c r="I2172" s="20">
        <f>VLOOKUP(G2172,매칭테이블!D:E,2,0)</f>
        <v/>
      </c>
      <c r="J2172" s="20" t="n">
        <v>201210</v>
      </c>
      <c r="L2172" s="20">
        <f>VLOOKUP($O2172,매칭테이블!$G:$J,2,0)*H2172</f>
        <v/>
      </c>
      <c r="M2172" s="20">
        <f>L2172-L2172*VLOOKUP($O2172,매칭테이블!$G:$J,3,0)</f>
        <v/>
      </c>
      <c r="N2172" s="20">
        <f>VLOOKUP($O2172,매칭테이블!$G:$J,4,0)*H2172</f>
        <v/>
      </c>
      <c r="O2172" s="20">
        <f>F2172&amp;E2172&amp;G2172&amp;J2172</f>
        <v/>
      </c>
    </row>
    <row r="2173" ht="16.5" customHeight="1" s="17">
      <c r="B2173" s="16" t="n">
        <v>44173</v>
      </c>
      <c r="C2173" s="20">
        <f>TEXT(B2173,"aaa")</f>
        <v/>
      </c>
      <c r="E2173" s="20">
        <f>INDEX(매칭테이블!C:C,MATCH(RD!G2173,매칭테이블!D:D,0))</f>
        <v/>
      </c>
      <c r="F2173" s="20" t="inlineStr">
        <is>
          <t>카페24</t>
        </is>
      </c>
      <c r="G2173" s="20" t="inlineStr">
        <is>
          <t>유즈 스테이포에버 솔리드퍼퓸 002 (스테이포에버 주문시 12/15 순차배송)쇼핑백=선물용 쇼핑백</t>
        </is>
      </c>
      <c r="H2173" s="20" t="n">
        <v>3</v>
      </c>
      <c r="I2173" s="20">
        <f>VLOOKUP(G2173,매칭테이블!D:E,2,0)</f>
        <v/>
      </c>
      <c r="J2173" s="20" t="n">
        <v>201210</v>
      </c>
      <c r="L2173" s="20">
        <f>VLOOKUP($O2173,매칭테이블!$G:$J,2,0)*H2173</f>
        <v/>
      </c>
      <c r="M2173" s="20">
        <f>L2173-L2173*VLOOKUP($O2173,매칭테이블!$G:$J,3,0)</f>
        <v/>
      </c>
      <c r="N2173" s="20">
        <f>VLOOKUP($O2173,매칭테이블!$G:$J,4,0)*H2173</f>
        <v/>
      </c>
      <c r="O2173" s="20">
        <f>F2173&amp;E2173&amp;G2173&amp;J2173</f>
        <v/>
      </c>
    </row>
    <row r="2174" ht="16.5" customHeight="1" s="17">
      <c r="B2174" s="16" t="n">
        <v>44173</v>
      </c>
      <c r="C2174" s="20">
        <f>TEXT(B2174,"aaa")</f>
        <v/>
      </c>
      <c r="E2174" s="20">
        <f>INDEX(매칭테이블!C:C,MATCH(RD!G2174,매칭테이블!D:D,0))</f>
        <v/>
      </c>
      <c r="F2174" s="20" t="inlineStr">
        <is>
          <t>카페24</t>
        </is>
      </c>
      <c r="G2174" s="20" t="inlineStr">
        <is>
          <t>유즈 이그나이트 솔리드퍼퓸 001제품선택=이그나이트 솔리드퍼퓸 - 30ml</t>
        </is>
      </c>
      <c r="H2174" s="20" t="n">
        <v>3</v>
      </c>
      <c r="I2174" s="20">
        <f>VLOOKUP(G2174,매칭테이블!D:E,2,0)</f>
        <v/>
      </c>
      <c r="J2174" s="20" t="n">
        <v>201210</v>
      </c>
      <c r="L2174" s="20">
        <f>VLOOKUP($O2174,매칭테이블!$G:$J,2,0)*H2174</f>
        <v/>
      </c>
      <c r="M2174" s="20">
        <f>L2174-L2174*VLOOKUP($O2174,매칭테이블!$G:$J,3,0)</f>
        <v/>
      </c>
      <c r="N2174" s="20">
        <f>VLOOKUP($O2174,매칭테이블!$G:$J,4,0)*H2174</f>
        <v/>
      </c>
      <c r="O2174" s="20">
        <f>F2174&amp;E2174&amp;G2174&amp;J2174</f>
        <v/>
      </c>
    </row>
    <row r="2175" ht="16.5" customHeight="1" s="17">
      <c r="B2175" s="16" t="n">
        <v>44174</v>
      </c>
      <c r="C2175" s="20">
        <f>TEXT(B2175,"aaa")</f>
        <v/>
      </c>
      <c r="E2175" s="20">
        <f>INDEX(매칭테이블!C:C,MATCH(RD!G2175,매칭테이블!D:D,0))</f>
        <v/>
      </c>
      <c r="F2175" s="20" t="inlineStr">
        <is>
          <t>카페24</t>
        </is>
      </c>
      <c r="G2175" s="20" t="inlineStr">
        <is>
          <t>유즈 솔리드퍼퓸 - 30ml (스테이포에버 주문 시 12/15 순차배송)향=스테이포에버, 세트 선택=1 개</t>
        </is>
      </c>
      <c r="H2175" s="20" t="n">
        <v>14</v>
      </c>
      <c r="I2175" s="20">
        <f>VLOOKUP(G2175,매칭테이블!D:E,2,0)</f>
        <v/>
      </c>
      <c r="J2175" s="20" t="n">
        <v>201210</v>
      </c>
      <c r="L2175" s="20">
        <f>VLOOKUP($O2175,매칭테이블!$G:$J,2,0)*H2175</f>
        <v/>
      </c>
      <c r="M2175" s="20">
        <f>L2175-L2175*VLOOKUP($O2175,매칭테이블!$G:$J,3,0)</f>
        <v/>
      </c>
      <c r="N2175" s="20">
        <f>VLOOKUP($O2175,매칭테이블!$G:$J,4,0)*H2175</f>
        <v/>
      </c>
      <c r="O2175" s="20">
        <f>F2175&amp;E2175&amp;G2175&amp;J2175</f>
        <v/>
      </c>
    </row>
    <row r="2176" ht="16.5" customHeight="1" s="17">
      <c r="B2176" s="16" t="n">
        <v>44174</v>
      </c>
      <c r="C2176" s="20">
        <f>TEXT(B2176,"aaa")</f>
        <v/>
      </c>
      <c r="E2176" s="20">
        <f>INDEX(매칭테이블!C:C,MATCH(RD!G2176,매칭테이블!D:D,0))</f>
        <v/>
      </c>
      <c r="F2176" s="20" t="inlineStr">
        <is>
          <t>카페24</t>
        </is>
      </c>
      <c r="G2176" s="20" t="inlineStr">
        <is>
          <t>유즈 솔리드퍼퓸 - 30ml (스테이포에버 주문 시 12/15 순차배송)향=스테이포에버, 세트 선택=2개 (28% off)</t>
        </is>
      </c>
      <c r="H2176" s="20" t="n">
        <v>4</v>
      </c>
      <c r="I2176" s="20">
        <f>VLOOKUP(G2176,매칭테이블!D:E,2,0)</f>
        <v/>
      </c>
      <c r="J2176" s="20" t="n">
        <v>201210</v>
      </c>
      <c r="L2176" s="20">
        <f>VLOOKUP($O2176,매칭테이블!$G:$J,2,0)*H2176</f>
        <v/>
      </c>
      <c r="M2176" s="20">
        <f>L2176-L2176*VLOOKUP($O2176,매칭테이블!$G:$J,3,0)</f>
        <v/>
      </c>
      <c r="N2176" s="20">
        <f>VLOOKUP($O2176,매칭테이블!$G:$J,4,0)*H2176</f>
        <v/>
      </c>
      <c r="O2176" s="20">
        <f>F2176&amp;E2176&amp;G2176&amp;J2176</f>
        <v/>
      </c>
    </row>
    <row r="2177" ht="16.5" customHeight="1" s="17">
      <c r="B2177" s="16" t="n">
        <v>44174</v>
      </c>
      <c r="C2177" s="20">
        <f>TEXT(B2177,"aaa")</f>
        <v/>
      </c>
      <c r="E2177" s="20">
        <f>INDEX(매칭테이블!C:C,MATCH(RD!G2177,매칭테이블!D:D,0))</f>
        <v/>
      </c>
      <c r="F2177" s="20" t="inlineStr">
        <is>
          <t>카페24</t>
        </is>
      </c>
      <c r="G2177" s="20" t="inlineStr">
        <is>
          <t>유즈 솔리드퍼퓸 - 30ml (스테이포에버 주문 시 12/15 순차배송)향=이그나이트 + 스테이포에버, 세트 선택=1 SET</t>
        </is>
      </c>
      <c r="H2177" s="20" t="n">
        <v>3</v>
      </c>
      <c r="I2177" s="20">
        <f>VLOOKUP(G2177,매칭테이블!D:E,2,0)</f>
        <v/>
      </c>
      <c r="J2177" s="20" t="n">
        <v>201210</v>
      </c>
      <c r="L2177" s="20">
        <f>VLOOKUP($O2177,매칭테이블!$G:$J,2,0)*H2177</f>
        <v/>
      </c>
      <c r="M2177" s="20">
        <f>L2177-L2177*VLOOKUP($O2177,매칭테이블!$G:$J,3,0)</f>
        <v/>
      </c>
      <c r="N2177" s="20">
        <f>VLOOKUP($O2177,매칭테이블!$G:$J,4,0)*H2177</f>
        <v/>
      </c>
      <c r="O2177" s="20">
        <f>F2177&amp;E2177&amp;G2177&amp;J2177</f>
        <v/>
      </c>
    </row>
    <row r="2178" ht="16.5" customHeight="1" s="17">
      <c r="B2178" s="16" t="n">
        <v>44174</v>
      </c>
      <c r="C2178" s="20">
        <f>TEXT(B2178,"aaa")</f>
        <v/>
      </c>
      <c r="E2178" s="20">
        <f>INDEX(매칭테이블!C:C,MATCH(RD!G2178,매칭테이블!D:D,0))</f>
        <v/>
      </c>
      <c r="F2178" s="20" t="inlineStr">
        <is>
          <t>카페24</t>
        </is>
      </c>
      <c r="G2178" s="20" t="inlineStr">
        <is>
          <t>유즈 솔리드퍼퓸 - 30ml (스테이포에버 주문 시 12/15 순차배송)향=이그나이트 + 스테이포에버, 세트 선택=2 SET (42% off)</t>
        </is>
      </c>
      <c r="H2178" s="20" t="n">
        <v>2</v>
      </c>
      <c r="I2178" s="20">
        <f>VLOOKUP(G2178,매칭테이블!D:E,2,0)</f>
        <v/>
      </c>
      <c r="J2178" s="20" t="n">
        <v>201210</v>
      </c>
      <c r="L2178" s="20">
        <f>VLOOKUP($O2178,매칭테이블!$G:$J,2,0)*H2178</f>
        <v/>
      </c>
      <c r="M2178" s="20">
        <f>L2178-L2178*VLOOKUP($O2178,매칭테이블!$G:$J,3,0)</f>
        <v/>
      </c>
      <c r="N2178" s="20">
        <f>VLOOKUP($O2178,매칭테이블!$G:$J,4,0)*H2178</f>
        <v/>
      </c>
      <c r="O2178" s="20">
        <f>F2178&amp;E2178&amp;G2178&amp;J2178</f>
        <v/>
      </c>
    </row>
    <row r="2179" ht="16.5" customHeight="1" s="17">
      <c r="B2179" s="16" t="n">
        <v>44174</v>
      </c>
      <c r="C2179" s="20">
        <f>TEXT(B2179,"aaa")</f>
        <v/>
      </c>
      <c r="E2179" s="20">
        <f>INDEX(매칭테이블!C:C,MATCH(RD!G2179,매칭테이블!D:D,0))</f>
        <v/>
      </c>
      <c r="F2179" s="20" t="inlineStr">
        <is>
          <t>카페24</t>
        </is>
      </c>
      <c r="G2179" s="20" t="inlineStr">
        <is>
          <t>유즈 스테이포에버 솔리드퍼퓸 002 (스테이포에버 주문시 12/15 순차배송)제품선택=스테이포에버 솔리드퍼퓸 002[Pre-order 이벤트 17% 할인]</t>
        </is>
      </c>
      <c r="H2179" s="20" t="n">
        <v>150</v>
      </c>
      <c r="I2179" s="20">
        <f>VLOOKUP(G2179,매칭테이블!D:E,2,0)</f>
        <v/>
      </c>
      <c r="J2179" s="20" t="n">
        <v>201210</v>
      </c>
      <c r="L2179" s="20">
        <f>VLOOKUP($O2179,매칭테이블!$G:$J,2,0)*H2179</f>
        <v/>
      </c>
      <c r="M2179" s="20">
        <f>L2179-L2179*VLOOKUP($O2179,매칭테이블!$G:$J,3,0)</f>
        <v/>
      </c>
      <c r="N2179" s="20">
        <f>VLOOKUP($O2179,매칭테이블!$G:$J,4,0)*H2179</f>
        <v/>
      </c>
      <c r="O2179" s="20">
        <f>F2179&amp;E2179&amp;G2179&amp;J2179</f>
        <v/>
      </c>
    </row>
    <row r="2180" ht="16.5" customHeight="1" s="17">
      <c r="B2180" s="16" t="n">
        <v>44174</v>
      </c>
      <c r="C2180" s="20">
        <f>TEXT(B2180,"aaa")</f>
        <v/>
      </c>
      <c r="E2180" s="20">
        <f>INDEX(매칭테이블!C:C,MATCH(RD!G2180,매칭테이블!D:D,0))</f>
        <v/>
      </c>
      <c r="F2180" s="20" t="inlineStr">
        <is>
          <t>카페24</t>
        </is>
      </c>
      <c r="G2180" s="20" t="inlineStr">
        <is>
          <t>유즈 스테이포에버 솔리드퍼퓸 002 (스테이포에버 주문시 12/15 순차배송)제품선택=스테이포에버 2개 세트[Pre-order 이벤트 28% 할인]</t>
        </is>
      </c>
      <c r="H2180" s="20" t="n">
        <v>51</v>
      </c>
      <c r="I2180" s="20">
        <f>VLOOKUP(G2180,매칭테이블!D:E,2,0)</f>
        <v/>
      </c>
      <c r="J2180" s="20" t="n">
        <v>201210</v>
      </c>
      <c r="L2180" s="20">
        <f>VLOOKUP($O2180,매칭테이블!$G:$J,2,0)*H2180</f>
        <v/>
      </c>
      <c r="M2180" s="20">
        <f>L2180-L2180*VLOOKUP($O2180,매칭테이블!$G:$J,3,0)</f>
        <v/>
      </c>
      <c r="N2180" s="20">
        <f>VLOOKUP($O2180,매칭테이블!$G:$J,4,0)*H2180</f>
        <v/>
      </c>
      <c r="O2180" s="20">
        <f>F2180&amp;E2180&amp;G2180&amp;J2180</f>
        <v/>
      </c>
    </row>
    <row r="2181" ht="16.5" customHeight="1" s="17">
      <c r="B2181" s="16" t="n">
        <v>44174</v>
      </c>
      <c r="C2181" s="20">
        <f>TEXT(B2181,"aaa")</f>
        <v/>
      </c>
      <c r="E2181" s="20">
        <f>INDEX(매칭테이블!C:C,MATCH(RD!G2181,매칭테이블!D:D,0))</f>
        <v/>
      </c>
      <c r="F2181" s="20" t="inlineStr">
        <is>
          <t>카페24</t>
        </is>
      </c>
      <c r="G2181" s="20" t="inlineStr">
        <is>
          <t>유즈 스테이포에버 솔리드퍼퓸 002 (스테이포에버 주문시 12/15 순차배송)제품선택=스테이포에버 + 이그나이트 세트</t>
        </is>
      </c>
      <c r="H2181" s="20" t="n">
        <v>7</v>
      </c>
      <c r="I2181" s="20">
        <f>VLOOKUP(G2181,매칭테이블!D:E,2,0)</f>
        <v/>
      </c>
      <c r="J2181" s="20" t="n">
        <v>201210</v>
      </c>
      <c r="L2181" s="20">
        <f>VLOOKUP($O2181,매칭테이블!$G:$J,2,0)*H2181</f>
        <v/>
      </c>
      <c r="M2181" s="20">
        <f>L2181-L2181*VLOOKUP($O2181,매칭테이블!$G:$J,3,0)</f>
        <v/>
      </c>
      <c r="N2181" s="20">
        <f>VLOOKUP($O2181,매칭테이블!$G:$J,4,0)*H2181</f>
        <v/>
      </c>
      <c r="O2181" s="20">
        <f>F2181&amp;E2181&amp;G2181&amp;J2181</f>
        <v/>
      </c>
    </row>
    <row r="2182" ht="16.5" customHeight="1" s="17">
      <c r="B2182" s="16" t="n">
        <v>44174</v>
      </c>
      <c r="C2182" s="20">
        <f>TEXT(B2182,"aaa")</f>
        <v/>
      </c>
      <c r="E2182" s="20">
        <f>INDEX(매칭테이블!C:C,MATCH(RD!G2182,매칭테이블!D:D,0))</f>
        <v/>
      </c>
      <c r="F2182" s="20" t="inlineStr">
        <is>
          <t>카페24</t>
        </is>
      </c>
      <c r="G2182" s="20" t="inlineStr">
        <is>
          <t>유즈 스테이포에버 솔리드퍼퓸 002 (스테이포에버 주문시 12/15 순차배송)쇼핑백=선물용 쇼핑백</t>
        </is>
      </c>
      <c r="H2182" s="20" t="n">
        <v>4</v>
      </c>
      <c r="I2182" s="20">
        <f>VLOOKUP(G2182,매칭테이블!D:E,2,0)</f>
        <v/>
      </c>
      <c r="J2182" s="20" t="n">
        <v>201210</v>
      </c>
      <c r="L2182" s="20">
        <f>VLOOKUP($O2182,매칭테이블!$G:$J,2,0)*H2182</f>
        <v/>
      </c>
      <c r="M2182" s="20">
        <f>L2182-L2182*VLOOKUP($O2182,매칭테이블!$G:$J,3,0)</f>
        <v/>
      </c>
      <c r="N2182" s="20">
        <f>VLOOKUP($O2182,매칭테이블!$G:$J,4,0)*H2182</f>
        <v/>
      </c>
      <c r="O2182" s="20">
        <f>F2182&amp;E2182&amp;G2182&amp;J2182</f>
        <v/>
      </c>
    </row>
    <row r="2183" ht="16.5" customHeight="1" s="17">
      <c r="B2183" s="16" t="n">
        <v>44174</v>
      </c>
      <c r="C2183" s="20">
        <f>TEXT(B2183,"aaa")</f>
        <v/>
      </c>
      <c r="E2183" s="20">
        <f>INDEX(매칭테이블!C:C,MATCH(RD!G2183,매칭테이블!D:D,0))</f>
        <v/>
      </c>
      <c r="F2183" s="20" t="inlineStr">
        <is>
          <t>카페24</t>
        </is>
      </c>
      <c r="G2183" s="20" t="inlineStr">
        <is>
          <t>유즈 이그나이트 솔리드퍼퓸 001제품선택=이그나이트 솔리드퍼퓸 - 30ml</t>
        </is>
      </c>
      <c r="H2183" s="20" t="n">
        <v>1</v>
      </c>
      <c r="I2183" s="20">
        <f>VLOOKUP(G2183,매칭테이블!D:E,2,0)</f>
        <v/>
      </c>
      <c r="J2183" s="20" t="n">
        <v>201210</v>
      </c>
      <c r="L2183" s="20">
        <f>VLOOKUP($O2183,매칭테이블!$G:$J,2,0)*H2183</f>
        <v/>
      </c>
      <c r="M2183" s="20">
        <f>L2183-L2183*VLOOKUP($O2183,매칭테이블!$G:$J,3,0)</f>
        <v/>
      </c>
      <c r="N2183" s="20">
        <f>VLOOKUP($O2183,매칭테이블!$G:$J,4,0)*H2183</f>
        <v/>
      </c>
      <c r="O2183" s="20">
        <f>F2183&amp;E2183&amp;G2183&amp;J2183</f>
        <v/>
      </c>
    </row>
    <row r="2184" ht="16.5" customHeight="1" s="17">
      <c r="B2184" s="16" t="n">
        <v>44174</v>
      </c>
      <c r="C2184" s="20">
        <f>TEXT(B2184,"aaa")</f>
        <v/>
      </c>
      <c r="E2184" s="20">
        <f>INDEX(매칭테이블!C:C,MATCH(RD!G2184,매칭테이블!D:D,0))</f>
        <v/>
      </c>
      <c r="F2184" s="20" t="inlineStr">
        <is>
          <t>카페24</t>
        </is>
      </c>
      <c r="G2184" s="20" t="inlineStr">
        <is>
          <t>유즈 이그나이트 솔리드퍼퓸 001제품선택=이그나이트 2개 세트</t>
        </is>
      </c>
      <c r="H2184" s="20" t="n">
        <v>4</v>
      </c>
      <c r="I2184" s="20">
        <f>VLOOKUP(G2184,매칭테이블!D:E,2,0)</f>
        <v/>
      </c>
      <c r="J2184" s="20" t="n">
        <v>201210</v>
      </c>
      <c r="L2184" s="20">
        <f>VLOOKUP($O2184,매칭테이블!$G:$J,2,0)*H2184</f>
        <v/>
      </c>
      <c r="M2184" s="20">
        <f>L2184-L2184*VLOOKUP($O2184,매칭테이블!$G:$J,3,0)</f>
        <v/>
      </c>
      <c r="N2184" s="20">
        <f>VLOOKUP($O2184,매칭테이블!$G:$J,4,0)*H2184</f>
        <v/>
      </c>
      <c r="O2184" s="20">
        <f>F2184&amp;E2184&amp;G2184&amp;J2184</f>
        <v/>
      </c>
    </row>
    <row r="2185" ht="16.5" customHeight="1" s="17">
      <c r="B2185" s="16" t="n">
        <v>44175</v>
      </c>
      <c r="C2185" s="20">
        <f>TEXT(B2185,"aaa")</f>
        <v/>
      </c>
      <c r="E2185" s="20">
        <f>INDEX(매칭테이블!C:C,MATCH(RD!G2185,매칭테이블!D:D,0))</f>
        <v/>
      </c>
      <c r="F2185" s="20" t="inlineStr">
        <is>
          <t>유즈 CS</t>
        </is>
      </c>
      <c r="G2185" s="20" t="inlineStr">
        <is>
          <t>솔리드퍼퓸 스테이포에버 002 30ml</t>
        </is>
      </c>
      <c r="H2185" s="20" t="n">
        <v>2</v>
      </c>
      <c r="I2185" s="20">
        <f>VLOOKUP(G2185,매칭테이블!D:E,2,0)</f>
        <v/>
      </c>
      <c r="J2185" s="20" t="n">
        <v>201210</v>
      </c>
      <c r="L2185" s="20">
        <f>VLOOKUP($O2185,매칭테이블!$G:$J,2,0)*H2185</f>
        <v/>
      </c>
      <c r="M2185" s="20">
        <f>L2185-L2185*VLOOKUP($O2185,매칭테이블!$G:$J,3,0)</f>
        <v/>
      </c>
      <c r="N2185" s="20">
        <f>VLOOKUP($O2185,매칭테이블!$G:$J,4,0)*H2185</f>
        <v/>
      </c>
      <c r="O2185" s="20">
        <f>F2185&amp;E2185&amp;G2185&amp;J2185</f>
        <v/>
      </c>
    </row>
    <row r="2186" ht="16.5" customHeight="1" s="17">
      <c r="B2186" s="16" t="n">
        <v>44175</v>
      </c>
      <c r="C2186" s="20">
        <f>TEXT(B2186,"aaa")</f>
        <v/>
      </c>
      <c r="E2186" s="20">
        <f>INDEX(매칭테이블!C:C,MATCH(RD!G2186,매칭테이블!D:D,0))</f>
        <v/>
      </c>
      <c r="F2186" s="20" t="inlineStr">
        <is>
          <t>카페24</t>
        </is>
      </c>
      <c r="G2186" s="20" t="inlineStr">
        <is>
          <t>유즈 솔리드퍼퓸 - 30ml (스테이포에버 주문 시 12/15 순차배송)향=스테이포에버, 세트 선택=1 개</t>
        </is>
      </c>
      <c r="H2186" s="20" t="n">
        <v>12</v>
      </c>
      <c r="I2186" s="20">
        <f>VLOOKUP(G2186,매칭테이블!D:E,2,0)</f>
        <v/>
      </c>
      <c r="J2186" s="20" t="n">
        <v>201210</v>
      </c>
      <c r="L2186" s="20">
        <f>VLOOKUP($O2186,매칭테이블!$G:$J,2,0)*H2186</f>
        <v/>
      </c>
      <c r="M2186" s="20">
        <f>L2186-L2186*VLOOKUP($O2186,매칭테이블!$G:$J,3,0)</f>
        <v/>
      </c>
      <c r="N2186" s="20">
        <f>VLOOKUP($O2186,매칭테이블!$G:$J,4,0)*H2186</f>
        <v/>
      </c>
      <c r="O2186" s="20">
        <f>F2186&amp;E2186&amp;G2186&amp;J2186</f>
        <v/>
      </c>
    </row>
    <row r="2187" ht="16.5" customHeight="1" s="17">
      <c r="B2187" s="16" t="n">
        <v>44175</v>
      </c>
      <c r="C2187" s="20">
        <f>TEXT(B2187,"aaa")</f>
        <v/>
      </c>
      <c r="E2187" s="20">
        <f>INDEX(매칭테이블!C:C,MATCH(RD!G2187,매칭테이블!D:D,0))</f>
        <v/>
      </c>
      <c r="F2187" s="20" t="inlineStr">
        <is>
          <t>카페24</t>
        </is>
      </c>
      <c r="G2187" s="20" t="inlineStr">
        <is>
          <t>유즈 솔리드퍼퓸 - 30ml (스테이포에버 주문 시 12/15 순차배송)향=스테이포에버, 세트 선택=2개 (28% off)</t>
        </is>
      </c>
      <c r="H2187" s="20" t="n">
        <v>4</v>
      </c>
      <c r="I2187" s="20">
        <f>VLOOKUP(G2187,매칭테이블!D:E,2,0)</f>
        <v/>
      </c>
      <c r="J2187" s="20" t="n">
        <v>201210</v>
      </c>
      <c r="L2187" s="20">
        <f>VLOOKUP($O2187,매칭테이블!$G:$J,2,0)*H2187</f>
        <v/>
      </c>
      <c r="M2187" s="20">
        <f>L2187-L2187*VLOOKUP($O2187,매칭테이블!$G:$J,3,0)</f>
        <v/>
      </c>
      <c r="N2187" s="20">
        <f>VLOOKUP($O2187,매칭테이블!$G:$J,4,0)*H2187</f>
        <v/>
      </c>
      <c r="O2187" s="20">
        <f>F2187&amp;E2187&amp;G2187&amp;J2187</f>
        <v/>
      </c>
    </row>
    <row r="2188" ht="16.5" customHeight="1" s="17">
      <c r="B2188" s="16" t="n">
        <v>44175</v>
      </c>
      <c r="C2188" s="20">
        <f>TEXT(B2188,"aaa")</f>
        <v/>
      </c>
      <c r="E2188" s="20">
        <f>INDEX(매칭테이블!C:C,MATCH(RD!G2188,매칭테이블!D:D,0))</f>
        <v/>
      </c>
      <c r="F2188" s="20" t="inlineStr">
        <is>
          <t>카페24</t>
        </is>
      </c>
      <c r="G2188" s="20" t="inlineStr">
        <is>
          <t>유즈 솔리드퍼퓸 - 30ml (스테이포에버 주문 시 12/15 순차배송)향=이그나이트 + 스테이포에버, 세트 선택=1 SET</t>
        </is>
      </c>
      <c r="H2188" s="20" t="n">
        <v>7</v>
      </c>
      <c r="I2188" s="20">
        <f>VLOOKUP(G2188,매칭테이블!D:E,2,0)</f>
        <v/>
      </c>
      <c r="J2188" s="20" t="n">
        <v>201210</v>
      </c>
      <c r="L2188" s="20">
        <f>VLOOKUP($O2188,매칭테이블!$G:$J,2,0)*H2188</f>
        <v/>
      </c>
      <c r="M2188" s="20">
        <f>L2188-L2188*VLOOKUP($O2188,매칭테이블!$G:$J,3,0)</f>
        <v/>
      </c>
      <c r="N2188" s="20">
        <f>VLOOKUP($O2188,매칭테이블!$G:$J,4,0)*H2188</f>
        <v/>
      </c>
      <c r="O2188" s="20">
        <f>F2188&amp;E2188&amp;G2188&amp;J2188</f>
        <v/>
      </c>
    </row>
    <row r="2189" ht="16.5" customHeight="1" s="17">
      <c r="B2189" s="16" t="n">
        <v>44175</v>
      </c>
      <c r="C2189" s="20">
        <f>TEXT(B2189,"aaa")</f>
        <v/>
      </c>
      <c r="E2189" s="20">
        <f>INDEX(매칭테이블!C:C,MATCH(RD!G2189,매칭테이블!D:D,0))</f>
        <v/>
      </c>
      <c r="F2189" s="20" t="inlineStr">
        <is>
          <t>카페24</t>
        </is>
      </c>
      <c r="G2189" s="20" t="inlineStr">
        <is>
          <t>유즈 스테이포에버 솔리드퍼퓸 002 (스테이포에버 주문시 12/15 순차배송)제품선택=스테이포에버 솔리드퍼퓸 002[Pre-order 이벤트 17% 할인]</t>
        </is>
      </c>
      <c r="H2189" s="20" t="n">
        <v>170</v>
      </c>
      <c r="I2189" s="20">
        <f>VLOOKUP(G2189,매칭테이블!D:E,2,0)</f>
        <v/>
      </c>
      <c r="J2189" s="20" t="n">
        <v>201210</v>
      </c>
      <c r="L2189" s="20">
        <f>VLOOKUP($O2189,매칭테이블!$G:$J,2,0)*H2189</f>
        <v/>
      </c>
      <c r="M2189" s="20">
        <f>L2189-L2189*VLOOKUP($O2189,매칭테이블!$G:$J,3,0)</f>
        <v/>
      </c>
      <c r="N2189" s="20">
        <f>VLOOKUP($O2189,매칭테이블!$G:$J,4,0)*H2189</f>
        <v/>
      </c>
      <c r="O2189" s="20">
        <f>F2189&amp;E2189&amp;G2189&amp;J2189</f>
        <v/>
      </c>
    </row>
    <row r="2190" ht="16.5" customHeight="1" s="17">
      <c r="B2190" s="16" t="n">
        <v>44175</v>
      </c>
      <c r="C2190" s="20">
        <f>TEXT(B2190,"aaa")</f>
        <v/>
      </c>
      <c r="E2190" s="20">
        <f>INDEX(매칭테이블!C:C,MATCH(RD!G2190,매칭테이블!D:D,0))</f>
        <v/>
      </c>
      <c r="F2190" s="20" t="inlineStr">
        <is>
          <t>카페24</t>
        </is>
      </c>
      <c r="G2190" s="20" t="inlineStr">
        <is>
          <t>유즈 스테이포에버 솔리드퍼퓸 002 (스테이포에버 주문시 12/15 순차배송)제품선택=스테이포에버 2개 세트[Pre-order 이벤트 28% 할인]</t>
        </is>
      </c>
      <c r="H2190" s="20" t="n">
        <v>41</v>
      </c>
      <c r="I2190" s="20">
        <f>VLOOKUP(G2190,매칭테이블!D:E,2,0)</f>
        <v/>
      </c>
      <c r="J2190" s="20" t="n">
        <v>201210</v>
      </c>
      <c r="L2190" s="20">
        <f>VLOOKUP($O2190,매칭테이블!$G:$J,2,0)*H2190</f>
        <v/>
      </c>
      <c r="M2190" s="20">
        <f>L2190-L2190*VLOOKUP($O2190,매칭테이블!$G:$J,3,0)</f>
        <v/>
      </c>
      <c r="N2190" s="20">
        <f>VLOOKUP($O2190,매칭테이블!$G:$J,4,0)*H2190</f>
        <v/>
      </c>
      <c r="O2190" s="20">
        <f>F2190&amp;E2190&amp;G2190&amp;J2190</f>
        <v/>
      </c>
    </row>
    <row r="2191" ht="16.5" customHeight="1" s="17">
      <c r="B2191" s="16" t="n">
        <v>44175</v>
      </c>
      <c r="C2191" s="20">
        <f>TEXT(B2191,"aaa")</f>
        <v/>
      </c>
      <c r="E2191" s="20">
        <f>INDEX(매칭테이블!C:C,MATCH(RD!G2191,매칭테이블!D:D,0))</f>
        <v/>
      </c>
      <c r="F2191" s="20" t="inlineStr">
        <is>
          <t>카페24</t>
        </is>
      </c>
      <c r="G2191" s="20" t="inlineStr">
        <is>
          <t>유즈 스테이포에버 솔리드퍼퓸 002 (스테이포에버 주문시 12/15 순차배송)제품선택=스테이포에버 + 이그나이트 세트</t>
        </is>
      </c>
      <c r="H2191" s="20" t="n">
        <v>9</v>
      </c>
      <c r="I2191" s="20">
        <f>VLOOKUP(G2191,매칭테이블!D:E,2,0)</f>
        <v/>
      </c>
      <c r="J2191" s="20" t="n">
        <v>201210</v>
      </c>
      <c r="L2191" s="20">
        <f>VLOOKUP($O2191,매칭테이블!$G:$J,2,0)*H2191</f>
        <v/>
      </c>
      <c r="M2191" s="20">
        <f>L2191-L2191*VLOOKUP($O2191,매칭테이블!$G:$J,3,0)</f>
        <v/>
      </c>
      <c r="N2191" s="20">
        <f>VLOOKUP($O2191,매칭테이블!$G:$J,4,0)*H2191</f>
        <v/>
      </c>
      <c r="O2191" s="20">
        <f>F2191&amp;E2191&amp;G2191&amp;J2191</f>
        <v/>
      </c>
    </row>
    <row r="2192" ht="16.5" customHeight="1" s="17">
      <c r="B2192" s="16" t="n">
        <v>44175</v>
      </c>
      <c r="C2192" s="20">
        <f>TEXT(B2192,"aaa")</f>
        <v/>
      </c>
      <c r="E2192" s="20">
        <f>INDEX(매칭테이블!C:C,MATCH(RD!G2192,매칭테이블!D:D,0))</f>
        <v/>
      </c>
      <c r="F2192" s="20" t="inlineStr">
        <is>
          <t>카페24</t>
        </is>
      </c>
      <c r="G2192" s="20" t="inlineStr">
        <is>
          <t>유즈 스테이포에버 솔리드퍼퓸 002 (스테이포에버 주문시 12/15 순차배송)쇼핑백=선물용 쇼핑백</t>
        </is>
      </c>
      <c r="H2192" s="20" t="n">
        <v>5</v>
      </c>
      <c r="I2192" s="20">
        <f>VLOOKUP(G2192,매칭테이블!D:E,2,0)</f>
        <v/>
      </c>
      <c r="J2192" s="20" t="n">
        <v>201210</v>
      </c>
      <c r="L2192" s="20">
        <f>VLOOKUP($O2192,매칭테이블!$G:$J,2,0)*H2192</f>
        <v/>
      </c>
      <c r="M2192" s="20">
        <f>L2192-L2192*VLOOKUP($O2192,매칭테이블!$G:$J,3,0)</f>
        <v/>
      </c>
      <c r="N2192" s="20">
        <f>VLOOKUP($O2192,매칭테이블!$G:$J,4,0)*H2192</f>
        <v/>
      </c>
      <c r="O2192" s="20">
        <f>F2192&amp;E2192&amp;G2192&amp;J2192</f>
        <v/>
      </c>
    </row>
    <row r="2193" ht="16.5" customHeight="1" s="17">
      <c r="B2193" s="16" t="n">
        <v>44175</v>
      </c>
      <c r="C2193" s="20">
        <f>TEXT(B2193,"aaa")</f>
        <v/>
      </c>
      <c r="E2193" s="20">
        <f>INDEX(매칭테이블!C:C,MATCH(RD!G2193,매칭테이블!D:D,0))</f>
        <v/>
      </c>
      <c r="F2193" s="20" t="inlineStr">
        <is>
          <t>카페24</t>
        </is>
      </c>
      <c r="G2193" s="20" t="inlineStr">
        <is>
          <t>유즈 이그나이트 솔리드퍼퓸 001제품선택=이그나이트 솔리드퍼퓸 - 30ml</t>
        </is>
      </c>
      <c r="H2193" s="20" t="n">
        <v>1</v>
      </c>
      <c r="I2193" s="20">
        <f>VLOOKUP(G2193,매칭테이블!D:E,2,0)</f>
        <v/>
      </c>
      <c r="J2193" s="20" t="n">
        <v>201210</v>
      </c>
      <c r="L2193" s="20">
        <f>VLOOKUP($O2193,매칭테이블!$G:$J,2,0)*H2193</f>
        <v/>
      </c>
      <c r="M2193" s="20">
        <f>L2193-L2193*VLOOKUP($O2193,매칭테이블!$G:$J,3,0)</f>
        <v/>
      </c>
      <c r="N2193" s="20">
        <f>VLOOKUP($O2193,매칭테이블!$G:$J,4,0)*H2193</f>
        <v/>
      </c>
      <c r="O2193" s="20">
        <f>F2193&amp;E2193&amp;G2193&amp;J2193</f>
        <v/>
      </c>
    </row>
    <row r="2194" ht="16.5" customHeight="1" s="17">
      <c r="B2194" s="16" t="n">
        <v>44175</v>
      </c>
      <c r="C2194" s="20">
        <f>TEXT(B2194,"aaa")</f>
        <v/>
      </c>
      <c r="E2194" s="20">
        <f>INDEX(매칭테이블!C:C,MATCH(RD!G2194,매칭테이블!D:D,0))</f>
        <v/>
      </c>
      <c r="F2194" s="20" t="inlineStr">
        <is>
          <t>카페24</t>
        </is>
      </c>
      <c r="G2194" s="20" t="inlineStr">
        <is>
          <t>유즈 이그나이트 솔리드퍼퓸 001제품선택=이그나이트 2개 세트</t>
        </is>
      </c>
      <c r="H2194" s="20" t="n">
        <v>1</v>
      </c>
      <c r="I2194" s="20">
        <f>VLOOKUP(G2194,매칭테이블!D:E,2,0)</f>
        <v/>
      </c>
      <c r="J2194" s="20" t="n">
        <v>201210</v>
      </c>
      <c r="L2194" s="20">
        <f>VLOOKUP($O2194,매칭테이블!$G:$J,2,0)*H2194</f>
        <v/>
      </c>
      <c r="M2194" s="20">
        <f>L2194-L2194*VLOOKUP($O2194,매칭테이블!$G:$J,3,0)</f>
        <v/>
      </c>
      <c r="N2194" s="20">
        <f>VLOOKUP($O2194,매칭테이블!$G:$J,4,0)*H2194</f>
        <v/>
      </c>
      <c r="O2194" s="20">
        <f>F2194&amp;E2194&amp;G2194&amp;J2194</f>
        <v/>
      </c>
    </row>
    <row r="2195" ht="16.5" customHeight="1" s="17">
      <c r="B2195" s="16" t="n">
        <v>44176</v>
      </c>
      <c r="C2195" s="20">
        <f>TEXT(B2195,"aaa")</f>
        <v/>
      </c>
      <c r="E2195" s="20">
        <f>INDEX(매칭테이블!C:C,MATCH(RD!G2195,매칭테이블!D:D,0))</f>
        <v/>
      </c>
      <c r="F2195" s="20" t="inlineStr">
        <is>
          <t>카페24</t>
        </is>
      </c>
      <c r="G2195" s="20" t="inlineStr">
        <is>
          <t>솔리드퍼퓸 스테이포에버 002 30ml</t>
        </is>
      </c>
      <c r="H2195" s="20" t="n">
        <v>1</v>
      </c>
      <c r="I2195" s="20">
        <f>VLOOKUP(G2195,매칭테이블!D:E,2,0)</f>
        <v/>
      </c>
      <c r="J2195" s="20" t="n">
        <v>201210</v>
      </c>
      <c r="L2195" s="20">
        <f>VLOOKUP($O2195,매칭테이블!$G:$J,2,0)*H2195</f>
        <v/>
      </c>
      <c r="M2195" s="20">
        <f>L2195-L2195*VLOOKUP($O2195,매칭테이블!$G:$J,3,0)</f>
        <v/>
      </c>
      <c r="N2195" s="20">
        <f>VLOOKUP($O2195,매칭테이블!$G:$J,4,0)*H2195</f>
        <v/>
      </c>
      <c r="O2195" s="20">
        <f>F2195&amp;E2195&amp;G2195&amp;J2195</f>
        <v/>
      </c>
    </row>
    <row r="2196" ht="16.5" customHeight="1" s="17">
      <c r="B2196" s="16" t="n">
        <v>44176</v>
      </c>
      <c r="C2196" s="20">
        <f>TEXT(B2196,"aaa")</f>
        <v/>
      </c>
      <c r="E2196" s="20">
        <f>INDEX(매칭테이블!C:C,MATCH(RD!G2196,매칭테이블!D:D,0))</f>
        <v/>
      </c>
      <c r="F2196" s="20" t="inlineStr">
        <is>
          <t>카페24</t>
        </is>
      </c>
      <c r="G2196" s="20" t="inlineStr">
        <is>
          <t>유즈 솔리드퍼퓸 - 30ml (스테이포에버 주문 시 12/15 순차배송)향=스테이포에버 002 SOLID PERFUME, 세트 선택=1</t>
        </is>
      </c>
      <c r="H2196" s="20" t="n">
        <v>1</v>
      </c>
      <c r="I2196" s="20">
        <f>VLOOKUP(G2196,매칭테이블!D:E,2,0)</f>
        <v/>
      </c>
      <c r="J2196" s="20" t="n">
        <v>201210</v>
      </c>
      <c r="L2196" s="20">
        <f>VLOOKUP($O2196,매칭테이블!$G:$J,2,0)*H2196</f>
        <v/>
      </c>
      <c r="M2196" s="20">
        <f>L2196-L2196*VLOOKUP($O2196,매칭테이블!$G:$J,3,0)</f>
        <v/>
      </c>
      <c r="N2196" s="20">
        <f>VLOOKUP($O2196,매칭테이블!$G:$J,4,0)*H2196</f>
        <v/>
      </c>
      <c r="O2196" s="20">
        <f>F2196&amp;E2196&amp;G2196&amp;J2196</f>
        <v/>
      </c>
    </row>
    <row r="2197" ht="16.5" customHeight="1" s="17">
      <c r="B2197" s="16" t="n">
        <v>44176</v>
      </c>
      <c r="C2197" s="20">
        <f>TEXT(B2197,"aaa")</f>
        <v/>
      </c>
      <c r="E2197" s="20">
        <f>INDEX(매칭테이블!C:C,MATCH(RD!G2197,매칭테이블!D:D,0))</f>
        <v/>
      </c>
      <c r="F2197" s="20" t="inlineStr">
        <is>
          <t>카페24</t>
        </is>
      </c>
      <c r="G2197" s="20" t="inlineStr">
        <is>
          <t>유즈 솔리드퍼퓸 - 30ml (스테이포에버 주문 시 12/15 순차배송)향=스테이포에버 002 SOLID PERFUME, 세트 선택=1 개(17% 할인)</t>
        </is>
      </c>
      <c r="H2197" s="20" t="n">
        <v>2</v>
      </c>
      <c r="I2197" s="20">
        <f>VLOOKUP(G2197,매칭테이블!D:E,2,0)</f>
        <v/>
      </c>
      <c r="J2197" s="20" t="n">
        <v>201210</v>
      </c>
      <c r="L2197" s="20">
        <f>VLOOKUP($O2197,매칭테이블!$G:$J,2,0)*H2197</f>
        <v/>
      </c>
      <c r="M2197" s="20">
        <f>L2197-L2197*VLOOKUP($O2197,매칭테이블!$G:$J,3,0)</f>
        <v/>
      </c>
      <c r="N2197" s="20">
        <f>VLOOKUP($O2197,매칭테이블!$G:$J,4,0)*H2197</f>
        <v/>
      </c>
      <c r="O2197" s="20">
        <f>F2197&amp;E2197&amp;G2197&amp;J2197</f>
        <v/>
      </c>
    </row>
    <row r="2198" ht="16.5" customHeight="1" s="17">
      <c r="B2198" s="16" t="n">
        <v>44176</v>
      </c>
      <c r="C2198" s="20">
        <f>TEXT(B2198,"aaa")</f>
        <v/>
      </c>
      <c r="E2198" s="20">
        <f>INDEX(매칭테이블!C:C,MATCH(RD!G2198,매칭테이블!D:D,0))</f>
        <v/>
      </c>
      <c r="F2198" s="20" t="inlineStr">
        <is>
          <t>카페24</t>
        </is>
      </c>
      <c r="G2198" s="20" t="inlineStr">
        <is>
          <t>유즈 솔리드퍼퓸 - 30ml (스테이포에버 주문 시 12/15 순차배송)향=스테이포에버, 세트 선택=1 개</t>
        </is>
      </c>
      <c r="H2198" s="20" t="n">
        <v>3</v>
      </c>
      <c r="I2198" s="20">
        <f>VLOOKUP(G2198,매칭테이블!D:E,2,0)</f>
        <v/>
      </c>
      <c r="J2198" s="20" t="n">
        <v>201210</v>
      </c>
      <c r="L2198" s="20">
        <f>VLOOKUP($O2198,매칭테이블!$G:$J,2,0)*H2198</f>
        <v/>
      </c>
      <c r="M2198" s="20">
        <f>L2198-L2198*VLOOKUP($O2198,매칭테이블!$G:$J,3,0)</f>
        <v/>
      </c>
      <c r="N2198" s="20">
        <f>VLOOKUP($O2198,매칭테이블!$G:$J,4,0)*H2198</f>
        <v/>
      </c>
      <c r="O2198" s="20">
        <f>F2198&amp;E2198&amp;G2198&amp;J2198</f>
        <v/>
      </c>
    </row>
    <row r="2199" ht="16.5" customHeight="1" s="17">
      <c r="B2199" s="16" t="n">
        <v>44176</v>
      </c>
      <c r="C2199" s="20">
        <f>TEXT(B2199,"aaa")</f>
        <v/>
      </c>
      <c r="E2199" s="20">
        <f>INDEX(매칭테이블!C:C,MATCH(RD!G2199,매칭테이블!D:D,0))</f>
        <v/>
      </c>
      <c r="F2199" s="20" t="inlineStr">
        <is>
          <t>카페24</t>
        </is>
      </c>
      <c r="G2199" s="20" t="inlineStr">
        <is>
          <t>유즈 솔리드퍼퓸 - 30ml (스테이포에버 주문 시 12/15 순차배송)향=스테이포에버 002 SOLID PERFUME, 세트 선택=best</t>
        </is>
      </c>
      <c r="H2199" s="20" t="n">
        <v>2</v>
      </c>
      <c r="I2199" s="20">
        <f>VLOOKUP(G2199,매칭테이블!D:E,2,0)</f>
        <v/>
      </c>
      <c r="J2199" s="20" t="n">
        <v>201210</v>
      </c>
      <c r="L2199" s="20">
        <f>VLOOKUP($O2199,매칭테이블!$G:$J,2,0)*H2199</f>
        <v/>
      </c>
      <c r="M2199" s="20">
        <f>L2199-L2199*VLOOKUP($O2199,매칭테이블!$G:$J,3,0)</f>
        <v/>
      </c>
      <c r="N2199" s="20">
        <f>VLOOKUP($O2199,매칭테이블!$G:$J,4,0)*H2199</f>
        <v/>
      </c>
      <c r="O2199" s="20">
        <f>F2199&amp;E2199&amp;G2199&amp;J2199</f>
        <v/>
      </c>
    </row>
    <row r="2200" ht="16.5" customHeight="1" s="17">
      <c r="B2200" s="16" t="n">
        <v>44176</v>
      </c>
      <c r="C2200" s="20">
        <f>TEXT(B2200,"aaa")</f>
        <v/>
      </c>
      <c r="E2200" s="20">
        <f>INDEX(매칭테이블!C:C,MATCH(RD!G2200,매칭테이블!D:D,0))</f>
        <v/>
      </c>
      <c r="F2200" s="20" t="inlineStr">
        <is>
          <t>카페24</t>
        </is>
      </c>
      <c r="G2200" s="20" t="inlineStr">
        <is>
          <t>유즈 솔리드퍼퓸 - 30ml (스테이포에버 주문 시 12/15 순차배송)향=스테이포에버 002 SOLID PERFUME, 세트 선택=best(28% 할인)2개</t>
        </is>
      </c>
      <c r="H2200" s="20" t="n">
        <v>1</v>
      </c>
      <c r="I2200" s="20">
        <f>VLOOKUP(G2200,매칭테이블!D:E,2,0)</f>
        <v/>
      </c>
      <c r="J2200" s="20" t="n">
        <v>201210</v>
      </c>
      <c r="L2200" s="20">
        <f>VLOOKUP($O2200,매칭테이블!$G:$J,2,0)*H2200</f>
        <v/>
      </c>
      <c r="M2200" s="20">
        <f>L2200-L2200*VLOOKUP($O2200,매칭테이블!$G:$J,3,0)</f>
        <v/>
      </c>
      <c r="N2200" s="20">
        <f>VLOOKUP($O2200,매칭테이블!$G:$J,4,0)*H2200</f>
        <v/>
      </c>
      <c r="O2200" s="20">
        <f>F2200&amp;E2200&amp;G2200&amp;J2200</f>
        <v/>
      </c>
    </row>
    <row r="2201" ht="16.5" customHeight="1" s="17">
      <c r="B2201" s="16" t="n">
        <v>44176</v>
      </c>
      <c r="C2201" s="20">
        <f>TEXT(B2201,"aaa")</f>
        <v/>
      </c>
      <c r="E2201" s="20">
        <f>INDEX(매칭테이블!C:C,MATCH(RD!G2201,매칭테이블!D:D,0))</f>
        <v/>
      </c>
      <c r="F2201" s="20" t="inlineStr">
        <is>
          <t>카페24</t>
        </is>
      </c>
      <c r="G2201" s="20" t="inlineStr">
        <is>
          <t>유즈 솔리드퍼퓸 - 30ml (스테이포에버 주문 시 12/15 순차배송)향=스테이포에버, 세트 선택=2개 (28% off)</t>
        </is>
      </c>
      <c r="H2201" s="20" t="n">
        <v>2</v>
      </c>
      <c r="I2201" s="20">
        <f>VLOOKUP(G2201,매칭테이블!D:E,2,0)</f>
        <v/>
      </c>
      <c r="J2201" s="20" t="n">
        <v>201210</v>
      </c>
      <c r="L2201" s="20">
        <f>VLOOKUP($O2201,매칭테이블!$G:$J,2,0)*H2201</f>
        <v/>
      </c>
      <c r="M2201" s="20">
        <f>L2201-L2201*VLOOKUP($O2201,매칭테이블!$G:$J,3,0)</f>
        <v/>
      </c>
      <c r="N2201" s="20">
        <f>VLOOKUP($O2201,매칭테이블!$G:$J,4,0)*H2201</f>
        <v/>
      </c>
      <c r="O2201" s="20">
        <f>F2201&amp;E2201&amp;G2201&amp;J2201</f>
        <v/>
      </c>
    </row>
    <row r="2202" ht="16.5" customHeight="1" s="17">
      <c r="B2202" s="16" t="n">
        <v>44176</v>
      </c>
      <c r="C2202" s="20">
        <f>TEXT(B2202,"aaa")</f>
        <v/>
      </c>
      <c r="E2202" s="20">
        <f>INDEX(매칭테이블!C:C,MATCH(RD!G2202,매칭테이블!D:D,0))</f>
        <v/>
      </c>
      <c r="F2202" s="20" t="inlineStr">
        <is>
          <t>카페24</t>
        </is>
      </c>
      <c r="G2202" s="20" t="inlineStr">
        <is>
          <t>유즈 솔리드퍼퓸 - 30ml (스테이포에버 주문 시 12/15 순차배송)향=이그나이트 + 스테이포에버, 세트 선택=1 SET</t>
        </is>
      </c>
      <c r="H2202" s="20" t="n">
        <v>1</v>
      </c>
      <c r="I2202" s="20">
        <f>VLOOKUP(G2202,매칭테이블!D:E,2,0)</f>
        <v/>
      </c>
      <c r="J2202" s="20" t="n">
        <v>201210</v>
      </c>
      <c r="L2202" s="20">
        <f>VLOOKUP($O2202,매칭테이블!$G:$J,2,0)*H2202</f>
        <v/>
      </c>
      <c r="M2202" s="20">
        <f>L2202-L2202*VLOOKUP($O2202,매칭테이블!$G:$J,3,0)</f>
        <v/>
      </c>
      <c r="N2202" s="20">
        <f>VLOOKUP($O2202,매칭테이블!$G:$J,4,0)*H2202</f>
        <v/>
      </c>
      <c r="O2202" s="20">
        <f>F2202&amp;E2202&amp;G2202&amp;J2202</f>
        <v/>
      </c>
    </row>
    <row r="2203" ht="16.5" customHeight="1" s="17">
      <c r="B2203" s="16" t="n">
        <v>44176</v>
      </c>
      <c r="C2203" s="20">
        <f>TEXT(B2203,"aaa")</f>
        <v/>
      </c>
      <c r="E2203" s="20">
        <f>INDEX(매칭테이블!C:C,MATCH(RD!G2203,매칭테이블!D:D,0))</f>
        <v/>
      </c>
      <c r="F2203" s="20" t="inlineStr">
        <is>
          <t>카페24</t>
        </is>
      </c>
      <c r="G2203" s="20" t="inlineStr">
        <is>
          <t>유즈 솔리드퍼퓸 - 30ml (스테이포에버 주문 시 12/15 순차배송)향=커플세트</t>
        </is>
      </c>
      <c r="H2203" s="20" t="n">
        <v>1</v>
      </c>
      <c r="I2203" s="20">
        <f>VLOOKUP(G2203,매칭테이블!D:E,2,0)</f>
        <v/>
      </c>
      <c r="J2203" s="20" t="n">
        <v>201210</v>
      </c>
      <c r="L2203" s="20">
        <f>VLOOKUP($O2203,매칭테이블!$G:$J,2,0)*H2203</f>
        <v/>
      </c>
      <c r="M2203" s="20">
        <f>L2203-L2203*VLOOKUP($O2203,매칭테이블!$G:$J,3,0)</f>
        <v/>
      </c>
      <c r="N2203" s="20">
        <f>VLOOKUP($O2203,매칭테이블!$G:$J,4,0)*H2203</f>
        <v/>
      </c>
      <c r="O2203" s="20">
        <f>F2203&amp;E2203&amp;G2203&amp;J2203</f>
        <v/>
      </c>
    </row>
    <row r="2204" ht="16.5" customHeight="1" s="17">
      <c r="B2204" s="16" t="n">
        <v>44176</v>
      </c>
      <c r="C2204" s="20">
        <f>TEXT(B2204,"aaa")</f>
        <v/>
      </c>
      <c r="E2204" s="20">
        <f>INDEX(매칭테이블!C:C,MATCH(RD!G2204,매칭테이블!D:D,0))</f>
        <v/>
      </c>
      <c r="F2204" s="20" t="inlineStr">
        <is>
          <t>카페24</t>
        </is>
      </c>
      <c r="G2204" s="20" t="inlineStr">
        <is>
          <t>유즈 솔리드퍼퓸 - 30ml (스테이포에버 주문 시 12/15 순차배송)향=커플세트(이그나이트 + 스테이포에버), 세트 선택=1 SET</t>
        </is>
      </c>
      <c r="H2204" s="20" t="n">
        <v>4</v>
      </c>
      <c r="I2204" s="20">
        <f>VLOOKUP(G2204,매칭테이블!D:E,2,0)</f>
        <v/>
      </c>
      <c r="J2204" s="20" t="n">
        <v>201210</v>
      </c>
      <c r="L2204" s="20">
        <f>VLOOKUP($O2204,매칭테이블!$G:$J,2,0)*H2204</f>
        <v/>
      </c>
      <c r="M2204" s="20">
        <f>L2204-L2204*VLOOKUP($O2204,매칭테이블!$G:$J,3,0)</f>
        <v/>
      </c>
      <c r="N2204" s="20">
        <f>VLOOKUP($O2204,매칭테이블!$G:$J,4,0)*H2204</f>
        <v/>
      </c>
      <c r="O2204" s="20">
        <f>F2204&amp;E2204&amp;G2204&amp;J2204</f>
        <v/>
      </c>
    </row>
    <row r="2205" ht="16.5" customHeight="1" s="17">
      <c r="B2205" s="16" t="n">
        <v>44176</v>
      </c>
      <c r="C2205" s="20">
        <f>TEXT(B2205,"aaa")</f>
        <v/>
      </c>
      <c r="E2205" s="20">
        <f>INDEX(매칭테이블!C:C,MATCH(RD!G2205,매칭테이블!D:D,0))</f>
        <v/>
      </c>
      <c r="F2205" s="20" t="inlineStr">
        <is>
          <t>카페24</t>
        </is>
      </c>
      <c r="G2205" s="20" t="inlineStr">
        <is>
          <t>유즈 솔리드퍼퓸 - 30ml (스테이포에버 주문 시 12/15 순차배송)향=이그나이트 + 스테이포에버, 세트 선택=2 SET (42% off)</t>
        </is>
      </c>
      <c r="H2205" s="20" t="n">
        <v>1</v>
      </c>
      <c r="I2205" s="20">
        <f>VLOOKUP(G2205,매칭테이블!D:E,2,0)</f>
        <v/>
      </c>
      <c r="J2205" s="20" t="n">
        <v>201210</v>
      </c>
      <c r="L2205" s="20">
        <f>VLOOKUP($O2205,매칭테이블!$G:$J,2,0)*H2205</f>
        <v/>
      </c>
      <c r="M2205" s="20">
        <f>L2205-L2205*VLOOKUP($O2205,매칭테이블!$G:$J,3,0)</f>
        <v/>
      </c>
      <c r="N2205" s="20">
        <f>VLOOKUP($O2205,매칭테이블!$G:$J,4,0)*H2205</f>
        <v/>
      </c>
      <c r="O2205" s="20">
        <f>F2205&amp;E2205&amp;G2205&amp;J2205</f>
        <v/>
      </c>
    </row>
    <row r="2206" ht="16.5" customHeight="1" s="17">
      <c r="B2206" s="16" t="n">
        <v>44176</v>
      </c>
      <c r="C2206" s="20">
        <f>TEXT(B2206,"aaa")</f>
        <v/>
      </c>
      <c r="E2206" s="20">
        <f>INDEX(매칭테이블!C:C,MATCH(RD!G2206,매칭테이블!D:D,0))</f>
        <v/>
      </c>
      <c r="F2206" s="20" t="inlineStr">
        <is>
          <t>카페24</t>
        </is>
      </c>
      <c r="G2206" s="20" t="inlineStr">
        <is>
          <t>유즈 솔리드퍼퓸 - 30ml (스테이포에버 주문 시 12/15 순차배송)향=커플세트</t>
        </is>
      </c>
      <c r="H2206" s="20" t="n">
        <v>1</v>
      </c>
      <c r="I2206" s="20">
        <f>VLOOKUP(G2206,매칭테이블!D:E,2,0)</f>
        <v/>
      </c>
      <c r="J2206" s="20" t="n">
        <v>201210</v>
      </c>
      <c r="L2206" s="20">
        <f>VLOOKUP($O2206,매칭테이블!$G:$J,2,0)*H2206</f>
        <v/>
      </c>
      <c r="M2206" s="20">
        <f>L2206-L2206*VLOOKUP($O2206,매칭테이블!$G:$J,3,0)</f>
        <v/>
      </c>
      <c r="N2206" s="20">
        <f>VLOOKUP($O2206,매칭테이블!$G:$J,4,0)*H2206</f>
        <v/>
      </c>
      <c r="O2206" s="20">
        <f>F2206&amp;E2206&amp;G2206&amp;J2206</f>
        <v/>
      </c>
    </row>
    <row r="2207" ht="16.5" customHeight="1" s="17">
      <c r="B2207" s="16" t="n">
        <v>44176</v>
      </c>
      <c r="C2207" s="20">
        <f>TEXT(B2207,"aaa")</f>
        <v/>
      </c>
      <c r="E2207" s="20">
        <f>INDEX(매칭테이블!C:C,MATCH(RD!G2207,매칭테이블!D:D,0))</f>
        <v/>
      </c>
      <c r="F2207" s="20" t="inlineStr">
        <is>
          <t>카페24</t>
        </is>
      </c>
      <c r="G2207" s="20" t="inlineStr">
        <is>
          <t>유즈 스테이포에버 솔리드퍼퓸 002 (12/4 부터 순차배송)제품선택=스테이포에버 솔리드퍼퓸 002[Pre-order 이벤트 17% 할인]</t>
        </is>
      </c>
      <c r="H2207" s="20" t="n">
        <v>1</v>
      </c>
      <c r="I2207" s="20">
        <f>VLOOKUP(G2207,매칭테이블!D:E,2,0)</f>
        <v/>
      </c>
      <c r="J2207" s="20" t="n">
        <v>201210</v>
      </c>
      <c r="L2207" s="20">
        <f>VLOOKUP($O2207,매칭테이블!$G:$J,2,0)*H2207</f>
        <v/>
      </c>
      <c r="M2207" s="20">
        <f>L2207-L2207*VLOOKUP($O2207,매칭테이블!$G:$J,3,0)</f>
        <v/>
      </c>
      <c r="N2207" s="20">
        <f>VLOOKUP($O2207,매칭테이블!$G:$J,4,0)*H2207</f>
        <v/>
      </c>
      <c r="O2207" s="20">
        <f>F2207&amp;E2207&amp;G2207&amp;J2207</f>
        <v/>
      </c>
    </row>
    <row r="2208" ht="16.5" customHeight="1" s="17">
      <c r="B2208" s="16" t="n">
        <v>44176</v>
      </c>
      <c r="C2208" s="20">
        <f>TEXT(B2208,"aaa")</f>
        <v/>
      </c>
      <c r="E2208" s="20">
        <f>INDEX(매칭테이블!C:C,MATCH(RD!G2208,매칭테이블!D:D,0))</f>
        <v/>
      </c>
      <c r="F2208" s="20" t="inlineStr">
        <is>
          <t>카페24</t>
        </is>
      </c>
      <c r="G2208" s="20" t="inlineStr">
        <is>
          <t>유즈 스테이포에버 솔리드퍼퓸 002 (스테이포에버 주문시 12/14 순차배송)제품선택=스테이포에버 솔리드퍼퓸 002[Pre-order 이벤트 17% 할인]</t>
        </is>
      </c>
      <c r="H2208" s="20" t="n">
        <v>2</v>
      </c>
      <c r="I2208" s="20">
        <f>VLOOKUP(G2208,매칭테이블!D:E,2,0)</f>
        <v/>
      </c>
      <c r="J2208" s="20" t="n">
        <v>201210</v>
      </c>
      <c r="L2208" s="20">
        <f>VLOOKUP($O2208,매칭테이블!$G:$J,2,0)*H2208</f>
        <v/>
      </c>
      <c r="M2208" s="20">
        <f>L2208-L2208*VLOOKUP($O2208,매칭테이블!$G:$J,3,0)</f>
        <v/>
      </c>
      <c r="N2208" s="20">
        <f>VLOOKUP($O2208,매칭테이블!$G:$J,4,0)*H2208</f>
        <v/>
      </c>
      <c r="O2208" s="20">
        <f>F2208&amp;E2208&amp;G2208&amp;J2208</f>
        <v/>
      </c>
    </row>
    <row r="2209" ht="16.5" customHeight="1" s="17">
      <c r="B2209" s="16" t="n">
        <v>44176</v>
      </c>
      <c r="C2209" s="20">
        <f>TEXT(B2209,"aaa")</f>
        <v/>
      </c>
      <c r="E2209" s="20">
        <f>INDEX(매칭테이블!C:C,MATCH(RD!G2209,매칭테이블!D:D,0))</f>
        <v/>
      </c>
      <c r="F2209" s="20" t="inlineStr">
        <is>
          <t>카페24</t>
        </is>
      </c>
      <c r="G2209" s="20" t="inlineStr">
        <is>
          <t>유즈 스테이포에버 솔리드퍼퓸 002 (스테이포에버 주문시 12/15 순차배송)제품선택=스테이포에버 1개</t>
        </is>
      </c>
      <c r="H2209" s="20" t="n">
        <v>28</v>
      </c>
      <c r="I2209" s="20">
        <f>VLOOKUP(G2209,매칭테이블!D:E,2,0)</f>
        <v/>
      </c>
      <c r="J2209" s="20" t="n">
        <v>201210</v>
      </c>
      <c r="L2209" s="20">
        <f>VLOOKUP($O2209,매칭테이블!$G:$J,2,0)*H2209</f>
        <v/>
      </c>
      <c r="M2209" s="20">
        <f>L2209-L2209*VLOOKUP($O2209,매칭테이블!$G:$J,3,0)</f>
        <v/>
      </c>
      <c r="N2209" s="20">
        <f>VLOOKUP($O2209,매칭테이블!$G:$J,4,0)*H2209</f>
        <v/>
      </c>
      <c r="O2209" s="20">
        <f>F2209&amp;E2209&amp;G2209&amp;J2209</f>
        <v/>
      </c>
    </row>
    <row r="2210" ht="16.5" customHeight="1" s="17">
      <c r="B2210" s="16" t="n">
        <v>44176</v>
      </c>
      <c r="C2210" s="20">
        <f>TEXT(B2210,"aaa")</f>
        <v/>
      </c>
      <c r="E2210" s="20">
        <f>INDEX(매칭테이블!C:C,MATCH(RD!G2210,매칭테이블!D:D,0))</f>
        <v/>
      </c>
      <c r="F2210" s="20" t="inlineStr">
        <is>
          <t>카페24</t>
        </is>
      </c>
      <c r="G2210" s="20" t="inlineStr">
        <is>
          <t>유즈 스테이포에버 솔리드퍼퓸 002 (스테이포에버 주문시 12/15 순차배송)제품선택=스테이포에버 1개 [17% 할인]</t>
        </is>
      </c>
      <c r="H2210" s="20" t="n">
        <v>35</v>
      </c>
      <c r="I2210" s="20">
        <f>VLOOKUP(G2210,매칭테이블!D:E,2,0)</f>
        <v/>
      </c>
      <c r="J2210" s="20" t="n">
        <v>201210</v>
      </c>
      <c r="L2210" s="20">
        <f>VLOOKUP($O2210,매칭테이블!$G:$J,2,0)*H2210</f>
        <v/>
      </c>
      <c r="M2210" s="20">
        <f>L2210-L2210*VLOOKUP($O2210,매칭테이블!$G:$J,3,0)</f>
        <v/>
      </c>
      <c r="N2210" s="20">
        <f>VLOOKUP($O2210,매칭테이블!$G:$J,4,0)*H2210</f>
        <v/>
      </c>
      <c r="O2210" s="20">
        <f>F2210&amp;E2210&amp;G2210&amp;J2210</f>
        <v/>
      </c>
    </row>
    <row r="2211" ht="16.5" customHeight="1" s="17">
      <c r="B2211" s="16" t="n">
        <v>44176</v>
      </c>
      <c r="C2211" s="20">
        <f>TEXT(B2211,"aaa")</f>
        <v/>
      </c>
      <c r="E2211" s="20">
        <f>INDEX(매칭테이블!C:C,MATCH(RD!G2211,매칭테이블!D:D,0))</f>
        <v/>
      </c>
      <c r="F2211" s="20" t="inlineStr">
        <is>
          <t>카페24</t>
        </is>
      </c>
      <c r="G2211" s="20" t="inlineStr">
        <is>
          <t>유즈 스테이포에버 솔리드퍼퓸 002 (스테이포에버 주문시 12/15 순차배송)제품선택=스테이포에버 [17% 할인]</t>
        </is>
      </c>
      <c r="H2211" s="20" t="n">
        <v>36</v>
      </c>
      <c r="I2211" s="20">
        <f>VLOOKUP(G2211,매칭테이블!D:E,2,0)</f>
        <v/>
      </c>
      <c r="J2211" s="20" t="n">
        <v>201210</v>
      </c>
      <c r="L2211" s="20">
        <f>VLOOKUP($O2211,매칭테이블!$G:$J,2,0)*H2211</f>
        <v/>
      </c>
      <c r="M2211" s="20">
        <f>L2211-L2211*VLOOKUP($O2211,매칭테이블!$G:$J,3,0)</f>
        <v/>
      </c>
      <c r="N2211" s="20">
        <f>VLOOKUP($O2211,매칭테이블!$G:$J,4,0)*H2211</f>
        <v/>
      </c>
      <c r="O2211" s="20">
        <f>F2211&amp;E2211&amp;G2211&amp;J2211</f>
        <v/>
      </c>
    </row>
    <row r="2212" ht="16.5" customHeight="1" s="17">
      <c r="B2212" s="16" t="n">
        <v>44176</v>
      </c>
      <c r="C2212" s="20">
        <f>TEXT(B2212,"aaa")</f>
        <v/>
      </c>
      <c r="E2212" s="20">
        <f>INDEX(매칭테이블!C:C,MATCH(RD!G2212,매칭테이블!D:D,0))</f>
        <v/>
      </c>
      <c r="F2212" s="20" t="inlineStr">
        <is>
          <t>카페24</t>
        </is>
      </c>
      <c r="G2212" s="20" t="inlineStr">
        <is>
          <t>유즈 스테이포에버 솔리드퍼퓸 002 (스테이포에버 주문시 12/15 순차배송)제품선택=스테이포에버 솔리드퍼퓸 002[Pre-order 이벤트 17% 할인]</t>
        </is>
      </c>
      <c r="H2212" s="20" t="n">
        <v>56</v>
      </c>
      <c r="I2212" s="20">
        <f>VLOOKUP(G2212,매칭테이블!D:E,2,0)</f>
        <v/>
      </c>
      <c r="J2212" s="20" t="n">
        <v>201210</v>
      </c>
      <c r="L2212" s="20">
        <f>VLOOKUP($O2212,매칭테이블!$G:$J,2,0)*H2212</f>
        <v/>
      </c>
      <c r="M2212" s="20">
        <f>L2212-L2212*VLOOKUP($O2212,매칭테이블!$G:$J,3,0)</f>
        <v/>
      </c>
      <c r="N2212" s="20">
        <f>VLOOKUP($O2212,매칭테이블!$G:$J,4,0)*H2212</f>
        <v/>
      </c>
      <c r="O2212" s="20">
        <f>F2212&amp;E2212&amp;G2212&amp;J2212</f>
        <v/>
      </c>
    </row>
    <row r="2213" ht="16.5" customHeight="1" s="17">
      <c r="B2213" s="16" t="n">
        <v>44176</v>
      </c>
      <c r="C2213" s="20">
        <f>TEXT(B2213,"aaa")</f>
        <v/>
      </c>
      <c r="E2213" s="20">
        <f>INDEX(매칭테이블!C:C,MATCH(RD!G2213,매칭테이블!D:D,0))</f>
        <v/>
      </c>
      <c r="F2213" s="20" t="inlineStr">
        <is>
          <t>카페24</t>
        </is>
      </c>
      <c r="G2213" s="20" t="inlineStr">
        <is>
          <t>유즈 스테이포에버 솔리드퍼퓸 002 (스테이포에버 주문시 12/15 순차배송)제품선택=best</t>
        </is>
      </c>
      <c r="H2213" s="20" t="n">
        <v>17</v>
      </c>
      <c r="I2213" s="20">
        <f>VLOOKUP(G2213,매칭테이블!D:E,2,0)</f>
        <v/>
      </c>
      <c r="J2213" s="20" t="n">
        <v>201210</v>
      </c>
      <c r="L2213" s="20">
        <f>VLOOKUP($O2213,매칭테이블!$G:$J,2,0)*H2213</f>
        <v/>
      </c>
      <c r="M2213" s="20">
        <f>L2213-L2213*VLOOKUP($O2213,매칭테이블!$G:$J,3,0)</f>
        <v/>
      </c>
      <c r="N2213" s="20">
        <f>VLOOKUP($O2213,매칭테이블!$G:$J,4,0)*H2213</f>
        <v/>
      </c>
      <c r="O2213" s="20">
        <f>F2213&amp;E2213&amp;G2213&amp;J2213</f>
        <v/>
      </c>
    </row>
    <row r="2214" ht="16.5" customHeight="1" s="17">
      <c r="B2214" s="16" t="n">
        <v>44176</v>
      </c>
      <c r="C2214" s="20">
        <f>TEXT(B2214,"aaa")</f>
        <v/>
      </c>
      <c r="E2214" s="20">
        <f>INDEX(매칭테이블!C:C,MATCH(RD!G2214,매칭테이블!D:D,0))</f>
        <v/>
      </c>
      <c r="F2214" s="20" t="inlineStr">
        <is>
          <t>카페24</t>
        </is>
      </c>
      <c r="G2214" s="20" t="inlineStr">
        <is>
          <t>유즈 스테이포에버 솔리드퍼퓸 002 (스테이포에버 주문시 12/15 순차배송)제품선택=best스테이포에버 2개[28% 할인]</t>
        </is>
      </c>
      <c r="H2214" s="20" t="n">
        <v>30</v>
      </c>
      <c r="I2214" s="20">
        <f>VLOOKUP(G2214,매칭테이블!D:E,2,0)</f>
        <v/>
      </c>
      <c r="J2214" s="20" t="n">
        <v>201210</v>
      </c>
      <c r="L2214" s="20">
        <f>VLOOKUP($O2214,매칭테이블!$G:$J,2,0)*H2214</f>
        <v/>
      </c>
      <c r="M2214" s="20">
        <f>L2214-L2214*VLOOKUP($O2214,매칭테이블!$G:$J,3,0)</f>
        <v/>
      </c>
      <c r="N2214" s="20">
        <f>VLOOKUP($O2214,매칭테이블!$G:$J,4,0)*H2214</f>
        <v/>
      </c>
      <c r="O2214" s="20">
        <f>F2214&amp;E2214&amp;G2214&amp;J2214</f>
        <v/>
      </c>
    </row>
    <row r="2215" ht="16.5" customHeight="1" s="17">
      <c r="B2215" s="16" t="n">
        <v>44176</v>
      </c>
      <c r="C2215" s="20">
        <f>TEXT(B2215,"aaa")</f>
        <v/>
      </c>
      <c r="E2215" s="20">
        <f>INDEX(매칭테이블!C:C,MATCH(RD!G2215,매칭테이블!D:D,0))</f>
        <v/>
      </c>
      <c r="F2215" s="20" t="inlineStr">
        <is>
          <t>카페24</t>
        </is>
      </c>
      <c r="G2215" s="20" t="inlineStr">
        <is>
          <t>유즈 스테이포에버 솔리드퍼퓸 002 (스테이포에버 주문시 12/15 순차배송)제품선택=스테이포에버 2개 세트[Pre-order 이벤트 28% 할인]</t>
        </is>
      </c>
      <c r="H2215" s="20" t="n">
        <v>22</v>
      </c>
      <c r="I2215" s="20">
        <f>VLOOKUP(G2215,매칭테이블!D:E,2,0)</f>
        <v/>
      </c>
      <c r="J2215" s="20" t="n">
        <v>201210</v>
      </c>
      <c r="L2215" s="20">
        <f>VLOOKUP($O2215,매칭테이블!$G:$J,2,0)*H2215</f>
        <v/>
      </c>
      <c r="M2215" s="20">
        <f>L2215-L2215*VLOOKUP($O2215,매칭테이블!$G:$J,3,0)</f>
        <v/>
      </c>
      <c r="N2215" s="20">
        <f>VLOOKUP($O2215,매칭테이블!$G:$J,4,0)*H2215</f>
        <v/>
      </c>
      <c r="O2215" s="20">
        <f>F2215&amp;E2215&amp;G2215&amp;J2215</f>
        <v/>
      </c>
    </row>
    <row r="2216" ht="16.5" customHeight="1" s="17">
      <c r="B2216" s="16" t="n">
        <v>44176</v>
      </c>
      <c r="C2216" s="20">
        <f>TEXT(B2216,"aaa")</f>
        <v/>
      </c>
      <c r="E2216" s="20">
        <f>INDEX(매칭테이블!C:C,MATCH(RD!G2216,매칭테이블!D:D,0))</f>
        <v/>
      </c>
      <c r="F2216" s="20" t="inlineStr">
        <is>
          <t>카페24</t>
        </is>
      </c>
      <c r="G2216" s="20" t="inlineStr">
        <is>
          <t>유즈 스테이포에버 솔리드퍼퓸 002 (스테이포에버 주문시 12/15 순차배송)제품선택=스테이포에버 + 이그나이트 세트</t>
        </is>
      </c>
      <c r="H2216" s="20" t="n">
        <v>2</v>
      </c>
      <c r="I2216" s="20">
        <f>VLOOKUP(G2216,매칭테이블!D:E,2,0)</f>
        <v/>
      </c>
      <c r="J2216" s="20" t="n">
        <v>201210</v>
      </c>
      <c r="L2216" s="20">
        <f>VLOOKUP($O2216,매칭테이블!$G:$J,2,0)*H2216</f>
        <v/>
      </c>
      <c r="M2216" s="20">
        <f>L2216-L2216*VLOOKUP($O2216,매칭테이블!$G:$J,3,0)</f>
        <v/>
      </c>
      <c r="N2216" s="20">
        <f>VLOOKUP($O2216,매칭테이블!$G:$J,4,0)*H2216</f>
        <v/>
      </c>
      <c r="O2216" s="20">
        <f>F2216&amp;E2216&amp;G2216&amp;J2216</f>
        <v/>
      </c>
    </row>
    <row r="2217" ht="16.5" customHeight="1" s="17">
      <c r="B2217" s="16" t="n">
        <v>44176</v>
      </c>
      <c r="C2217" s="20">
        <f>TEXT(B2217,"aaa")</f>
        <v/>
      </c>
      <c r="E2217" s="20">
        <f>INDEX(매칭테이블!C:C,MATCH(RD!G2217,매칭테이블!D:D,0))</f>
        <v/>
      </c>
      <c r="F2217" s="20" t="inlineStr">
        <is>
          <t>카페24</t>
        </is>
      </c>
      <c r="G2217" s="20" t="inlineStr">
        <is>
          <t>유즈 스테이포에버 솔리드퍼퓸 002 (스테이포에버 주문시 12/15 순차배송)제품선택=커플추천</t>
        </is>
      </c>
      <c r="H2217" s="20" t="n">
        <v>3</v>
      </c>
      <c r="I2217" s="20">
        <f>VLOOKUP(G2217,매칭테이블!D:E,2,0)</f>
        <v/>
      </c>
      <c r="J2217" s="20" t="n">
        <v>201210</v>
      </c>
      <c r="L2217" s="20">
        <f>VLOOKUP($O2217,매칭테이블!$G:$J,2,0)*H2217</f>
        <v/>
      </c>
      <c r="M2217" s="20">
        <f>L2217-L2217*VLOOKUP($O2217,매칭테이블!$G:$J,3,0)</f>
        <v/>
      </c>
      <c r="N2217" s="20">
        <f>VLOOKUP($O2217,매칭테이블!$G:$J,4,0)*H2217</f>
        <v/>
      </c>
      <c r="O2217" s="20">
        <f>F2217&amp;E2217&amp;G2217&amp;J2217</f>
        <v/>
      </c>
    </row>
    <row r="2218" ht="16.5" customHeight="1" s="17">
      <c r="B2218" s="16" t="n">
        <v>44176</v>
      </c>
      <c r="C2218" s="20">
        <f>TEXT(B2218,"aaa")</f>
        <v/>
      </c>
      <c r="E2218" s="20">
        <f>INDEX(매칭테이블!C:C,MATCH(RD!G2218,매칭테이블!D:D,0))</f>
        <v/>
      </c>
      <c r="F2218" s="20" t="inlineStr">
        <is>
          <t>카페24</t>
        </is>
      </c>
      <c r="G2218" s="20" t="inlineStr">
        <is>
          <t>유즈 스테이포에버 솔리드퍼퓸 002 (스테이포에버 주문시 12/15 순차배송)쇼핑백=선물용 쇼핑백</t>
        </is>
      </c>
      <c r="H2218" s="20" t="n">
        <v>6</v>
      </c>
      <c r="I2218" s="20">
        <f>VLOOKUP(G2218,매칭테이블!D:E,2,0)</f>
        <v/>
      </c>
      <c r="J2218" s="20" t="n">
        <v>201210</v>
      </c>
      <c r="L2218" s="20">
        <f>VLOOKUP($O2218,매칭테이블!$G:$J,2,0)*H2218</f>
        <v/>
      </c>
      <c r="M2218" s="20">
        <f>L2218-L2218*VLOOKUP($O2218,매칭테이블!$G:$J,3,0)</f>
        <v/>
      </c>
      <c r="N2218" s="20">
        <f>VLOOKUP($O2218,매칭테이블!$G:$J,4,0)*H2218</f>
        <v/>
      </c>
      <c r="O2218" s="20">
        <f>F2218&amp;E2218&amp;G2218&amp;J2218</f>
        <v/>
      </c>
    </row>
    <row r="2219" ht="16.5" customHeight="1" s="17">
      <c r="B2219" s="16" t="n">
        <v>44176</v>
      </c>
      <c r="C2219" s="20">
        <f>TEXT(B2219,"aaa")</f>
        <v/>
      </c>
      <c r="E2219" s="20">
        <f>INDEX(매칭테이블!C:C,MATCH(RD!G2219,매칭테이블!D:D,0))</f>
        <v/>
      </c>
      <c r="F2219" s="20" t="inlineStr">
        <is>
          <t>카페24</t>
        </is>
      </c>
      <c r="G2219" s="20" t="inlineStr">
        <is>
          <t>유즈 이그나이트 솔리드퍼퓸 001제품선택=이그나이트 솔리드퍼퓸 - 30ml</t>
        </is>
      </c>
      <c r="H2219" s="20" t="n">
        <v>3</v>
      </c>
      <c r="I2219" s="20">
        <f>VLOOKUP(G2219,매칭테이블!D:E,2,0)</f>
        <v/>
      </c>
      <c r="J2219" s="20" t="n">
        <v>201210</v>
      </c>
      <c r="L2219" s="20">
        <f>VLOOKUP($O2219,매칭테이블!$G:$J,2,0)*H2219</f>
        <v/>
      </c>
      <c r="M2219" s="20">
        <f>L2219-L2219*VLOOKUP($O2219,매칭테이블!$G:$J,3,0)</f>
        <v/>
      </c>
      <c r="N2219" s="20">
        <f>VLOOKUP($O2219,매칭테이블!$G:$J,4,0)*H2219</f>
        <v/>
      </c>
      <c r="O2219" s="20">
        <f>F2219&amp;E2219&amp;G2219&amp;J2219</f>
        <v/>
      </c>
    </row>
    <row r="2220" ht="16.5" customHeight="1" s="17">
      <c r="B2220" s="16" t="n">
        <v>44176</v>
      </c>
      <c r="C2220" s="20">
        <f>TEXT(B2220,"aaa")</f>
        <v/>
      </c>
      <c r="E2220" s="20">
        <f>INDEX(매칭테이블!C:C,MATCH(RD!G2220,매칭테이블!D:D,0))</f>
        <v/>
      </c>
      <c r="F2220" s="20" t="inlineStr">
        <is>
          <t>카페24</t>
        </is>
      </c>
      <c r="G2220" s="20" t="inlineStr">
        <is>
          <t>유즈 이그나이트 솔리드퍼퓸 001제품선택=이그나이트 2개 세트</t>
        </is>
      </c>
      <c r="H2220" s="20" t="n">
        <v>2</v>
      </c>
      <c r="I2220" s="20">
        <f>VLOOKUP(G2220,매칭테이블!D:E,2,0)</f>
        <v/>
      </c>
      <c r="J2220" s="20" t="n">
        <v>201210</v>
      </c>
      <c r="L2220" s="20">
        <f>VLOOKUP($O2220,매칭테이블!$G:$J,2,0)*H2220</f>
        <v/>
      </c>
      <c r="M2220" s="20">
        <f>L2220-L2220*VLOOKUP($O2220,매칭테이블!$G:$J,3,0)</f>
        <v/>
      </c>
      <c r="N2220" s="20">
        <f>VLOOKUP($O2220,매칭테이블!$G:$J,4,0)*H2220</f>
        <v/>
      </c>
      <c r="O2220" s="20">
        <f>F2220&amp;E2220&amp;G2220&amp;J2220</f>
        <v/>
      </c>
    </row>
    <row r="2221" ht="16.5" customHeight="1" s="17">
      <c r="B2221" s="16" t="n">
        <v>44177</v>
      </c>
      <c r="C2221" s="20">
        <f>TEXT(B2221,"aaa")</f>
        <v/>
      </c>
      <c r="E2221" s="20">
        <f>INDEX(매칭테이블!C:C,MATCH(RD!G2221,매칭테이블!D:D,0))</f>
        <v/>
      </c>
      <c r="F2221" s="20" t="inlineStr">
        <is>
          <t>카페24</t>
        </is>
      </c>
      <c r="G2221" s="20" t="inlineStr">
        <is>
          <t>유즈 솔리드퍼퓸 - 30ml (스테이포에버 주문 시 12/15 순차배송)향=이그나이트 001 SOLID PERFUME, 세트 선택=1</t>
        </is>
      </c>
      <c r="H2221" s="20" t="n">
        <v>1</v>
      </c>
      <c r="I2221" s="20">
        <f>VLOOKUP(G2221,매칭테이블!D:E,2,0)</f>
        <v/>
      </c>
      <c r="J2221" s="20" t="n">
        <v>201210</v>
      </c>
      <c r="L2221" s="20">
        <f>VLOOKUP($O2221,매칭테이블!$G:$J,2,0)*H2221</f>
        <v/>
      </c>
      <c r="M2221" s="20">
        <f>L2221-L2221*VLOOKUP($O2221,매칭테이블!$G:$J,3,0)</f>
        <v/>
      </c>
      <c r="N2221" s="20">
        <f>VLOOKUP($O2221,매칭테이블!$G:$J,4,0)*H2221</f>
        <v/>
      </c>
      <c r="O2221" s="20">
        <f>F2221&amp;E2221&amp;G2221&amp;J2221</f>
        <v/>
      </c>
    </row>
    <row r="2222" ht="16.5" customHeight="1" s="17">
      <c r="B2222" s="16" t="n">
        <v>44177</v>
      </c>
      <c r="C2222" s="20">
        <f>TEXT(B2222,"aaa")</f>
        <v/>
      </c>
      <c r="E2222" s="20">
        <f>INDEX(매칭테이블!C:C,MATCH(RD!G2222,매칭테이블!D:D,0))</f>
        <v/>
      </c>
      <c r="F2222" s="20" t="inlineStr">
        <is>
          <t>카페24</t>
        </is>
      </c>
      <c r="G2222" s="20" t="inlineStr">
        <is>
          <t>유즈 솔리드퍼퓸 - 30ml (스테이포에버 주문 시 12/15 순차배송)향=스테이포에버 002 SOLID PERFUME, 세트 선택=1</t>
        </is>
      </c>
      <c r="H2222" s="20" t="n">
        <v>14</v>
      </c>
      <c r="I2222" s="20">
        <f>VLOOKUP(G2222,매칭테이블!D:E,2,0)</f>
        <v/>
      </c>
      <c r="J2222" s="20" t="n">
        <v>201210</v>
      </c>
      <c r="L2222" s="20">
        <f>VLOOKUP($O2222,매칭테이블!$G:$J,2,0)*H2222</f>
        <v/>
      </c>
      <c r="M2222" s="20">
        <f>L2222-L2222*VLOOKUP($O2222,매칭테이블!$G:$J,3,0)</f>
        <v/>
      </c>
      <c r="N2222" s="20">
        <f>VLOOKUP($O2222,매칭테이블!$G:$J,4,0)*H2222</f>
        <v/>
      </c>
      <c r="O2222" s="20">
        <f>F2222&amp;E2222&amp;G2222&amp;J2222</f>
        <v/>
      </c>
    </row>
    <row r="2223" ht="16.5" customHeight="1" s="17">
      <c r="B2223" s="16" t="n">
        <v>44177</v>
      </c>
      <c r="C2223" s="20">
        <f>TEXT(B2223,"aaa")</f>
        <v/>
      </c>
      <c r="E2223" s="20">
        <f>INDEX(매칭테이블!C:C,MATCH(RD!G2223,매칭테이블!D:D,0))</f>
        <v/>
      </c>
      <c r="F2223" s="20" t="inlineStr">
        <is>
          <t>카페24</t>
        </is>
      </c>
      <c r="G2223" s="20" t="inlineStr">
        <is>
          <t>유즈 솔리드퍼퓸 - 30ml (스테이포에버 주문 시 12/15 순차배송)향=스테이포에버 002 SOLID PERFUME, 세트 선택=best</t>
        </is>
      </c>
      <c r="H2223" s="20" t="n">
        <v>5</v>
      </c>
      <c r="I2223" s="20">
        <f>VLOOKUP(G2223,매칭테이블!D:E,2,0)</f>
        <v/>
      </c>
      <c r="J2223" s="20" t="n">
        <v>201210</v>
      </c>
      <c r="L2223" s="20">
        <f>VLOOKUP($O2223,매칭테이블!$G:$J,2,0)*H2223</f>
        <v/>
      </c>
      <c r="M2223" s="20">
        <f>L2223-L2223*VLOOKUP($O2223,매칭테이블!$G:$J,3,0)</f>
        <v/>
      </c>
      <c r="N2223" s="20">
        <f>VLOOKUP($O2223,매칭테이블!$G:$J,4,0)*H2223</f>
        <v/>
      </c>
      <c r="O2223" s="20">
        <f>F2223&amp;E2223&amp;G2223&amp;J2223</f>
        <v/>
      </c>
    </row>
    <row r="2224" ht="16.5" customHeight="1" s="17">
      <c r="B2224" s="16" t="n">
        <v>44177</v>
      </c>
      <c r="C2224" s="20">
        <f>TEXT(B2224,"aaa")</f>
        <v/>
      </c>
      <c r="E2224" s="20">
        <f>INDEX(매칭테이블!C:C,MATCH(RD!G2224,매칭테이블!D:D,0))</f>
        <v/>
      </c>
      <c r="F2224" s="20" t="inlineStr">
        <is>
          <t>카페24</t>
        </is>
      </c>
      <c r="G2224" s="20" t="inlineStr">
        <is>
          <t>유즈 솔리드퍼퓸 - 30ml (스테이포에버 주문 시 12/15 순차배송)향=스테이포에버 002 SOLID PERFUME, 세트 선택=best(28% 할인)2개</t>
        </is>
      </c>
      <c r="H2224" s="20" t="n">
        <v>5</v>
      </c>
      <c r="I2224" s="20">
        <f>VLOOKUP(G2224,매칭테이블!D:E,2,0)</f>
        <v/>
      </c>
      <c r="J2224" s="20" t="n">
        <v>201210</v>
      </c>
      <c r="L2224" s="20">
        <f>VLOOKUP($O2224,매칭테이블!$G:$J,2,0)*H2224</f>
        <v/>
      </c>
      <c r="M2224" s="20">
        <f>L2224-L2224*VLOOKUP($O2224,매칭테이블!$G:$J,3,0)</f>
        <v/>
      </c>
      <c r="N2224" s="20">
        <f>VLOOKUP($O2224,매칭테이블!$G:$J,4,0)*H2224</f>
        <v/>
      </c>
      <c r="O2224" s="20">
        <f>F2224&amp;E2224&amp;G2224&amp;J2224</f>
        <v/>
      </c>
    </row>
    <row r="2225" ht="16.5" customHeight="1" s="17">
      <c r="B2225" s="16" t="n">
        <v>44177</v>
      </c>
      <c r="C2225" s="20">
        <f>TEXT(B2225,"aaa")</f>
        <v/>
      </c>
      <c r="E2225" s="20">
        <f>INDEX(매칭테이블!C:C,MATCH(RD!G2225,매칭테이블!D:D,0))</f>
        <v/>
      </c>
      <c r="F2225" s="20" t="inlineStr">
        <is>
          <t>카페24</t>
        </is>
      </c>
      <c r="G2225" s="20" t="inlineStr">
        <is>
          <t>유즈 솔리드퍼퓸 - 30ml (스테이포에버 주문 시 12/15 순차배송)향=커플세트</t>
        </is>
      </c>
      <c r="H2225" s="20" t="n">
        <v>6</v>
      </c>
      <c r="I2225" s="20">
        <f>VLOOKUP(G2225,매칭테이블!D:E,2,0)</f>
        <v/>
      </c>
      <c r="J2225" s="20" t="n">
        <v>201210</v>
      </c>
      <c r="L2225" s="20">
        <f>VLOOKUP($O2225,매칭테이블!$G:$J,2,0)*H2225</f>
        <v/>
      </c>
      <c r="M2225" s="20">
        <f>L2225-L2225*VLOOKUP($O2225,매칭테이블!$G:$J,3,0)</f>
        <v/>
      </c>
      <c r="N2225" s="20">
        <f>VLOOKUP($O2225,매칭테이블!$G:$J,4,0)*H2225</f>
        <v/>
      </c>
      <c r="O2225" s="20">
        <f>F2225&amp;E2225&amp;G2225&amp;J2225</f>
        <v/>
      </c>
    </row>
    <row r="2226" ht="16.5" customHeight="1" s="17">
      <c r="B2226" s="16" t="n">
        <v>44177</v>
      </c>
      <c r="C2226" s="20">
        <f>TEXT(B2226,"aaa")</f>
        <v/>
      </c>
      <c r="E2226" s="20">
        <f>INDEX(매칭테이블!C:C,MATCH(RD!G2226,매칭테이블!D:D,0))</f>
        <v/>
      </c>
      <c r="F2226" s="20" t="inlineStr">
        <is>
          <t>카페24</t>
        </is>
      </c>
      <c r="G2226" s="20" t="inlineStr">
        <is>
          <t>유즈 솔리드퍼퓸 - 30ml (스테이포에버 주문 시 12/15 순차배송)향=커플세트(이그나이트 + 스테이포에버), 세트 선택=1 SET</t>
        </is>
      </c>
      <c r="H2226" s="20" t="n">
        <v>5</v>
      </c>
      <c r="I2226" s="20">
        <f>VLOOKUP(G2226,매칭테이블!D:E,2,0)</f>
        <v/>
      </c>
      <c r="J2226" s="20" t="n">
        <v>201210</v>
      </c>
      <c r="L2226" s="20">
        <f>VLOOKUP($O2226,매칭테이블!$G:$J,2,0)*H2226</f>
        <v/>
      </c>
      <c r="M2226" s="20">
        <f>L2226-L2226*VLOOKUP($O2226,매칭테이블!$G:$J,3,0)</f>
        <v/>
      </c>
      <c r="N2226" s="20">
        <f>VLOOKUP($O2226,매칭테이블!$G:$J,4,0)*H2226</f>
        <v/>
      </c>
      <c r="O2226" s="20">
        <f>F2226&amp;E2226&amp;G2226&amp;J2226</f>
        <v/>
      </c>
    </row>
    <row r="2227" ht="16.5" customHeight="1" s="17">
      <c r="B2227" s="16" t="n">
        <v>44177</v>
      </c>
      <c r="C2227" s="20">
        <f>TEXT(B2227,"aaa")</f>
        <v/>
      </c>
      <c r="E2227" s="20">
        <f>INDEX(매칭테이블!C:C,MATCH(RD!G2227,매칭테이블!D:D,0))</f>
        <v/>
      </c>
      <c r="F2227" s="20" t="inlineStr">
        <is>
          <t>카페24</t>
        </is>
      </c>
      <c r="G2227" s="20" t="inlineStr">
        <is>
          <t>유즈 솔리드퍼퓸 - 30ml (스테이포에버 주문 시 12/15 순차배송)향=커플세트</t>
        </is>
      </c>
      <c r="H2227" s="20" t="n">
        <v>1</v>
      </c>
      <c r="I2227" s="20">
        <f>VLOOKUP(G2227,매칭테이블!D:E,2,0)</f>
        <v/>
      </c>
      <c r="J2227" s="20" t="n">
        <v>201210</v>
      </c>
      <c r="L2227" s="20">
        <f>VLOOKUP($O2227,매칭테이블!$G:$J,2,0)*H2227</f>
        <v/>
      </c>
      <c r="M2227" s="20">
        <f>L2227-L2227*VLOOKUP($O2227,매칭테이블!$G:$J,3,0)</f>
        <v/>
      </c>
      <c r="N2227" s="20">
        <f>VLOOKUP($O2227,매칭테이블!$G:$J,4,0)*H2227</f>
        <v/>
      </c>
      <c r="O2227" s="20">
        <f>F2227&amp;E2227&amp;G2227&amp;J2227</f>
        <v/>
      </c>
    </row>
    <row r="2228" ht="16.5" customHeight="1" s="17">
      <c r="B2228" s="16" t="n">
        <v>44177</v>
      </c>
      <c r="C2228" s="20">
        <f>TEXT(B2228,"aaa")</f>
        <v/>
      </c>
      <c r="E2228" s="20">
        <f>INDEX(매칭테이블!C:C,MATCH(RD!G2228,매칭테이블!D:D,0))</f>
        <v/>
      </c>
      <c r="F2228" s="20" t="inlineStr">
        <is>
          <t>카페24</t>
        </is>
      </c>
      <c r="G2228" s="20" t="inlineStr">
        <is>
          <t>유즈 솔리드퍼퓸 - 30ml (스테이포에버 주문 시 12/15 순차배송)향=커플세트(이그나이트 + 스테이포에버), 세트 선택=2 SET (42% 할인)</t>
        </is>
      </c>
      <c r="H2228" s="20" t="n">
        <v>2</v>
      </c>
      <c r="I2228" s="20">
        <f>VLOOKUP(G2228,매칭테이블!D:E,2,0)</f>
        <v/>
      </c>
      <c r="J2228" s="20" t="n">
        <v>201210</v>
      </c>
      <c r="L2228" s="20">
        <f>VLOOKUP($O2228,매칭테이블!$G:$J,2,0)*H2228</f>
        <v/>
      </c>
      <c r="M2228" s="20">
        <f>L2228-L2228*VLOOKUP($O2228,매칭테이블!$G:$J,3,0)</f>
        <v/>
      </c>
      <c r="N2228" s="20">
        <f>VLOOKUP($O2228,매칭테이블!$G:$J,4,0)*H2228</f>
        <v/>
      </c>
      <c r="O2228" s="20">
        <f>F2228&amp;E2228&amp;G2228&amp;J2228</f>
        <v/>
      </c>
    </row>
    <row r="2229" ht="16.5" customHeight="1" s="17">
      <c r="B2229" s="16" t="n">
        <v>44177</v>
      </c>
      <c r="C2229" s="20">
        <f>TEXT(B2229,"aaa")</f>
        <v/>
      </c>
      <c r="E2229" s="20">
        <f>INDEX(매칭테이블!C:C,MATCH(RD!G2229,매칭테이블!D:D,0))</f>
        <v/>
      </c>
      <c r="F2229" s="20" t="inlineStr">
        <is>
          <t>카페24</t>
        </is>
      </c>
      <c r="G2229" s="20" t="inlineStr">
        <is>
          <t>유즈 스테이포에버 솔리드퍼퓸 002 (스테이포에버 주문시 12/14 순차배송)제품선택=스테이포에버 2개 세트[Pre-order 이벤트 28% 할인]</t>
        </is>
      </c>
      <c r="H2229" s="20" t="n">
        <v>1</v>
      </c>
      <c r="I2229" s="20">
        <f>VLOOKUP(G2229,매칭테이블!D:E,2,0)</f>
        <v/>
      </c>
      <c r="J2229" s="20" t="n">
        <v>201210</v>
      </c>
      <c r="L2229" s="20">
        <f>VLOOKUP($O2229,매칭테이블!$G:$J,2,0)*H2229</f>
        <v/>
      </c>
      <c r="M2229" s="20">
        <f>L2229-L2229*VLOOKUP($O2229,매칭테이블!$G:$J,3,0)</f>
        <v/>
      </c>
      <c r="N2229" s="20">
        <f>VLOOKUP($O2229,매칭테이블!$G:$J,4,0)*H2229</f>
        <v/>
      </c>
      <c r="O2229" s="20">
        <f>F2229&amp;E2229&amp;G2229&amp;J2229</f>
        <v/>
      </c>
    </row>
    <row r="2230" ht="16.5" customHeight="1" s="17">
      <c r="B2230" s="16" t="n">
        <v>44177</v>
      </c>
      <c r="C2230" s="20">
        <f>TEXT(B2230,"aaa")</f>
        <v/>
      </c>
      <c r="E2230" s="20">
        <f>INDEX(매칭테이블!C:C,MATCH(RD!G2230,매칭테이블!D:D,0))</f>
        <v/>
      </c>
      <c r="F2230" s="20" t="inlineStr">
        <is>
          <t>카페24</t>
        </is>
      </c>
      <c r="G2230" s="20" t="inlineStr">
        <is>
          <t>유즈 스테이포에버 솔리드퍼퓸 002 (스테이포에버 주문시 12/15 순차배송)제품선택=스테이포에버 1개</t>
        </is>
      </c>
      <c r="H2230" s="20" t="n">
        <v>190</v>
      </c>
      <c r="I2230" s="20">
        <f>VLOOKUP(G2230,매칭테이블!D:E,2,0)</f>
        <v/>
      </c>
      <c r="J2230" s="20" t="n">
        <v>201210</v>
      </c>
      <c r="L2230" s="20">
        <f>VLOOKUP($O2230,매칭테이블!$G:$J,2,0)*H2230</f>
        <v/>
      </c>
      <c r="M2230" s="20">
        <f>L2230-L2230*VLOOKUP($O2230,매칭테이블!$G:$J,3,0)</f>
        <v/>
      </c>
      <c r="N2230" s="20">
        <f>VLOOKUP($O2230,매칭테이블!$G:$J,4,0)*H2230</f>
        <v/>
      </c>
      <c r="O2230" s="20">
        <f>F2230&amp;E2230&amp;G2230&amp;J2230</f>
        <v/>
      </c>
    </row>
    <row r="2231" ht="16.5" customHeight="1" s="17">
      <c r="B2231" s="16" t="n">
        <v>44177</v>
      </c>
      <c r="C2231" s="20">
        <f>TEXT(B2231,"aaa")</f>
        <v/>
      </c>
      <c r="E2231" s="20">
        <f>INDEX(매칭테이블!C:C,MATCH(RD!G2231,매칭테이블!D:D,0))</f>
        <v/>
      </c>
      <c r="F2231" s="20" t="inlineStr">
        <is>
          <t>카페24</t>
        </is>
      </c>
      <c r="G2231" s="20" t="inlineStr">
        <is>
          <t>유즈 스테이포에버 솔리드퍼퓸 002 (스테이포에버 주문시 12/15 순차배송)제품선택=스테이포에버 [17% 할인]</t>
        </is>
      </c>
      <c r="H2231" s="20" t="n">
        <v>1</v>
      </c>
      <c r="I2231" s="20">
        <f>VLOOKUP(G2231,매칭테이블!D:E,2,0)</f>
        <v/>
      </c>
      <c r="J2231" s="20" t="n">
        <v>201210</v>
      </c>
      <c r="L2231" s="20">
        <f>VLOOKUP($O2231,매칭테이블!$G:$J,2,0)*H2231</f>
        <v/>
      </c>
      <c r="M2231" s="20">
        <f>L2231-L2231*VLOOKUP($O2231,매칭테이블!$G:$J,3,0)</f>
        <v/>
      </c>
      <c r="N2231" s="20">
        <f>VLOOKUP($O2231,매칭테이블!$G:$J,4,0)*H2231</f>
        <v/>
      </c>
      <c r="O2231" s="20">
        <f>F2231&amp;E2231&amp;G2231&amp;J2231</f>
        <v/>
      </c>
    </row>
    <row r="2232" ht="16.5" customHeight="1" s="17">
      <c r="B2232" s="16" t="n">
        <v>44177</v>
      </c>
      <c r="C2232" s="20">
        <f>TEXT(B2232,"aaa")</f>
        <v/>
      </c>
      <c r="E2232" s="20">
        <f>INDEX(매칭테이블!C:C,MATCH(RD!G2232,매칭테이블!D:D,0))</f>
        <v/>
      </c>
      <c r="F2232" s="20" t="inlineStr">
        <is>
          <t>카페24</t>
        </is>
      </c>
      <c r="G2232" s="20" t="inlineStr">
        <is>
          <t>유즈 스테이포에버 솔리드퍼퓸 002 (스테이포에버 주문시 12/15 순차배송)제품선택=best</t>
        </is>
      </c>
      <c r="H2232" s="20" t="n">
        <v>45</v>
      </c>
      <c r="I2232" s="20">
        <f>VLOOKUP(G2232,매칭테이블!D:E,2,0)</f>
        <v/>
      </c>
      <c r="J2232" s="20" t="n">
        <v>201210</v>
      </c>
      <c r="L2232" s="20">
        <f>VLOOKUP($O2232,매칭테이블!$G:$J,2,0)*H2232</f>
        <v/>
      </c>
      <c r="M2232" s="20">
        <f>L2232-L2232*VLOOKUP($O2232,매칭테이블!$G:$J,3,0)</f>
        <v/>
      </c>
      <c r="N2232" s="20">
        <f>VLOOKUP($O2232,매칭테이블!$G:$J,4,0)*H2232</f>
        <v/>
      </c>
      <c r="O2232" s="20">
        <f>F2232&amp;E2232&amp;G2232&amp;J2232</f>
        <v/>
      </c>
    </row>
    <row r="2233" ht="16.5" customHeight="1" s="17">
      <c r="B2233" s="16" t="n">
        <v>44177</v>
      </c>
      <c r="C2233" s="20">
        <f>TEXT(B2233,"aaa")</f>
        <v/>
      </c>
      <c r="E2233" s="20">
        <f>INDEX(매칭테이블!C:C,MATCH(RD!G2233,매칭테이블!D:D,0))</f>
        <v/>
      </c>
      <c r="F2233" s="20" t="inlineStr">
        <is>
          <t>카페24</t>
        </is>
      </c>
      <c r="G2233" s="20" t="inlineStr">
        <is>
          <t>유즈 스테이포에버 솔리드퍼퓸 002 (스테이포에버 주문시 12/15 순차배송)제품선택=best스테이포에버 2개[28% 할인]</t>
        </is>
      </c>
      <c r="H2233" s="20" t="n">
        <v>55</v>
      </c>
      <c r="I2233" s="20">
        <f>VLOOKUP(G2233,매칭테이블!D:E,2,0)</f>
        <v/>
      </c>
      <c r="J2233" s="20" t="n">
        <v>201210</v>
      </c>
      <c r="L2233" s="20">
        <f>VLOOKUP($O2233,매칭테이블!$G:$J,2,0)*H2233</f>
        <v/>
      </c>
      <c r="M2233" s="20">
        <f>L2233-L2233*VLOOKUP($O2233,매칭테이블!$G:$J,3,0)</f>
        <v/>
      </c>
      <c r="N2233" s="20">
        <f>VLOOKUP($O2233,매칭테이블!$G:$J,4,0)*H2233</f>
        <v/>
      </c>
      <c r="O2233" s="20">
        <f>F2233&amp;E2233&amp;G2233&amp;J2233</f>
        <v/>
      </c>
    </row>
    <row r="2234" ht="16.5" customHeight="1" s="17">
      <c r="B2234" s="16" t="n">
        <v>44177</v>
      </c>
      <c r="C2234" s="20">
        <f>TEXT(B2234,"aaa")</f>
        <v/>
      </c>
      <c r="E2234" s="20">
        <f>INDEX(매칭테이블!C:C,MATCH(RD!G2234,매칭테이블!D:D,0))</f>
        <v/>
      </c>
      <c r="F2234" s="20" t="inlineStr">
        <is>
          <t>카페24</t>
        </is>
      </c>
      <c r="G2234" s="20" t="inlineStr">
        <is>
          <t>유즈 스테이포에버 솔리드퍼퓸 002 (스테이포에버 주문시 12/15 순차배송)제품선택=스테이포에버 2개 세트[Pre-order 이벤트 28% 할인]</t>
        </is>
      </c>
      <c r="H2234" s="20" t="n">
        <v>1</v>
      </c>
      <c r="I2234" s="20">
        <f>VLOOKUP(G2234,매칭테이블!D:E,2,0)</f>
        <v/>
      </c>
      <c r="J2234" s="20" t="n">
        <v>201210</v>
      </c>
      <c r="L2234" s="20">
        <f>VLOOKUP($O2234,매칭테이블!$G:$J,2,0)*H2234</f>
        <v/>
      </c>
      <c r="M2234" s="20">
        <f>L2234-L2234*VLOOKUP($O2234,매칭테이블!$G:$J,3,0)</f>
        <v/>
      </c>
      <c r="N2234" s="20">
        <f>VLOOKUP($O2234,매칭테이블!$G:$J,4,0)*H2234</f>
        <v/>
      </c>
      <c r="O2234" s="20">
        <f>F2234&amp;E2234&amp;G2234&amp;J2234</f>
        <v/>
      </c>
    </row>
    <row r="2235" ht="16.5" customHeight="1" s="17">
      <c r="B2235" s="16" t="n">
        <v>44177</v>
      </c>
      <c r="C2235" s="20">
        <f>TEXT(B2235,"aaa")</f>
        <v/>
      </c>
      <c r="E2235" s="20">
        <f>INDEX(매칭테이블!C:C,MATCH(RD!G2235,매칭테이블!D:D,0))</f>
        <v/>
      </c>
      <c r="F2235" s="20" t="inlineStr">
        <is>
          <t>카페24</t>
        </is>
      </c>
      <c r="G2235" s="20" t="inlineStr">
        <is>
          <t>유즈 스테이포에버 솔리드퍼퓸 002 (스테이포에버 주문시 12/15 순차배송)제품선택=커플추천</t>
        </is>
      </c>
      <c r="H2235" s="20" t="n">
        <v>6</v>
      </c>
      <c r="I2235" s="20">
        <f>VLOOKUP(G2235,매칭테이블!D:E,2,0)</f>
        <v/>
      </c>
      <c r="J2235" s="20" t="n">
        <v>201210</v>
      </c>
      <c r="L2235" s="20">
        <f>VLOOKUP($O2235,매칭테이블!$G:$J,2,0)*H2235</f>
        <v/>
      </c>
      <c r="M2235" s="20">
        <f>L2235-L2235*VLOOKUP($O2235,매칭테이블!$G:$J,3,0)</f>
        <v/>
      </c>
      <c r="N2235" s="20">
        <f>VLOOKUP($O2235,매칭테이블!$G:$J,4,0)*H2235</f>
        <v/>
      </c>
      <c r="O2235" s="20">
        <f>F2235&amp;E2235&amp;G2235&amp;J2235</f>
        <v/>
      </c>
    </row>
    <row r="2236" ht="16.5" customHeight="1" s="17">
      <c r="B2236" s="16" t="n">
        <v>44177</v>
      </c>
      <c r="C2236" s="20">
        <f>TEXT(B2236,"aaa")</f>
        <v/>
      </c>
      <c r="E2236" s="20">
        <f>INDEX(매칭테이블!C:C,MATCH(RD!G2236,매칭테이블!D:D,0))</f>
        <v/>
      </c>
      <c r="F2236" s="20" t="inlineStr">
        <is>
          <t>카페24</t>
        </is>
      </c>
      <c r="G2236" s="20" t="inlineStr">
        <is>
          <t>유즈 스테이포에버 솔리드퍼퓸 002 (스테이포에버 주문시 12/15 순차배송)제품선택=커플추천스테이포에버 + 이그나이트 세트</t>
        </is>
      </c>
      <c r="H2236" s="20" t="n">
        <v>7</v>
      </c>
      <c r="I2236" s="20">
        <f>VLOOKUP(G2236,매칭테이블!D:E,2,0)</f>
        <v/>
      </c>
      <c r="J2236" s="20" t="n">
        <v>201210</v>
      </c>
      <c r="L2236" s="20">
        <f>VLOOKUP($O2236,매칭테이블!$G:$J,2,0)*H2236</f>
        <v/>
      </c>
      <c r="M2236" s="20">
        <f>L2236-L2236*VLOOKUP($O2236,매칭테이블!$G:$J,3,0)</f>
        <v/>
      </c>
      <c r="N2236" s="20">
        <f>VLOOKUP($O2236,매칭테이블!$G:$J,4,0)*H2236</f>
        <v/>
      </c>
      <c r="O2236" s="20">
        <f>F2236&amp;E2236&amp;G2236&amp;J2236</f>
        <v/>
      </c>
    </row>
    <row r="2237" ht="16.5" customHeight="1" s="17">
      <c r="B2237" s="16" t="n">
        <v>44177</v>
      </c>
      <c r="C2237" s="20">
        <f>TEXT(B2237,"aaa")</f>
        <v/>
      </c>
      <c r="E2237" s="20">
        <f>INDEX(매칭테이블!C:C,MATCH(RD!G2237,매칭테이블!D:D,0))</f>
        <v/>
      </c>
      <c r="F2237" s="20" t="inlineStr">
        <is>
          <t>카페24</t>
        </is>
      </c>
      <c r="G2237" s="20" t="inlineStr">
        <is>
          <t>유즈 스테이포에버 솔리드퍼퓸 002 (스테이포에버 주문시 12/15 순차배송)쇼핑백=선물용 쇼핑백</t>
        </is>
      </c>
      <c r="H2237" s="20" t="n">
        <v>8</v>
      </c>
      <c r="I2237" s="20">
        <f>VLOOKUP(G2237,매칭테이블!D:E,2,0)</f>
        <v/>
      </c>
      <c r="J2237" s="20" t="n">
        <v>201210</v>
      </c>
      <c r="L2237" s="20">
        <f>VLOOKUP($O2237,매칭테이블!$G:$J,2,0)*H2237</f>
        <v/>
      </c>
      <c r="M2237" s="20">
        <f>L2237-L2237*VLOOKUP($O2237,매칭테이블!$G:$J,3,0)</f>
        <v/>
      </c>
      <c r="N2237" s="20">
        <f>VLOOKUP($O2237,매칭테이블!$G:$J,4,0)*H2237</f>
        <v/>
      </c>
      <c r="O2237" s="20">
        <f>F2237&amp;E2237&amp;G2237&amp;J2237</f>
        <v/>
      </c>
    </row>
    <row r="2238" ht="16.5" customHeight="1" s="17">
      <c r="B2238" s="16" t="n">
        <v>44177</v>
      </c>
      <c r="C2238" s="20">
        <f>TEXT(B2238,"aaa")</f>
        <v/>
      </c>
      <c r="E2238" s="20">
        <f>INDEX(매칭테이블!C:C,MATCH(RD!G2238,매칭테이블!D:D,0))</f>
        <v/>
      </c>
      <c r="F2238" s="20" t="inlineStr">
        <is>
          <t>카페24</t>
        </is>
      </c>
      <c r="G2238" s="20" t="inlineStr">
        <is>
          <t>유즈 이그나이트 솔리드퍼퓸 001제품선택=이그나이트 솔리드퍼퓸 - 30ml</t>
        </is>
      </c>
      <c r="H2238" s="20" t="n">
        <v>4</v>
      </c>
      <c r="I2238" s="20">
        <f>VLOOKUP(G2238,매칭테이블!D:E,2,0)</f>
        <v/>
      </c>
      <c r="J2238" s="20" t="n">
        <v>201210</v>
      </c>
      <c r="L2238" s="20">
        <f>VLOOKUP($O2238,매칭테이블!$G:$J,2,0)*H2238</f>
        <v/>
      </c>
      <c r="M2238" s="20">
        <f>L2238-L2238*VLOOKUP($O2238,매칭테이블!$G:$J,3,0)</f>
        <v/>
      </c>
      <c r="N2238" s="20">
        <f>VLOOKUP($O2238,매칭테이블!$G:$J,4,0)*H2238</f>
        <v/>
      </c>
      <c r="O2238" s="20">
        <f>F2238&amp;E2238&amp;G2238&amp;J2238</f>
        <v/>
      </c>
    </row>
    <row r="2239" ht="16.5" customHeight="1" s="17">
      <c r="B2239" s="16" t="n">
        <v>44177</v>
      </c>
      <c r="C2239" s="20">
        <f>TEXT(B2239,"aaa")</f>
        <v/>
      </c>
      <c r="E2239" s="20">
        <f>INDEX(매칭테이블!C:C,MATCH(RD!G2239,매칭테이블!D:D,0))</f>
        <v/>
      </c>
      <c r="F2239" s="20" t="inlineStr">
        <is>
          <t>카페24</t>
        </is>
      </c>
      <c r="G2239" s="20" t="inlineStr">
        <is>
          <t>유즈 이그나이트 솔리드퍼퓸 001제품선택=이그나이트 2개 세트</t>
        </is>
      </c>
      <c r="H2239" s="20" t="n">
        <v>1</v>
      </c>
      <c r="I2239" s="20">
        <f>VLOOKUP(G2239,매칭테이블!D:E,2,0)</f>
        <v/>
      </c>
      <c r="J2239" s="20" t="n">
        <v>201210</v>
      </c>
      <c r="L2239" s="20">
        <f>VLOOKUP($O2239,매칭테이블!$G:$J,2,0)*H2239</f>
        <v/>
      </c>
      <c r="M2239" s="20">
        <f>L2239-L2239*VLOOKUP($O2239,매칭테이블!$G:$J,3,0)</f>
        <v/>
      </c>
      <c r="N2239" s="20">
        <f>VLOOKUP($O2239,매칭테이블!$G:$J,4,0)*H2239</f>
        <v/>
      </c>
      <c r="O2239" s="20">
        <f>F2239&amp;E2239&amp;G2239&amp;J2239</f>
        <v/>
      </c>
    </row>
    <row r="2240" ht="16.5" customHeight="1" s="17">
      <c r="B2240" s="16" t="n">
        <v>44178</v>
      </c>
      <c r="C2240" s="20">
        <f>TEXT(B2240,"aaa")</f>
        <v/>
      </c>
      <c r="E2240" s="20">
        <f>INDEX(매칭테이블!C:C,MATCH(RD!G2240,매칭테이블!D:D,0))</f>
        <v/>
      </c>
      <c r="F2240" s="20" t="inlineStr">
        <is>
          <t>카페24</t>
        </is>
      </c>
      <c r="G2240" s="20" t="inlineStr">
        <is>
          <t>유즈 솔리드퍼퓸 - 30ml (스테이포에버 주문 시 12/15 순차배송)향=이그나이트 001 SOLID PERFUME, 세트 선택=1</t>
        </is>
      </c>
      <c r="H2240" s="20" t="n">
        <v>1</v>
      </c>
      <c r="I2240" s="20">
        <f>VLOOKUP(G2240,매칭테이블!D:E,2,0)</f>
        <v/>
      </c>
      <c r="J2240" s="20" t="n">
        <v>201210</v>
      </c>
      <c r="L2240" s="20">
        <f>VLOOKUP($O2240,매칭테이블!$G:$J,2,0)*H2240</f>
        <v/>
      </c>
      <c r="M2240" s="20">
        <f>L2240-L2240*VLOOKUP($O2240,매칭테이블!$G:$J,3,0)</f>
        <v/>
      </c>
      <c r="N2240" s="20">
        <f>VLOOKUP($O2240,매칭테이블!$G:$J,4,0)*H2240</f>
        <v/>
      </c>
      <c r="O2240" s="20">
        <f>F2240&amp;E2240&amp;G2240&amp;J2240</f>
        <v/>
      </c>
    </row>
    <row r="2241" ht="16.5" customHeight="1" s="17">
      <c r="B2241" s="16" t="n">
        <v>44178</v>
      </c>
      <c r="C2241" s="20">
        <f>TEXT(B2241,"aaa")</f>
        <v/>
      </c>
      <c r="E2241" s="20">
        <f>INDEX(매칭테이블!C:C,MATCH(RD!G2241,매칭테이블!D:D,0))</f>
        <v/>
      </c>
      <c r="F2241" s="20" t="inlineStr">
        <is>
          <t>카페24</t>
        </is>
      </c>
      <c r="G2241" s="20" t="inlineStr">
        <is>
          <t>유즈 솔리드퍼퓸 - 30ml (스테이포에버 주문 시 12/15 순차배송)향=스테이포에버 002 SOLID PERFUME, 세트 선택=1</t>
        </is>
      </c>
      <c r="H2241" s="20" t="n">
        <v>19</v>
      </c>
      <c r="I2241" s="20">
        <f>VLOOKUP(G2241,매칭테이블!D:E,2,0)</f>
        <v/>
      </c>
      <c r="J2241" s="20" t="n">
        <v>201210</v>
      </c>
      <c r="L2241" s="20">
        <f>VLOOKUP($O2241,매칭테이블!$G:$J,2,0)*H2241</f>
        <v/>
      </c>
      <c r="M2241" s="20">
        <f>L2241-L2241*VLOOKUP($O2241,매칭테이블!$G:$J,3,0)</f>
        <v/>
      </c>
      <c r="N2241" s="20">
        <f>VLOOKUP($O2241,매칭테이블!$G:$J,4,0)*H2241</f>
        <v/>
      </c>
      <c r="O2241" s="20">
        <f>F2241&amp;E2241&amp;G2241&amp;J2241</f>
        <v/>
      </c>
    </row>
    <row r="2242" ht="16.5" customHeight="1" s="17">
      <c r="B2242" s="16" t="n">
        <v>44178</v>
      </c>
      <c r="C2242" s="20">
        <f>TEXT(B2242,"aaa")</f>
        <v/>
      </c>
      <c r="E2242" s="20">
        <f>INDEX(매칭테이블!C:C,MATCH(RD!G2242,매칭테이블!D:D,0))</f>
        <v/>
      </c>
      <c r="F2242" s="20" t="inlineStr">
        <is>
          <t>카페24</t>
        </is>
      </c>
      <c r="G2242" s="20" t="inlineStr">
        <is>
          <t>유즈 솔리드퍼퓸 - 30ml (스테이포에버 주문 시 12/15 순차배송)향=스테이포에버 002 SOLID PERFUME, 세트 선택=best</t>
        </is>
      </c>
      <c r="H2242" s="20" t="n">
        <v>3</v>
      </c>
      <c r="I2242" s="20">
        <f>VLOOKUP(G2242,매칭테이블!D:E,2,0)</f>
        <v/>
      </c>
      <c r="J2242" s="20" t="n">
        <v>201210</v>
      </c>
      <c r="L2242" s="20">
        <f>VLOOKUP($O2242,매칭테이블!$G:$J,2,0)*H2242</f>
        <v/>
      </c>
      <c r="M2242" s="20">
        <f>L2242-L2242*VLOOKUP($O2242,매칭테이블!$G:$J,3,0)</f>
        <v/>
      </c>
      <c r="N2242" s="20">
        <f>VLOOKUP($O2242,매칭테이블!$G:$J,4,0)*H2242</f>
        <v/>
      </c>
      <c r="O2242" s="20">
        <f>F2242&amp;E2242&amp;G2242&amp;J2242</f>
        <v/>
      </c>
    </row>
    <row r="2243" ht="16.5" customHeight="1" s="17">
      <c r="B2243" s="16" t="n">
        <v>44178</v>
      </c>
      <c r="C2243" s="20">
        <f>TEXT(B2243,"aaa")</f>
        <v/>
      </c>
      <c r="E2243" s="20">
        <f>INDEX(매칭테이블!C:C,MATCH(RD!G2243,매칭테이블!D:D,0))</f>
        <v/>
      </c>
      <c r="F2243" s="20" t="inlineStr">
        <is>
          <t>카페24</t>
        </is>
      </c>
      <c r="G2243" s="20" t="inlineStr">
        <is>
          <t>유즈 솔리드퍼퓸 - 30ml (스테이포에버 주문 시 12/15 순차배송)향=커플세트</t>
        </is>
      </c>
      <c r="H2243" s="20" t="n">
        <v>5</v>
      </c>
      <c r="I2243" s="20">
        <f>VLOOKUP(G2243,매칭테이블!D:E,2,0)</f>
        <v/>
      </c>
      <c r="J2243" s="20" t="n">
        <v>201210</v>
      </c>
      <c r="L2243" s="20">
        <f>VLOOKUP($O2243,매칭테이블!$G:$J,2,0)*H2243</f>
        <v/>
      </c>
      <c r="M2243" s="20">
        <f>L2243-L2243*VLOOKUP($O2243,매칭테이블!$G:$J,3,0)</f>
        <v/>
      </c>
      <c r="N2243" s="20">
        <f>VLOOKUP($O2243,매칭테이블!$G:$J,4,0)*H2243</f>
        <v/>
      </c>
      <c r="O2243" s="20">
        <f>F2243&amp;E2243&amp;G2243&amp;J2243</f>
        <v/>
      </c>
    </row>
    <row r="2244" ht="16.5" customHeight="1" s="17">
      <c r="B2244" s="16" t="n">
        <v>44178</v>
      </c>
      <c r="C2244" s="20">
        <f>TEXT(B2244,"aaa")</f>
        <v/>
      </c>
      <c r="E2244" s="20">
        <f>INDEX(매칭테이블!C:C,MATCH(RD!G2244,매칭테이블!D:D,0))</f>
        <v/>
      </c>
      <c r="F2244" s="20" t="inlineStr">
        <is>
          <t>카페24</t>
        </is>
      </c>
      <c r="G2244" s="20" t="inlineStr">
        <is>
          <t>유즈 솔리드퍼퓸 - 30ml (스테이포에버 주문 시 12/15 순차배송)향=커플세트(이그나이트 + 스테이포에버), 세트 선택=1 SET</t>
        </is>
      </c>
      <c r="H2244" s="20" t="n">
        <v>4</v>
      </c>
      <c r="I2244" s="20">
        <f>VLOOKUP(G2244,매칭테이블!D:E,2,0)</f>
        <v/>
      </c>
      <c r="J2244" s="20" t="n">
        <v>201210</v>
      </c>
      <c r="L2244" s="20">
        <f>VLOOKUP($O2244,매칭테이블!$G:$J,2,0)*H2244</f>
        <v/>
      </c>
      <c r="M2244" s="20">
        <f>L2244-L2244*VLOOKUP($O2244,매칭테이블!$G:$J,3,0)</f>
        <v/>
      </c>
      <c r="N2244" s="20">
        <f>VLOOKUP($O2244,매칭테이블!$G:$J,4,0)*H2244</f>
        <v/>
      </c>
      <c r="O2244" s="20">
        <f>F2244&amp;E2244&amp;G2244&amp;J2244</f>
        <v/>
      </c>
    </row>
    <row r="2245" ht="16.5" customHeight="1" s="17">
      <c r="B2245" s="16" t="n">
        <v>44178</v>
      </c>
      <c r="C2245" s="20">
        <f>TEXT(B2245,"aaa")</f>
        <v/>
      </c>
      <c r="E2245" s="20">
        <f>INDEX(매칭테이블!C:C,MATCH(RD!G2245,매칭테이블!D:D,0))</f>
        <v/>
      </c>
      <c r="F2245" s="20" t="inlineStr">
        <is>
          <t>카페24</t>
        </is>
      </c>
      <c r="G2245" s="20" t="inlineStr">
        <is>
          <t>유즈 솔리드퍼퓸 - 30ml (스테이포에버 주문 시 12/15 순차배송)향=커플세트(이그나이트 + 스테이포에버), 세트 선택=2 SET (42% 할인)</t>
        </is>
      </c>
      <c r="H2245" s="20" t="n">
        <v>1</v>
      </c>
      <c r="I2245" s="20">
        <f>VLOOKUP(G2245,매칭테이블!D:E,2,0)</f>
        <v/>
      </c>
      <c r="J2245" s="20" t="n">
        <v>201210</v>
      </c>
      <c r="L2245" s="20">
        <f>VLOOKUP($O2245,매칭테이블!$G:$J,2,0)*H2245</f>
        <v/>
      </c>
      <c r="M2245" s="20">
        <f>L2245-L2245*VLOOKUP($O2245,매칭테이블!$G:$J,3,0)</f>
        <v/>
      </c>
      <c r="N2245" s="20">
        <f>VLOOKUP($O2245,매칭테이블!$G:$J,4,0)*H2245</f>
        <v/>
      </c>
      <c r="O2245" s="20">
        <f>F2245&amp;E2245&amp;G2245&amp;J2245</f>
        <v/>
      </c>
    </row>
    <row r="2246" ht="16.5" customHeight="1" s="17">
      <c r="B2246" s="16" t="n">
        <v>44178</v>
      </c>
      <c r="C2246" s="20">
        <f>TEXT(B2246,"aaa")</f>
        <v/>
      </c>
      <c r="E2246" s="20">
        <f>INDEX(매칭테이블!C:C,MATCH(RD!G2246,매칭테이블!D:D,0))</f>
        <v/>
      </c>
      <c r="F2246" s="20" t="inlineStr">
        <is>
          <t>카페24</t>
        </is>
      </c>
      <c r="G2246" s="20" t="inlineStr">
        <is>
          <t>유즈 스테이포에버 솔리드퍼퓸 002 (스테이포에버 주문시 12/15 순차배송)제품선택=스테이포에버 1개</t>
        </is>
      </c>
      <c r="H2246" s="20" t="n">
        <v>197</v>
      </c>
      <c r="I2246" s="20">
        <f>VLOOKUP(G2246,매칭테이블!D:E,2,0)</f>
        <v/>
      </c>
      <c r="J2246" s="20" t="n">
        <v>201210</v>
      </c>
      <c r="L2246" s="20">
        <f>VLOOKUP($O2246,매칭테이블!$G:$J,2,0)*H2246</f>
        <v/>
      </c>
      <c r="M2246" s="20">
        <f>L2246-L2246*VLOOKUP($O2246,매칭테이블!$G:$J,3,0)</f>
        <v/>
      </c>
      <c r="N2246" s="20">
        <f>VLOOKUP($O2246,매칭테이블!$G:$J,4,0)*H2246</f>
        <v/>
      </c>
      <c r="O2246" s="20">
        <f>F2246&amp;E2246&amp;G2246&amp;J2246</f>
        <v/>
      </c>
    </row>
    <row r="2247" ht="16.5" customHeight="1" s="17">
      <c r="B2247" s="16" t="n">
        <v>44178</v>
      </c>
      <c r="C2247" s="20">
        <f>TEXT(B2247,"aaa")</f>
        <v/>
      </c>
      <c r="E2247" s="20">
        <f>INDEX(매칭테이블!C:C,MATCH(RD!G2247,매칭테이블!D:D,0))</f>
        <v/>
      </c>
      <c r="F2247" s="20" t="inlineStr">
        <is>
          <t>카페24</t>
        </is>
      </c>
      <c r="G2247" s="20" t="inlineStr">
        <is>
          <t>유즈 스테이포에버 솔리드퍼퓸 002 (스테이포에버 주문시 12/15 순차배송)제품선택=스테이포에버 솔리드퍼퓸 002[Pre-order 이벤트 17% 할인]</t>
        </is>
      </c>
      <c r="H2247" s="20" t="n">
        <v>1</v>
      </c>
      <c r="I2247" s="20">
        <f>VLOOKUP(G2247,매칭테이블!D:E,2,0)</f>
        <v/>
      </c>
      <c r="J2247" s="20" t="n">
        <v>201210</v>
      </c>
      <c r="L2247" s="20">
        <f>VLOOKUP($O2247,매칭테이블!$G:$J,2,0)*H2247</f>
        <v/>
      </c>
      <c r="M2247" s="20">
        <f>L2247-L2247*VLOOKUP($O2247,매칭테이블!$G:$J,3,0)</f>
        <v/>
      </c>
      <c r="N2247" s="20">
        <f>VLOOKUP($O2247,매칭테이블!$G:$J,4,0)*H2247</f>
        <v/>
      </c>
      <c r="O2247" s="20">
        <f>F2247&amp;E2247&amp;G2247&amp;J2247</f>
        <v/>
      </c>
    </row>
    <row r="2248" ht="16.5" customHeight="1" s="17">
      <c r="B2248" s="16" t="n">
        <v>44178</v>
      </c>
      <c r="C2248" s="20">
        <f>TEXT(B2248,"aaa")</f>
        <v/>
      </c>
      <c r="E2248" s="20">
        <f>INDEX(매칭테이블!C:C,MATCH(RD!G2248,매칭테이블!D:D,0))</f>
        <v/>
      </c>
      <c r="F2248" s="20" t="inlineStr">
        <is>
          <t>카페24</t>
        </is>
      </c>
      <c r="G2248" s="20" t="inlineStr">
        <is>
          <t>유즈 스테이포에버 솔리드퍼퓸 002 (스테이포에버 주문시 12/15 순차배송)제품선택=best</t>
        </is>
      </c>
      <c r="H2248" s="20" t="n">
        <v>44</v>
      </c>
      <c r="I2248" s="20">
        <f>VLOOKUP(G2248,매칭테이블!D:E,2,0)</f>
        <v/>
      </c>
      <c r="J2248" s="20" t="n">
        <v>201210</v>
      </c>
      <c r="L2248" s="20">
        <f>VLOOKUP($O2248,매칭테이블!$G:$J,2,0)*H2248</f>
        <v/>
      </c>
      <c r="M2248" s="20">
        <f>L2248-L2248*VLOOKUP($O2248,매칭테이블!$G:$J,3,0)</f>
        <v/>
      </c>
      <c r="N2248" s="20">
        <f>VLOOKUP($O2248,매칭테이블!$G:$J,4,0)*H2248</f>
        <v/>
      </c>
      <c r="O2248" s="20">
        <f>F2248&amp;E2248&amp;G2248&amp;J2248</f>
        <v/>
      </c>
    </row>
    <row r="2249" ht="16.5" customHeight="1" s="17">
      <c r="B2249" s="16" t="n">
        <v>44178</v>
      </c>
      <c r="C2249" s="20">
        <f>TEXT(B2249,"aaa")</f>
        <v/>
      </c>
      <c r="E2249" s="20">
        <f>INDEX(매칭테이블!C:C,MATCH(RD!G2249,매칭테이블!D:D,0))</f>
        <v/>
      </c>
      <c r="F2249" s="20" t="inlineStr">
        <is>
          <t>카페24</t>
        </is>
      </c>
      <c r="G2249" s="20" t="inlineStr">
        <is>
          <t>유즈 스테이포에버 솔리드퍼퓸 002 (스테이포에버 주문시 12/15 순차배송)제품선택=best스테이포에버 2개[28% 할인]</t>
        </is>
      </c>
      <c r="H2249" s="20" t="n">
        <v>54</v>
      </c>
      <c r="I2249" s="20">
        <f>VLOOKUP(G2249,매칭테이블!D:E,2,0)</f>
        <v/>
      </c>
      <c r="J2249" s="20" t="n">
        <v>201210</v>
      </c>
      <c r="L2249" s="20">
        <f>VLOOKUP($O2249,매칭테이블!$G:$J,2,0)*H2249</f>
        <v/>
      </c>
      <c r="M2249" s="20">
        <f>L2249-L2249*VLOOKUP($O2249,매칭테이블!$G:$J,3,0)</f>
        <v/>
      </c>
      <c r="N2249" s="20">
        <f>VLOOKUP($O2249,매칭테이블!$G:$J,4,0)*H2249</f>
        <v/>
      </c>
      <c r="O2249" s="20">
        <f>F2249&amp;E2249&amp;G2249&amp;J2249</f>
        <v/>
      </c>
    </row>
    <row r="2250" ht="16.5" customHeight="1" s="17">
      <c r="B2250" s="16" t="n">
        <v>44178</v>
      </c>
      <c r="C2250" s="20">
        <f>TEXT(B2250,"aaa")</f>
        <v/>
      </c>
      <c r="E2250" s="20">
        <f>INDEX(매칭테이블!C:C,MATCH(RD!G2250,매칭테이블!D:D,0))</f>
        <v/>
      </c>
      <c r="F2250" s="20" t="inlineStr">
        <is>
          <t>카페24</t>
        </is>
      </c>
      <c r="G2250" s="20" t="inlineStr">
        <is>
          <t>유즈 스테이포에버 솔리드퍼퓸 002 (스테이포에버 주문시 12/15 순차배송)제품선택=커플추천</t>
        </is>
      </c>
      <c r="H2250" s="20" t="n">
        <v>2</v>
      </c>
      <c r="I2250" s="20">
        <f>VLOOKUP(G2250,매칭테이블!D:E,2,0)</f>
        <v/>
      </c>
      <c r="J2250" s="20" t="n">
        <v>201210</v>
      </c>
      <c r="L2250" s="20">
        <f>VLOOKUP($O2250,매칭테이블!$G:$J,2,0)*H2250</f>
        <v/>
      </c>
      <c r="M2250" s="20">
        <f>L2250-L2250*VLOOKUP($O2250,매칭테이블!$G:$J,3,0)</f>
        <v/>
      </c>
      <c r="N2250" s="20">
        <f>VLOOKUP($O2250,매칭테이블!$G:$J,4,0)*H2250</f>
        <v/>
      </c>
      <c r="O2250" s="20">
        <f>F2250&amp;E2250&amp;G2250&amp;J2250</f>
        <v/>
      </c>
    </row>
    <row r="2251" ht="16.5" customHeight="1" s="17">
      <c r="B2251" s="16" t="n">
        <v>44178</v>
      </c>
      <c r="C2251" s="20">
        <f>TEXT(B2251,"aaa")</f>
        <v/>
      </c>
      <c r="E2251" s="20">
        <f>INDEX(매칭테이블!C:C,MATCH(RD!G2251,매칭테이블!D:D,0))</f>
        <v/>
      </c>
      <c r="F2251" s="20" t="inlineStr">
        <is>
          <t>카페24</t>
        </is>
      </c>
      <c r="G2251" s="20" t="inlineStr">
        <is>
          <t>유즈 스테이포에버 솔리드퍼퓸 002 (스테이포에버 주문시 12/15 순차배송)제품선택=커플추천스테이포에버 + 이그나이트 세트</t>
        </is>
      </c>
      <c r="H2251" s="20" t="n">
        <v>8</v>
      </c>
      <c r="I2251" s="20">
        <f>VLOOKUP(G2251,매칭테이블!D:E,2,0)</f>
        <v/>
      </c>
      <c r="J2251" s="20" t="n">
        <v>201210</v>
      </c>
      <c r="L2251" s="20">
        <f>VLOOKUP($O2251,매칭테이블!$G:$J,2,0)*H2251</f>
        <v/>
      </c>
      <c r="M2251" s="20">
        <f>L2251-L2251*VLOOKUP($O2251,매칭테이블!$G:$J,3,0)</f>
        <v/>
      </c>
      <c r="N2251" s="20">
        <f>VLOOKUP($O2251,매칭테이블!$G:$J,4,0)*H2251</f>
        <v/>
      </c>
      <c r="O2251" s="20">
        <f>F2251&amp;E2251&amp;G2251&amp;J2251</f>
        <v/>
      </c>
    </row>
    <row r="2252" ht="16.5" customHeight="1" s="17">
      <c r="B2252" s="16" t="n">
        <v>44178</v>
      </c>
      <c r="C2252" s="20">
        <f>TEXT(B2252,"aaa")</f>
        <v/>
      </c>
      <c r="E2252" s="20">
        <f>INDEX(매칭테이블!C:C,MATCH(RD!G2252,매칭테이블!D:D,0))</f>
        <v/>
      </c>
      <c r="F2252" s="20" t="inlineStr">
        <is>
          <t>카페24</t>
        </is>
      </c>
      <c r="G2252" s="20" t="inlineStr">
        <is>
          <t>유즈 스테이포에버 솔리드퍼퓸 002 (스테이포에버 주문시 12/15 순차배송)쇼핑백=선물용 쇼핑백</t>
        </is>
      </c>
      <c r="H2252" s="20" t="n">
        <v>3</v>
      </c>
      <c r="I2252" s="20">
        <f>VLOOKUP(G2252,매칭테이블!D:E,2,0)</f>
        <v/>
      </c>
      <c r="J2252" s="20" t="n">
        <v>201210</v>
      </c>
      <c r="L2252" s="20">
        <f>VLOOKUP($O2252,매칭테이블!$G:$J,2,0)*H2252</f>
        <v/>
      </c>
      <c r="M2252" s="20">
        <f>L2252-L2252*VLOOKUP($O2252,매칭테이블!$G:$J,3,0)</f>
        <v/>
      </c>
      <c r="N2252" s="20">
        <f>VLOOKUP($O2252,매칭테이블!$G:$J,4,0)*H2252</f>
        <v/>
      </c>
      <c r="O2252" s="20">
        <f>F2252&amp;E2252&amp;G2252&amp;J2252</f>
        <v/>
      </c>
    </row>
    <row r="2253" ht="16.5" customHeight="1" s="17">
      <c r="B2253" s="16" t="n">
        <v>44178</v>
      </c>
      <c r="C2253" s="20">
        <f>TEXT(B2253,"aaa")</f>
        <v/>
      </c>
      <c r="E2253" s="20">
        <f>INDEX(매칭테이블!C:C,MATCH(RD!G2253,매칭테이블!D:D,0))</f>
        <v/>
      </c>
      <c r="F2253" s="20" t="inlineStr">
        <is>
          <t>카페24</t>
        </is>
      </c>
      <c r="G2253" s="20" t="inlineStr">
        <is>
          <t>유즈 이그나이트 솔리드퍼퓸 001제품선택=이그나이트 솔리드퍼퓸 - 30ml</t>
        </is>
      </c>
      <c r="H2253" s="20" t="n">
        <v>3</v>
      </c>
      <c r="I2253" s="20">
        <f>VLOOKUP(G2253,매칭테이블!D:E,2,0)</f>
        <v/>
      </c>
      <c r="J2253" s="20" t="n">
        <v>201210</v>
      </c>
      <c r="L2253" s="20">
        <f>VLOOKUP($O2253,매칭테이블!$G:$J,2,0)*H2253</f>
        <v/>
      </c>
      <c r="M2253" s="20">
        <f>L2253-L2253*VLOOKUP($O2253,매칭테이블!$G:$J,3,0)</f>
        <v/>
      </c>
      <c r="N2253" s="20">
        <f>VLOOKUP($O2253,매칭테이블!$G:$J,4,0)*H2253</f>
        <v/>
      </c>
      <c r="O2253" s="20">
        <f>F2253&amp;E2253&amp;G2253&amp;J2253</f>
        <v/>
      </c>
    </row>
    <row r="2254" ht="16.5" customHeight="1" s="17">
      <c r="B2254" s="16" t="n">
        <v>44178</v>
      </c>
      <c r="C2254" s="20">
        <f>TEXT(B2254,"aaa")</f>
        <v/>
      </c>
      <c r="E2254" s="20">
        <f>INDEX(매칭테이블!C:C,MATCH(RD!G2254,매칭테이블!D:D,0))</f>
        <v/>
      </c>
      <c r="F2254" s="20" t="inlineStr">
        <is>
          <t>카페24</t>
        </is>
      </c>
      <c r="G2254" s="20" t="inlineStr">
        <is>
          <t>유즈 이그나이트 솔리드퍼퓸 001제품선택=이그나이트 2개 세트</t>
        </is>
      </c>
      <c r="H2254" s="20" t="n">
        <v>1</v>
      </c>
      <c r="I2254" s="20">
        <f>VLOOKUP(G2254,매칭테이블!D:E,2,0)</f>
        <v/>
      </c>
      <c r="J2254" s="20" t="n">
        <v>201210</v>
      </c>
      <c r="L2254" s="20">
        <f>VLOOKUP($O2254,매칭테이블!$G:$J,2,0)*H2254</f>
        <v/>
      </c>
      <c r="M2254" s="20">
        <f>L2254-L2254*VLOOKUP($O2254,매칭테이블!$G:$J,3,0)</f>
        <v/>
      </c>
      <c r="N2254" s="20">
        <f>VLOOKUP($O2254,매칭테이블!$G:$J,4,0)*H2254</f>
        <v/>
      </c>
      <c r="O2254" s="20">
        <f>F2254&amp;E2254&amp;G2254&amp;J2254</f>
        <v/>
      </c>
    </row>
    <row r="2255" ht="16.5" customHeight="1" s="17">
      <c r="B2255" s="16" t="n">
        <v>44179</v>
      </c>
      <c r="C2255" s="20">
        <f>TEXT(B2255,"aaa")</f>
        <v/>
      </c>
      <c r="E2255" s="20">
        <f>INDEX(매칭테이블!C:C,MATCH(RD!G2255,매칭테이블!D:D,0))</f>
        <v/>
      </c>
      <c r="F2255" s="20" t="inlineStr">
        <is>
          <t>카페24</t>
        </is>
      </c>
      <c r="G2255" s="20" t="inlineStr">
        <is>
          <t>스테이포에버 솔리드퍼퓸 002 (10차 재입고 완료제품선택=스테이포에버 1개</t>
        </is>
      </c>
      <c r="H2255" s="20" t="n">
        <v>20</v>
      </c>
      <c r="I2255" s="20">
        <f>VLOOKUP(G2255,매칭테이블!D:E,2,0)</f>
        <v/>
      </c>
      <c r="J2255" s="20" t="n">
        <v>201210</v>
      </c>
      <c r="L2255" s="20">
        <f>VLOOKUP($O2255,매칭테이블!$G:$J,2,0)*H2255</f>
        <v/>
      </c>
      <c r="M2255" s="20">
        <f>L2255-L2255*VLOOKUP($O2255,매칭테이블!$G:$J,3,0)</f>
        <v/>
      </c>
      <c r="N2255" s="20">
        <f>VLOOKUP($O2255,매칭테이블!$G:$J,4,0)*H2255</f>
        <v/>
      </c>
      <c r="O2255" s="20">
        <f>F2255&amp;E2255&amp;G2255&amp;J2255</f>
        <v/>
      </c>
    </row>
    <row r="2256" ht="16.5" customHeight="1" s="17">
      <c r="B2256" s="16" t="n">
        <v>44179</v>
      </c>
      <c r="C2256" s="20">
        <f>TEXT(B2256,"aaa")</f>
        <v/>
      </c>
      <c r="E2256" s="20">
        <f>INDEX(매칭테이블!C:C,MATCH(RD!G2256,매칭테이블!D:D,0))</f>
        <v/>
      </c>
      <c r="F2256" s="20" t="inlineStr">
        <is>
          <t>카페24</t>
        </is>
      </c>
      <c r="G2256" s="20" t="inlineStr">
        <is>
          <t>스테이포에버 솔리드퍼퓸 002 (10차 재입고 완료제품선택=best</t>
        </is>
      </c>
      <c r="H2256" s="20" t="n">
        <v>15</v>
      </c>
      <c r="I2256" s="20">
        <f>VLOOKUP(G2256,매칭테이블!D:E,2,0)</f>
        <v/>
      </c>
      <c r="J2256" s="20" t="n">
        <v>201210</v>
      </c>
      <c r="L2256" s="20">
        <f>VLOOKUP($O2256,매칭테이블!$G:$J,2,0)*H2256</f>
        <v/>
      </c>
      <c r="M2256" s="20">
        <f>L2256-L2256*VLOOKUP($O2256,매칭테이블!$G:$J,3,0)</f>
        <v/>
      </c>
      <c r="N2256" s="20">
        <f>VLOOKUP($O2256,매칭테이블!$G:$J,4,0)*H2256</f>
        <v/>
      </c>
      <c r="O2256" s="20">
        <f>F2256&amp;E2256&amp;G2256&amp;J2256</f>
        <v/>
      </c>
    </row>
    <row r="2257" ht="16.5" customHeight="1" s="17">
      <c r="B2257" s="16" t="n">
        <v>44179</v>
      </c>
      <c r="C2257" s="20">
        <f>TEXT(B2257,"aaa")</f>
        <v/>
      </c>
      <c r="E2257" s="20">
        <f>INDEX(매칭테이블!C:C,MATCH(RD!G2257,매칭테이블!D:D,0))</f>
        <v/>
      </c>
      <c r="F2257" s="20" t="inlineStr">
        <is>
          <t>카페24</t>
        </is>
      </c>
      <c r="G2257" s="20" t="inlineStr">
        <is>
          <t>스테이포에버 솔리드퍼퓸 002 (10차 재입고 완료제품선택=커플추천</t>
        </is>
      </c>
      <c r="H2257" s="20" t="n">
        <v>2</v>
      </c>
      <c r="I2257" s="20">
        <f>VLOOKUP(G2257,매칭테이블!D:E,2,0)</f>
        <v/>
      </c>
      <c r="J2257" s="20" t="n">
        <v>201210</v>
      </c>
      <c r="L2257" s="20">
        <f>VLOOKUP($O2257,매칭테이블!$G:$J,2,0)*H2257</f>
        <v/>
      </c>
      <c r="M2257" s="20">
        <f>L2257-L2257*VLOOKUP($O2257,매칭테이블!$G:$J,3,0)</f>
        <v/>
      </c>
      <c r="N2257" s="20">
        <f>VLOOKUP($O2257,매칭테이블!$G:$J,4,0)*H2257</f>
        <v/>
      </c>
      <c r="O2257" s="20">
        <f>F2257&amp;E2257&amp;G2257&amp;J2257</f>
        <v/>
      </c>
    </row>
    <row r="2258" ht="16.5" customHeight="1" s="17">
      <c r="B2258" s="16" t="n">
        <v>44179</v>
      </c>
      <c r="C2258" s="20">
        <f>TEXT(B2258,"aaa")</f>
        <v/>
      </c>
      <c r="E2258" s="20">
        <f>INDEX(매칭테이블!C:C,MATCH(RD!G2258,매칭테이블!D:D,0))</f>
        <v/>
      </c>
      <c r="F2258" s="20" t="inlineStr">
        <is>
          <t>카페24</t>
        </is>
      </c>
      <c r="G2258" s="20" t="inlineStr">
        <is>
          <t>스테이포에버 솔리드퍼퓸 002 (10차 재입고 완료쇼핑백=선물용 쇼핑백</t>
        </is>
      </c>
      <c r="H2258" s="20" t="n">
        <v>1</v>
      </c>
      <c r="I2258" s="20">
        <f>VLOOKUP(G2258,매칭테이블!D:E,2,0)</f>
        <v/>
      </c>
      <c r="J2258" s="20" t="n">
        <v>201210</v>
      </c>
      <c r="L2258" s="20">
        <f>VLOOKUP($O2258,매칭테이블!$G:$J,2,0)*H2258</f>
        <v/>
      </c>
      <c r="M2258" s="20">
        <f>L2258-L2258*VLOOKUP($O2258,매칭테이블!$G:$J,3,0)</f>
        <v/>
      </c>
      <c r="N2258" s="20">
        <f>VLOOKUP($O2258,매칭테이블!$G:$J,4,0)*H2258</f>
        <v/>
      </c>
      <c r="O2258" s="20">
        <f>F2258&amp;E2258&amp;G2258&amp;J2258</f>
        <v/>
      </c>
    </row>
    <row r="2259" ht="16.5" customHeight="1" s="17">
      <c r="B2259" s="16" t="n">
        <v>44179</v>
      </c>
      <c r="C2259" s="20">
        <f>TEXT(B2259,"aaa")</f>
        <v/>
      </c>
      <c r="E2259" s="20">
        <f>INDEX(매칭테이블!C:C,MATCH(RD!G2259,매칭테이블!D:D,0))</f>
        <v/>
      </c>
      <c r="F2259" s="20" t="inlineStr">
        <is>
          <t>카페24</t>
        </is>
      </c>
      <c r="G2259" s="20" t="inlineStr">
        <is>
          <t>스테이포에버 솔리드퍼퓸 002 (10차 재입고 완료)제품선택=스테이포에버 1개</t>
        </is>
      </c>
      <c r="H2259" s="20" t="n">
        <v>45</v>
      </c>
      <c r="I2259" s="20">
        <f>VLOOKUP(G2259,매칭테이블!D:E,2,0)</f>
        <v/>
      </c>
      <c r="J2259" s="20" t="n">
        <v>201210</v>
      </c>
      <c r="L2259" s="20">
        <f>VLOOKUP($O2259,매칭테이블!$G:$J,2,0)*H2259</f>
        <v/>
      </c>
      <c r="M2259" s="20">
        <f>L2259-L2259*VLOOKUP($O2259,매칭테이블!$G:$J,3,0)</f>
        <v/>
      </c>
      <c r="N2259" s="20">
        <f>VLOOKUP($O2259,매칭테이블!$G:$J,4,0)*H2259</f>
        <v/>
      </c>
      <c r="O2259" s="20">
        <f>F2259&amp;E2259&amp;G2259&amp;J2259</f>
        <v/>
      </c>
    </row>
    <row r="2260" ht="16.5" customHeight="1" s="17">
      <c r="B2260" s="16" t="n">
        <v>44179</v>
      </c>
      <c r="C2260" s="20">
        <f>TEXT(B2260,"aaa")</f>
        <v/>
      </c>
      <c r="E2260" s="20">
        <f>INDEX(매칭테이블!C:C,MATCH(RD!G2260,매칭테이블!D:D,0))</f>
        <v/>
      </c>
      <c r="F2260" s="20" t="inlineStr">
        <is>
          <t>카페24</t>
        </is>
      </c>
      <c r="G2260" s="20" t="inlineStr">
        <is>
          <t>스테이포에버 솔리드퍼퓸 002 (10차 재입고 완료)제품선택=best스테이포에버 2개[28% 할인]</t>
        </is>
      </c>
      <c r="H2260" s="20" t="n">
        <v>12</v>
      </c>
      <c r="I2260" s="20">
        <f>VLOOKUP(G2260,매칭테이블!D:E,2,0)</f>
        <v/>
      </c>
      <c r="J2260" s="20" t="n">
        <v>201210</v>
      </c>
      <c r="L2260" s="20">
        <f>VLOOKUP($O2260,매칭테이블!$G:$J,2,0)*H2260</f>
        <v/>
      </c>
      <c r="M2260" s="20">
        <f>L2260-L2260*VLOOKUP($O2260,매칭테이블!$G:$J,3,0)</f>
        <v/>
      </c>
      <c r="N2260" s="20">
        <f>VLOOKUP($O2260,매칭테이블!$G:$J,4,0)*H2260</f>
        <v/>
      </c>
      <c r="O2260" s="20">
        <f>F2260&amp;E2260&amp;G2260&amp;J2260</f>
        <v/>
      </c>
    </row>
    <row r="2261" ht="16.5" customHeight="1" s="17">
      <c r="B2261" s="16" t="n">
        <v>44179</v>
      </c>
      <c r="C2261" s="20">
        <f>TEXT(B2261,"aaa")</f>
        <v/>
      </c>
      <c r="E2261" s="20">
        <f>INDEX(매칭테이블!C:C,MATCH(RD!G2261,매칭테이블!D:D,0))</f>
        <v/>
      </c>
      <c r="F2261" s="20" t="inlineStr">
        <is>
          <t>카페24</t>
        </is>
      </c>
      <c r="G2261" s="20" t="inlineStr">
        <is>
          <t>스테이포에버 솔리드퍼퓸 002 (10차 재입고 완료)제품선택=커플추천스테이포에버 + 이그나이트 세트</t>
        </is>
      </c>
      <c r="H2261" s="20" t="n">
        <v>1</v>
      </c>
      <c r="I2261" s="20">
        <f>VLOOKUP(G2261,매칭테이블!D:E,2,0)</f>
        <v/>
      </c>
      <c r="J2261" s="20" t="n">
        <v>201210</v>
      </c>
      <c r="L2261" s="20">
        <f>VLOOKUP($O2261,매칭테이블!$G:$J,2,0)*H2261</f>
        <v/>
      </c>
      <c r="M2261" s="20">
        <f>L2261-L2261*VLOOKUP($O2261,매칭테이블!$G:$J,3,0)</f>
        <v/>
      </c>
      <c r="N2261" s="20">
        <f>VLOOKUP($O2261,매칭테이블!$G:$J,4,0)*H2261</f>
        <v/>
      </c>
      <c r="O2261" s="20">
        <f>F2261&amp;E2261&amp;G2261&amp;J2261</f>
        <v/>
      </c>
    </row>
    <row r="2262" ht="16.5" customHeight="1" s="17">
      <c r="B2262" s="16" t="n">
        <v>44179</v>
      </c>
      <c r="C2262" s="20">
        <f>TEXT(B2262,"aaa")</f>
        <v/>
      </c>
      <c r="E2262" s="20">
        <f>INDEX(매칭테이블!C:C,MATCH(RD!G2262,매칭테이블!D:D,0))</f>
        <v/>
      </c>
      <c r="F2262" s="20" t="inlineStr">
        <is>
          <t>카페24</t>
        </is>
      </c>
      <c r="G2262" s="20" t="inlineStr">
        <is>
          <t>스테이포에버 솔리드퍼퓸 002 (10차 재입고 완료)쇼핑백=선물용 쇼핑백</t>
        </is>
      </c>
      <c r="H2262" s="20" t="n">
        <v>4</v>
      </c>
      <c r="I2262" s="20">
        <f>VLOOKUP(G2262,매칭테이블!D:E,2,0)</f>
        <v/>
      </c>
      <c r="J2262" s="20" t="n">
        <v>201210</v>
      </c>
      <c r="L2262" s="20">
        <f>VLOOKUP($O2262,매칭테이블!$G:$J,2,0)*H2262</f>
        <v/>
      </c>
      <c r="M2262" s="20">
        <f>L2262-L2262*VLOOKUP($O2262,매칭테이블!$G:$J,3,0)</f>
        <v/>
      </c>
      <c r="N2262" s="20">
        <f>VLOOKUP($O2262,매칭테이블!$G:$J,4,0)*H2262</f>
        <v/>
      </c>
      <c r="O2262" s="20">
        <f>F2262&amp;E2262&amp;G2262&amp;J2262</f>
        <v/>
      </c>
    </row>
    <row r="2263" ht="16.5" customHeight="1" s="17">
      <c r="B2263" s="16" t="n">
        <v>44179</v>
      </c>
      <c r="C2263" s="20">
        <f>TEXT(B2263,"aaa")</f>
        <v/>
      </c>
      <c r="E2263" s="20">
        <f>INDEX(매칭테이블!C:C,MATCH(RD!G2263,매칭테이블!D:D,0))</f>
        <v/>
      </c>
      <c r="F2263" s="20" t="inlineStr">
        <is>
          <t>카페24</t>
        </is>
      </c>
      <c r="G2263" s="20" t="inlineStr">
        <is>
          <t>유즈 솔리드퍼퓸 - 30ml (10차 재입고 완료향=스테이포에버 002 SOLID PERFUME, 세트 선택=1개</t>
        </is>
      </c>
      <c r="H2263" s="20" t="n">
        <v>3</v>
      </c>
      <c r="I2263" s="20">
        <f>VLOOKUP(G2263,매칭테이블!D:E,2,0)</f>
        <v/>
      </c>
      <c r="J2263" s="20" t="n">
        <v>201210</v>
      </c>
      <c r="L2263" s="20">
        <f>VLOOKUP($O2263,매칭테이블!$G:$J,2,0)*H2263</f>
        <v/>
      </c>
      <c r="M2263" s="20">
        <f>L2263-L2263*VLOOKUP($O2263,매칭테이블!$G:$J,3,0)</f>
        <v/>
      </c>
      <c r="N2263" s="20">
        <f>VLOOKUP($O2263,매칭테이블!$G:$J,4,0)*H2263</f>
        <v/>
      </c>
      <c r="O2263" s="20">
        <f>F2263&amp;E2263&amp;G2263&amp;J2263</f>
        <v/>
      </c>
    </row>
    <row r="2264" ht="16.5" customHeight="1" s="17">
      <c r="B2264" s="16" t="n">
        <v>44179</v>
      </c>
      <c r="C2264" s="20">
        <f>TEXT(B2264,"aaa")</f>
        <v/>
      </c>
      <c r="E2264" s="20">
        <f>INDEX(매칭테이블!C:C,MATCH(RD!G2264,매칭테이블!D:D,0))</f>
        <v/>
      </c>
      <c r="F2264" s="20" t="inlineStr">
        <is>
          <t>카페24</t>
        </is>
      </c>
      <c r="G2264" s="20" t="inlineStr">
        <is>
          <t>유즈 솔리드퍼퓸 - 30ml (10차 재입고 완료 )향=스테이포에버 002 SOLID PERFUME, 세트 선택=1개</t>
        </is>
      </c>
      <c r="H2264" s="20" t="n">
        <v>3</v>
      </c>
      <c r="I2264" s="20">
        <f>VLOOKUP(G2264,매칭테이블!D:E,2,0)</f>
        <v/>
      </c>
      <c r="J2264" s="20" t="n">
        <v>201210</v>
      </c>
      <c r="L2264" s="20">
        <f>VLOOKUP($O2264,매칭테이블!$G:$J,2,0)*H2264</f>
        <v/>
      </c>
      <c r="M2264" s="20">
        <f>L2264-L2264*VLOOKUP($O2264,매칭테이블!$G:$J,3,0)</f>
        <v/>
      </c>
      <c r="N2264" s="20">
        <f>VLOOKUP($O2264,매칭테이블!$G:$J,4,0)*H2264</f>
        <v/>
      </c>
      <c r="O2264" s="20">
        <f>F2264&amp;E2264&amp;G2264&amp;J2264</f>
        <v/>
      </c>
    </row>
    <row r="2265" ht="16.5" customHeight="1" s="17">
      <c r="B2265" s="16" t="n">
        <v>44179</v>
      </c>
      <c r="C2265" s="20">
        <f>TEXT(B2265,"aaa")</f>
        <v/>
      </c>
      <c r="E2265" s="20">
        <f>INDEX(매칭테이블!C:C,MATCH(RD!G2265,매칭테이블!D:D,0))</f>
        <v/>
      </c>
      <c r="F2265" s="20" t="inlineStr">
        <is>
          <t>카페24</t>
        </is>
      </c>
      <c r="G2265" s="20" t="inlineStr">
        <is>
          <t>유즈 솔리드퍼퓸 - 30ml (10차 재입고 완료 )향=스테이포에버 002 SOLID PERFUME, 세트 선택=best 2개 (28% 할인)</t>
        </is>
      </c>
      <c r="H2265" s="20" t="n">
        <v>2</v>
      </c>
      <c r="I2265" s="20">
        <f>VLOOKUP(G2265,매칭테이블!D:E,2,0)</f>
        <v/>
      </c>
      <c r="J2265" s="20" t="n">
        <v>201210</v>
      </c>
      <c r="L2265" s="20">
        <f>VLOOKUP($O2265,매칭테이블!$G:$J,2,0)*H2265</f>
        <v/>
      </c>
      <c r="M2265" s="20">
        <f>L2265-L2265*VLOOKUP($O2265,매칭테이블!$G:$J,3,0)</f>
        <v/>
      </c>
      <c r="N2265" s="20">
        <f>VLOOKUP($O2265,매칭테이블!$G:$J,4,0)*H2265</f>
        <v/>
      </c>
      <c r="O2265" s="20">
        <f>F2265&amp;E2265&amp;G2265&amp;J2265</f>
        <v/>
      </c>
    </row>
    <row r="2266" ht="16.5" customHeight="1" s="17">
      <c r="B2266" s="16" t="n">
        <v>44179</v>
      </c>
      <c r="C2266" s="20">
        <f>TEXT(B2266,"aaa")</f>
        <v/>
      </c>
      <c r="E2266" s="20">
        <f>INDEX(매칭테이블!C:C,MATCH(RD!G2266,매칭테이블!D:D,0))</f>
        <v/>
      </c>
      <c r="F2266" s="20" t="inlineStr">
        <is>
          <t>카페24</t>
        </is>
      </c>
      <c r="G2266" s="20" t="inlineStr">
        <is>
          <t>유즈 솔리드퍼퓸 - 30ml (스테이포에버 주문 시 12/15 순차배송)향=스테이포에버 002 SOLID PERFUME, 세트 선택=1</t>
        </is>
      </c>
      <c r="H2266" s="20" t="n">
        <v>7</v>
      </c>
      <c r="I2266" s="20">
        <f>VLOOKUP(G2266,매칭테이블!D:E,2,0)</f>
        <v/>
      </c>
      <c r="J2266" s="20" t="n">
        <v>201210</v>
      </c>
      <c r="L2266" s="20">
        <f>VLOOKUP($O2266,매칭테이블!$G:$J,2,0)*H2266</f>
        <v/>
      </c>
      <c r="M2266" s="20">
        <f>L2266-L2266*VLOOKUP($O2266,매칭테이블!$G:$J,3,0)</f>
        <v/>
      </c>
      <c r="N2266" s="20">
        <f>VLOOKUP($O2266,매칭테이블!$G:$J,4,0)*H2266</f>
        <v/>
      </c>
      <c r="O2266" s="20">
        <f>F2266&amp;E2266&amp;G2266&amp;J2266</f>
        <v/>
      </c>
    </row>
    <row r="2267" ht="16.5" customHeight="1" s="17">
      <c r="B2267" s="16" t="n">
        <v>44179</v>
      </c>
      <c r="C2267" s="20">
        <f>TEXT(B2267,"aaa")</f>
        <v/>
      </c>
      <c r="E2267" s="20">
        <f>INDEX(매칭테이블!C:C,MATCH(RD!G2267,매칭테이블!D:D,0))</f>
        <v/>
      </c>
      <c r="F2267" s="20" t="inlineStr">
        <is>
          <t>카페24</t>
        </is>
      </c>
      <c r="G2267" s="20" t="inlineStr">
        <is>
          <t>유즈 솔리드퍼퓸 - 30ml (스테이포에버 주문 시 12/15 순차배송)향=스테이포에버, 세트 선택=1 개</t>
        </is>
      </c>
      <c r="H2267" s="20" t="n">
        <v>2</v>
      </c>
      <c r="I2267" s="20">
        <f>VLOOKUP(G2267,매칭테이블!D:E,2,0)</f>
        <v/>
      </c>
      <c r="J2267" s="20" t="n">
        <v>201210</v>
      </c>
      <c r="L2267" s="20">
        <f>VLOOKUP($O2267,매칭테이블!$G:$J,2,0)*H2267</f>
        <v/>
      </c>
      <c r="M2267" s="20">
        <f>L2267-L2267*VLOOKUP($O2267,매칭테이블!$G:$J,3,0)</f>
        <v/>
      </c>
      <c r="N2267" s="20">
        <f>VLOOKUP($O2267,매칭테이블!$G:$J,4,0)*H2267</f>
        <v/>
      </c>
      <c r="O2267" s="20">
        <f>F2267&amp;E2267&amp;G2267&amp;J2267</f>
        <v/>
      </c>
    </row>
    <row r="2268" ht="16.5" customHeight="1" s="17">
      <c r="B2268" s="16" t="n">
        <v>44179</v>
      </c>
      <c r="C2268" s="20">
        <f>TEXT(B2268,"aaa")</f>
        <v/>
      </c>
      <c r="E2268" s="20">
        <f>INDEX(매칭테이블!C:C,MATCH(RD!G2268,매칭테이블!D:D,0))</f>
        <v/>
      </c>
      <c r="F2268" s="20" t="inlineStr">
        <is>
          <t>카페24</t>
        </is>
      </c>
      <c r="G2268" s="20" t="inlineStr">
        <is>
          <t>유즈 솔리드퍼퓸 - 30ml (스테이포에버 주문 시 12/15 순차배송)향=스테이포에버 002 SOLID PERFUME, 세트 선택=best</t>
        </is>
      </c>
      <c r="H2268" s="20" t="n">
        <v>3</v>
      </c>
      <c r="I2268" s="20">
        <f>VLOOKUP(G2268,매칭테이블!D:E,2,0)</f>
        <v/>
      </c>
      <c r="J2268" s="20" t="n">
        <v>201210</v>
      </c>
      <c r="L2268" s="20">
        <f>VLOOKUP($O2268,매칭테이블!$G:$J,2,0)*H2268</f>
        <v/>
      </c>
      <c r="M2268" s="20">
        <f>L2268-L2268*VLOOKUP($O2268,매칭테이블!$G:$J,3,0)</f>
        <v/>
      </c>
      <c r="N2268" s="20">
        <f>VLOOKUP($O2268,매칭테이블!$G:$J,4,0)*H2268</f>
        <v/>
      </c>
      <c r="O2268" s="20">
        <f>F2268&amp;E2268&amp;G2268&amp;J2268</f>
        <v/>
      </c>
    </row>
    <row r="2269" ht="16.5" customHeight="1" s="17">
      <c r="B2269" s="16" t="n">
        <v>44179</v>
      </c>
      <c r="C2269" s="20">
        <f>TEXT(B2269,"aaa")</f>
        <v/>
      </c>
      <c r="E2269" s="20">
        <f>INDEX(매칭테이블!C:C,MATCH(RD!G2269,매칭테이블!D:D,0))</f>
        <v/>
      </c>
      <c r="F2269" s="20" t="inlineStr">
        <is>
          <t>카페24</t>
        </is>
      </c>
      <c r="G2269" s="20" t="inlineStr">
        <is>
          <t>유즈 솔리드퍼퓸 - 30ml (스테이포에버 주문 시 12/15 순차배송)향=스테이포에버 002 SOLID PERFUME, 세트 선택=best(28% 할인)2개</t>
        </is>
      </c>
      <c r="H2269" s="20" t="n">
        <v>1</v>
      </c>
      <c r="I2269" s="20">
        <f>VLOOKUP(G2269,매칭테이블!D:E,2,0)</f>
        <v/>
      </c>
      <c r="J2269" s="20" t="n">
        <v>201210</v>
      </c>
      <c r="L2269" s="20">
        <f>VLOOKUP($O2269,매칭테이블!$G:$J,2,0)*H2269</f>
        <v/>
      </c>
      <c r="M2269" s="20">
        <f>L2269-L2269*VLOOKUP($O2269,매칭테이블!$G:$J,3,0)</f>
        <v/>
      </c>
      <c r="N2269" s="20">
        <f>VLOOKUP($O2269,매칭테이블!$G:$J,4,0)*H2269</f>
        <v/>
      </c>
      <c r="O2269" s="20">
        <f>F2269&amp;E2269&amp;G2269&amp;J2269</f>
        <v/>
      </c>
    </row>
    <row r="2270" ht="16.5" customHeight="1" s="17">
      <c r="B2270" s="16" t="n">
        <v>44179</v>
      </c>
      <c r="C2270" s="20">
        <f>TEXT(B2270,"aaa")</f>
        <v/>
      </c>
      <c r="E2270" s="20">
        <f>INDEX(매칭테이블!C:C,MATCH(RD!G2270,매칭테이블!D:D,0))</f>
        <v/>
      </c>
      <c r="F2270" s="20" t="inlineStr">
        <is>
          <t>카페24</t>
        </is>
      </c>
      <c r="G2270" s="20" t="inlineStr">
        <is>
          <t>유즈 솔리드퍼퓸 - 30ml (스테이포에버 주문 시 12/15 순차배송)향=이그나이트 + 스테이포에버, 세트 선택=1 SET</t>
        </is>
      </c>
      <c r="H2270" s="20" t="n">
        <v>3</v>
      </c>
      <c r="I2270" s="20">
        <f>VLOOKUP(G2270,매칭테이블!D:E,2,0)</f>
        <v/>
      </c>
      <c r="J2270" s="20" t="n">
        <v>201210</v>
      </c>
      <c r="L2270" s="20">
        <f>VLOOKUP($O2270,매칭테이블!$G:$J,2,0)*H2270</f>
        <v/>
      </c>
      <c r="M2270" s="20">
        <f>L2270-L2270*VLOOKUP($O2270,매칭테이블!$G:$J,3,0)</f>
        <v/>
      </c>
      <c r="N2270" s="20">
        <f>VLOOKUP($O2270,매칭테이블!$G:$J,4,0)*H2270</f>
        <v/>
      </c>
      <c r="O2270" s="20">
        <f>F2270&amp;E2270&amp;G2270&amp;J2270</f>
        <v/>
      </c>
    </row>
    <row r="2271" ht="16.5" customHeight="1" s="17">
      <c r="B2271" s="16" t="n">
        <v>44179</v>
      </c>
      <c r="C2271" s="20">
        <f>TEXT(B2271,"aaa")</f>
        <v/>
      </c>
      <c r="E2271" s="20">
        <f>INDEX(매칭테이블!C:C,MATCH(RD!G2271,매칭테이블!D:D,0))</f>
        <v/>
      </c>
      <c r="F2271" s="20" t="inlineStr">
        <is>
          <t>카페24</t>
        </is>
      </c>
      <c r="G2271" s="20" t="inlineStr">
        <is>
          <t>유즈 솔리드퍼퓸 - 30ml (스테이포에버 주문 시 12/15 순차배송)향=커플세트</t>
        </is>
      </c>
      <c r="H2271" s="20" t="n">
        <v>7</v>
      </c>
      <c r="I2271" s="20">
        <f>VLOOKUP(G2271,매칭테이블!D:E,2,0)</f>
        <v/>
      </c>
      <c r="J2271" s="20" t="n">
        <v>201210</v>
      </c>
      <c r="L2271" s="20">
        <f>VLOOKUP($O2271,매칭테이블!$G:$J,2,0)*H2271</f>
        <v/>
      </c>
      <c r="M2271" s="20">
        <f>L2271-L2271*VLOOKUP($O2271,매칭테이블!$G:$J,3,0)</f>
        <v/>
      </c>
      <c r="N2271" s="20">
        <f>VLOOKUP($O2271,매칭테이블!$G:$J,4,0)*H2271</f>
        <v/>
      </c>
      <c r="O2271" s="20">
        <f>F2271&amp;E2271&amp;G2271&amp;J2271</f>
        <v/>
      </c>
    </row>
    <row r="2272" ht="16.5" customHeight="1" s="17">
      <c r="B2272" s="16" t="n">
        <v>44179</v>
      </c>
      <c r="C2272" s="20">
        <f>TEXT(B2272,"aaa")</f>
        <v/>
      </c>
      <c r="E2272" s="20">
        <f>INDEX(매칭테이블!C:C,MATCH(RD!G2272,매칭테이블!D:D,0))</f>
        <v/>
      </c>
      <c r="F2272" s="20" t="inlineStr">
        <is>
          <t>카페24</t>
        </is>
      </c>
      <c r="G2272" s="20" t="inlineStr">
        <is>
          <t>유즈 솔리드퍼퓸 - 30ml (스테이포에버 주문 시 12/15 순차배송)향=커플세트(이그나이트 + 스테이포에버), 세트 선택=1 SET</t>
        </is>
      </c>
      <c r="H2272" s="20" t="n">
        <v>2</v>
      </c>
      <c r="I2272" s="20">
        <f>VLOOKUP(G2272,매칭테이블!D:E,2,0)</f>
        <v/>
      </c>
      <c r="J2272" s="20" t="n">
        <v>201210</v>
      </c>
      <c r="L2272" s="20">
        <f>VLOOKUP($O2272,매칭테이블!$G:$J,2,0)*H2272</f>
        <v/>
      </c>
      <c r="M2272" s="20">
        <f>L2272-L2272*VLOOKUP($O2272,매칭테이블!$G:$J,3,0)</f>
        <v/>
      </c>
      <c r="N2272" s="20">
        <f>VLOOKUP($O2272,매칭테이블!$G:$J,4,0)*H2272</f>
        <v/>
      </c>
      <c r="O2272" s="20">
        <f>F2272&amp;E2272&amp;G2272&amp;J2272</f>
        <v/>
      </c>
    </row>
    <row r="2273" ht="16.5" customHeight="1" s="17">
      <c r="B2273" s="16" t="n">
        <v>44179</v>
      </c>
      <c r="C2273" s="20">
        <f>TEXT(B2273,"aaa")</f>
        <v/>
      </c>
      <c r="E2273" s="20">
        <f>INDEX(매칭테이블!C:C,MATCH(RD!G2273,매칭테이블!D:D,0))</f>
        <v/>
      </c>
      <c r="F2273" s="20" t="inlineStr">
        <is>
          <t>카페24</t>
        </is>
      </c>
      <c r="G2273" s="20" t="inlineStr">
        <is>
          <t>유즈 스테이포에버 솔리드퍼퓸 002 (10차 재입고 완료제품선택=커플추천</t>
        </is>
      </c>
      <c r="H2273" s="20" t="n">
        <v>1</v>
      </c>
      <c r="I2273" s="20">
        <f>VLOOKUP(G2273,매칭테이블!D:E,2,0)</f>
        <v/>
      </c>
      <c r="J2273" s="20" t="n">
        <v>201210</v>
      </c>
      <c r="L2273" s="20">
        <f>VLOOKUP($O2273,매칭테이블!$G:$J,2,0)*H2273</f>
        <v/>
      </c>
      <c r="M2273" s="20">
        <f>L2273-L2273*VLOOKUP($O2273,매칭테이블!$G:$J,3,0)</f>
        <v/>
      </c>
      <c r="N2273" s="20">
        <f>VLOOKUP($O2273,매칭테이블!$G:$J,4,0)*H2273</f>
        <v/>
      </c>
      <c r="O2273" s="20">
        <f>F2273&amp;E2273&amp;G2273&amp;J2273</f>
        <v/>
      </c>
    </row>
    <row r="2274" ht="16.5" customHeight="1" s="17">
      <c r="B2274" s="16" t="n">
        <v>44179</v>
      </c>
      <c r="C2274" s="20">
        <f>TEXT(B2274,"aaa")</f>
        <v/>
      </c>
      <c r="E2274" s="20">
        <f>INDEX(매칭테이블!C:C,MATCH(RD!G2274,매칭테이블!D:D,0))</f>
        <v/>
      </c>
      <c r="F2274" s="20" t="inlineStr">
        <is>
          <t>카페24</t>
        </is>
      </c>
      <c r="G2274" s="20" t="inlineStr">
        <is>
          <t>유즈 스테이포에버 솔리드퍼퓸 002 (10차 재입고 완료)제품선택=스테이포에버 1개</t>
        </is>
      </c>
      <c r="H2274" s="20" t="n">
        <v>1</v>
      </c>
      <c r="I2274" s="20">
        <f>VLOOKUP(G2274,매칭테이블!D:E,2,0)</f>
        <v/>
      </c>
      <c r="J2274" s="20" t="n">
        <v>201210</v>
      </c>
      <c r="L2274" s="20">
        <f>VLOOKUP($O2274,매칭테이블!$G:$J,2,0)*H2274</f>
        <v/>
      </c>
      <c r="M2274" s="20">
        <f>L2274-L2274*VLOOKUP($O2274,매칭테이블!$G:$J,3,0)</f>
        <v/>
      </c>
      <c r="N2274" s="20">
        <f>VLOOKUP($O2274,매칭테이블!$G:$J,4,0)*H2274</f>
        <v/>
      </c>
      <c r="O2274" s="20">
        <f>F2274&amp;E2274&amp;G2274&amp;J2274</f>
        <v/>
      </c>
    </row>
    <row r="2275" ht="16.5" customHeight="1" s="17">
      <c r="B2275" s="16" t="n">
        <v>44179</v>
      </c>
      <c r="C2275" s="20">
        <f>TEXT(B2275,"aaa")</f>
        <v/>
      </c>
      <c r="E2275" s="20">
        <f>INDEX(매칭테이블!C:C,MATCH(RD!G2275,매칭테이블!D:D,0))</f>
        <v/>
      </c>
      <c r="F2275" s="20" t="inlineStr">
        <is>
          <t>카페24</t>
        </is>
      </c>
      <c r="G2275" s="20" t="inlineStr">
        <is>
          <t>유즈 스테이포에버 솔리드퍼퓸 002 (스테이포에버 주문시 12/14 순차배송)제품선택=스테이포에버 솔리드퍼퓸 002[Pre-order 이벤트 17% 할인]</t>
        </is>
      </c>
      <c r="H2275" s="20" t="n">
        <v>1</v>
      </c>
      <c r="I2275" s="20">
        <f>VLOOKUP(G2275,매칭테이블!D:E,2,0)</f>
        <v/>
      </c>
      <c r="J2275" s="20" t="n">
        <v>201210</v>
      </c>
      <c r="L2275" s="20">
        <f>VLOOKUP($O2275,매칭테이블!$G:$J,2,0)*H2275</f>
        <v/>
      </c>
      <c r="M2275" s="20">
        <f>L2275-L2275*VLOOKUP($O2275,매칭테이블!$G:$J,3,0)</f>
        <v/>
      </c>
      <c r="N2275" s="20">
        <f>VLOOKUP($O2275,매칭테이블!$G:$J,4,0)*H2275</f>
        <v/>
      </c>
      <c r="O2275" s="20">
        <f>F2275&amp;E2275&amp;G2275&amp;J2275</f>
        <v/>
      </c>
    </row>
    <row r="2276" ht="16.5" customHeight="1" s="17">
      <c r="B2276" s="16" t="n">
        <v>44179</v>
      </c>
      <c r="C2276" s="20">
        <f>TEXT(B2276,"aaa")</f>
        <v/>
      </c>
      <c r="E2276" s="20">
        <f>INDEX(매칭테이블!C:C,MATCH(RD!G2276,매칭테이블!D:D,0))</f>
        <v/>
      </c>
      <c r="F2276" s="20" t="inlineStr">
        <is>
          <t>카페24</t>
        </is>
      </c>
      <c r="G2276" s="20" t="inlineStr">
        <is>
          <t>유즈 스테이포에버 솔리드퍼퓸 002 (스테이포에버 주문시 12/15 순차배송)제품선택=스테이포에버 1개</t>
        </is>
      </c>
      <c r="H2276" s="20" t="n">
        <v>166</v>
      </c>
      <c r="I2276" s="20">
        <f>VLOOKUP(G2276,매칭테이블!D:E,2,0)</f>
        <v/>
      </c>
      <c r="J2276" s="20" t="n">
        <v>201210</v>
      </c>
      <c r="L2276" s="20">
        <f>VLOOKUP($O2276,매칭테이블!$G:$J,2,0)*H2276</f>
        <v/>
      </c>
      <c r="M2276" s="20">
        <f>L2276-L2276*VLOOKUP($O2276,매칭테이블!$G:$J,3,0)</f>
        <v/>
      </c>
      <c r="N2276" s="20">
        <f>VLOOKUP($O2276,매칭테이블!$G:$J,4,0)*H2276</f>
        <v/>
      </c>
      <c r="O2276" s="20">
        <f>F2276&amp;E2276&amp;G2276&amp;J2276</f>
        <v/>
      </c>
    </row>
    <row r="2277" ht="16.5" customHeight="1" s="17">
      <c r="B2277" s="16" t="n">
        <v>44179</v>
      </c>
      <c r="C2277" s="20">
        <f>TEXT(B2277,"aaa")</f>
        <v/>
      </c>
      <c r="E2277" s="20">
        <f>INDEX(매칭테이블!C:C,MATCH(RD!G2277,매칭테이블!D:D,0))</f>
        <v/>
      </c>
      <c r="F2277" s="20" t="inlineStr">
        <is>
          <t>카페24</t>
        </is>
      </c>
      <c r="G2277" s="20" t="inlineStr">
        <is>
          <t>유즈 스테이포에버 솔리드퍼퓸 002 (스테이포에버 주문시 12/15 순차배송)제품선택=스테이포에버 1개 [17% 할인]</t>
        </is>
      </c>
      <c r="H2277" s="20" t="n">
        <v>3</v>
      </c>
      <c r="I2277" s="20">
        <f>VLOOKUP(G2277,매칭테이블!D:E,2,0)</f>
        <v/>
      </c>
      <c r="J2277" s="20" t="n">
        <v>201210</v>
      </c>
      <c r="L2277" s="20">
        <f>VLOOKUP($O2277,매칭테이블!$G:$J,2,0)*H2277</f>
        <v/>
      </c>
      <c r="M2277" s="20">
        <f>L2277-L2277*VLOOKUP($O2277,매칭테이블!$G:$J,3,0)</f>
        <v/>
      </c>
      <c r="N2277" s="20">
        <f>VLOOKUP($O2277,매칭테이블!$G:$J,4,0)*H2277</f>
        <v/>
      </c>
      <c r="O2277" s="20">
        <f>F2277&amp;E2277&amp;G2277&amp;J2277</f>
        <v/>
      </c>
    </row>
    <row r="2278" ht="16.5" customHeight="1" s="17">
      <c r="B2278" s="16" t="n">
        <v>44179</v>
      </c>
      <c r="C2278" s="20">
        <f>TEXT(B2278,"aaa")</f>
        <v/>
      </c>
      <c r="E2278" s="20">
        <f>INDEX(매칭테이블!C:C,MATCH(RD!G2278,매칭테이블!D:D,0))</f>
        <v/>
      </c>
      <c r="F2278" s="20" t="inlineStr">
        <is>
          <t>카페24</t>
        </is>
      </c>
      <c r="G2278" s="20" t="inlineStr">
        <is>
          <t>유즈 스테이포에버 솔리드퍼퓸 002 (스테이포에버 주문시 12/15 순차배송)제품선택=스테이포에버 [17% 할인]</t>
        </is>
      </c>
      <c r="H2278" s="20" t="n">
        <v>3</v>
      </c>
      <c r="I2278" s="20">
        <f>VLOOKUP(G2278,매칭테이블!D:E,2,0)</f>
        <v/>
      </c>
      <c r="J2278" s="20" t="n">
        <v>201210</v>
      </c>
      <c r="L2278" s="20">
        <f>VLOOKUP($O2278,매칭테이블!$G:$J,2,0)*H2278</f>
        <v/>
      </c>
      <c r="M2278" s="20">
        <f>L2278-L2278*VLOOKUP($O2278,매칭테이블!$G:$J,3,0)</f>
        <v/>
      </c>
      <c r="N2278" s="20">
        <f>VLOOKUP($O2278,매칭테이블!$G:$J,4,0)*H2278</f>
        <v/>
      </c>
      <c r="O2278" s="20">
        <f>F2278&amp;E2278&amp;G2278&amp;J2278</f>
        <v/>
      </c>
    </row>
    <row r="2279" ht="16.5" customHeight="1" s="17">
      <c r="B2279" s="16" t="n">
        <v>44179</v>
      </c>
      <c r="C2279" s="20">
        <f>TEXT(B2279,"aaa")</f>
        <v/>
      </c>
      <c r="E2279" s="20">
        <f>INDEX(매칭테이블!C:C,MATCH(RD!G2279,매칭테이블!D:D,0))</f>
        <v/>
      </c>
      <c r="F2279" s="20" t="inlineStr">
        <is>
          <t>카페24</t>
        </is>
      </c>
      <c r="G2279" s="20" t="inlineStr">
        <is>
          <t>유즈 스테이포에버 솔리드퍼퓸 002 (스테이포에버 주문시 12/15 순차배송)제품선택=스테이포에버 솔리드퍼퓸 002[Pre-order 이벤트 17% 할인]</t>
        </is>
      </c>
      <c r="H2279" s="20" t="n">
        <v>20</v>
      </c>
      <c r="I2279" s="20">
        <f>VLOOKUP(G2279,매칭테이블!D:E,2,0)</f>
        <v/>
      </c>
      <c r="J2279" s="20" t="n">
        <v>201210</v>
      </c>
      <c r="L2279" s="20">
        <f>VLOOKUP($O2279,매칭테이블!$G:$J,2,0)*H2279</f>
        <v/>
      </c>
      <c r="M2279" s="20">
        <f>L2279-L2279*VLOOKUP($O2279,매칭테이블!$G:$J,3,0)</f>
        <v/>
      </c>
      <c r="N2279" s="20">
        <f>VLOOKUP($O2279,매칭테이블!$G:$J,4,0)*H2279</f>
        <v/>
      </c>
      <c r="O2279" s="20">
        <f>F2279&amp;E2279&amp;G2279&amp;J2279</f>
        <v/>
      </c>
    </row>
    <row r="2280" ht="16.5" customHeight="1" s="17">
      <c r="B2280" s="16" t="n">
        <v>44179</v>
      </c>
      <c r="C2280" s="20">
        <f>TEXT(B2280,"aaa")</f>
        <v/>
      </c>
      <c r="E2280" s="20">
        <f>INDEX(매칭테이블!C:C,MATCH(RD!G2280,매칭테이블!D:D,0))</f>
        <v/>
      </c>
      <c r="F2280" s="20" t="inlineStr">
        <is>
          <t>카페24</t>
        </is>
      </c>
      <c r="G2280" s="20" t="inlineStr">
        <is>
          <t>유즈 스테이포에버 솔리드퍼퓸 002 (스테이포에버 주문시 12/15 순차배송)제품선택=best</t>
        </is>
      </c>
      <c r="H2280" s="20" t="n">
        <v>44</v>
      </c>
      <c r="I2280" s="20">
        <f>VLOOKUP(G2280,매칭테이블!D:E,2,0)</f>
        <v/>
      </c>
      <c r="J2280" s="20" t="n">
        <v>201210</v>
      </c>
      <c r="L2280" s="20">
        <f>VLOOKUP($O2280,매칭테이블!$G:$J,2,0)*H2280</f>
        <v/>
      </c>
      <c r="M2280" s="20">
        <f>L2280-L2280*VLOOKUP($O2280,매칭테이블!$G:$J,3,0)</f>
        <v/>
      </c>
      <c r="N2280" s="20">
        <f>VLOOKUP($O2280,매칭테이블!$G:$J,4,0)*H2280</f>
        <v/>
      </c>
      <c r="O2280" s="20">
        <f>F2280&amp;E2280&amp;G2280&amp;J2280</f>
        <v/>
      </c>
    </row>
    <row r="2281" ht="16.5" customHeight="1" s="17">
      <c r="B2281" s="16" t="n">
        <v>44179</v>
      </c>
      <c r="C2281" s="20">
        <f>TEXT(B2281,"aaa")</f>
        <v/>
      </c>
      <c r="E2281" s="20">
        <f>INDEX(매칭테이블!C:C,MATCH(RD!G2281,매칭테이블!D:D,0))</f>
        <v/>
      </c>
      <c r="F2281" s="20" t="inlineStr">
        <is>
          <t>카페24</t>
        </is>
      </c>
      <c r="G2281" s="20" t="inlineStr">
        <is>
          <t>유즈 스테이포에버 솔리드퍼퓸 002 (스테이포에버 주문시 12/15 순차배송)제품선택=best스테이포에버 2개[28% 할인]</t>
        </is>
      </c>
      <c r="H2281" s="20" t="n">
        <v>33</v>
      </c>
      <c r="I2281" s="20">
        <f>VLOOKUP(G2281,매칭테이블!D:E,2,0)</f>
        <v/>
      </c>
      <c r="J2281" s="20" t="n">
        <v>201210</v>
      </c>
      <c r="L2281" s="20">
        <f>VLOOKUP($O2281,매칭테이블!$G:$J,2,0)*H2281</f>
        <v/>
      </c>
      <c r="M2281" s="20">
        <f>L2281-L2281*VLOOKUP($O2281,매칭테이블!$G:$J,3,0)</f>
        <v/>
      </c>
      <c r="N2281" s="20">
        <f>VLOOKUP($O2281,매칭테이블!$G:$J,4,0)*H2281</f>
        <v/>
      </c>
      <c r="O2281" s="20">
        <f>F2281&amp;E2281&amp;G2281&amp;J2281</f>
        <v/>
      </c>
    </row>
    <row r="2282" ht="16.5" customHeight="1" s="17">
      <c r="B2282" s="16" t="n">
        <v>44179</v>
      </c>
      <c r="C2282" s="20">
        <f>TEXT(B2282,"aaa")</f>
        <v/>
      </c>
      <c r="E2282" s="20">
        <f>INDEX(매칭테이블!C:C,MATCH(RD!G2282,매칭테이블!D:D,0))</f>
        <v/>
      </c>
      <c r="F2282" s="20" t="inlineStr">
        <is>
          <t>카페24</t>
        </is>
      </c>
      <c r="G2282" s="20" t="inlineStr">
        <is>
          <t>유즈 스테이포에버 솔리드퍼퓸 002 (스테이포에버 주문시 12/15 순차배송)제품선택=스테이포에버 2개 세트[Pre-order 이벤트 28% 할인]</t>
        </is>
      </c>
      <c r="H2282" s="20" t="n">
        <v>7</v>
      </c>
      <c r="I2282" s="20">
        <f>VLOOKUP(G2282,매칭테이블!D:E,2,0)</f>
        <v/>
      </c>
      <c r="J2282" s="20" t="n">
        <v>201210</v>
      </c>
      <c r="L2282" s="20">
        <f>VLOOKUP($O2282,매칭테이블!$G:$J,2,0)*H2282</f>
        <v/>
      </c>
      <c r="M2282" s="20">
        <f>L2282-L2282*VLOOKUP($O2282,매칭테이블!$G:$J,3,0)</f>
        <v/>
      </c>
      <c r="N2282" s="20">
        <f>VLOOKUP($O2282,매칭테이블!$G:$J,4,0)*H2282</f>
        <v/>
      </c>
      <c r="O2282" s="20">
        <f>F2282&amp;E2282&amp;G2282&amp;J2282</f>
        <v/>
      </c>
    </row>
    <row r="2283" ht="16.5" customHeight="1" s="17">
      <c r="B2283" s="16" t="n">
        <v>44179</v>
      </c>
      <c r="C2283" s="20">
        <f>TEXT(B2283,"aaa")</f>
        <v/>
      </c>
      <c r="E2283" s="20">
        <f>INDEX(매칭테이블!C:C,MATCH(RD!G2283,매칭테이블!D:D,0))</f>
        <v/>
      </c>
      <c r="F2283" s="20" t="inlineStr">
        <is>
          <t>카페24</t>
        </is>
      </c>
      <c r="G2283" s="20" t="inlineStr">
        <is>
          <t>유즈 스테이포에버 솔리드퍼퓸 002 (스테이포에버 주문시 12/15 순차배송)제품선택=스테이포에버 + 이그나이트 세트</t>
        </is>
      </c>
      <c r="H2283" s="20" t="n">
        <v>1</v>
      </c>
      <c r="I2283" s="20">
        <f>VLOOKUP(G2283,매칭테이블!D:E,2,0)</f>
        <v/>
      </c>
      <c r="J2283" s="20" t="n">
        <v>201210</v>
      </c>
      <c r="L2283" s="20">
        <f>VLOOKUP($O2283,매칭테이블!$G:$J,2,0)*H2283</f>
        <v/>
      </c>
      <c r="M2283" s="20">
        <f>L2283-L2283*VLOOKUP($O2283,매칭테이블!$G:$J,3,0)</f>
        <v/>
      </c>
      <c r="N2283" s="20">
        <f>VLOOKUP($O2283,매칭테이블!$G:$J,4,0)*H2283</f>
        <v/>
      </c>
      <c r="O2283" s="20">
        <f>F2283&amp;E2283&amp;G2283&amp;J2283</f>
        <v/>
      </c>
    </row>
    <row r="2284" ht="16.5" customHeight="1" s="17">
      <c r="B2284" s="16" t="n">
        <v>44179</v>
      </c>
      <c r="C2284" s="20">
        <f>TEXT(B2284,"aaa")</f>
        <v/>
      </c>
      <c r="E2284" s="20">
        <f>INDEX(매칭테이블!C:C,MATCH(RD!G2284,매칭테이블!D:D,0))</f>
        <v/>
      </c>
      <c r="F2284" s="20" t="inlineStr">
        <is>
          <t>카페24</t>
        </is>
      </c>
      <c r="G2284" s="20" t="inlineStr">
        <is>
          <t>유즈 스테이포에버 솔리드퍼퓸 002 (스테이포에버 주문시 12/15 순차배송)제품선택=커플추천</t>
        </is>
      </c>
      <c r="H2284" s="20" t="n">
        <v>4</v>
      </c>
      <c r="I2284" s="20">
        <f>VLOOKUP(G2284,매칭테이블!D:E,2,0)</f>
        <v/>
      </c>
      <c r="J2284" s="20" t="n">
        <v>201210</v>
      </c>
      <c r="L2284" s="20">
        <f>VLOOKUP($O2284,매칭테이블!$G:$J,2,0)*H2284</f>
        <v/>
      </c>
      <c r="M2284" s="20">
        <f>L2284-L2284*VLOOKUP($O2284,매칭테이블!$G:$J,3,0)</f>
        <v/>
      </c>
      <c r="N2284" s="20">
        <f>VLOOKUP($O2284,매칭테이블!$G:$J,4,0)*H2284</f>
        <v/>
      </c>
      <c r="O2284" s="20">
        <f>F2284&amp;E2284&amp;G2284&amp;J2284</f>
        <v/>
      </c>
    </row>
    <row r="2285" ht="16.5" customHeight="1" s="17">
      <c r="B2285" s="16" t="n">
        <v>44179</v>
      </c>
      <c r="C2285" s="20">
        <f>TEXT(B2285,"aaa")</f>
        <v/>
      </c>
      <c r="E2285" s="20">
        <f>INDEX(매칭테이블!C:C,MATCH(RD!G2285,매칭테이블!D:D,0))</f>
        <v/>
      </c>
      <c r="F2285" s="20" t="inlineStr">
        <is>
          <t>카페24</t>
        </is>
      </c>
      <c r="G2285" s="20" t="inlineStr">
        <is>
          <t>유즈 스테이포에버 솔리드퍼퓸 002 (스테이포에버 주문시 12/15 순차배송)제품선택=커플추천스테이포에버 + 이그나이트 세트</t>
        </is>
      </c>
      <c r="H2285" s="20" t="n">
        <v>6</v>
      </c>
      <c r="I2285" s="20">
        <f>VLOOKUP(G2285,매칭테이블!D:E,2,0)</f>
        <v/>
      </c>
      <c r="J2285" s="20" t="n">
        <v>201210</v>
      </c>
      <c r="L2285" s="20">
        <f>VLOOKUP($O2285,매칭테이블!$G:$J,2,0)*H2285</f>
        <v/>
      </c>
      <c r="M2285" s="20">
        <f>L2285-L2285*VLOOKUP($O2285,매칭테이블!$G:$J,3,0)</f>
        <v/>
      </c>
      <c r="N2285" s="20">
        <f>VLOOKUP($O2285,매칭테이블!$G:$J,4,0)*H2285</f>
        <v/>
      </c>
      <c r="O2285" s="20">
        <f>F2285&amp;E2285&amp;G2285&amp;J2285</f>
        <v/>
      </c>
    </row>
    <row r="2286" ht="16.5" customHeight="1" s="17">
      <c r="B2286" s="16" t="n">
        <v>44179</v>
      </c>
      <c r="C2286" s="20">
        <f>TEXT(B2286,"aaa")</f>
        <v/>
      </c>
      <c r="E2286" s="20">
        <f>INDEX(매칭테이블!C:C,MATCH(RD!G2286,매칭테이블!D:D,0))</f>
        <v/>
      </c>
      <c r="F2286" s="20" t="inlineStr">
        <is>
          <t>카페24</t>
        </is>
      </c>
      <c r="G2286" s="20" t="inlineStr">
        <is>
          <t>유즈 스테이포에버 솔리드퍼퓸 002 (스테이포에버 주문시 12/15 순차배송)쇼핑백=선물용 쇼핑백</t>
        </is>
      </c>
      <c r="H2286" s="20" t="n">
        <v>4</v>
      </c>
      <c r="I2286" s="20">
        <f>VLOOKUP(G2286,매칭테이블!D:E,2,0)</f>
        <v/>
      </c>
      <c r="J2286" s="20" t="n">
        <v>201210</v>
      </c>
      <c r="L2286" s="20">
        <f>VLOOKUP($O2286,매칭테이블!$G:$J,2,0)*H2286</f>
        <v/>
      </c>
      <c r="M2286" s="20">
        <f>L2286-L2286*VLOOKUP($O2286,매칭테이블!$G:$J,3,0)</f>
        <v/>
      </c>
      <c r="N2286" s="20">
        <f>VLOOKUP($O2286,매칭테이블!$G:$J,4,0)*H2286</f>
        <v/>
      </c>
      <c r="O2286" s="20">
        <f>F2286&amp;E2286&amp;G2286&amp;J2286</f>
        <v/>
      </c>
    </row>
    <row r="2287" ht="16.5" customHeight="1" s="17">
      <c r="B2287" s="16" t="n">
        <v>44179</v>
      </c>
      <c r="C2287" s="20">
        <f>TEXT(B2287,"aaa")</f>
        <v/>
      </c>
      <c r="E2287" s="20">
        <f>INDEX(매칭테이블!C:C,MATCH(RD!G2287,매칭테이블!D:D,0))</f>
        <v/>
      </c>
      <c r="F2287" s="20" t="inlineStr">
        <is>
          <t>카페24</t>
        </is>
      </c>
      <c r="G2287" s="20" t="inlineStr">
        <is>
          <t>유즈 이그나이트 솔리드퍼퓸 001제품선택=이그나이트 솔리드퍼퓸 - 30ml</t>
        </is>
      </c>
      <c r="H2287" s="20" t="n">
        <v>4</v>
      </c>
      <c r="I2287" s="20">
        <f>VLOOKUP(G2287,매칭테이블!D:E,2,0)</f>
        <v/>
      </c>
      <c r="J2287" s="20" t="n">
        <v>201210</v>
      </c>
      <c r="L2287" s="20">
        <f>VLOOKUP($O2287,매칭테이블!$G:$J,2,0)*H2287</f>
        <v/>
      </c>
      <c r="M2287" s="20">
        <f>L2287-L2287*VLOOKUP($O2287,매칭테이블!$G:$J,3,0)</f>
        <v/>
      </c>
      <c r="N2287" s="20">
        <f>VLOOKUP($O2287,매칭테이블!$G:$J,4,0)*H2287</f>
        <v/>
      </c>
      <c r="O2287" s="20">
        <f>F2287&amp;E2287&amp;G2287&amp;J2287</f>
        <v/>
      </c>
    </row>
    <row r="2288" ht="16.5" customHeight="1" s="17">
      <c r="B2288" s="16" t="n">
        <v>44179</v>
      </c>
      <c r="C2288" s="20">
        <f>TEXT(B2288,"aaa")</f>
        <v/>
      </c>
      <c r="E2288" s="20">
        <f>INDEX(매칭테이블!C:C,MATCH(RD!G2288,매칭테이블!D:D,0))</f>
        <v/>
      </c>
      <c r="F2288" s="20" t="inlineStr">
        <is>
          <t>카페24</t>
        </is>
      </c>
      <c r="G2288" s="20" t="inlineStr">
        <is>
          <t>유즈 이그나이트 솔리드퍼퓸 001제품선택=이그나이트 2개 세트</t>
        </is>
      </c>
      <c r="H2288" s="20" t="n">
        <v>2</v>
      </c>
      <c r="I2288" s="20">
        <f>VLOOKUP(G2288,매칭테이블!D:E,2,0)</f>
        <v/>
      </c>
      <c r="J2288" s="20" t="n">
        <v>201210</v>
      </c>
      <c r="L2288" s="20">
        <f>VLOOKUP($O2288,매칭테이블!$G:$J,2,0)*H2288</f>
        <v/>
      </c>
      <c r="M2288" s="20">
        <f>L2288-L2288*VLOOKUP($O2288,매칭테이블!$G:$J,3,0)</f>
        <v/>
      </c>
      <c r="N2288" s="20">
        <f>VLOOKUP($O2288,매칭테이블!$G:$J,4,0)*H2288</f>
        <v/>
      </c>
      <c r="O2288" s="20">
        <f>F2288&amp;E2288&amp;G2288&amp;J2288</f>
        <v/>
      </c>
    </row>
    <row r="2289" ht="16.5" customHeight="1" s="17">
      <c r="B2289" s="16" t="n">
        <v>44180</v>
      </c>
      <c r="C2289" s="20">
        <f>TEXT(B2289,"aaa")</f>
        <v/>
      </c>
      <c r="E2289" s="20">
        <f>INDEX(매칭테이블!C:C,MATCH(RD!G2289,매칭테이블!D:D,0))</f>
        <v/>
      </c>
      <c r="F2289" s="20" t="inlineStr">
        <is>
          <t>유즈 CS</t>
        </is>
      </c>
      <c r="G2289" s="20" t="inlineStr">
        <is>
          <t>솔리드퍼퓸 스테이포에버 002 30ml</t>
        </is>
      </c>
      <c r="H2289" s="20" t="n">
        <v>40</v>
      </c>
      <c r="I2289" s="20">
        <f>VLOOKUP(G2289,매칭테이블!D:E,2,0)</f>
        <v/>
      </c>
      <c r="J2289" s="20" t="n">
        <v>201210</v>
      </c>
      <c r="L2289" s="20">
        <f>VLOOKUP($O2289,매칭테이블!$G:$J,2,0)*H2289</f>
        <v/>
      </c>
      <c r="M2289" s="20">
        <f>L2289-L2289*VLOOKUP($O2289,매칭테이블!$G:$J,3,0)</f>
        <v/>
      </c>
      <c r="N2289" s="20">
        <f>VLOOKUP($O2289,매칭테이블!$G:$J,4,0)*H2289</f>
        <v/>
      </c>
      <c r="O2289" s="20">
        <f>F2289&amp;E2289&amp;G2289&amp;J2289</f>
        <v/>
      </c>
    </row>
    <row r="2290" ht="16.5" customHeight="1" s="17">
      <c r="B2290" s="16" t="n">
        <v>44180</v>
      </c>
      <c r="C2290" s="20">
        <f>TEXT(B2290,"aaa")</f>
        <v/>
      </c>
      <c r="E2290" s="20">
        <f>INDEX(매칭테이블!C:C,MATCH(RD!G2290,매칭테이블!D:D,0))</f>
        <v/>
      </c>
      <c r="F2290" s="20" t="inlineStr">
        <is>
          <t>카페24</t>
        </is>
      </c>
      <c r="G2290" s="20" t="inlineStr">
        <is>
          <t>스테이포에버 솔리드퍼퓸 002 (10차 재입고 완료제품선택=스테이포에버 1개</t>
        </is>
      </c>
      <c r="H2290" s="20" t="n">
        <v>137</v>
      </c>
      <c r="I2290" s="20">
        <f>VLOOKUP(G2290,매칭테이블!D:E,2,0)</f>
        <v/>
      </c>
      <c r="J2290" s="20" t="n">
        <v>201210</v>
      </c>
      <c r="L2290" s="20">
        <f>VLOOKUP($O2290,매칭테이블!$G:$J,2,0)*H2290</f>
        <v/>
      </c>
      <c r="M2290" s="20">
        <f>L2290-L2290*VLOOKUP($O2290,매칭테이블!$G:$J,3,0)</f>
        <v/>
      </c>
      <c r="N2290" s="20">
        <f>VLOOKUP($O2290,매칭테이블!$G:$J,4,0)*H2290</f>
        <v/>
      </c>
      <c r="O2290" s="20">
        <f>F2290&amp;E2290&amp;G2290&amp;J2290</f>
        <v/>
      </c>
    </row>
    <row r="2291" ht="16.5" customHeight="1" s="17">
      <c r="B2291" s="16" t="n">
        <v>44180</v>
      </c>
      <c r="C2291" s="20">
        <f>TEXT(B2291,"aaa")</f>
        <v/>
      </c>
      <c r="E2291" s="20">
        <f>INDEX(매칭테이블!C:C,MATCH(RD!G2291,매칭테이블!D:D,0))</f>
        <v/>
      </c>
      <c r="F2291" s="20" t="inlineStr">
        <is>
          <t>카페24</t>
        </is>
      </c>
      <c r="G2291" s="20" t="inlineStr">
        <is>
          <t>스테이포에버 솔리드퍼퓸 002 (10차 재입고 완료제품선택=best</t>
        </is>
      </c>
      <c r="H2291" s="20" t="n">
        <v>65</v>
      </c>
      <c r="I2291" s="20">
        <f>VLOOKUP(G2291,매칭테이블!D:E,2,0)</f>
        <v/>
      </c>
      <c r="J2291" s="20" t="n">
        <v>201210</v>
      </c>
      <c r="L2291" s="20">
        <f>VLOOKUP($O2291,매칭테이블!$G:$J,2,0)*H2291</f>
        <v/>
      </c>
      <c r="M2291" s="20">
        <f>L2291-L2291*VLOOKUP($O2291,매칭테이블!$G:$J,3,0)</f>
        <v/>
      </c>
      <c r="N2291" s="20">
        <f>VLOOKUP($O2291,매칭테이블!$G:$J,4,0)*H2291</f>
        <v/>
      </c>
      <c r="O2291" s="20">
        <f>F2291&amp;E2291&amp;G2291&amp;J2291</f>
        <v/>
      </c>
    </row>
    <row r="2292" ht="16.5" customHeight="1" s="17">
      <c r="B2292" s="16" t="n">
        <v>44180</v>
      </c>
      <c r="C2292" s="20">
        <f>TEXT(B2292,"aaa")</f>
        <v/>
      </c>
      <c r="E2292" s="20">
        <f>INDEX(매칭테이블!C:C,MATCH(RD!G2292,매칭테이블!D:D,0))</f>
        <v/>
      </c>
      <c r="F2292" s="20" t="inlineStr">
        <is>
          <t>카페24</t>
        </is>
      </c>
      <c r="G2292" s="20" t="inlineStr">
        <is>
          <t>스테이포에버 솔리드퍼퓸 002 (10차 재입고 완료제품선택=커플추천</t>
        </is>
      </c>
      <c r="H2292" s="20" t="n">
        <v>10</v>
      </c>
      <c r="I2292" s="20">
        <f>VLOOKUP(G2292,매칭테이블!D:E,2,0)</f>
        <v/>
      </c>
      <c r="J2292" s="20" t="n">
        <v>201210</v>
      </c>
      <c r="L2292" s="20">
        <f>VLOOKUP($O2292,매칭테이블!$G:$J,2,0)*H2292</f>
        <v/>
      </c>
      <c r="M2292" s="20">
        <f>L2292-L2292*VLOOKUP($O2292,매칭테이블!$G:$J,3,0)</f>
        <v/>
      </c>
      <c r="N2292" s="20">
        <f>VLOOKUP($O2292,매칭테이블!$G:$J,4,0)*H2292</f>
        <v/>
      </c>
      <c r="O2292" s="20">
        <f>F2292&amp;E2292&amp;G2292&amp;J2292</f>
        <v/>
      </c>
    </row>
    <row r="2293" ht="16.5" customHeight="1" s="17">
      <c r="B2293" s="16" t="n">
        <v>44180</v>
      </c>
      <c r="C2293" s="20">
        <f>TEXT(B2293,"aaa")</f>
        <v/>
      </c>
      <c r="E2293" s="20">
        <f>INDEX(매칭테이블!C:C,MATCH(RD!G2293,매칭테이블!D:D,0))</f>
        <v/>
      </c>
      <c r="F2293" s="20" t="inlineStr">
        <is>
          <t>카페24</t>
        </is>
      </c>
      <c r="G2293" s="20" t="inlineStr">
        <is>
          <t>스테이포에버 솔리드퍼퓸 002 (10차 재입고 완료쇼핑백=선물용 쇼핑백</t>
        </is>
      </c>
      <c r="H2293" s="20" t="n">
        <v>5</v>
      </c>
      <c r="I2293" s="20">
        <f>VLOOKUP(G2293,매칭테이블!D:E,2,0)</f>
        <v/>
      </c>
      <c r="J2293" s="20" t="n">
        <v>201210</v>
      </c>
      <c r="L2293" s="20">
        <f>VLOOKUP($O2293,매칭테이블!$G:$J,2,0)*H2293</f>
        <v/>
      </c>
      <c r="M2293" s="20">
        <f>L2293-L2293*VLOOKUP($O2293,매칭테이블!$G:$J,3,0)</f>
        <v/>
      </c>
      <c r="N2293" s="20">
        <f>VLOOKUP($O2293,매칭테이블!$G:$J,4,0)*H2293</f>
        <v/>
      </c>
      <c r="O2293" s="20">
        <f>F2293&amp;E2293&amp;G2293&amp;J2293</f>
        <v/>
      </c>
    </row>
    <row r="2294" ht="16.5" customHeight="1" s="17">
      <c r="B2294" s="16" t="n">
        <v>44180</v>
      </c>
      <c r="C2294" s="20">
        <f>TEXT(B2294,"aaa")</f>
        <v/>
      </c>
      <c r="E2294" s="20">
        <f>INDEX(매칭테이블!C:C,MATCH(RD!G2294,매칭테이블!D:D,0))</f>
        <v/>
      </c>
      <c r="F2294" s="20" t="inlineStr">
        <is>
          <t>카페24</t>
        </is>
      </c>
      <c r="G2294" s="20" t="inlineStr">
        <is>
          <t>스테이포에버 솔리드퍼퓸 002 (10차 재입고 완료)제품선택=스테이포에버 1개</t>
        </is>
      </c>
      <c r="H2294" s="20" t="n">
        <v>134</v>
      </c>
      <c r="I2294" s="20">
        <f>VLOOKUP(G2294,매칭테이블!D:E,2,0)</f>
        <v/>
      </c>
      <c r="J2294" s="20" t="n">
        <v>201210</v>
      </c>
      <c r="L2294" s="20">
        <f>VLOOKUP($O2294,매칭테이블!$G:$J,2,0)*H2294</f>
        <v/>
      </c>
      <c r="M2294" s="20">
        <f>L2294-L2294*VLOOKUP($O2294,매칭테이블!$G:$J,3,0)</f>
        <v/>
      </c>
      <c r="N2294" s="20">
        <f>VLOOKUP($O2294,매칭테이블!$G:$J,4,0)*H2294</f>
        <v/>
      </c>
      <c r="O2294" s="20">
        <f>F2294&amp;E2294&amp;G2294&amp;J2294</f>
        <v/>
      </c>
    </row>
    <row r="2295" ht="16.5" customHeight="1" s="17">
      <c r="B2295" s="16" t="n">
        <v>44180</v>
      </c>
      <c r="C2295" s="20">
        <f>TEXT(B2295,"aaa")</f>
        <v/>
      </c>
      <c r="E2295" s="20">
        <f>INDEX(매칭테이블!C:C,MATCH(RD!G2295,매칭테이블!D:D,0))</f>
        <v/>
      </c>
      <c r="F2295" s="20" t="inlineStr">
        <is>
          <t>카페24</t>
        </is>
      </c>
      <c r="G2295" s="20" t="inlineStr">
        <is>
          <t>스테이포에버 솔리드퍼퓸 002 (10차 재입고 완료)제품선택=best스테이포에버 2개[28% 할인]</t>
        </is>
      </c>
      <c r="H2295" s="20" t="n">
        <v>62</v>
      </c>
      <c r="I2295" s="20">
        <f>VLOOKUP(G2295,매칭테이블!D:E,2,0)</f>
        <v/>
      </c>
      <c r="J2295" s="20" t="n">
        <v>201210</v>
      </c>
      <c r="L2295" s="20">
        <f>VLOOKUP($O2295,매칭테이블!$G:$J,2,0)*H2295</f>
        <v/>
      </c>
      <c r="M2295" s="20">
        <f>L2295-L2295*VLOOKUP($O2295,매칭테이블!$G:$J,3,0)</f>
        <v/>
      </c>
      <c r="N2295" s="20">
        <f>VLOOKUP($O2295,매칭테이블!$G:$J,4,0)*H2295</f>
        <v/>
      </c>
      <c r="O2295" s="20">
        <f>F2295&amp;E2295&amp;G2295&amp;J2295</f>
        <v/>
      </c>
    </row>
    <row r="2296" ht="16.5" customHeight="1" s="17">
      <c r="B2296" s="16" t="n">
        <v>44180</v>
      </c>
      <c r="C2296" s="20">
        <f>TEXT(B2296,"aaa")</f>
        <v/>
      </c>
      <c r="E2296" s="20">
        <f>INDEX(매칭테이블!C:C,MATCH(RD!G2296,매칭테이블!D:D,0))</f>
        <v/>
      </c>
      <c r="F2296" s="20" t="inlineStr">
        <is>
          <t>카페24</t>
        </is>
      </c>
      <c r="G2296" s="20" t="inlineStr">
        <is>
          <t>스테이포에버 솔리드퍼퓸 002 (10차 재입고 완료)제품선택=커플추천스테이포에버 + 이그나이트 세트</t>
        </is>
      </c>
      <c r="H2296" s="20" t="n">
        <v>8</v>
      </c>
      <c r="I2296" s="20">
        <f>VLOOKUP(G2296,매칭테이블!D:E,2,0)</f>
        <v/>
      </c>
      <c r="J2296" s="20" t="n">
        <v>201210</v>
      </c>
      <c r="L2296" s="20">
        <f>VLOOKUP($O2296,매칭테이블!$G:$J,2,0)*H2296</f>
        <v/>
      </c>
      <c r="M2296" s="20">
        <f>L2296-L2296*VLOOKUP($O2296,매칭테이블!$G:$J,3,0)</f>
        <v/>
      </c>
      <c r="N2296" s="20">
        <f>VLOOKUP($O2296,매칭테이블!$G:$J,4,0)*H2296</f>
        <v/>
      </c>
      <c r="O2296" s="20">
        <f>F2296&amp;E2296&amp;G2296&amp;J2296</f>
        <v/>
      </c>
    </row>
    <row r="2297" ht="16.5" customHeight="1" s="17">
      <c r="B2297" s="16" t="n">
        <v>44180</v>
      </c>
      <c r="C2297" s="20">
        <f>TEXT(B2297,"aaa")</f>
        <v/>
      </c>
      <c r="E2297" s="20">
        <f>INDEX(매칭테이블!C:C,MATCH(RD!G2297,매칭테이블!D:D,0))</f>
        <v/>
      </c>
      <c r="F2297" s="20" t="inlineStr">
        <is>
          <t>카페24</t>
        </is>
      </c>
      <c r="G2297" s="20" t="inlineStr">
        <is>
          <t>스테이포에버 솔리드퍼퓸 002 (10차 재입고 완료)쇼핑백=선물용 쇼핑백</t>
        </is>
      </c>
      <c r="H2297" s="20" t="n">
        <v>9</v>
      </c>
      <c r="I2297" s="20">
        <f>VLOOKUP(G2297,매칭테이블!D:E,2,0)</f>
        <v/>
      </c>
      <c r="J2297" s="20" t="n">
        <v>201210</v>
      </c>
      <c r="L2297" s="20">
        <f>VLOOKUP($O2297,매칭테이블!$G:$J,2,0)*H2297</f>
        <v/>
      </c>
      <c r="M2297" s="20">
        <f>L2297-L2297*VLOOKUP($O2297,매칭테이블!$G:$J,3,0)</f>
        <v/>
      </c>
      <c r="N2297" s="20">
        <f>VLOOKUP($O2297,매칭테이블!$G:$J,4,0)*H2297</f>
        <v/>
      </c>
      <c r="O2297" s="20">
        <f>F2297&amp;E2297&amp;G2297&amp;J2297</f>
        <v/>
      </c>
    </row>
    <row r="2298" ht="16.5" customHeight="1" s="17">
      <c r="B2298" s="16" t="n">
        <v>44180</v>
      </c>
      <c r="C2298" s="20">
        <f>TEXT(B2298,"aaa")</f>
        <v/>
      </c>
      <c r="E2298" s="20">
        <f>INDEX(매칭테이블!C:C,MATCH(RD!G2298,매칭테이블!D:D,0))</f>
        <v/>
      </c>
      <c r="F2298" s="20" t="inlineStr">
        <is>
          <t>카페24</t>
        </is>
      </c>
      <c r="G2298" s="20" t="inlineStr">
        <is>
          <t>유즈 솔리드퍼퓸 - 30ml (10차 재입고 완료향=이그나이트 001 SOLID PERFUME, 세트 선택=1개</t>
        </is>
      </c>
      <c r="H2298" s="20" t="n">
        <v>1</v>
      </c>
      <c r="I2298" s="20">
        <f>VLOOKUP(G2298,매칭테이블!D:E,2,0)</f>
        <v/>
      </c>
      <c r="J2298" s="20" t="n">
        <v>201210</v>
      </c>
      <c r="L2298" s="20">
        <f>VLOOKUP($O2298,매칭테이블!$G:$J,2,0)*H2298</f>
        <v/>
      </c>
      <c r="M2298" s="20">
        <f>L2298-L2298*VLOOKUP($O2298,매칭테이블!$G:$J,3,0)</f>
        <v/>
      </c>
      <c r="N2298" s="20">
        <f>VLOOKUP($O2298,매칭테이블!$G:$J,4,0)*H2298</f>
        <v/>
      </c>
      <c r="O2298" s="20">
        <f>F2298&amp;E2298&amp;G2298&amp;J2298</f>
        <v/>
      </c>
    </row>
    <row r="2299" ht="16.5" customHeight="1" s="17">
      <c r="B2299" s="16" t="n">
        <v>44180</v>
      </c>
      <c r="C2299" s="20">
        <f>TEXT(B2299,"aaa")</f>
        <v/>
      </c>
      <c r="E2299" s="20">
        <f>INDEX(매칭테이블!C:C,MATCH(RD!G2299,매칭테이블!D:D,0))</f>
        <v/>
      </c>
      <c r="F2299" s="20" t="inlineStr">
        <is>
          <t>카페24</t>
        </is>
      </c>
      <c r="G2299" s="20" t="inlineStr">
        <is>
          <t>유즈 솔리드퍼퓸 - 30ml (10차 재입고 완료향=스테이포에버 002 SOLID PERFUME, 세트 선택=1개</t>
        </is>
      </c>
      <c r="H2299" s="20" t="n">
        <v>7</v>
      </c>
      <c r="I2299" s="20">
        <f>VLOOKUP(G2299,매칭테이블!D:E,2,0)</f>
        <v/>
      </c>
      <c r="J2299" s="20" t="n">
        <v>201210</v>
      </c>
      <c r="L2299" s="20">
        <f>VLOOKUP($O2299,매칭테이블!$G:$J,2,0)*H2299</f>
        <v/>
      </c>
      <c r="M2299" s="20">
        <f>L2299-L2299*VLOOKUP($O2299,매칭테이블!$G:$J,3,0)</f>
        <v/>
      </c>
      <c r="N2299" s="20">
        <f>VLOOKUP($O2299,매칭테이블!$G:$J,4,0)*H2299</f>
        <v/>
      </c>
      <c r="O2299" s="20">
        <f>F2299&amp;E2299&amp;G2299&amp;J2299</f>
        <v/>
      </c>
    </row>
    <row r="2300" ht="16.5" customHeight="1" s="17">
      <c r="B2300" s="16" t="n">
        <v>44180</v>
      </c>
      <c r="C2300" s="20">
        <f>TEXT(B2300,"aaa")</f>
        <v/>
      </c>
      <c r="E2300" s="20">
        <f>INDEX(매칭테이블!C:C,MATCH(RD!G2300,매칭테이블!D:D,0))</f>
        <v/>
      </c>
      <c r="F2300" s="20" t="inlineStr">
        <is>
          <t>카페24</t>
        </is>
      </c>
      <c r="G2300" s="20" t="inlineStr">
        <is>
          <t>유즈 솔리드퍼퓸 - 30ml (10차 재입고 완료향=스테이포에버 002 SOLID PERFUME, 세트 선택=best</t>
        </is>
      </c>
      <c r="H2300" s="20" t="n">
        <v>3</v>
      </c>
      <c r="I2300" s="20">
        <f>VLOOKUP(G2300,매칭테이블!D:E,2,0)</f>
        <v/>
      </c>
      <c r="J2300" s="20" t="n">
        <v>201210</v>
      </c>
      <c r="L2300" s="20">
        <f>VLOOKUP($O2300,매칭테이블!$G:$J,2,0)*H2300</f>
        <v/>
      </c>
      <c r="M2300" s="20">
        <f>L2300-L2300*VLOOKUP($O2300,매칭테이블!$G:$J,3,0)</f>
        <v/>
      </c>
      <c r="N2300" s="20">
        <f>VLOOKUP($O2300,매칭테이블!$G:$J,4,0)*H2300</f>
        <v/>
      </c>
      <c r="O2300" s="20">
        <f>F2300&amp;E2300&amp;G2300&amp;J2300</f>
        <v/>
      </c>
    </row>
    <row r="2301" ht="16.5" customHeight="1" s="17">
      <c r="B2301" s="16" t="n">
        <v>44180</v>
      </c>
      <c r="C2301" s="20">
        <f>TEXT(B2301,"aaa")</f>
        <v/>
      </c>
      <c r="E2301" s="20">
        <f>INDEX(매칭테이블!C:C,MATCH(RD!G2301,매칭테이블!D:D,0))</f>
        <v/>
      </c>
      <c r="F2301" s="20" t="inlineStr">
        <is>
          <t>카페24</t>
        </is>
      </c>
      <c r="G2301" s="20" t="inlineStr">
        <is>
          <t>유즈 솔리드퍼퓸 - 30ml (10차 재입고 완료향=커플세트</t>
        </is>
      </c>
      <c r="H2301" s="20" t="n">
        <v>3</v>
      </c>
      <c r="I2301" s="20">
        <f>VLOOKUP(G2301,매칭테이블!D:E,2,0)</f>
        <v/>
      </c>
      <c r="J2301" s="20" t="n">
        <v>201210</v>
      </c>
      <c r="L2301" s="20">
        <f>VLOOKUP($O2301,매칭테이블!$G:$J,2,0)*H2301</f>
        <v/>
      </c>
      <c r="M2301" s="20">
        <f>L2301-L2301*VLOOKUP($O2301,매칭테이블!$G:$J,3,0)</f>
        <v/>
      </c>
      <c r="N2301" s="20">
        <f>VLOOKUP($O2301,매칭테이블!$G:$J,4,0)*H2301</f>
        <v/>
      </c>
      <c r="O2301" s="20">
        <f>F2301&amp;E2301&amp;G2301&amp;J2301</f>
        <v/>
      </c>
    </row>
    <row r="2302" ht="16.5" customHeight="1" s="17">
      <c r="B2302" s="16" t="n">
        <v>44180</v>
      </c>
      <c r="C2302" s="20">
        <f>TEXT(B2302,"aaa")</f>
        <v/>
      </c>
      <c r="E2302" s="20">
        <f>INDEX(매칭테이블!C:C,MATCH(RD!G2302,매칭테이블!D:D,0))</f>
        <v/>
      </c>
      <c r="F2302" s="20" t="inlineStr">
        <is>
          <t>카페24</t>
        </is>
      </c>
      <c r="G2302" s="20" t="inlineStr">
        <is>
          <t>유즈 솔리드퍼퓸 - 30ml (10차 재입고 완료향=커플세트</t>
        </is>
      </c>
      <c r="H2302" s="20" t="n">
        <v>3</v>
      </c>
      <c r="I2302" s="20">
        <f>VLOOKUP(G2302,매칭테이블!D:E,2,0)</f>
        <v/>
      </c>
      <c r="J2302" s="20" t="n">
        <v>201210</v>
      </c>
      <c r="L2302" s="20">
        <f>VLOOKUP($O2302,매칭테이블!$G:$J,2,0)*H2302</f>
        <v/>
      </c>
      <c r="M2302" s="20">
        <f>L2302-L2302*VLOOKUP($O2302,매칭테이블!$G:$J,3,0)</f>
        <v/>
      </c>
      <c r="N2302" s="20">
        <f>VLOOKUP($O2302,매칭테이블!$G:$J,4,0)*H2302</f>
        <v/>
      </c>
      <c r="O2302" s="20">
        <f>F2302&amp;E2302&amp;G2302&amp;J2302</f>
        <v/>
      </c>
    </row>
    <row r="2303" ht="16.5" customHeight="1" s="17">
      <c r="B2303" s="16" t="n">
        <v>44180</v>
      </c>
      <c r="C2303" s="20">
        <f>TEXT(B2303,"aaa")</f>
        <v/>
      </c>
      <c r="E2303" s="20">
        <f>INDEX(매칭테이블!C:C,MATCH(RD!G2303,매칭테이블!D:D,0))</f>
        <v/>
      </c>
      <c r="F2303" s="20" t="inlineStr">
        <is>
          <t>카페24</t>
        </is>
      </c>
      <c r="G2303" s="20" t="inlineStr">
        <is>
          <t>유즈 솔리드퍼퓸 - 30ml (10차 재입고 완료 )향=이그나이트 001 SOLID PERFUME, 세트 선택=1개</t>
        </is>
      </c>
      <c r="H2303" s="20" t="n">
        <v>1</v>
      </c>
      <c r="I2303" s="20">
        <f>VLOOKUP(G2303,매칭테이블!D:E,2,0)</f>
        <v/>
      </c>
      <c r="J2303" s="20" t="n">
        <v>201210</v>
      </c>
      <c r="L2303" s="20">
        <f>VLOOKUP($O2303,매칭테이블!$G:$J,2,0)*H2303</f>
        <v/>
      </c>
      <c r="M2303" s="20">
        <f>L2303-L2303*VLOOKUP($O2303,매칭테이블!$G:$J,3,0)</f>
        <v/>
      </c>
      <c r="N2303" s="20">
        <f>VLOOKUP($O2303,매칭테이블!$G:$J,4,0)*H2303</f>
        <v/>
      </c>
      <c r="O2303" s="20">
        <f>F2303&amp;E2303&amp;G2303&amp;J2303</f>
        <v/>
      </c>
    </row>
    <row r="2304" ht="16.5" customHeight="1" s="17">
      <c r="B2304" s="16" t="n">
        <v>44180</v>
      </c>
      <c r="C2304" s="20">
        <f>TEXT(B2304,"aaa")</f>
        <v/>
      </c>
      <c r="E2304" s="20">
        <f>INDEX(매칭테이블!C:C,MATCH(RD!G2304,매칭테이블!D:D,0))</f>
        <v/>
      </c>
      <c r="F2304" s="20" t="inlineStr">
        <is>
          <t>카페24</t>
        </is>
      </c>
      <c r="G2304" s="20" t="inlineStr">
        <is>
          <t>유즈 솔리드퍼퓸 - 30ml (10차 재입고 완료 )향=스테이포에버 002 SOLID PERFUME, 세트 선택=1개</t>
        </is>
      </c>
      <c r="H2304" s="20" t="n">
        <v>5</v>
      </c>
      <c r="I2304" s="20">
        <f>VLOOKUP(G2304,매칭테이블!D:E,2,0)</f>
        <v/>
      </c>
      <c r="J2304" s="20" t="n">
        <v>201210</v>
      </c>
      <c r="L2304" s="20">
        <f>VLOOKUP($O2304,매칭테이블!$G:$J,2,0)*H2304</f>
        <v/>
      </c>
      <c r="M2304" s="20">
        <f>L2304-L2304*VLOOKUP($O2304,매칭테이블!$G:$J,3,0)</f>
        <v/>
      </c>
      <c r="N2304" s="20">
        <f>VLOOKUP($O2304,매칭테이블!$G:$J,4,0)*H2304</f>
        <v/>
      </c>
      <c r="O2304" s="20">
        <f>F2304&amp;E2304&amp;G2304&amp;J2304</f>
        <v/>
      </c>
    </row>
    <row r="2305" ht="16.5" customHeight="1" s="17">
      <c r="B2305" s="16" t="n">
        <v>44180</v>
      </c>
      <c r="C2305" s="20">
        <f>TEXT(B2305,"aaa")</f>
        <v/>
      </c>
      <c r="E2305" s="20">
        <f>INDEX(매칭테이블!C:C,MATCH(RD!G2305,매칭테이블!D:D,0))</f>
        <v/>
      </c>
      <c r="F2305" s="20" t="inlineStr">
        <is>
          <t>카페24</t>
        </is>
      </c>
      <c r="G2305" s="20" t="inlineStr">
        <is>
          <t>유즈 솔리드퍼퓸 - 30ml (10차 재입고 완료 )향=스테이포에버 002 SOLID PERFUME, 세트 선택=best 2개 (28% 할인)</t>
        </is>
      </c>
      <c r="H2305" s="20" t="n">
        <v>1</v>
      </c>
      <c r="I2305" s="20">
        <f>VLOOKUP(G2305,매칭테이블!D:E,2,0)</f>
        <v/>
      </c>
      <c r="J2305" s="20" t="n">
        <v>201210</v>
      </c>
      <c r="L2305" s="20">
        <f>VLOOKUP($O2305,매칭테이블!$G:$J,2,0)*H2305</f>
        <v/>
      </c>
      <c r="M2305" s="20">
        <f>L2305-L2305*VLOOKUP($O2305,매칭테이블!$G:$J,3,0)</f>
        <v/>
      </c>
      <c r="N2305" s="20">
        <f>VLOOKUP($O2305,매칭테이블!$G:$J,4,0)*H2305</f>
        <v/>
      </c>
      <c r="O2305" s="20">
        <f>F2305&amp;E2305&amp;G2305&amp;J2305</f>
        <v/>
      </c>
    </row>
    <row r="2306" ht="16.5" customHeight="1" s="17">
      <c r="B2306" s="16" t="n">
        <v>44180</v>
      </c>
      <c r="C2306" s="20">
        <f>TEXT(B2306,"aaa")</f>
        <v/>
      </c>
      <c r="E2306" s="20">
        <f>INDEX(매칭테이블!C:C,MATCH(RD!G2306,매칭테이블!D:D,0))</f>
        <v/>
      </c>
      <c r="F2306" s="20" t="inlineStr">
        <is>
          <t>카페24</t>
        </is>
      </c>
      <c r="G2306" s="20" t="inlineStr">
        <is>
          <t>유즈 솔리드퍼퓸 - 30ml (10차 재입고 완료 )향=커플세트(이그나이트 + 스테이포에버), 세트 선택=1 SET</t>
        </is>
      </c>
      <c r="H2306" s="20" t="n">
        <v>1</v>
      </c>
      <c r="I2306" s="20">
        <f>VLOOKUP(G2306,매칭테이블!D:E,2,0)</f>
        <v/>
      </c>
      <c r="J2306" s="20" t="n">
        <v>201210</v>
      </c>
      <c r="L2306" s="20">
        <f>VLOOKUP($O2306,매칭테이블!$G:$J,2,0)*H2306</f>
        <v/>
      </c>
      <c r="M2306" s="20">
        <f>L2306-L2306*VLOOKUP($O2306,매칭테이블!$G:$J,3,0)</f>
        <v/>
      </c>
      <c r="N2306" s="20">
        <f>VLOOKUP($O2306,매칭테이블!$G:$J,4,0)*H2306</f>
        <v/>
      </c>
      <c r="O2306" s="20">
        <f>F2306&amp;E2306&amp;G2306&amp;J2306</f>
        <v/>
      </c>
    </row>
    <row r="2307" ht="16.5" customHeight="1" s="17">
      <c r="B2307" s="16" t="n">
        <v>44180</v>
      </c>
      <c r="C2307" s="20">
        <f>TEXT(B2307,"aaa")</f>
        <v/>
      </c>
      <c r="E2307" s="20">
        <f>INDEX(매칭테이블!C:C,MATCH(RD!G2307,매칭테이블!D:D,0))</f>
        <v/>
      </c>
      <c r="F2307" s="20" t="inlineStr">
        <is>
          <t>카페24</t>
        </is>
      </c>
      <c r="G2307" s="20" t="inlineStr">
        <is>
          <t>유즈 솔리드퍼퓸 - 30ml (스테이포에버 주문 시 12/15 순차배송)향=스테이포에버 002 SOLID PERFUME, 세트 선택=1</t>
        </is>
      </c>
      <c r="H2307" s="20" t="n">
        <v>1</v>
      </c>
      <c r="I2307" s="20">
        <f>VLOOKUP(G2307,매칭테이블!D:E,2,0)</f>
        <v/>
      </c>
      <c r="J2307" s="20" t="n">
        <v>201210</v>
      </c>
      <c r="L2307" s="20">
        <f>VLOOKUP($O2307,매칭테이블!$G:$J,2,0)*H2307</f>
        <v/>
      </c>
      <c r="M2307" s="20">
        <f>L2307-L2307*VLOOKUP($O2307,매칭테이블!$G:$J,3,0)</f>
        <v/>
      </c>
      <c r="N2307" s="20">
        <f>VLOOKUP($O2307,매칭테이블!$G:$J,4,0)*H2307</f>
        <v/>
      </c>
      <c r="O2307" s="20">
        <f>F2307&amp;E2307&amp;G2307&amp;J2307</f>
        <v/>
      </c>
    </row>
    <row r="2308" ht="16.5" customHeight="1" s="17">
      <c r="B2308" s="16" t="n">
        <v>44180</v>
      </c>
      <c r="C2308" s="20">
        <f>TEXT(B2308,"aaa")</f>
        <v/>
      </c>
      <c r="E2308" s="20">
        <f>INDEX(매칭테이블!C:C,MATCH(RD!G2308,매칭테이블!D:D,0))</f>
        <v/>
      </c>
      <c r="F2308" s="20" t="inlineStr">
        <is>
          <t>카페24</t>
        </is>
      </c>
      <c r="G2308" s="20" t="inlineStr">
        <is>
          <t>유즈 스테이포에버 솔리드퍼퓸 002 (스테이포에버 주문시 12/15 순차배송)제품선택=스테이포에버 1개</t>
        </is>
      </c>
      <c r="H2308" s="20" t="n">
        <v>5</v>
      </c>
      <c r="I2308" s="20">
        <f>VLOOKUP(G2308,매칭테이블!D:E,2,0)</f>
        <v/>
      </c>
      <c r="J2308" s="20" t="n">
        <v>201210</v>
      </c>
      <c r="L2308" s="20">
        <f>VLOOKUP($O2308,매칭테이블!$G:$J,2,0)*H2308</f>
        <v/>
      </c>
      <c r="M2308" s="20">
        <f>L2308-L2308*VLOOKUP($O2308,매칭테이블!$G:$J,3,0)</f>
        <v/>
      </c>
      <c r="N2308" s="20">
        <f>VLOOKUP($O2308,매칭테이블!$G:$J,4,0)*H2308</f>
        <v/>
      </c>
      <c r="O2308" s="20">
        <f>F2308&amp;E2308&amp;G2308&amp;J2308</f>
        <v/>
      </c>
    </row>
    <row r="2309" ht="16.5" customHeight="1" s="17">
      <c r="B2309" s="16" t="n">
        <v>44180</v>
      </c>
      <c r="C2309" s="20">
        <f>TEXT(B2309,"aaa")</f>
        <v/>
      </c>
      <c r="E2309" s="20">
        <f>INDEX(매칭테이블!C:C,MATCH(RD!G2309,매칭테이블!D:D,0))</f>
        <v/>
      </c>
      <c r="F2309" s="20" t="inlineStr">
        <is>
          <t>카페24</t>
        </is>
      </c>
      <c r="G2309" s="20" t="inlineStr">
        <is>
          <t>유즈 스테이포에버 솔리드퍼퓸 002 (스테이포에버 주문시 12/15 순차배송)제품선택=스테이포에버 1개 [17% 할인]</t>
        </is>
      </c>
      <c r="H2309" s="20" t="n">
        <v>1</v>
      </c>
      <c r="I2309" s="20">
        <f>VLOOKUP(G2309,매칭테이블!D:E,2,0)</f>
        <v/>
      </c>
      <c r="J2309" s="20" t="n">
        <v>201210</v>
      </c>
      <c r="L2309" s="20">
        <f>VLOOKUP($O2309,매칭테이블!$G:$J,2,0)*H2309</f>
        <v/>
      </c>
      <c r="M2309" s="20">
        <f>L2309-L2309*VLOOKUP($O2309,매칭테이블!$G:$J,3,0)</f>
        <v/>
      </c>
      <c r="N2309" s="20">
        <f>VLOOKUP($O2309,매칭테이블!$G:$J,4,0)*H2309</f>
        <v/>
      </c>
      <c r="O2309" s="20">
        <f>F2309&amp;E2309&amp;G2309&amp;J2309</f>
        <v/>
      </c>
    </row>
    <row r="2310" ht="16.5" customHeight="1" s="17">
      <c r="B2310" s="16" t="n">
        <v>44180</v>
      </c>
      <c r="C2310" s="20">
        <f>TEXT(B2310,"aaa")</f>
        <v/>
      </c>
      <c r="E2310" s="20">
        <f>INDEX(매칭테이블!C:C,MATCH(RD!G2310,매칭테이블!D:D,0))</f>
        <v/>
      </c>
      <c r="F2310" s="20" t="inlineStr">
        <is>
          <t>카페24</t>
        </is>
      </c>
      <c r="G2310" s="20" t="inlineStr">
        <is>
          <t>유즈 이그나이트 솔리드퍼퓸 001제품선택=이그나이트 솔리드퍼퓸 - 30ml</t>
        </is>
      </c>
      <c r="H2310" s="20" t="n">
        <v>5</v>
      </c>
      <c r="I2310" s="20">
        <f>VLOOKUP(G2310,매칭테이블!D:E,2,0)</f>
        <v/>
      </c>
      <c r="J2310" s="20" t="n">
        <v>201210</v>
      </c>
      <c r="L2310" s="20">
        <f>VLOOKUP($O2310,매칭테이블!$G:$J,2,0)*H2310</f>
        <v/>
      </c>
      <c r="M2310" s="20">
        <f>L2310-L2310*VLOOKUP($O2310,매칭테이블!$G:$J,3,0)</f>
        <v/>
      </c>
      <c r="N2310" s="20">
        <f>VLOOKUP($O2310,매칭테이블!$G:$J,4,0)*H2310</f>
        <v/>
      </c>
      <c r="O2310" s="20">
        <f>F2310&amp;E2310&amp;G2310&amp;J2310</f>
        <v/>
      </c>
    </row>
    <row r="2311" ht="16.5" customHeight="1" s="17">
      <c r="B2311" s="16" t="n">
        <v>44181</v>
      </c>
      <c r="C2311" s="20">
        <f>TEXT(B2311,"aaa")</f>
        <v/>
      </c>
      <c r="E2311" s="20">
        <f>INDEX(매칭테이블!C:C,MATCH(RD!G2311,매칭테이블!D:D,0))</f>
        <v/>
      </c>
      <c r="F2311" s="20" t="inlineStr">
        <is>
          <t>유즈 CS</t>
        </is>
      </c>
      <c r="G2311" s="20" t="inlineStr">
        <is>
          <t>솔리드퍼퓸 스테이포에버 002 30ml</t>
        </is>
      </c>
      <c r="H2311" s="20" t="n">
        <v>3</v>
      </c>
      <c r="I2311" s="20">
        <f>VLOOKUP(G2311,매칭테이블!D:E,2,0)</f>
        <v/>
      </c>
      <c r="J2311" s="20" t="n">
        <v>201210</v>
      </c>
      <c r="L2311" s="20">
        <f>VLOOKUP($O2311,매칭테이블!$G:$J,2,0)*H2311</f>
        <v/>
      </c>
      <c r="M2311" s="20">
        <f>L2311-L2311*VLOOKUP($O2311,매칭테이블!$G:$J,3,0)</f>
        <v/>
      </c>
      <c r="N2311" s="20">
        <f>VLOOKUP($O2311,매칭테이블!$G:$J,4,0)*H2311</f>
        <v/>
      </c>
      <c r="O2311" s="20">
        <f>F2311&amp;E2311&amp;G2311&amp;J2311</f>
        <v/>
      </c>
    </row>
    <row r="2312" ht="16.5" customHeight="1" s="17">
      <c r="B2312" s="16" t="n">
        <v>44181</v>
      </c>
      <c r="C2312" s="20">
        <f>TEXT(B2312,"aaa")</f>
        <v/>
      </c>
      <c r="E2312" s="20">
        <f>INDEX(매칭테이블!C:C,MATCH(RD!G2312,매칭테이블!D:D,0))</f>
        <v/>
      </c>
      <c r="F2312" s="20" t="inlineStr">
        <is>
          <t>카페24</t>
        </is>
      </c>
      <c r="G2312" s="20" t="inlineStr">
        <is>
          <t>스테이포에버 솔리드퍼퓸 002 (10차 재입고 완료제품선택=스테이포에버 1개</t>
        </is>
      </c>
      <c r="H2312" s="20" t="n">
        <v>94</v>
      </c>
      <c r="I2312" s="20">
        <f>VLOOKUP(G2312,매칭테이블!D:E,2,0)</f>
        <v/>
      </c>
      <c r="J2312" s="20" t="n">
        <v>201210</v>
      </c>
      <c r="L2312" s="20">
        <f>VLOOKUP($O2312,매칭테이블!$G:$J,2,0)*H2312</f>
        <v/>
      </c>
      <c r="M2312" s="20">
        <f>L2312-L2312*VLOOKUP($O2312,매칭테이블!$G:$J,3,0)</f>
        <v/>
      </c>
      <c r="N2312" s="20">
        <f>VLOOKUP($O2312,매칭테이블!$G:$J,4,0)*H2312</f>
        <v/>
      </c>
      <c r="O2312" s="20">
        <f>F2312&amp;E2312&amp;G2312&amp;J2312</f>
        <v/>
      </c>
    </row>
    <row r="2313" ht="16.5" customHeight="1" s="17">
      <c r="B2313" s="16" t="n">
        <v>44181</v>
      </c>
      <c r="C2313" s="20">
        <f>TEXT(B2313,"aaa")</f>
        <v/>
      </c>
      <c r="E2313" s="20">
        <f>INDEX(매칭테이블!C:C,MATCH(RD!G2313,매칭테이블!D:D,0))</f>
        <v/>
      </c>
      <c r="F2313" s="20" t="inlineStr">
        <is>
          <t>카페24</t>
        </is>
      </c>
      <c r="G2313" s="20" t="inlineStr">
        <is>
          <t>스테이포에버 솔리드퍼퓸 002 (10차 재입고 완료제품선택=best</t>
        </is>
      </c>
      <c r="H2313" s="20" t="n">
        <v>44</v>
      </c>
      <c r="I2313" s="20">
        <f>VLOOKUP(G2313,매칭테이블!D:E,2,0)</f>
        <v/>
      </c>
      <c r="J2313" s="20" t="n">
        <v>201210</v>
      </c>
      <c r="L2313" s="20">
        <f>VLOOKUP($O2313,매칭테이블!$G:$J,2,0)*H2313</f>
        <v/>
      </c>
      <c r="M2313" s="20">
        <f>L2313-L2313*VLOOKUP($O2313,매칭테이블!$G:$J,3,0)</f>
        <v/>
      </c>
      <c r="N2313" s="20">
        <f>VLOOKUP($O2313,매칭테이블!$G:$J,4,0)*H2313</f>
        <v/>
      </c>
      <c r="O2313" s="20">
        <f>F2313&amp;E2313&amp;G2313&amp;J2313</f>
        <v/>
      </c>
    </row>
    <row r="2314" ht="16.5" customHeight="1" s="17">
      <c r="B2314" s="16" t="n">
        <v>44181</v>
      </c>
      <c r="C2314" s="20">
        <f>TEXT(B2314,"aaa")</f>
        <v/>
      </c>
      <c r="E2314" s="20">
        <f>INDEX(매칭테이블!C:C,MATCH(RD!G2314,매칭테이블!D:D,0))</f>
        <v/>
      </c>
      <c r="F2314" s="20" t="inlineStr">
        <is>
          <t>카페24</t>
        </is>
      </c>
      <c r="G2314" s="20" t="inlineStr">
        <is>
          <t>스테이포에버 솔리드퍼퓸 002 (10차 재입고 완료제품선택=커플추천</t>
        </is>
      </c>
      <c r="H2314" s="20" t="n">
        <v>9</v>
      </c>
      <c r="I2314" s="20">
        <f>VLOOKUP(G2314,매칭테이블!D:E,2,0)</f>
        <v/>
      </c>
      <c r="J2314" s="20" t="n">
        <v>201210</v>
      </c>
      <c r="L2314" s="20">
        <f>VLOOKUP($O2314,매칭테이블!$G:$J,2,0)*H2314</f>
        <v/>
      </c>
      <c r="M2314" s="20">
        <f>L2314-L2314*VLOOKUP($O2314,매칭테이블!$G:$J,3,0)</f>
        <v/>
      </c>
      <c r="N2314" s="20">
        <f>VLOOKUP($O2314,매칭테이블!$G:$J,4,0)*H2314</f>
        <v/>
      </c>
      <c r="O2314" s="20">
        <f>F2314&amp;E2314&amp;G2314&amp;J2314</f>
        <v/>
      </c>
    </row>
    <row r="2315" ht="16.5" customHeight="1" s="17">
      <c r="B2315" s="16" t="n">
        <v>44181</v>
      </c>
      <c r="C2315" s="20">
        <f>TEXT(B2315,"aaa")</f>
        <v/>
      </c>
      <c r="E2315" s="20">
        <f>INDEX(매칭테이블!C:C,MATCH(RD!G2315,매칭테이블!D:D,0))</f>
        <v/>
      </c>
      <c r="F2315" s="20" t="inlineStr">
        <is>
          <t>카페24</t>
        </is>
      </c>
      <c r="G2315" s="20" t="inlineStr">
        <is>
          <t>스테이포에버 솔리드퍼퓸 002 (10차 재입고 완료쇼핑백=선물용 쇼핑백</t>
        </is>
      </c>
      <c r="H2315" s="20" t="n">
        <v>2</v>
      </c>
      <c r="I2315" s="20">
        <f>VLOOKUP(G2315,매칭테이블!D:E,2,0)</f>
        <v/>
      </c>
      <c r="J2315" s="20" t="n">
        <v>201210</v>
      </c>
      <c r="L2315" s="20">
        <f>VLOOKUP($O2315,매칭테이블!$G:$J,2,0)*H2315</f>
        <v/>
      </c>
      <c r="M2315" s="20">
        <f>L2315-L2315*VLOOKUP($O2315,매칭테이블!$G:$J,3,0)</f>
        <v/>
      </c>
      <c r="N2315" s="20">
        <f>VLOOKUP($O2315,매칭테이블!$G:$J,4,0)*H2315</f>
        <v/>
      </c>
      <c r="O2315" s="20">
        <f>F2315&amp;E2315&amp;G2315&amp;J2315</f>
        <v/>
      </c>
    </row>
    <row r="2316" ht="16.5" customHeight="1" s="17">
      <c r="B2316" s="16" t="n">
        <v>44181</v>
      </c>
      <c r="C2316" s="20">
        <f>TEXT(B2316,"aaa")</f>
        <v/>
      </c>
      <c r="E2316" s="20">
        <f>INDEX(매칭테이블!C:C,MATCH(RD!G2316,매칭테이블!D:D,0))</f>
        <v/>
      </c>
      <c r="F2316" s="20" t="inlineStr">
        <is>
          <t>카페24</t>
        </is>
      </c>
      <c r="G2316" s="20" t="inlineStr">
        <is>
          <t>스테이포에버 솔리드퍼퓸 002 (10차 재입고 완료)제품선택=스테이포에버 1개</t>
        </is>
      </c>
      <c r="H2316" s="20" t="n">
        <v>158</v>
      </c>
      <c r="I2316" s="20">
        <f>VLOOKUP(G2316,매칭테이블!D:E,2,0)</f>
        <v/>
      </c>
      <c r="J2316" s="20" t="n">
        <v>201210</v>
      </c>
      <c r="L2316" s="20">
        <f>VLOOKUP($O2316,매칭테이블!$G:$J,2,0)*H2316</f>
        <v/>
      </c>
      <c r="M2316" s="20">
        <f>L2316-L2316*VLOOKUP($O2316,매칭테이블!$G:$J,3,0)</f>
        <v/>
      </c>
      <c r="N2316" s="20">
        <f>VLOOKUP($O2316,매칭테이블!$G:$J,4,0)*H2316</f>
        <v/>
      </c>
      <c r="O2316" s="20">
        <f>F2316&amp;E2316&amp;G2316&amp;J2316</f>
        <v/>
      </c>
    </row>
    <row r="2317" ht="16.5" customHeight="1" s="17">
      <c r="B2317" s="16" t="n">
        <v>44181</v>
      </c>
      <c r="C2317" s="20">
        <f>TEXT(B2317,"aaa")</f>
        <v/>
      </c>
      <c r="E2317" s="20">
        <f>INDEX(매칭테이블!C:C,MATCH(RD!G2317,매칭테이블!D:D,0))</f>
        <v/>
      </c>
      <c r="F2317" s="20" t="inlineStr">
        <is>
          <t>카페24</t>
        </is>
      </c>
      <c r="G2317" s="20" t="inlineStr">
        <is>
          <t>스테이포에버 솔리드퍼퓸 002 (10차 재입고 완료)제품선택=best스테이포에버 2개[28% 할인]</t>
        </is>
      </c>
      <c r="H2317" s="20" t="n">
        <v>60</v>
      </c>
      <c r="I2317" s="20">
        <f>VLOOKUP(G2317,매칭테이블!D:E,2,0)</f>
        <v/>
      </c>
      <c r="J2317" s="20" t="n">
        <v>201210</v>
      </c>
      <c r="L2317" s="20">
        <f>VLOOKUP($O2317,매칭테이블!$G:$J,2,0)*H2317</f>
        <v/>
      </c>
      <c r="M2317" s="20">
        <f>L2317-L2317*VLOOKUP($O2317,매칭테이블!$G:$J,3,0)</f>
        <v/>
      </c>
      <c r="N2317" s="20">
        <f>VLOOKUP($O2317,매칭테이블!$G:$J,4,0)*H2317</f>
        <v/>
      </c>
      <c r="O2317" s="20">
        <f>F2317&amp;E2317&amp;G2317&amp;J2317</f>
        <v/>
      </c>
    </row>
    <row r="2318" ht="16.5" customHeight="1" s="17">
      <c r="B2318" s="16" t="n">
        <v>44181</v>
      </c>
      <c r="C2318" s="20">
        <f>TEXT(B2318,"aaa")</f>
        <v/>
      </c>
      <c r="E2318" s="20">
        <f>INDEX(매칭테이블!C:C,MATCH(RD!G2318,매칭테이블!D:D,0))</f>
        <v/>
      </c>
      <c r="F2318" s="20" t="inlineStr">
        <is>
          <t>카페24</t>
        </is>
      </c>
      <c r="G2318" s="20" t="inlineStr">
        <is>
          <t>스테이포에버 솔리드퍼퓸 002 (10차 재입고 완료)제품선택=커플추천스테이포에버 + 이그나이트 세트</t>
        </is>
      </c>
      <c r="H2318" s="20" t="n">
        <v>9</v>
      </c>
      <c r="I2318" s="20">
        <f>VLOOKUP(G2318,매칭테이블!D:E,2,0)</f>
        <v/>
      </c>
      <c r="J2318" s="20" t="n">
        <v>201210</v>
      </c>
      <c r="L2318" s="20">
        <f>VLOOKUP($O2318,매칭테이블!$G:$J,2,0)*H2318</f>
        <v/>
      </c>
      <c r="M2318" s="20">
        <f>L2318-L2318*VLOOKUP($O2318,매칭테이블!$G:$J,3,0)</f>
        <v/>
      </c>
      <c r="N2318" s="20">
        <f>VLOOKUP($O2318,매칭테이블!$G:$J,4,0)*H2318</f>
        <v/>
      </c>
      <c r="O2318" s="20">
        <f>F2318&amp;E2318&amp;G2318&amp;J2318</f>
        <v/>
      </c>
    </row>
    <row r="2319" ht="16.5" customHeight="1" s="17">
      <c r="B2319" s="16" t="n">
        <v>44181</v>
      </c>
      <c r="C2319" s="20">
        <f>TEXT(B2319,"aaa")</f>
        <v/>
      </c>
      <c r="E2319" s="20">
        <f>INDEX(매칭테이블!C:C,MATCH(RD!G2319,매칭테이블!D:D,0))</f>
        <v/>
      </c>
      <c r="F2319" s="20" t="inlineStr">
        <is>
          <t>카페24</t>
        </is>
      </c>
      <c r="G2319" s="20" t="inlineStr">
        <is>
          <t>스테이포에버 솔리드퍼퓸 002 (10차 재입고 완료)쇼핑백=선물용 쇼핑백</t>
        </is>
      </c>
      <c r="H2319" s="20" t="n">
        <v>5</v>
      </c>
      <c r="I2319" s="20">
        <f>VLOOKUP(G2319,매칭테이블!D:E,2,0)</f>
        <v/>
      </c>
      <c r="J2319" s="20" t="n">
        <v>201210</v>
      </c>
      <c r="L2319" s="20">
        <f>VLOOKUP($O2319,매칭테이블!$G:$J,2,0)*H2319</f>
        <v/>
      </c>
      <c r="M2319" s="20">
        <f>L2319-L2319*VLOOKUP($O2319,매칭테이블!$G:$J,3,0)</f>
        <v/>
      </c>
      <c r="N2319" s="20">
        <f>VLOOKUP($O2319,매칭테이블!$G:$J,4,0)*H2319</f>
        <v/>
      </c>
      <c r="O2319" s="20">
        <f>F2319&amp;E2319&amp;G2319&amp;J2319</f>
        <v/>
      </c>
    </row>
    <row r="2320" ht="16.5" customHeight="1" s="17">
      <c r="B2320" s="16" t="n">
        <v>44181</v>
      </c>
      <c r="C2320" s="20">
        <f>TEXT(B2320,"aaa")</f>
        <v/>
      </c>
      <c r="E2320" s="20">
        <f>INDEX(매칭테이블!C:C,MATCH(RD!G2320,매칭테이블!D:D,0))</f>
        <v/>
      </c>
      <c r="F2320" s="20" t="inlineStr">
        <is>
          <t>카페24</t>
        </is>
      </c>
      <c r="G2320" s="20" t="inlineStr">
        <is>
          <t>유즈 솔리드퍼퓸 - 30ml (10차 재입고 완료향=스테이포에버 002 SOLID PERFUME, 세트 선택=1개</t>
        </is>
      </c>
      <c r="H2320" s="20" t="n">
        <v>5</v>
      </c>
      <c r="I2320" s="20">
        <f>VLOOKUP(G2320,매칭테이블!D:E,2,0)</f>
        <v/>
      </c>
      <c r="J2320" s="20" t="n">
        <v>201210</v>
      </c>
      <c r="L2320" s="20">
        <f>VLOOKUP($O2320,매칭테이블!$G:$J,2,0)*H2320</f>
        <v/>
      </c>
      <c r="M2320" s="20">
        <f>L2320-L2320*VLOOKUP($O2320,매칭테이블!$G:$J,3,0)</f>
        <v/>
      </c>
      <c r="N2320" s="20">
        <f>VLOOKUP($O2320,매칭테이블!$G:$J,4,0)*H2320</f>
        <v/>
      </c>
      <c r="O2320" s="20">
        <f>F2320&amp;E2320&amp;G2320&amp;J2320</f>
        <v/>
      </c>
    </row>
    <row r="2321" ht="16.5" customHeight="1" s="17">
      <c r="B2321" s="16" t="n">
        <v>44181</v>
      </c>
      <c r="C2321" s="20">
        <f>TEXT(B2321,"aaa")</f>
        <v/>
      </c>
      <c r="E2321" s="20">
        <f>INDEX(매칭테이블!C:C,MATCH(RD!G2321,매칭테이블!D:D,0))</f>
        <v/>
      </c>
      <c r="F2321" s="20" t="inlineStr">
        <is>
          <t>카페24</t>
        </is>
      </c>
      <c r="G2321" s="20" t="inlineStr">
        <is>
          <t>유즈 솔리드퍼퓸 - 30ml (10차 재입고 완료향=스테이포에버 002 SOLID PERFUME, 세트 선택=best</t>
        </is>
      </c>
      <c r="H2321" s="20" t="n">
        <v>6</v>
      </c>
      <c r="I2321" s="20">
        <f>VLOOKUP(G2321,매칭테이블!D:E,2,0)</f>
        <v/>
      </c>
      <c r="J2321" s="20" t="n">
        <v>201210</v>
      </c>
      <c r="L2321" s="20">
        <f>VLOOKUP($O2321,매칭테이블!$G:$J,2,0)*H2321</f>
        <v/>
      </c>
      <c r="M2321" s="20">
        <f>L2321-L2321*VLOOKUP($O2321,매칭테이블!$G:$J,3,0)</f>
        <v/>
      </c>
      <c r="N2321" s="20">
        <f>VLOOKUP($O2321,매칭테이블!$G:$J,4,0)*H2321</f>
        <v/>
      </c>
      <c r="O2321" s="20">
        <f>F2321&amp;E2321&amp;G2321&amp;J2321</f>
        <v/>
      </c>
    </row>
    <row r="2322" ht="16.5" customHeight="1" s="17">
      <c r="B2322" s="16" t="n">
        <v>44181</v>
      </c>
      <c r="C2322" s="20">
        <f>TEXT(B2322,"aaa")</f>
        <v/>
      </c>
      <c r="E2322" s="20">
        <f>INDEX(매칭테이블!C:C,MATCH(RD!G2322,매칭테이블!D:D,0))</f>
        <v/>
      </c>
      <c r="F2322" s="20" t="inlineStr">
        <is>
          <t>카페24</t>
        </is>
      </c>
      <c r="G2322" s="20" t="inlineStr">
        <is>
          <t>유즈 솔리드퍼퓸 - 30ml (10차 재입고 완료향=커플세트</t>
        </is>
      </c>
      <c r="H2322" s="20" t="n">
        <v>7</v>
      </c>
      <c r="I2322" s="20">
        <f>VLOOKUP(G2322,매칭테이블!D:E,2,0)</f>
        <v/>
      </c>
      <c r="J2322" s="20" t="n">
        <v>201210</v>
      </c>
      <c r="L2322" s="20">
        <f>VLOOKUP($O2322,매칭테이블!$G:$J,2,0)*H2322</f>
        <v/>
      </c>
      <c r="M2322" s="20">
        <f>L2322-L2322*VLOOKUP($O2322,매칭테이블!$G:$J,3,0)</f>
        <v/>
      </c>
      <c r="N2322" s="20">
        <f>VLOOKUP($O2322,매칭테이블!$G:$J,4,0)*H2322</f>
        <v/>
      </c>
      <c r="O2322" s="20">
        <f>F2322&amp;E2322&amp;G2322&amp;J2322</f>
        <v/>
      </c>
    </row>
    <row r="2323" ht="16.5" customHeight="1" s="17">
      <c r="B2323" s="16" t="n">
        <v>44181</v>
      </c>
      <c r="C2323" s="20">
        <f>TEXT(B2323,"aaa")</f>
        <v/>
      </c>
      <c r="E2323" s="20">
        <f>INDEX(매칭테이블!C:C,MATCH(RD!G2323,매칭테이블!D:D,0))</f>
        <v/>
      </c>
      <c r="F2323" s="20" t="inlineStr">
        <is>
          <t>카페24</t>
        </is>
      </c>
      <c r="G2323" s="20" t="inlineStr">
        <is>
          <t>유즈 솔리드퍼퓸 - 30ml (10차 재입고 완료향=커플세트</t>
        </is>
      </c>
      <c r="H2323" s="20" t="n">
        <v>1</v>
      </c>
      <c r="I2323" s="20">
        <f>VLOOKUP(G2323,매칭테이블!D:E,2,0)</f>
        <v/>
      </c>
      <c r="J2323" s="20" t="n">
        <v>201210</v>
      </c>
      <c r="L2323" s="20">
        <f>VLOOKUP($O2323,매칭테이블!$G:$J,2,0)*H2323</f>
        <v/>
      </c>
      <c r="M2323" s="20">
        <f>L2323-L2323*VLOOKUP($O2323,매칭테이블!$G:$J,3,0)</f>
        <v/>
      </c>
      <c r="N2323" s="20">
        <f>VLOOKUP($O2323,매칭테이블!$G:$J,4,0)*H2323</f>
        <v/>
      </c>
      <c r="O2323" s="20">
        <f>F2323&amp;E2323&amp;G2323&amp;J2323</f>
        <v/>
      </c>
    </row>
    <row r="2324" ht="16.5" customHeight="1" s="17">
      <c r="B2324" s="16" t="n">
        <v>44181</v>
      </c>
      <c r="C2324" s="20">
        <f>TEXT(B2324,"aaa")</f>
        <v/>
      </c>
      <c r="E2324" s="20">
        <f>INDEX(매칭테이블!C:C,MATCH(RD!G2324,매칭테이블!D:D,0))</f>
        <v/>
      </c>
      <c r="F2324" s="20" t="inlineStr">
        <is>
          <t>카페24</t>
        </is>
      </c>
      <c r="G2324" s="20" t="inlineStr">
        <is>
          <t>유즈 솔리드퍼퓸 - 30ml (10차 재입고 완료 )향=이그나이트 001 SOLID PERFUME, 세트 선택=1개</t>
        </is>
      </c>
      <c r="H2324" s="20" t="n">
        <v>2</v>
      </c>
      <c r="I2324" s="20">
        <f>VLOOKUP(G2324,매칭테이블!D:E,2,0)</f>
        <v/>
      </c>
      <c r="J2324" s="20" t="n">
        <v>201210</v>
      </c>
      <c r="L2324" s="20">
        <f>VLOOKUP($O2324,매칭테이블!$G:$J,2,0)*H2324</f>
        <v/>
      </c>
      <c r="M2324" s="20">
        <f>L2324-L2324*VLOOKUP($O2324,매칭테이블!$G:$J,3,0)</f>
        <v/>
      </c>
      <c r="N2324" s="20">
        <f>VLOOKUP($O2324,매칭테이블!$G:$J,4,0)*H2324</f>
        <v/>
      </c>
      <c r="O2324" s="20">
        <f>F2324&amp;E2324&amp;G2324&amp;J2324</f>
        <v/>
      </c>
    </row>
    <row r="2325" ht="16.5" customHeight="1" s="17">
      <c r="B2325" s="16" t="n">
        <v>44181</v>
      </c>
      <c r="C2325" s="20">
        <f>TEXT(B2325,"aaa")</f>
        <v/>
      </c>
      <c r="E2325" s="20">
        <f>INDEX(매칭테이블!C:C,MATCH(RD!G2325,매칭테이블!D:D,0))</f>
        <v/>
      </c>
      <c r="F2325" s="20" t="inlineStr">
        <is>
          <t>카페24</t>
        </is>
      </c>
      <c r="G2325" s="20" t="inlineStr">
        <is>
          <t>유즈 솔리드퍼퓸 - 30ml (10차 재입고 완료 )향=스테이포에버 002 SOLID PERFUME, 세트 선택=1개</t>
        </is>
      </c>
      <c r="H2325" s="20" t="n">
        <v>6</v>
      </c>
      <c r="I2325" s="20">
        <f>VLOOKUP(G2325,매칭테이블!D:E,2,0)</f>
        <v/>
      </c>
      <c r="J2325" s="20" t="n">
        <v>201210</v>
      </c>
      <c r="L2325" s="20">
        <f>VLOOKUP($O2325,매칭테이블!$G:$J,2,0)*H2325</f>
        <v/>
      </c>
      <c r="M2325" s="20">
        <f>L2325-L2325*VLOOKUP($O2325,매칭테이블!$G:$J,3,0)</f>
        <v/>
      </c>
      <c r="N2325" s="20">
        <f>VLOOKUP($O2325,매칭테이블!$G:$J,4,0)*H2325</f>
        <v/>
      </c>
      <c r="O2325" s="20">
        <f>F2325&amp;E2325&amp;G2325&amp;J2325</f>
        <v/>
      </c>
    </row>
    <row r="2326" ht="16.5" customHeight="1" s="17">
      <c r="B2326" s="16" t="n">
        <v>44181</v>
      </c>
      <c r="C2326" s="20">
        <f>TEXT(B2326,"aaa")</f>
        <v/>
      </c>
      <c r="E2326" s="20">
        <f>INDEX(매칭테이블!C:C,MATCH(RD!G2326,매칭테이블!D:D,0))</f>
        <v/>
      </c>
      <c r="F2326" s="20" t="inlineStr">
        <is>
          <t>카페24</t>
        </is>
      </c>
      <c r="G2326" s="20" t="inlineStr">
        <is>
          <t>유즈 솔리드퍼퓸 - 30ml (10차 재입고 완료 )향=스테이포에버 002 SOLID PERFUME, 세트 선택=best 2개 (28% 할인)</t>
        </is>
      </c>
      <c r="H2326" s="20" t="n">
        <v>1</v>
      </c>
      <c r="I2326" s="20">
        <f>VLOOKUP(G2326,매칭테이블!D:E,2,0)</f>
        <v/>
      </c>
      <c r="J2326" s="20" t="n">
        <v>201210</v>
      </c>
      <c r="L2326" s="20">
        <f>VLOOKUP($O2326,매칭테이블!$G:$J,2,0)*H2326</f>
        <v/>
      </c>
      <c r="M2326" s="20">
        <f>L2326-L2326*VLOOKUP($O2326,매칭테이블!$G:$J,3,0)</f>
        <v/>
      </c>
      <c r="N2326" s="20">
        <f>VLOOKUP($O2326,매칭테이블!$G:$J,4,0)*H2326</f>
        <v/>
      </c>
      <c r="O2326" s="20">
        <f>F2326&amp;E2326&amp;G2326&amp;J2326</f>
        <v/>
      </c>
    </row>
    <row r="2327" ht="16.5" customHeight="1" s="17">
      <c r="B2327" s="16" t="n">
        <v>44181</v>
      </c>
      <c r="C2327" s="20">
        <f>TEXT(B2327,"aaa")</f>
        <v/>
      </c>
      <c r="E2327" s="20">
        <f>INDEX(매칭테이블!C:C,MATCH(RD!G2327,매칭테이블!D:D,0))</f>
        <v/>
      </c>
      <c r="F2327" s="20" t="inlineStr">
        <is>
          <t>카페24</t>
        </is>
      </c>
      <c r="G2327" s="20" t="inlineStr">
        <is>
          <t>유즈 솔리드퍼퓸 - 30ml (10차 재입고 완료 )향=커플세트(이그나이트 + 스테이포에버), 세트 선택=1 SET</t>
        </is>
      </c>
      <c r="H2327" s="20" t="n">
        <v>3</v>
      </c>
      <c r="I2327" s="20">
        <f>VLOOKUP(G2327,매칭테이블!D:E,2,0)</f>
        <v/>
      </c>
      <c r="J2327" s="20" t="n">
        <v>201210</v>
      </c>
      <c r="L2327" s="20">
        <f>VLOOKUP($O2327,매칭테이블!$G:$J,2,0)*H2327</f>
        <v/>
      </c>
      <c r="M2327" s="20">
        <f>L2327-L2327*VLOOKUP($O2327,매칭테이블!$G:$J,3,0)</f>
        <v/>
      </c>
      <c r="N2327" s="20">
        <f>VLOOKUP($O2327,매칭테이블!$G:$J,4,0)*H2327</f>
        <v/>
      </c>
      <c r="O2327" s="20">
        <f>F2327&amp;E2327&amp;G2327&amp;J2327</f>
        <v/>
      </c>
    </row>
    <row r="2328" ht="16.5" customHeight="1" s="17">
      <c r="B2328" s="16" t="n">
        <v>44181</v>
      </c>
      <c r="C2328" s="20">
        <f>TEXT(B2328,"aaa")</f>
        <v/>
      </c>
      <c r="E2328" s="20">
        <f>INDEX(매칭테이블!C:C,MATCH(RD!G2328,매칭테이블!D:D,0))</f>
        <v/>
      </c>
      <c r="F2328" s="20" t="inlineStr">
        <is>
          <t>카페24</t>
        </is>
      </c>
      <c r="G2328" s="20" t="inlineStr">
        <is>
          <t>유즈 스테이포에버 솔리드퍼퓸 002 (스테이포에버 주문시 12/15 순차배송)제품선택=스테이포에버 1개</t>
        </is>
      </c>
      <c r="H2328" s="20" t="n">
        <v>3</v>
      </c>
      <c r="I2328" s="20">
        <f>VLOOKUP(G2328,매칭테이블!D:E,2,0)</f>
        <v/>
      </c>
      <c r="J2328" s="20" t="n">
        <v>201210</v>
      </c>
      <c r="L2328" s="20">
        <f>VLOOKUP($O2328,매칭테이블!$G:$J,2,0)*H2328</f>
        <v/>
      </c>
      <c r="M2328" s="20">
        <f>L2328-L2328*VLOOKUP($O2328,매칭테이블!$G:$J,3,0)</f>
        <v/>
      </c>
      <c r="N2328" s="20">
        <f>VLOOKUP($O2328,매칭테이블!$G:$J,4,0)*H2328</f>
        <v/>
      </c>
      <c r="O2328" s="20">
        <f>F2328&amp;E2328&amp;G2328&amp;J2328</f>
        <v/>
      </c>
    </row>
    <row r="2329" ht="16.5" customHeight="1" s="17">
      <c r="B2329" s="16" t="n">
        <v>44181</v>
      </c>
      <c r="C2329" s="20">
        <f>TEXT(B2329,"aaa")</f>
        <v/>
      </c>
      <c r="E2329" s="20">
        <f>INDEX(매칭테이블!C:C,MATCH(RD!G2329,매칭테이블!D:D,0))</f>
        <v/>
      </c>
      <c r="F2329" s="20" t="inlineStr">
        <is>
          <t>카페24</t>
        </is>
      </c>
      <c r="G2329" s="20" t="inlineStr">
        <is>
          <t>유즈 스테이포에버 솔리드퍼퓸 002 (스테이포에버 주문시 12/15 순차배송)제품선택=best</t>
        </is>
      </c>
      <c r="H2329" s="20" t="n">
        <v>1</v>
      </c>
      <c r="I2329" s="20">
        <f>VLOOKUP(G2329,매칭테이블!D:E,2,0)</f>
        <v/>
      </c>
      <c r="J2329" s="20" t="n">
        <v>201210</v>
      </c>
      <c r="L2329" s="20">
        <f>VLOOKUP($O2329,매칭테이블!$G:$J,2,0)*H2329</f>
        <v/>
      </c>
      <c r="M2329" s="20">
        <f>L2329-L2329*VLOOKUP($O2329,매칭테이블!$G:$J,3,0)</f>
        <v/>
      </c>
      <c r="N2329" s="20">
        <f>VLOOKUP($O2329,매칭테이블!$G:$J,4,0)*H2329</f>
        <v/>
      </c>
      <c r="O2329" s="20">
        <f>F2329&amp;E2329&amp;G2329&amp;J2329</f>
        <v/>
      </c>
    </row>
    <row r="2330" ht="16.5" customHeight="1" s="17">
      <c r="B2330" s="16" t="n">
        <v>44181</v>
      </c>
      <c r="C2330" s="20">
        <f>TEXT(B2330,"aaa")</f>
        <v/>
      </c>
      <c r="E2330" s="20">
        <f>INDEX(매칭테이블!C:C,MATCH(RD!G2330,매칭테이블!D:D,0))</f>
        <v/>
      </c>
      <c r="F2330" s="20" t="inlineStr">
        <is>
          <t>카페24</t>
        </is>
      </c>
      <c r="G2330" s="20" t="inlineStr">
        <is>
          <t>유즈 이그나이트 솔리드퍼퓸 001제품선택=이그나이트 솔리드퍼퓸 - 30ml</t>
        </is>
      </c>
      <c r="H2330" s="20" t="n">
        <v>1</v>
      </c>
      <c r="I2330" s="20">
        <f>VLOOKUP(G2330,매칭테이블!D:E,2,0)</f>
        <v/>
      </c>
      <c r="J2330" s="20" t="n">
        <v>201210</v>
      </c>
      <c r="L2330" s="20">
        <f>VLOOKUP($O2330,매칭테이블!$G:$J,2,0)*H2330</f>
        <v/>
      </c>
      <c r="M2330" s="20">
        <f>L2330-L2330*VLOOKUP($O2330,매칭테이블!$G:$J,3,0)</f>
        <v/>
      </c>
      <c r="N2330" s="20">
        <f>VLOOKUP($O2330,매칭테이블!$G:$J,4,0)*H2330</f>
        <v/>
      </c>
      <c r="O2330" s="20">
        <f>F2330&amp;E2330&amp;G2330&amp;J2330</f>
        <v/>
      </c>
    </row>
    <row r="2331" ht="16.5" customHeight="1" s="17">
      <c r="B2331" s="16" t="n">
        <v>44181</v>
      </c>
      <c r="C2331" s="20">
        <f>TEXT(B2331,"aaa")</f>
        <v/>
      </c>
      <c r="E2331" s="20">
        <f>INDEX(매칭테이블!C:C,MATCH(RD!G2331,매칭테이블!D:D,0))</f>
        <v/>
      </c>
      <c r="F2331" s="20" t="inlineStr">
        <is>
          <t>카페24</t>
        </is>
      </c>
      <c r="G2331" s="20" t="inlineStr">
        <is>
          <t>유즈 이그나이트 솔리드퍼퓸 001제품선택=이그나이트 2개 세트</t>
        </is>
      </c>
      <c r="H2331" s="20" t="n">
        <v>1</v>
      </c>
      <c r="I2331" s="20">
        <f>VLOOKUP(G2331,매칭테이블!D:E,2,0)</f>
        <v/>
      </c>
      <c r="J2331" s="20" t="n">
        <v>201210</v>
      </c>
      <c r="L2331" s="20">
        <f>VLOOKUP($O2331,매칭테이블!$G:$J,2,0)*H2331</f>
        <v/>
      </c>
      <c r="M2331" s="20">
        <f>L2331-L2331*VLOOKUP($O2331,매칭테이블!$G:$J,3,0)</f>
        <v/>
      </c>
      <c r="N2331" s="20">
        <f>VLOOKUP($O2331,매칭테이블!$G:$J,4,0)*H2331</f>
        <v/>
      </c>
      <c r="O2331" s="20">
        <f>F2331&amp;E2331&amp;G2331&amp;J2331</f>
        <v/>
      </c>
    </row>
    <row r="2332" ht="16.5" customHeight="1" s="17">
      <c r="B2332" s="16" t="n">
        <v>44182</v>
      </c>
      <c r="C2332" s="20">
        <f>TEXT(B2332,"aaa")</f>
        <v/>
      </c>
      <c r="E2332" s="20">
        <f>INDEX(매칭테이블!C:C,MATCH(RD!G2332,매칭테이블!D:D,0))</f>
        <v/>
      </c>
      <c r="F2332" s="20" t="inlineStr">
        <is>
          <t>유즈 CS</t>
        </is>
      </c>
      <c r="G2332" s="20" t="inlineStr">
        <is>
          <t>솔리드퍼퓸 스테이포에버 002 30ml</t>
        </is>
      </c>
      <c r="H2332" s="20" t="n">
        <v>8</v>
      </c>
      <c r="I2332" s="20">
        <f>VLOOKUP(G2332,매칭테이블!D:E,2,0)</f>
        <v/>
      </c>
      <c r="J2332" s="20" t="n">
        <v>201210</v>
      </c>
      <c r="L2332" s="20">
        <f>VLOOKUP($O2332,매칭테이블!$G:$J,2,0)*H2332</f>
        <v/>
      </c>
      <c r="M2332" s="20">
        <f>L2332-L2332*VLOOKUP($O2332,매칭테이블!$G:$J,3,0)</f>
        <v/>
      </c>
      <c r="N2332" s="20">
        <f>VLOOKUP($O2332,매칭테이블!$G:$J,4,0)*H2332</f>
        <v/>
      </c>
      <c r="O2332" s="20">
        <f>F2332&amp;E2332&amp;G2332&amp;J2332</f>
        <v/>
      </c>
    </row>
    <row r="2333" ht="16.5" customHeight="1" s="17">
      <c r="B2333" s="16" t="n">
        <v>44182</v>
      </c>
      <c r="C2333" s="20">
        <f>TEXT(B2333,"aaa")</f>
        <v/>
      </c>
      <c r="E2333" s="20">
        <f>INDEX(매칭테이블!C:C,MATCH(RD!G2333,매칭테이블!D:D,0))</f>
        <v/>
      </c>
      <c r="F2333" s="20" t="inlineStr">
        <is>
          <t>유즈 CS</t>
        </is>
      </c>
      <c r="G2333" s="20" t="inlineStr">
        <is>
          <t>유즈 솔리드퍼퓸 - 30ml (10차 재입고 완료향=커플세트</t>
        </is>
      </c>
      <c r="H2333" s="20" t="n">
        <v>1</v>
      </c>
      <c r="I2333" s="20">
        <f>VLOOKUP(G2333,매칭테이블!D:E,2,0)</f>
        <v/>
      </c>
      <c r="J2333" s="20" t="n">
        <v>201210</v>
      </c>
      <c r="L2333" s="20">
        <f>VLOOKUP($O2333,매칭테이블!$G:$J,2,0)*H2333</f>
        <v/>
      </c>
      <c r="M2333" s="20">
        <f>L2333-L2333*VLOOKUP($O2333,매칭테이블!$G:$J,3,0)</f>
        <v/>
      </c>
      <c r="N2333" s="20">
        <f>VLOOKUP($O2333,매칭테이블!$G:$J,4,0)*H2333</f>
        <v/>
      </c>
      <c r="O2333" s="20">
        <f>F2333&amp;E2333&amp;G2333&amp;J2333</f>
        <v/>
      </c>
    </row>
    <row r="2334" ht="16.5" customHeight="1" s="17">
      <c r="B2334" s="16" t="n">
        <v>44182</v>
      </c>
      <c r="C2334" s="20">
        <f>TEXT(B2334,"aaa")</f>
        <v/>
      </c>
      <c r="E2334" s="20">
        <f>INDEX(매칭테이블!C:C,MATCH(RD!G2334,매칭테이블!D:D,0))</f>
        <v/>
      </c>
      <c r="F2334" s="20" t="inlineStr">
        <is>
          <t>카페24</t>
        </is>
      </c>
      <c r="G2334" s="20" t="inlineStr">
        <is>
          <t>유즈 솔리드퍼퓸 - 30ml (10차 재입고 완료향=이그나이트 001 SOLID PERFUME, 세트 선택=best</t>
        </is>
      </c>
      <c r="H2334" s="20" t="n">
        <v>1</v>
      </c>
      <c r="I2334" s="20">
        <f>VLOOKUP(G2334,매칭테이블!D:E,2,0)</f>
        <v/>
      </c>
      <c r="J2334" s="20" t="n">
        <v>201210</v>
      </c>
      <c r="L2334" s="20">
        <f>VLOOKUP($O2334,매칭테이블!$G:$J,2,0)*H2334</f>
        <v/>
      </c>
      <c r="M2334" s="20">
        <f>L2334-L2334*VLOOKUP($O2334,매칭테이블!$G:$J,3,0)</f>
        <v/>
      </c>
      <c r="N2334" s="20">
        <f>VLOOKUP($O2334,매칭테이블!$G:$J,4,0)*H2334</f>
        <v/>
      </c>
      <c r="O2334" s="20">
        <f>F2334&amp;E2334&amp;G2334&amp;J2334</f>
        <v/>
      </c>
    </row>
    <row r="2335" ht="16.5" customHeight="1" s="17">
      <c r="B2335" s="16" t="n">
        <v>44182</v>
      </c>
      <c r="C2335" s="20">
        <f>TEXT(B2335,"aaa")</f>
        <v/>
      </c>
      <c r="E2335" s="20">
        <f>INDEX(매칭테이블!C:C,MATCH(RD!G2335,매칭테이블!D:D,0))</f>
        <v/>
      </c>
      <c r="F2335" s="20" t="inlineStr">
        <is>
          <t>카페24</t>
        </is>
      </c>
      <c r="G2335" s="20" t="inlineStr">
        <is>
          <t>스테이포에버 솔리드퍼퓸 002 (10차 재입고 완료제품선택=스테이포에버 1개</t>
        </is>
      </c>
      <c r="H2335" s="20" t="n">
        <v>101</v>
      </c>
      <c r="I2335" s="20">
        <f>VLOOKUP(G2335,매칭테이블!D:E,2,0)</f>
        <v/>
      </c>
      <c r="J2335" s="20" t="n">
        <v>201210</v>
      </c>
      <c r="L2335" s="20">
        <f>VLOOKUP($O2335,매칭테이블!$G:$J,2,0)*H2335</f>
        <v/>
      </c>
      <c r="M2335" s="20">
        <f>L2335-L2335*VLOOKUP($O2335,매칭테이블!$G:$J,3,0)</f>
        <v/>
      </c>
      <c r="N2335" s="20">
        <f>VLOOKUP($O2335,매칭테이블!$G:$J,4,0)*H2335</f>
        <v/>
      </c>
      <c r="O2335" s="20">
        <f>F2335&amp;E2335&amp;G2335&amp;J2335</f>
        <v/>
      </c>
    </row>
    <row r="2336" ht="16.5" customHeight="1" s="17">
      <c r="B2336" s="16" t="n">
        <v>44182</v>
      </c>
      <c r="C2336" s="20">
        <f>TEXT(B2336,"aaa")</f>
        <v/>
      </c>
      <c r="E2336" s="20">
        <f>INDEX(매칭테이블!C:C,MATCH(RD!G2336,매칭테이블!D:D,0))</f>
        <v/>
      </c>
      <c r="F2336" s="20" t="inlineStr">
        <is>
          <t>카페24</t>
        </is>
      </c>
      <c r="G2336" s="20" t="inlineStr">
        <is>
          <t>스테이포에버 솔리드퍼퓸 002 (10차 재입고 완료제품선택=best</t>
        </is>
      </c>
      <c r="H2336" s="20" t="n">
        <v>53</v>
      </c>
      <c r="I2336" s="20">
        <f>VLOOKUP(G2336,매칭테이블!D:E,2,0)</f>
        <v/>
      </c>
      <c r="J2336" s="20" t="n">
        <v>201210</v>
      </c>
      <c r="L2336" s="20">
        <f>VLOOKUP($O2336,매칭테이블!$G:$J,2,0)*H2336</f>
        <v/>
      </c>
      <c r="M2336" s="20">
        <f>L2336-L2336*VLOOKUP($O2336,매칭테이블!$G:$J,3,0)</f>
        <v/>
      </c>
      <c r="N2336" s="20">
        <f>VLOOKUP($O2336,매칭테이블!$G:$J,4,0)*H2336</f>
        <v/>
      </c>
      <c r="O2336" s="20">
        <f>F2336&amp;E2336&amp;G2336&amp;J2336</f>
        <v/>
      </c>
    </row>
    <row r="2337" ht="16.5" customHeight="1" s="17">
      <c r="B2337" s="16" t="n">
        <v>44182</v>
      </c>
      <c r="C2337" s="20">
        <f>TEXT(B2337,"aaa")</f>
        <v/>
      </c>
      <c r="E2337" s="20">
        <f>INDEX(매칭테이블!C:C,MATCH(RD!G2337,매칭테이블!D:D,0))</f>
        <v/>
      </c>
      <c r="F2337" s="20" t="inlineStr">
        <is>
          <t>카페24</t>
        </is>
      </c>
      <c r="G2337" s="20" t="inlineStr">
        <is>
          <t>스테이포에버 솔리드퍼퓸 002 (10차 재입고 완료제품선택=커플추천</t>
        </is>
      </c>
      <c r="H2337" s="20" t="n">
        <v>6</v>
      </c>
      <c r="I2337" s="20">
        <f>VLOOKUP(G2337,매칭테이블!D:E,2,0)</f>
        <v/>
      </c>
      <c r="J2337" s="20" t="n">
        <v>201210</v>
      </c>
      <c r="L2337" s="20">
        <f>VLOOKUP($O2337,매칭테이블!$G:$J,2,0)*H2337</f>
        <v/>
      </c>
      <c r="M2337" s="20">
        <f>L2337-L2337*VLOOKUP($O2337,매칭테이블!$G:$J,3,0)</f>
        <v/>
      </c>
      <c r="N2337" s="20">
        <f>VLOOKUP($O2337,매칭테이블!$G:$J,4,0)*H2337</f>
        <v/>
      </c>
      <c r="O2337" s="20">
        <f>F2337&amp;E2337&amp;G2337&amp;J2337</f>
        <v/>
      </c>
    </row>
    <row r="2338" ht="16.5" customHeight="1" s="17">
      <c r="B2338" s="16" t="n">
        <v>44182</v>
      </c>
      <c r="C2338" s="20">
        <f>TEXT(B2338,"aaa")</f>
        <v/>
      </c>
      <c r="E2338" s="20">
        <f>INDEX(매칭테이블!C:C,MATCH(RD!G2338,매칭테이블!D:D,0))</f>
        <v/>
      </c>
      <c r="F2338" s="20" t="inlineStr">
        <is>
          <t>카페24</t>
        </is>
      </c>
      <c r="G2338" s="20" t="inlineStr">
        <is>
          <t>스테이포에버 솔리드퍼퓸 002 (10차 재입고 완료쇼핑백=선물용 쇼핑백</t>
        </is>
      </c>
      <c r="H2338" s="20" t="n">
        <v>4</v>
      </c>
      <c r="I2338" s="20">
        <f>VLOOKUP(G2338,매칭테이블!D:E,2,0)</f>
        <v/>
      </c>
      <c r="J2338" s="20" t="n">
        <v>201210</v>
      </c>
      <c r="L2338" s="20">
        <f>VLOOKUP($O2338,매칭테이블!$G:$J,2,0)*H2338</f>
        <v/>
      </c>
      <c r="M2338" s="20">
        <f>L2338-L2338*VLOOKUP($O2338,매칭테이블!$G:$J,3,0)</f>
        <v/>
      </c>
      <c r="N2338" s="20">
        <f>VLOOKUP($O2338,매칭테이블!$G:$J,4,0)*H2338</f>
        <v/>
      </c>
      <c r="O2338" s="20">
        <f>F2338&amp;E2338&amp;G2338&amp;J2338</f>
        <v/>
      </c>
    </row>
    <row r="2339" ht="16.5" customHeight="1" s="17">
      <c r="B2339" s="16" t="n">
        <v>44182</v>
      </c>
      <c r="C2339" s="20">
        <f>TEXT(B2339,"aaa")</f>
        <v/>
      </c>
      <c r="E2339" s="20">
        <f>INDEX(매칭테이블!C:C,MATCH(RD!G2339,매칭테이블!D:D,0))</f>
        <v/>
      </c>
      <c r="F2339" s="20" t="inlineStr">
        <is>
          <t>카페24</t>
        </is>
      </c>
      <c r="G2339" s="20" t="inlineStr">
        <is>
          <t>스테이포에버 솔리드퍼퓸 002 (10차 재입고 완료)제품선택=스테이포에버 1개</t>
        </is>
      </c>
      <c r="H2339" s="20" t="n">
        <v>169</v>
      </c>
      <c r="I2339" s="20">
        <f>VLOOKUP(G2339,매칭테이블!D:E,2,0)</f>
        <v/>
      </c>
      <c r="J2339" s="20" t="n">
        <v>201210</v>
      </c>
      <c r="L2339" s="20">
        <f>VLOOKUP($O2339,매칭테이블!$G:$J,2,0)*H2339</f>
        <v/>
      </c>
      <c r="M2339" s="20">
        <f>L2339-L2339*VLOOKUP($O2339,매칭테이블!$G:$J,3,0)</f>
        <v/>
      </c>
      <c r="N2339" s="20">
        <f>VLOOKUP($O2339,매칭테이블!$G:$J,4,0)*H2339</f>
        <v/>
      </c>
      <c r="O2339" s="20">
        <f>F2339&amp;E2339&amp;G2339&amp;J2339</f>
        <v/>
      </c>
    </row>
    <row r="2340" ht="16.5" customHeight="1" s="17">
      <c r="B2340" s="16" t="n">
        <v>44182</v>
      </c>
      <c r="C2340" s="20">
        <f>TEXT(B2340,"aaa")</f>
        <v/>
      </c>
      <c r="E2340" s="20">
        <f>INDEX(매칭테이블!C:C,MATCH(RD!G2340,매칭테이블!D:D,0))</f>
        <v/>
      </c>
      <c r="F2340" s="20" t="inlineStr">
        <is>
          <t>카페24</t>
        </is>
      </c>
      <c r="G2340" s="20" t="inlineStr">
        <is>
          <t>스테이포에버 솔리드퍼퓸 002 (10차 재입고 완료)제품선택=best스테이포에버 2개[28% 할인]</t>
        </is>
      </c>
      <c r="H2340" s="20" t="n">
        <v>67</v>
      </c>
      <c r="I2340" s="20">
        <f>VLOOKUP(G2340,매칭테이블!D:E,2,0)</f>
        <v/>
      </c>
      <c r="J2340" s="20" t="n">
        <v>201210</v>
      </c>
      <c r="L2340" s="20">
        <f>VLOOKUP($O2340,매칭테이블!$G:$J,2,0)*H2340</f>
        <v/>
      </c>
      <c r="M2340" s="20">
        <f>L2340-L2340*VLOOKUP($O2340,매칭테이블!$G:$J,3,0)</f>
        <v/>
      </c>
      <c r="N2340" s="20">
        <f>VLOOKUP($O2340,매칭테이블!$G:$J,4,0)*H2340</f>
        <v/>
      </c>
      <c r="O2340" s="20">
        <f>F2340&amp;E2340&amp;G2340&amp;J2340</f>
        <v/>
      </c>
    </row>
    <row r="2341" ht="16.5" customHeight="1" s="17">
      <c r="B2341" s="16" t="n">
        <v>44182</v>
      </c>
      <c r="C2341" s="20">
        <f>TEXT(B2341,"aaa")</f>
        <v/>
      </c>
      <c r="E2341" s="20">
        <f>INDEX(매칭테이블!C:C,MATCH(RD!G2341,매칭테이블!D:D,0))</f>
        <v/>
      </c>
      <c r="F2341" s="20" t="inlineStr">
        <is>
          <t>카페24</t>
        </is>
      </c>
      <c r="G2341" s="20" t="inlineStr">
        <is>
          <t>스테이포에버 솔리드퍼퓸 002 (10차 재입고 완료)제품선택=커플추천스테이포에버 + 이그나이트 세트</t>
        </is>
      </c>
      <c r="H2341" s="20" t="n">
        <v>12</v>
      </c>
      <c r="I2341" s="20">
        <f>VLOOKUP(G2341,매칭테이블!D:E,2,0)</f>
        <v/>
      </c>
      <c r="J2341" s="20" t="n">
        <v>201210</v>
      </c>
      <c r="L2341" s="20">
        <f>VLOOKUP($O2341,매칭테이블!$G:$J,2,0)*H2341</f>
        <v/>
      </c>
      <c r="M2341" s="20">
        <f>L2341-L2341*VLOOKUP($O2341,매칭테이블!$G:$J,3,0)</f>
        <v/>
      </c>
      <c r="N2341" s="20">
        <f>VLOOKUP($O2341,매칭테이블!$G:$J,4,0)*H2341</f>
        <v/>
      </c>
      <c r="O2341" s="20">
        <f>F2341&amp;E2341&amp;G2341&amp;J2341</f>
        <v/>
      </c>
    </row>
    <row r="2342" ht="16.5" customHeight="1" s="17">
      <c r="B2342" s="16" t="n">
        <v>44182</v>
      </c>
      <c r="C2342" s="20">
        <f>TEXT(B2342,"aaa")</f>
        <v/>
      </c>
      <c r="E2342" s="20">
        <f>INDEX(매칭테이블!C:C,MATCH(RD!G2342,매칭테이블!D:D,0))</f>
        <v/>
      </c>
      <c r="F2342" s="20" t="inlineStr">
        <is>
          <t>카페24</t>
        </is>
      </c>
      <c r="G2342" s="20" t="inlineStr">
        <is>
          <t>스테이포에버 솔리드퍼퓸 002 (10차 재입고 완료)쇼핑백=선물용 쇼핑백</t>
        </is>
      </c>
      <c r="H2342" s="20" t="n">
        <v>7</v>
      </c>
      <c r="I2342" s="20">
        <f>VLOOKUP(G2342,매칭테이블!D:E,2,0)</f>
        <v/>
      </c>
      <c r="J2342" s="20" t="n">
        <v>201210</v>
      </c>
      <c r="L2342" s="20">
        <f>VLOOKUP($O2342,매칭테이블!$G:$J,2,0)*H2342</f>
        <v/>
      </c>
      <c r="M2342" s="20">
        <f>L2342-L2342*VLOOKUP($O2342,매칭테이블!$G:$J,3,0)</f>
        <v/>
      </c>
      <c r="N2342" s="20">
        <f>VLOOKUP($O2342,매칭테이블!$G:$J,4,0)*H2342</f>
        <v/>
      </c>
      <c r="O2342" s="20">
        <f>F2342&amp;E2342&amp;G2342&amp;J2342</f>
        <v/>
      </c>
    </row>
    <row r="2343" ht="16.5" customHeight="1" s="17">
      <c r="B2343" s="16" t="n">
        <v>44182</v>
      </c>
      <c r="C2343" s="20">
        <f>TEXT(B2343,"aaa")</f>
        <v/>
      </c>
      <c r="E2343" s="20">
        <f>INDEX(매칭테이블!C:C,MATCH(RD!G2343,매칭테이블!D:D,0))</f>
        <v/>
      </c>
      <c r="F2343" s="20" t="inlineStr">
        <is>
          <t>카페24</t>
        </is>
      </c>
      <c r="G2343" s="20" t="inlineStr">
        <is>
          <t>유즈 솔리드퍼퓸 - 30ml (10차 재입고 완료향=스테이포에버 002 SOLID PERFUME, 세트 선택=1개</t>
        </is>
      </c>
      <c r="H2343" s="20" t="n">
        <v>5</v>
      </c>
      <c r="I2343" s="20">
        <f>VLOOKUP(G2343,매칭테이블!D:E,2,0)</f>
        <v/>
      </c>
      <c r="J2343" s="20" t="n">
        <v>201210</v>
      </c>
      <c r="L2343" s="20">
        <f>VLOOKUP($O2343,매칭테이블!$G:$J,2,0)*H2343</f>
        <v/>
      </c>
      <c r="M2343" s="20">
        <f>L2343-L2343*VLOOKUP($O2343,매칭테이블!$G:$J,3,0)</f>
        <v/>
      </c>
      <c r="N2343" s="20">
        <f>VLOOKUP($O2343,매칭테이블!$G:$J,4,0)*H2343</f>
        <v/>
      </c>
      <c r="O2343" s="20">
        <f>F2343&amp;E2343&amp;G2343&amp;J2343</f>
        <v/>
      </c>
    </row>
    <row r="2344" ht="16.5" customHeight="1" s="17">
      <c r="B2344" s="16" t="n">
        <v>44182</v>
      </c>
      <c r="C2344" s="20">
        <f>TEXT(B2344,"aaa")</f>
        <v/>
      </c>
      <c r="E2344" s="20">
        <f>INDEX(매칭테이블!C:C,MATCH(RD!G2344,매칭테이블!D:D,0))</f>
        <v/>
      </c>
      <c r="F2344" s="20" t="inlineStr">
        <is>
          <t>카페24</t>
        </is>
      </c>
      <c r="G2344" s="20" t="inlineStr">
        <is>
          <t>유즈 솔리드퍼퓸 - 30ml (10차 재입고 완료향=스테이포에버 002 SOLID PERFUME, 세트 선택=best</t>
        </is>
      </c>
      <c r="H2344" s="20" t="n">
        <v>3</v>
      </c>
      <c r="I2344" s="20">
        <f>VLOOKUP(G2344,매칭테이블!D:E,2,0)</f>
        <v/>
      </c>
      <c r="J2344" s="20" t="n">
        <v>201210</v>
      </c>
      <c r="L2344" s="20">
        <f>VLOOKUP($O2344,매칭테이블!$G:$J,2,0)*H2344</f>
        <v/>
      </c>
      <c r="M2344" s="20">
        <f>L2344-L2344*VLOOKUP($O2344,매칭테이블!$G:$J,3,0)</f>
        <v/>
      </c>
      <c r="N2344" s="20">
        <f>VLOOKUP($O2344,매칭테이블!$G:$J,4,0)*H2344</f>
        <v/>
      </c>
      <c r="O2344" s="20">
        <f>F2344&amp;E2344&amp;G2344&amp;J2344</f>
        <v/>
      </c>
    </row>
    <row r="2345" ht="16.5" customHeight="1" s="17">
      <c r="B2345" s="16" t="n">
        <v>44182</v>
      </c>
      <c r="C2345" s="20">
        <f>TEXT(B2345,"aaa")</f>
        <v/>
      </c>
      <c r="E2345" s="20">
        <f>INDEX(매칭테이블!C:C,MATCH(RD!G2345,매칭테이블!D:D,0))</f>
        <v/>
      </c>
      <c r="F2345" s="20" t="inlineStr">
        <is>
          <t>카페24</t>
        </is>
      </c>
      <c r="G2345" s="20" t="inlineStr">
        <is>
          <t>유즈 솔리드퍼퓸 - 30ml (10차 재입고 완료향=커플세트</t>
        </is>
      </c>
      <c r="H2345" s="20" t="n">
        <v>8</v>
      </c>
      <c r="I2345" s="20">
        <f>VLOOKUP(G2345,매칭테이블!D:E,2,0)</f>
        <v/>
      </c>
      <c r="J2345" s="20" t="n">
        <v>201210</v>
      </c>
      <c r="L2345" s="20">
        <f>VLOOKUP($O2345,매칭테이블!$G:$J,2,0)*H2345</f>
        <v/>
      </c>
      <c r="M2345" s="20">
        <f>L2345-L2345*VLOOKUP($O2345,매칭테이블!$G:$J,3,0)</f>
        <v/>
      </c>
      <c r="N2345" s="20">
        <f>VLOOKUP($O2345,매칭테이블!$G:$J,4,0)*H2345</f>
        <v/>
      </c>
      <c r="O2345" s="20">
        <f>F2345&amp;E2345&amp;G2345&amp;J2345</f>
        <v/>
      </c>
    </row>
    <row r="2346" ht="16.5" customHeight="1" s="17">
      <c r="B2346" s="16" t="n">
        <v>44182</v>
      </c>
      <c r="C2346" s="20">
        <f>TEXT(B2346,"aaa")</f>
        <v/>
      </c>
      <c r="E2346" s="20">
        <f>INDEX(매칭테이블!C:C,MATCH(RD!G2346,매칭테이블!D:D,0))</f>
        <v/>
      </c>
      <c r="F2346" s="20" t="inlineStr">
        <is>
          <t>카페24</t>
        </is>
      </c>
      <c r="G2346" s="20" t="inlineStr">
        <is>
          <t>유즈 솔리드퍼퓸 - 30ml (10차 재입고 완료향=커플세트</t>
        </is>
      </c>
      <c r="H2346" s="20" t="n">
        <v>1</v>
      </c>
      <c r="I2346" s="20">
        <f>VLOOKUP(G2346,매칭테이블!D:E,2,0)</f>
        <v/>
      </c>
      <c r="J2346" s="20" t="n">
        <v>201210</v>
      </c>
      <c r="L2346" s="20">
        <f>VLOOKUP($O2346,매칭테이블!$G:$J,2,0)*H2346</f>
        <v/>
      </c>
      <c r="M2346" s="20">
        <f>L2346-L2346*VLOOKUP($O2346,매칭테이블!$G:$J,3,0)</f>
        <v/>
      </c>
      <c r="N2346" s="20">
        <f>VLOOKUP($O2346,매칭테이블!$G:$J,4,0)*H2346</f>
        <v/>
      </c>
      <c r="O2346" s="20">
        <f>F2346&amp;E2346&amp;G2346&amp;J2346</f>
        <v/>
      </c>
    </row>
    <row r="2347" ht="16.5" customHeight="1" s="17">
      <c r="B2347" s="16" t="n">
        <v>44182</v>
      </c>
      <c r="C2347" s="20">
        <f>TEXT(B2347,"aaa")</f>
        <v/>
      </c>
      <c r="E2347" s="20">
        <f>INDEX(매칭테이블!C:C,MATCH(RD!G2347,매칭테이블!D:D,0))</f>
        <v/>
      </c>
      <c r="F2347" s="20" t="inlineStr">
        <is>
          <t>카페24</t>
        </is>
      </c>
      <c r="G2347" s="20" t="inlineStr">
        <is>
          <t>유즈 솔리드퍼퓸 - 30ml (10차 재입고 완료 )향=스테이포에버 002 SOLID PERFUME, 세트 선택=1개</t>
        </is>
      </c>
      <c r="H2347" s="20" t="n">
        <v>7</v>
      </c>
      <c r="I2347" s="20">
        <f>VLOOKUP(G2347,매칭테이블!D:E,2,0)</f>
        <v/>
      </c>
      <c r="J2347" s="20" t="n">
        <v>201210</v>
      </c>
      <c r="L2347" s="20">
        <f>VLOOKUP($O2347,매칭테이블!$G:$J,2,0)*H2347</f>
        <v/>
      </c>
      <c r="M2347" s="20">
        <f>L2347-L2347*VLOOKUP($O2347,매칭테이블!$G:$J,3,0)</f>
        <v/>
      </c>
      <c r="N2347" s="20">
        <f>VLOOKUP($O2347,매칭테이블!$G:$J,4,0)*H2347</f>
        <v/>
      </c>
      <c r="O2347" s="20">
        <f>F2347&amp;E2347&amp;G2347&amp;J2347</f>
        <v/>
      </c>
    </row>
    <row r="2348" ht="16.5" customHeight="1" s="17">
      <c r="B2348" s="16" t="n">
        <v>44182</v>
      </c>
      <c r="C2348" s="20">
        <f>TEXT(B2348,"aaa")</f>
        <v/>
      </c>
      <c r="E2348" s="20">
        <f>INDEX(매칭테이블!C:C,MATCH(RD!G2348,매칭테이블!D:D,0))</f>
        <v/>
      </c>
      <c r="F2348" s="20" t="inlineStr">
        <is>
          <t>카페24</t>
        </is>
      </c>
      <c r="G2348" s="20" t="inlineStr">
        <is>
          <t>유즈 솔리드퍼퓸 - 30ml (10차 재입고 완료 )향=커플세트(이그나이트 + 스테이포에버), 세트 선택=1 SET</t>
        </is>
      </c>
      <c r="H2348" s="20" t="n">
        <v>3</v>
      </c>
      <c r="I2348" s="20">
        <f>VLOOKUP(G2348,매칭테이블!D:E,2,0)</f>
        <v/>
      </c>
      <c r="J2348" s="20" t="n">
        <v>201210</v>
      </c>
      <c r="L2348" s="20">
        <f>VLOOKUP($O2348,매칭테이블!$G:$J,2,0)*H2348</f>
        <v/>
      </c>
      <c r="M2348" s="20">
        <f>L2348-L2348*VLOOKUP($O2348,매칭테이블!$G:$J,3,0)</f>
        <v/>
      </c>
      <c r="N2348" s="20">
        <f>VLOOKUP($O2348,매칭테이블!$G:$J,4,0)*H2348</f>
        <v/>
      </c>
      <c r="O2348" s="20">
        <f>F2348&amp;E2348&amp;G2348&amp;J2348</f>
        <v/>
      </c>
    </row>
    <row r="2349" ht="16.5" customHeight="1" s="17">
      <c r="B2349" s="16" t="n">
        <v>44182</v>
      </c>
      <c r="C2349" s="20">
        <f>TEXT(B2349,"aaa")</f>
        <v/>
      </c>
      <c r="E2349" s="20">
        <f>INDEX(매칭테이블!C:C,MATCH(RD!G2349,매칭테이블!D:D,0))</f>
        <v/>
      </c>
      <c r="F2349" s="20" t="inlineStr">
        <is>
          <t>카페24</t>
        </is>
      </c>
      <c r="G2349" s="20" t="inlineStr">
        <is>
          <t>유즈 이그나이트 솔리드퍼퓸 001제품선택=이그나이트 솔리드퍼퓸 - 30ml</t>
        </is>
      </c>
      <c r="H2349" s="20" t="n">
        <v>5</v>
      </c>
      <c r="I2349" s="20">
        <f>VLOOKUP(G2349,매칭테이블!D:E,2,0)</f>
        <v/>
      </c>
      <c r="J2349" s="20" t="n">
        <v>201210</v>
      </c>
      <c r="L2349" s="20">
        <f>VLOOKUP($O2349,매칭테이블!$G:$J,2,0)*H2349</f>
        <v/>
      </c>
      <c r="M2349" s="20">
        <f>L2349-L2349*VLOOKUP($O2349,매칭테이블!$G:$J,3,0)</f>
        <v/>
      </c>
      <c r="N2349" s="20">
        <f>VLOOKUP($O2349,매칭테이블!$G:$J,4,0)*H2349</f>
        <v/>
      </c>
      <c r="O2349" s="20">
        <f>F2349&amp;E2349&amp;G2349&amp;J2349</f>
        <v/>
      </c>
    </row>
    <row r="2350" ht="16.5" customHeight="1" s="17">
      <c r="B2350" s="16" t="n">
        <v>44182</v>
      </c>
      <c r="C2350" s="20">
        <f>TEXT(B2350,"aaa")</f>
        <v/>
      </c>
      <c r="E2350" s="20">
        <f>INDEX(매칭테이블!C:C,MATCH(RD!G2350,매칭테이블!D:D,0))</f>
        <v/>
      </c>
      <c r="F2350" s="20" t="inlineStr">
        <is>
          <t>카페24</t>
        </is>
      </c>
      <c r="G2350" s="20" t="inlineStr">
        <is>
          <t>유즈 이그나이트 솔리드퍼퓸 001제품선택=이그나이트 2개 세트</t>
        </is>
      </c>
      <c r="H2350" s="20" t="n">
        <v>3</v>
      </c>
      <c r="I2350" s="20">
        <f>VLOOKUP(G2350,매칭테이블!D:E,2,0)</f>
        <v/>
      </c>
      <c r="J2350" s="20" t="n">
        <v>201210</v>
      </c>
      <c r="L2350" s="20">
        <f>VLOOKUP($O2350,매칭테이블!$G:$J,2,0)*H2350</f>
        <v/>
      </c>
      <c r="M2350" s="20">
        <f>L2350-L2350*VLOOKUP($O2350,매칭테이블!$G:$J,3,0)</f>
        <v/>
      </c>
      <c r="N2350" s="20">
        <f>VLOOKUP($O2350,매칭테이블!$G:$J,4,0)*H2350</f>
        <v/>
      </c>
      <c r="O2350" s="20">
        <f>F2350&amp;E2350&amp;G2350&amp;J2350</f>
        <v/>
      </c>
    </row>
    <row r="2351" ht="16.5" customHeight="1" s="17">
      <c r="B2351" s="16" t="n">
        <v>44183</v>
      </c>
      <c r="C2351" s="20">
        <f>TEXT(B2351,"aaa")</f>
        <v/>
      </c>
      <c r="E2351" s="20">
        <f>INDEX(매칭테이블!C:C,MATCH(RD!G2351,매칭테이블!D:D,0))</f>
        <v/>
      </c>
      <c r="F2351" s="20" t="inlineStr">
        <is>
          <t>카페24</t>
        </is>
      </c>
      <c r="G2351" s="20" t="inlineStr">
        <is>
          <t>스테이포에버 솔리드퍼퓸 002 (10차 재입고 완료제품선택=스테이포에버 1개</t>
        </is>
      </c>
      <c r="H2351" s="20" t="n">
        <v>27</v>
      </c>
      <c r="I2351" s="20">
        <f>VLOOKUP(G2351,매칭테이블!D:E,2,0)</f>
        <v/>
      </c>
      <c r="J2351" s="20" t="n">
        <v>201210</v>
      </c>
      <c r="L2351" s="20">
        <f>VLOOKUP($O2351,매칭테이블!$G:$J,2,0)*H2351</f>
        <v/>
      </c>
      <c r="M2351" s="20">
        <f>L2351-L2351*VLOOKUP($O2351,매칭테이블!$G:$J,3,0)</f>
        <v/>
      </c>
      <c r="N2351" s="20">
        <f>VLOOKUP($O2351,매칭테이블!$G:$J,4,0)*H2351</f>
        <v/>
      </c>
      <c r="O2351" s="20">
        <f>F2351&amp;E2351&amp;G2351&amp;J2351</f>
        <v/>
      </c>
    </row>
    <row r="2352" ht="16.5" customHeight="1" s="17">
      <c r="B2352" s="16" t="n">
        <v>44183</v>
      </c>
      <c r="C2352" s="20">
        <f>TEXT(B2352,"aaa")</f>
        <v/>
      </c>
      <c r="E2352" s="20">
        <f>INDEX(매칭테이블!C:C,MATCH(RD!G2352,매칭테이블!D:D,0))</f>
        <v/>
      </c>
      <c r="F2352" s="20" t="inlineStr">
        <is>
          <t>카페24</t>
        </is>
      </c>
      <c r="G2352" s="20" t="inlineStr">
        <is>
          <t>스테이포에버 솔리드퍼퓸 002 (10차 재입고 완료제품선택=best</t>
        </is>
      </c>
      <c r="H2352" s="20" t="n">
        <v>13</v>
      </c>
      <c r="I2352" s="20">
        <f>VLOOKUP(G2352,매칭테이블!D:E,2,0)</f>
        <v/>
      </c>
      <c r="J2352" s="20" t="n">
        <v>201210</v>
      </c>
      <c r="L2352" s="20">
        <f>VLOOKUP($O2352,매칭테이블!$G:$J,2,0)*H2352</f>
        <v/>
      </c>
      <c r="M2352" s="20">
        <f>L2352-L2352*VLOOKUP($O2352,매칭테이블!$G:$J,3,0)</f>
        <v/>
      </c>
      <c r="N2352" s="20">
        <f>VLOOKUP($O2352,매칭테이블!$G:$J,4,0)*H2352</f>
        <v/>
      </c>
      <c r="O2352" s="20">
        <f>F2352&amp;E2352&amp;G2352&amp;J2352</f>
        <v/>
      </c>
    </row>
    <row r="2353" ht="16.5" customHeight="1" s="17">
      <c r="B2353" s="16" t="n">
        <v>44183</v>
      </c>
      <c r="C2353" s="20">
        <f>TEXT(B2353,"aaa")</f>
        <v/>
      </c>
      <c r="E2353" s="20">
        <f>INDEX(매칭테이블!C:C,MATCH(RD!G2353,매칭테이블!D:D,0))</f>
        <v/>
      </c>
      <c r="F2353" s="20" t="inlineStr">
        <is>
          <t>카페24</t>
        </is>
      </c>
      <c r="G2353" s="20" t="inlineStr">
        <is>
          <t>스테이포에버 솔리드퍼퓸 002 (10차 재입고 완료제품선택=커플추천</t>
        </is>
      </c>
      <c r="H2353" s="20" t="n">
        <v>1</v>
      </c>
      <c r="I2353" s="20">
        <f>VLOOKUP(G2353,매칭테이블!D:E,2,0)</f>
        <v/>
      </c>
      <c r="J2353" s="20" t="n">
        <v>201210</v>
      </c>
      <c r="L2353" s="20">
        <f>VLOOKUP($O2353,매칭테이블!$G:$J,2,0)*H2353</f>
        <v/>
      </c>
      <c r="M2353" s="20">
        <f>L2353-L2353*VLOOKUP($O2353,매칭테이블!$G:$J,3,0)</f>
        <v/>
      </c>
      <c r="N2353" s="20">
        <f>VLOOKUP($O2353,매칭테이블!$G:$J,4,0)*H2353</f>
        <v/>
      </c>
      <c r="O2353" s="20">
        <f>F2353&amp;E2353&amp;G2353&amp;J2353</f>
        <v/>
      </c>
    </row>
    <row r="2354" ht="16.5" customHeight="1" s="17">
      <c r="B2354" s="16" t="n">
        <v>44183</v>
      </c>
      <c r="C2354" s="20">
        <f>TEXT(B2354,"aaa")</f>
        <v/>
      </c>
      <c r="E2354" s="20">
        <f>INDEX(매칭테이블!C:C,MATCH(RD!G2354,매칭테이블!D:D,0))</f>
        <v/>
      </c>
      <c r="F2354" s="20" t="inlineStr">
        <is>
          <t>카페24</t>
        </is>
      </c>
      <c r="G2354" s="20" t="inlineStr">
        <is>
          <t>스테이포에버 솔리드퍼퓸 002 (10차 재입고 완료쇼핑백=선물용 쇼핑백</t>
        </is>
      </c>
      <c r="H2354" s="20" t="n">
        <v>2</v>
      </c>
      <c r="I2354" s="20">
        <f>VLOOKUP(G2354,매칭테이블!D:E,2,0)</f>
        <v/>
      </c>
      <c r="J2354" s="20" t="n">
        <v>201210</v>
      </c>
      <c r="L2354" s="20">
        <f>VLOOKUP($O2354,매칭테이블!$G:$J,2,0)*H2354</f>
        <v/>
      </c>
      <c r="M2354" s="20">
        <f>L2354-L2354*VLOOKUP($O2354,매칭테이블!$G:$J,3,0)</f>
        <v/>
      </c>
      <c r="N2354" s="20">
        <f>VLOOKUP($O2354,매칭테이블!$G:$J,4,0)*H2354</f>
        <v/>
      </c>
      <c r="O2354" s="20">
        <f>F2354&amp;E2354&amp;G2354&amp;J2354</f>
        <v/>
      </c>
    </row>
    <row r="2355" ht="16.5" customHeight="1" s="17">
      <c r="B2355" s="16" t="n">
        <v>44183</v>
      </c>
      <c r="C2355" s="20">
        <f>TEXT(B2355,"aaa")</f>
        <v/>
      </c>
      <c r="E2355" s="20">
        <f>INDEX(매칭테이블!C:C,MATCH(RD!G2355,매칭테이블!D:D,0))</f>
        <v/>
      </c>
      <c r="F2355" s="20" t="inlineStr">
        <is>
          <t>카페24</t>
        </is>
      </c>
      <c r="G2355" s="20" t="inlineStr">
        <is>
          <t>스테이포에버 솔리드퍼퓸 002 (10차 재입고 완료)제품선택=스테이포에버 1개</t>
        </is>
      </c>
      <c r="H2355" s="20" t="n">
        <v>44</v>
      </c>
      <c r="I2355" s="20">
        <f>VLOOKUP(G2355,매칭테이블!D:E,2,0)</f>
        <v/>
      </c>
      <c r="J2355" s="20" t="n">
        <v>201210</v>
      </c>
      <c r="L2355" s="20">
        <f>VLOOKUP($O2355,매칭테이블!$G:$J,2,0)*H2355</f>
        <v/>
      </c>
      <c r="M2355" s="20">
        <f>L2355-L2355*VLOOKUP($O2355,매칭테이블!$G:$J,3,0)</f>
        <v/>
      </c>
      <c r="N2355" s="20">
        <f>VLOOKUP($O2355,매칭테이블!$G:$J,4,0)*H2355</f>
        <v/>
      </c>
      <c r="O2355" s="20">
        <f>F2355&amp;E2355&amp;G2355&amp;J2355</f>
        <v/>
      </c>
    </row>
    <row r="2356" ht="16.5" customHeight="1" s="17">
      <c r="B2356" s="16" t="n">
        <v>44183</v>
      </c>
      <c r="C2356" s="20">
        <f>TEXT(B2356,"aaa")</f>
        <v/>
      </c>
      <c r="E2356" s="20">
        <f>INDEX(매칭테이블!C:C,MATCH(RD!G2356,매칭테이블!D:D,0))</f>
        <v/>
      </c>
      <c r="F2356" s="20" t="inlineStr">
        <is>
          <t>카페24</t>
        </is>
      </c>
      <c r="G2356" s="20" t="inlineStr">
        <is>
          <t>스테이포에버 솔리드퍼퓸 002 (10차 재입고 완료)제품선택=best스테이포에버 2개[28% 할인]</t>
        </is>
      </c>
      <c r="H2356" s="20" t="n">
        <v>19</v>
      </c>
      <c r="I2356" s="20">
        <f>VLOOKUP(G2356,매칭테이블!D:E,2,0)</f>
        <v/>
      </c>
      <c r="J2356" s="20" t="n">
        <v>201210</v>
      </c>
      <c r="L2356" s="20">
        <f>VLOOKUP($O2356,매칭테이블!$G:$J,2,0)*H2356</f>
        <v/>
      </c>
      <c r="M2356" s="20">
        <f>L2356-L2356*VLOOKUP($O2356,매칭테이블!$G:$J,3,0)</f>
        <v/>
      </c>
      <c r="N2356" s="20">
        <f>VLOOKUP($O2356,매칭테이블!$G:$J,4,0)*H2356</f>
        <v/>
      </c>
      <c r="O2356" s="20">
        <f>F2356&amp;E2356&amp;G2356&amp;J2356</f>
        <v/>
      </c>
    </row>
    <row r="2357" ht="16.5" customHeight="1" s="17">
      <c r="B2357" s="16" t="n">
        <v>44183</v>
      </c>
      <c r="C2357" s="20">
        <f>TEXT(B2357,"aaa")</f>
        <v/>
      </c>
      <c r="E2357" s="20">
        <f>INDEX(매칭테이블!C:C,MATCH(RD!G2357,매칭테이블!D:D,0))</f>
        <v/>
      </c>
      <c r="F2357" s="20" t="inlineStr">
        <is>
          <t>카페24</t>
        </is>
      </c>
      <c r="G2357" s="20" t="inlineStr">
        <is>
          <t>스테이포에버 솔리드퍼퓸 002 (10차 재입고 완료)제품선택=커플추천스테이포에버 + 이그나이트 세트</t>
        </is>
      </c>
      <c r="H2357" s="20" t="n">
        <v>1</v>
      </c>
      <c r="I2357" s="20">
        <f>VLOOKUP(G2357,매칭테이블!D:E,2,0)</f>
        <v/>
      </c>
      <c r="J2357" s="20" t="n">
        <v>201210</v>
      </c>
      <c r="L2357" s="20">
        <f>VLOOKUP($O2357,매칭테이블!$G:$J,2,0)*H2357</f>
        <v/>
      </c>
      <c r="M2357" s="20">
        <f>L2357-L2357*VLOOKUP($O2357,매칭테이블!$G:$J,3,0)</f>
        <v/>
      </c>
      <c r="N2357" s="20">
        <f>VLOOKUP($O2357,매칭테이블!$G:$J,4,0)*H2357</f>
        <v/>
      </c>
      <c r="O2357" s="20">
        <f>F2357&amp;E2357&amp;G2357&amp;J2357</f>
        <v/>
      </c>
    </row>
    <row r="2358" ht="16.5" customHeight="1" s="17">
      <c r="B2358" s="16" t="n">
        <v>44183</v>
      </c>
      <c r="C2358" s="20">
        <f>TEXT(B2358,"aaa")</f>
        <v/>
      </c>
      <c r="E2358" s="20">
        <f>INDEX(매칭테이블!C:C,MATCH(RD!G2358,매칭테이블!D:D,0))</f>
        <v/>
      </c>
      <c r="F2358" s="20" t="inlineStr">
        <is>
          <t>카페24</t>
        </is>
      </c>
      <c r="G2358" s="20" t="inlineStr">
        <is>
          <t>스테이포에버 솔리드퍼퓸 002 (10차 재입고 완료)쇼핑백=선물용 쇼핑백</t>
        </is>
      </c>
      <c r="H2358" s="20" t="n">
        <v>3</v>
      </c>
      <c r="I2358" s="20">
        <f>VLOOKUP(G2358,매칭테이블!D:E,2,0)</f>
        <v/>
      </c>
      <c r="J2358" s="20" t="n">
        <v>201210</v>
      </c>
      <c r="L2358" s="20">
        <f>VLOOKUP($O2358,매칭테이블!$G:$J,2,0)*H2358</f>
        <v/>
      </c>
      <c r="M2358" s="20">
        <f>L2358-L2358*VLOOKUP($O2358,매칭테이블!$G:$J,3,0)</f>
        <v/>
      </c>
      <c r="N2358" s="20">
        <f>VLOOKUP($O2358,매칭테이블!$G:$J,4,0)*H2358</f>
        <v/>
      </c>
      <c r="O2358" s="20">
        <f>F2358&amp;E2358&amp;G2358&amp;J2358</f>
        <v/>
      </c>
    </row>
    <row r="2359" ht="16.5" customHeight="1" s="17">
      <c r="B2359" s="16" t="n">
        <v>44183</v>
      </c>
      <c r="C2359" s="20">
        <f>TEXT(B2359,"aaa")</f>
        <v/>
      </c>
      <c r="E2359" s="20">
        <f>INDEX(매칭테이블!C:C,MATCH(RD!G2359,매칭테이블!D:D,0))</f>
        <v/>
      </c>
      <c r="F2359" s="20" t="inlineStr">
        <is>
          <t>카페24</t>
        </is>
      </c>
      <c r="G2359" s="20" t="inlineStr">
        <is>
          <t>유즈 솔리드퍼퓸 - 30ml (10차 재입고 완료향=스테이포에버 002 SOLID PERFUME, 세트 선택=1개</t>
        </is>
      </c>
      <c r="H2359" s="20" t="n">
        <v>3</v>
      </c>
      <c r="I2359" s="20">
        <f>VLOOKUP(G2359,매칭테이블!D:E,2,0)</f>
        <v/>
      </c>
      <c r="J2359" s="20" t="n">
        <v>201210</v>
      </c>
      <c r="L2359" s="20">
        <f>VLOOKUP($O2359,매칭테이블!$G:$J,2,0)*H2359</f>
        <v/>
      </c>
      <c r="M2359" s="20">
        <f>L2359-L2359*VLOOKUP($O2359,매칭테이블!$G:$J,3,0)</f>
        <v/>
      </c>
      <c r="N2359" s="20">
        <f>VLOOKUP($O2359,매칭테이블!$G:$J,4,0)*H2359</f>
        <v/>
      </c>
      <c r="O2359" s="20">
        <f>F2359&amp;E2359&amp;G2359&amp;J2359</f>
        <v/>
      </c>
    </row>
    <row r="2360" ht="16.5" customHeight="1" s="17">
      <c r="B2360" s="16" t="n">
        <v>44183</v>
      </c>
      <c r="C2360" s="20">
        <f>TEXT(B2360,"aaa")</f>
        <v/>
      </c>
      <c r="E2360" s="20">
        <f>INDEX(매칭테이블!C:C,MATCH(RD!G2360,매칭테이블!D:D,0))</f>
        <v/>
      </c>
      <c r="F2360" s="20" t="inlineStr">
        <is>
          <t>카페24</t>
        </is>
      </c>
      <c r="G2360" s="20" t="inlineStr">
        <is>
          <t>유즈 솔리드퍼퓸 - 30ml (10차 재입고 완료향=스테이포에버 002 SOLID PERFUME, 세트 선택=best</t>
        </is>
      </c>
      <c r="H2360" s="20" t="n">
        <v>3</v>
      </c>
      <c r="I2360" s="20">
        <f>VLOOKUP(G2360,매칭테이블!D:E,2,0)</f>
        <v/>
      </c>
      <c r="J2360" s="20" t="n">
        <v>201210</v>
      </c>
      <c r="L2360" s="20">
        <f>VLOOKUP($O2360,매칭테이블!$G:$J,2,0)*H2360</f>
        <v/>
      </c>
      <c r="M2360" s="20">
        <f>L2360-L2360*VLOOKUP($O2360,매칭테이블!$G:$J,3,0)</f>
        <v/>
      </c>
      <c r="N2360" s="20">
        <f>VLOOKUP($O2360,매칭테이블!$G:$J,4,0)*H2360</f>
        <v/>
      </c>
      <c r="O2360" s="20">
        <f>F2360&amp;E2360&amp;G2360&amp;J2360</f>
        <v/>
      </c>
    </row>
    <row r="2361" ht="16.5" customHeight="1" s="17">
      <c r="B2361" s="16" t="n">
        <v>44183</v>
      </c>
      <c r="C2361" s="20">
        <f>TEXT(B2361,"aaa")</f>
        <v/>
      </c>
      <c r="E2361" s="20">
        <f>INDEX(매칭테이블!C:C,MATCH(RD!G2361,매칭테이블!D:D,0))</f>
        <v/>
      </c>
      <c r="F2361" s="20" t="inlineStr">
        <is>
          <t>카페24</t>
        </is>
      </c>
      <c r="G2361" s="20" t="inlineStr">
        <is>
          <t>유즈 솔리드퍼퓸 - 30ml (10차 재입고 완료향=커플세트</t>
        </is>
      </c>
      <c r="H2361" s="20" t="n">
        <v>6</v>
      </c>
      <c r="I2361" s="20">
        <f>VLOOKUP(G2361,매칭테이블!D:E,2,0)</f>
        <v/>
      </c>
      <c r="J2361" s="20" t="n">
        <v>201210</v>
      </c>
      <c r="L2361" s="20">
        <f>VLOOKUP($O2361,매칭테이블!$G:$J,2,0)*H2361</f>
        <v/>
      </c>
      <c r="M2361" s="20">
        <f>L2361-L2361*VLOOKUP($O2361,매칭테이블!$G:$J,3,0)</f>
        <v/>
      </c>
      <c r="N2361" s="20">
        <f>VLOOKUP($O2361,매칭테이블!$G:$J,4,0)*H2361</f>
        <v/>
      </c>
      <c r="O2361" s="20">
        <f>F2361&amp;E2361&amp;G2361&amp;J2361</f>
        <v/>
      </c>
    </row>
    <row r="2362" ht="16.5" customHeight="1" s="17">
      <c r="B2362" s="16" t="n">
        <v>44183</v>
      </c>
      <c r="C2362" s="20">
        <f>TEXT(B2362,"aaa")</f>
        <v/>
      </c>
      <c r="E2362" s="20">
        <f>INDEX(매칭테이블!C:C,MATCH(RD!G2362,매칭테이블!D:D,0))</f>
        <v/>
      </c>
      <c r="F2362" s="20" t="inlineStr">
        <is>
          <t>카페24</t>
        </is>
      </c>
      <c r="G2362" s="20" t="inlineStr">
        <is>
          <t>유즈 솔리드퍼퓸 - 30ml (10차 재입고 완료향=커플세트</t>
        </is>
      </c>
      <c r="H2362" s="20" t="n">
        <v>1</v>
      </c>
      <c r="I2362" s="20">
        <f>VLOOKUP(G2362,매칭테이블!D:E,2,0)</f>
        <v/>
      </c>
      <c r="J2362" s="20" t="n">
        <v>201210</v>
      </c>
      <c r="L2362" s="20">
        <f>VLOOKUP($O2362,매칭테이블!$G:$J,2,0)*H2362</f>
        <v/>
      </c>
      <c r="M2362" s="20">
        <f>L2362-L2362*VLOOKUP($O2362,매칭테이블!$G:$J,3,0)</f>
        <v/>
      </c>
      <c r="N2362" s="20">
        <f>VLOOKUP($O2362,매칭테이블!$G:$J,4,0)*H2362</f>
        <v/>
      </c>
      <c r="O2362" s="20">
        <f>F2362&amp;E2362&amp;G2362&amp;J2362</f>
        <v/>
      </c>
    </row>
    <row r="2363" ht="16.5" customHeight="1" s="17">
      <c r="B2363" s="16" t="n">
        <v>44183</v>
      </c>
      <c r="C2363" s="20">
        <f>TEXT(B2363,"aaa")</f>
        <v/>
      </c>
      <c r="E2363" s="20">
        <f>INDEX(매칭테이블!C:C,MATCH(RD!G2363,매칭테이블!D:D,0))</f>
        <v/>
      </c>
      <c r="F2363" s="20" t="inlineStr">
        <is>
          <t>카페24</t>
        </is>
      </c>
      <c r="G2363" s="20" t="inlineStr">
        <is>
          <t>유즈 솔리드퍼퓸 - 30ml (10차 재입고 완료 )향=스테이포에버 002 SOLID PERFUME, 세트 선택=1개</t>
        </is>
      </c>
      <c r="H2363" s="20" t="n">
        <v>8</v>
      </c>
      <c r="I2363" s="20">
        <f>VLOOKUP(G2363,매칭테이블!D:E,2,0)</f>
        <v/>
      </c>
      <c r="J2363" s="20" t="n">
        <v>201210</v>
      </c>
      <c r="L2363" s="20">
        <f>VLOOKUP($O2363,매칭테이블!$G:$J,2,0)*H2363</f>
        <v/>
      </c>
      <c r="M2363" s="20">
        <f>L2363-L2363*VLOOKUP($O2363,매칭테이블!$G:$J,3,0)</f>
        <v/>
      </c>
      <c r="N2363" s="20">
        <f>VLOOKUP($O2363,매칭테이블!$G:$J,4,0)*H2363</f>
        <v/>
      </c>
      <c r="O2363" s="20">
        <f>F2363&amp;E2363&amp;G2363&amp;J2363</f>
        <v/>
      </c>
    </row>
    <row r="2364" ht="16.5" customHeight="1" s="17">
      <c r="B2364" s="16" t="n">
        <v>44183</v>
      </c>
      <c r="C2364" s="20">
        <f>TEXT(B2364,"aaa")</f>
        <v/>
      </c>
      <c r="E2364" s="20">
        <f>INDEX(매칭테이블!C:C,MATCH(RD!G2364,매칭테이블!D:D,0))</f>
        <v/>
      </c>
      <c r="F2364" s="20" t="inlineStr">
        <is>
          <t>카페24</t>
        </is>
      </c>
      <c r="G2364" s="20" t="inlineStr">
        <is>
          <t>유즈 솔리드퍼퓸 - 30ml (10차 재입고 완료 )향=스테이포에버 002 SOLID PERFUME, 세트 선택=best 2개 (28% 할인)</t>
        </is>
      </c>
      <c r="H2364" s="20" t="n">
        <v>2</v>
      </c>
      <c r="I2364" s="20">
        <f>VLOOKUP(G2364,매칭테이블!D:E,2,0)</f>
        <v/>
      </c>
      <c r="J2364" s="20" t="n">
        <v>201210</v>
      </c>
      <c r="L2364" s="20">
        <f>VLOOKUP($O2364,매칭테이블!$G:$J,2,0)*H2364</f>
        <v/>
      </c>
      <c r="M2364" s="20">
        <f>L2364-L2364*VLOOKUP($O2364,매칭테이블!$G:$J,3,0)</f>
        <v/>
      </c>
      <c r="N2364" s="20">
        <f>VLOOKUP($O2364,매칭테이블!$G:$J,4,0)*H2364</f>
        <v/>
      </c>
      <c r="O2364" s="20">
        <f>F2364&amp;E2364&amp;G2364&amp;J2364</f>
        <v/>
      </c>
    </row>
    <row r="2365" ht="16.5" customHeight="1" s="17">
      <c r="B2365" s="16" t="n">
        <v>44183</v>
      </c>
      <c r="C2365" s="20">
        <f>TEXT(B2365,"aaa")</f>
        <v/>
      </c>
      <c r="E2365" s="20">
        <f>INDEX(매칭테이블!C:C,MATCH(RD!G2365,매칭테이블!D:D,0))</f>
        <v/>
      </c>
      <c r="F2365" s="20" t="inlineStr">
        <is>
          <t>카페24</t>
        </is>
      </c>
      <c r="G2365" s="20" t="inlineStr">
        <is>
          <t>유즈 솔리드퍼퓸 - 30ml (10차 재입고 완료 )향=커플세트(이그나이트 + 스테이포에버), 세트 선택=1 SET</t>
        </is>
      </c>
      <c r="H2365" s="20" t="n">
        <v>1</v>
      </c>
      <c r="I2365" s="20">
        <f>VLOOKUP(G2365,매칭테이블!D:E,2,0)</f>
        <v/>
      </c>
      <c r="J2365" s="20" t="n">
        <v>201210</v>
      </c>
      <c r="L2365" s="20">
        <f>VLOOKUP($O2365,매칭테이블!$G:$J,2,0)*H2365</f>
        <v/>
      </c>
      <c r="M2365" s="20">
        <f>L2365-L2365*VLOOKUP($O2365,매칭테이블!$G:$J,3,0)</f>
        <v/>
      </c>
      <c r="N2365" s="20">
        <f>VLOOKUP($O2365,매칭테이블!$G:$J,4,0)*H2365</f>
        <v/>
      </c>
      <c r="O2365" s="20">
        <f>F2365&amp;E2365&amp;G2365&amp;J2365</f>
        <v/>
      </c>
    </row>
    <row r="2366" ht="16.5" customHeight="1" s="17">
      <c r="B2366" s="16" t="n">
        <v>44183</v>
      </c>
      <c r="C2366" s="20">
        <f>TEXT(B2366,"aaa")</f>
        <v/>
      </c>
      <c r="E2366" s="20">
        <f>INDEX(매칭테이블!C:C,MATCH(RD!G2366,매칭테이블!D:D,0))</f>
        <v/>
      </c>
      <c r="F2366" s="20" t="inlineStr">
        <is>
          <t>카페24</t>
        </is>
      </c>
      <c r="G2366" s="20" t="inlineStr">
        <is>
          <t>유즈 스테이포에버 솔리드퍼퓸 002 (10차 재입고 완료제품선택=스테이포에버 1개</t>
        </is>
      </c>
      <c r="H2366" s="20" t="n">
        <v>58</v>
      </c>
      <c r="I2366" s="20">
        <f>VLOOKUP(G2366,매칭테이블!D:E,2,0)</f>
        <v/>
      </c>
      <c r="J2366" s="20" t="n">
        <v>201210</v>
      </c>
      <c r="L2366" s="20">
        <f>VLOOKUP($O2366,매칭테이블!$G:$J,2,0)*H2366</f>
        <v/>
      </c>
      <c r="M2366" s="20">
        <f>L2366-L2366*VLOOKUP($O2366,매칭테이블!$G:$J,3,0)</f>
        <v/>
      </c>
      <c r="N2366" s="20">
        <f>VLOOKUP($O2366,매칭테이블!$G:$J,4,0)*H2366</f>
        <v/>
      </c>
      <c r="O2366" s="20">
        <f>F2366&amp;E2366&amp;G2366&amp;J2366</f>
        <v/>
      </c>
    </row>
    <row r="2367" ht="16.5" customHeight="1" s="17">
      <c r="B2367" s="16" t="n">
        <v>44183</v>
      </c>
      <c r="C2367" s="20">
        <f>TEXT(B2367,"aaa")</f>
        <v/>
      </c>
      <c r="E2367" s="20">
        <f>INDEX(매칭테이블!C:C,MATCH(RD!G2367,매칭테이블!D:D,0))</f>
        <v/>
      </c>
      <c r="F2367" s="20" t="inlineStr">
        <is>
          <t>카페24</t>
        </is>
      </c>
      <c r="G2367" s="20" t="inlineStr">
        <is>
          <t>유즈 스테이포에버 솔리드퍼퓸 002 (10차 재입고 완료제품선택=best</t>
        </is>
      </c>
      <c r="H2367" s="20" t="n">
        <v>42</v>
      </c>
      <c r="I2367" s="20">
        <f>VLOOKUP(G2367,매칭테이블!D:E,2,0)</f>
        <v/>
      </c>
      <c r="J2367" s="20" t="n">
        <v>201210</v>
      </c>
      <c r="L2367" s="20">
        <f>VLOOKUP($O2367,매칭테이블!$G:$J,2,0)*H2367</f>
        <v/>
      </c>
      <c r="M2367" s="20">
        <f>L2367-L2367*VLOOKUP($O2367,매칭테이블!$G:$J,3,0)</f>
        <v/>
      </c>
      <c r="N2367" s="20">
        <f>VLOOKUP($O2367,매칭테이블!$G:$J,4,0)*H2367</f>
        <v/>
      </c>
      <c r="O2367" s="20">
        <f>F2367&amp;E2367&amp;G2367&amp;J2367</f>
        <v/>
      </c>
    </row>
    <row r="2368" ht="16.5" customHeight="1" s="17">
      <c r="B2368" s="16" t="n">
        <v>44183</v>
      </c>
      <c r="C2368" s="20">
        <f>TEXT(B2368,"aaa")</f>
        <v/>
      </c>
      <c r="E2368" s="20">
        <f>INDEX(매칭테이블!C:C,MATCH(RD!G2368,매칭테이블!D:D,0))</f>
        <v/>
      </c>
      <c r="F2368" s="20" t="inlineStr">
        <is>
          <t>카페24</t>
        </is>
      </c>
      <c r="G2368" s="20" t="inlineStr">
        <is>
          <t>유즈 스테이포에버 솔리드퍼퓸 002 (10차 재입고 완료제품선택=커플추천</t>
        </is>
      </c>
      <c r="H2368" s="20" t="n">
        <v>6</v>
      </c>
      <c r="I2368" s="20">
        <f>VLOOKUP(G2368,매칭테이블!D:E,2,0)</f>
        <v/>
      </c>
      <c r="J2368" s="20" t="n">
        <v>201210</v>
      </c>
      <c r="L2368" s="20">
        <f>VLOOKUP($O2368,매칭테이블!$G:$J,2,0)*H2368</f>
        <v/>
      </c>
      <c r="M2368" s="20">
        <f>L2368-L2368*VLOOKUP($O2368,매칭테이블!$G:$J,3,0)</f>
        <v/>
      </c>
      <c r="N2368" s="20">
        <f>VLOOKUP($O2368,매칭테이블!$G:$J,4,0)*H2368</f>
        <v/>
      </c>
      <c r="O2368" s="20">
        <f>F2368&amp;E2368&amp;G2368&amp;J2368</f>
        <v/>
      </c>
    </row>
    <row r="2369" ht="16.5" customHeight="1" s="17">
      <c r="B2369" s="16" t="n">
        <v>44183</v>
      </c>
      <c r="C2369" s="20">
        <f>TEXT(B2369,"aaa")</f>
        <v/>
      </c>
      <c r="E2369" s="20">
        <f>INDEX(매칭테이블!C:C,MATCH(RD!G2369,매칭테이블!D:D,0))</f>
        <v/>
      </c>
      <c r="F2369" s="20" t="inlineStr">
        <is>
          <t>카페24</t>
        </is>
      </c>
      <c r="G2369" s="20" t="inlineStr">
        <is>
          <t>유즈 스테이포에버 솔리드퍼퓸 002 (10차 재입고 완료쇼핑백=선물용 쇼핑백</t>
        </is>
      </c>
      <c r="H2369" s="20" t="n">
        <v>3</v>
      </c>
      <c r="I2369" s="20">
        <f>VLOOKUP(G2369,매칭테이블!D:E,2,0)</f>
        <v/>
      </c>
      <c r="J2369" s="20" t="n">
        <v>201210</v>
      </c>
      <c r="L2369" s="20">
        <f>VLOOKUP($O2369,매칭테이블!$G:$J,2,0)*H2369</f>
        <v/>
      </c>
      <c r="M2369" s="20">
        <f>L2369-L2369*VLOOKUP($O2369,매칭테이블!$G:$J,3,0)</f>
        <v/>
      </c>
      <c r="N2369" s="20">
        <f>VLOOKUP($O2369,매칭테이블!$G:$J,4,0)*H2369</f>
        <v/>
      </c>
      <c r="O2369" s="20">
        <f>F2369&amp;E2369&amp;G2369&amp;J2369</f>
        <v/>
      </c>
    </row>
    <row r="2370" ht="16.5" customHeight="1" s="17">
      <c r="B2370" s="16" t="n">
        <v>44183</v>
      </c>
      <c r="C2370" s="20">
        <f>TEXT(B2370,"aaa")</f>
        <v/>
      </c>
      <c r="E2370" s="20">
        <f>INDEX(매칭테이블!C:C,MATCH(RD!G2370,매칭테이블!D:D,0))</f>
        <v/>
      </c>
      <c r="F2370" s="20" t="inlineStr">
        <is>
          <t>카페24</t>
        </is>
      </c>
      <c r="G2370" s="20" t="inlineStr">
        <is>
          <t>유즈 스테이포에버 솔리드퍼퓸 002 (10차 재입고 완료)제품선택=스테이포에버 1개</t>
        </is>
      </c>
      <c r="H2370" s="20" t="n">
        <v>90</v>
      </c>
      <c r="I2370" s="20">
        <f>VLOOKUP(G2370,매칭테이블!D:E,2,0)</f>
        <v/>
      </c>
      <c r="J2370" s="20" t="n">
        <v>201210</v>
      </c>
      <c r="L2370" s="20">
        <f>VLOOKUP($O2370,매칭테이블!$G:$J,2,0)*H2370</f>
        <v/>
      </c>
      <c r="M2370" s="20">
        <f>L2370-L2370*VLOOKUP($O2370,매칭테이블!$G:$J,3,0)</f>
        <v/>
      </c>
      <c r="N2370" s="20">
        <f>VLOOKUP($O2370,매칭테이블!$G:$J,4,0)*H2370</f>
        <v/>
      </c>
      <c r="O2370" s="20">
        <f>F2370&amp;E2370&amp;G2370&amp;J2370</f>
        <v/>
      </c>
    </row>
    <row r="2371" ht="16.5" customHeight="1" s="17">
      <c r="B2371" s="16" t="n">
        <v>44183</v>
      </c>
      <c r="C2371" s="20">
        <f>TEXT(B2371,"aaa")</f>
        <v/>
      </c>
      <c r="E2371" s="20">
        <f>INDEX(매칭테이블!C:C,MATCH(RD!G2371,매칭테이블!D:D,0))</f>
        <v/>
      </c>
      <c r="F2371" s="20" t="inlineStr">
        <is>
          <t>카페24</t>
        </is>
      </c>
      <c r="G2371" s="20" t="inlineStr">
        <is>
          <t>유즈 스테이포에버 솔리드퍼퓸 002 (10차 재입고 완료)제품선택=best스테이포에버 2개[28% 할인]</t>
        </is>
      </c>
      <c r="H2371" s="20" t="n">
        <v>55</v>
      </c>
      <c r="I2371" s="20">
        <f>VLOOKUP(G2371,매칭테이블!D:E,2,0)</f>
        <v/>
      </c>
      <c r="J2371" s="20" t="n">
        <v>201210</v>
      </c>
      <c r="L2371" s="20">
        <f>VLOOKUP($O2371,매칭테이블!$G:$J,2,0)*H2371</f>
        <v/>
      </c>
      <c r="M2371" s="20">
        <f>L2371-L2371*VLOOKUP($O2371,매칭테이블!$G:$J,3,0)</f>
        <v/>
      </c>
      <c r="N2371" s="20">
        <f>VLOOKUP($O2371,매칭테이블!$G:$J,4,0)*H2371</f>
        <v/>
      </c>
      <c r="O2371" s="20">
        <f>F2371&amp;E2371&amp;G2371&amp;J2371</f>
        <v/>
      </c>
    </row>
    <row r="2372" ht="16.5" customHeight="1" s="17">
      <c r="B2372" s="16" t="n">
        <v>44183</v>
      </c>
      <c r="C2372" s="20">
        <f>TEXT(B2372,"aaa")</f>
        <v/>
      </c>
      <c r="E2372" s="20">
        <f>INDEX(매칭테이블!C:C,MATCH(RD!G2372,매칭테이블!D:D,0))</f>
        <v/>
      </c>
      <c r="F2372" s="20" t="inlineStr">
        <is>
          <t>카페24</t>
        </is>
      </c>
      <c r="G2372" s="20" t="inlineStr">
        <is>
          <t>유즈 스테이포에버 솔리드퍼퓸 002 (10차 재입고 완료)제품선택=커플추천스테이포에버 + 이그나이트 세트</t>
        </is>
      </c>
      <c r="H2372" s="20" t="n">
        <v>5</v>
      </c>
      <c r="I2372" s="20">
        <f>VLOOKUP(G2372,매칭테이블!D:E,2,0)</f>
        <v/>
      </c>
      <c r="J2372" s="20" t="n">
        <v>201210</v>
      </c>
      <c r="L2372" s="20">
        <f>VLOOKUP($O2372,매칭테이블!$G:$J,2,0)*H2372</f>
        <v/>
      </c>
      <c r="M2372" s="20">
        <f>L2372-L2372*VLOOKUP($O2372,매칭테이블!$G:$J,3,0)</f>
        <v/>
      </c>
      <c r="N2372" s="20">
        <f>VLOOKUP($O2372,매칭테이블!$G:$J,4,0)*H2372</f>
        <v/>
      </c>
      <c r="O2372" s="20">
        <f>F2372&amp;E2372&amp;G2372&amp;J2372</f>
        <v/>
      </c>
    </row>
    <row r="2373" ht="16.5" customHeight="1" s="17">
      <c r="B2373" s="16" t="n">
        <v>44183</v>
      </c>
      <c r="C2373" s="20">
        <f>TEXT(B2373,"aaa")</f>
        <v/>
      </c>
      <c r="E2373" s="20">
        <f>INDEX(매칭테이블!C:C,MATCH(RD!G2373,매칭테이블!D:D,0))</f>
        <v/>
      </c>
      <c r="F2373" s="20" t="inlineStr">
        <is>
          <t>카페24</t>
        </is>
      </c>
      <c r="G2373" s="20" t="inlineStr">
        <is>
          <t>유즈 스테이포에버 솔리드퍼퓸 002 (10차 재입고 완료)쇼핑백=선물용 쇼핑백</t>
        </is>
      </c>
      <c r="H2373" s="20" t="n">
        <v>3</v>
      </c>
      <c r="I2373" s="20">
        <f>VLOOKUP(G2373,매칭테이블!D:E,2,0)</f>
        <v/>
      </c>
      <c r="J2373" s="20" t="n">
        <v>201210</v>
      </c>
      <c r="L2373" s="20">
        <f>VLOOKUP($O2373,매칭테이블!$G:$J,2,0)*H2373</f>
        <v/>
      </c>
      <c r="M2373" s="20">
        <f>L2373-L2373*VLOOKUP($O2373,매칭테이블!$G:$J,3,0)</f>
        <v/>
      </c>
      <c r="N2373" s="20">
        <f>VLOOKUP($O2373,매칭테이블!$G:$J,4,0)*H2373</f>
        <v/>
      </c>
      <c r="O2373" s="20">
        <f>F2373&amp;E2373&amp;G2373&amp;J2373</f>
        <v/>
      </c>
    </row>
    <row r="2374" ht="16.5" customHeight="1" s="17">
      <c r="B2374" s="16" t="n">
        <v>44183</v>
      </c>
      <c r="C2374" s="20">
        <f>TEXT(B2374,"aaa")</f>
        <v/>
      </c>
      <c r="E2374" s="20">
        <f>INDEX(매칭테이블!C:C,MATCH(RD!G2374,매칭테이블!D:D,0))</f>
        <v/>
      </c>
      <c r="F2374" s="20" t="inlineStr">
        <is>
          <t>카페24</t>
        </is>
      </c>
      <c r="G2374" s="20" t="inlineStr">
        <is>
          <t>유즈 이그나이트 솔리드퍼퓸 001제품선택=이그나이트 솔리드퍼퓸 - 30ml</t>
        </is>
      </c>
      <c r="H2374" s="20" t="n">
        <v>1</v>
      </c>
      <c r="I2374" s="20">
        <f>VLOOKUP(G2374,매칭테이블!D:E,2,0)</f>
        <v/>
      </c>
      <c r="J2374" s="20" t="n">
        <v>201210</v>
      </c>
      <c r="L2374" s="20">
        <f>VLOOKUP($O2374,매칭테이블!$G:$J,2,0)*H2374</f>
        <v/>
      </c>
      <c r="M2374" s="20">
        <f>L2374-L2374*VLOOKUP($O2374,매칭테이블!$G:$J,3,0)</f>
        <v/>
      </c>
      <c r="N2374" s="20">
        <f>VLOOKUP($O2374,매칭테이블!$G:$J,4,0)*H2374</f>
        <v/>
      </c>
      <c r="O2374" s="20">
        <f>F2374&amp;E2374&amp;G2374&amp;J2374</f>
        <v/>
      </c>
    </row>
    <row r="2375" ht="16.5" customHeight="1" s="17">
      <c r="B2375" s="16" t="n">
        <v>44183</v>
      </c>
      <c r="C2375" s="20">
        <f>TEXT(B2375,"aaa")</f>
        <v/>
      </c>
      <c r="E2375" s="20">
        <f>INDEX(매칭테이블!C:C,MATCH(RD!G2375,매칭테이블!D:D,0))</f>
        <v/>
      </c>
      <c r="F2375" s="20" t="inlineStr">
        <is>
          <t>카페24</t>
        </is>
      </c>
      <c r="G2375" s="20" t="inlineStr">
        <is>
          <t>유즈 이그나이트 솔리드퍼퓸 001쇼핑백=선물용 쇼핑백</t>
        </is>
      </c>
      <c r="H2375" s="20" t="n">
        <v>1</v>
      </c>
      <c r="I2375" s="20">
        <f>VLOOKUP(G2375,매칭테이블!D:E,2,0)</f>
        <v/>
      </c>
      <c r="J2375" s="20" t="n">
        <v>201210</v>
      </c>
      <c r="L2375" s="20">
        <f>VLOOKUP($O2375,매칭테이블!$G:$J,2,0)*H2375</f>
        <v/>
      </c>
      <c r="M2375" s="20">
        <f>L2375-L2375*VLOOKUP($O2375,매칭테이블!$G:$J,3,0)</f>
        <v/>
      </c>
      <c r="N2375" s="20">
        <f>VLOOKUP($O2375,매칭테이블!$G:$J,4,0)*H2375</f>
        <v/>
      </c>
      <c r="O2375" s="20">
        <f>F2375&amp;E2375&amp;G2375&amp;J2375</f>
        <v/>
      </c>
    </row>
    <row r="2376" ht="16.5" customHeight="1" s="17">
      <c r="B2376" s="16" t="n">
        <v>44184</v>
      </c>
      <c r="C2376" s="20">
        <f>TEXT(B2376,"aaa")</f>
        <v/>
      </c>
      <c r="E2376" s="20">
        <f>INDEX(매칭테이블!C:C,MATCH(RD!G2376,매칭테이블!D:D,0))</f>
        <v/>
      </c>
      <c r="F2376" s="20" t="inlineStr">
        <is>
          <t>카페24</t>
        </is>
      </c>
      <c r="G2376" s="20" t="inlineStr">
        <is>
          <t>SHOPPING BAG</t>
        </is>
      </c>
      <c r="H2376" s="20" t="n">
        <v>2</v>
      </c>
      <c r="I2376" s="20">
        <f>VLOOKUP(G2376,매칭테이블!D:E,2,0)</f>
        <v/>
      </c>
      <c r="J2376" s="20" t="n">
        <v>201210</v>
      </c>
      <c r="L2376" s="20">
        <f>VLOOKUP($O2376,매칭테이블!$G:$J,2,0)*H2376</f>
        <v/>
      </c>
      <c r="M2376" s="20">
        <f>L2376-L2376*VLOOKUP($O2376,매칭테이블!$G:$J,3,0)</f>
        <v/>
      </c>
      <c r="N2376" s="20">
        <f>VLOOKUP($O2376,매칭테이블!$G:$J,4,0)*H2376</f>
        <v/>
      </c>
      <c r="O2376" s="20">
        <f>F2376&amp;E2376&amp;G2376&amp;J2376</f>
        <v/>
      </c>
    </row>
    <row r="2377" ht="16.5" customHeight="1" s="17">
      <c r="B2377" s="16" t="n">
        <v>44184</v>
      </c>
      <c r="C2377" s="20">
        <f>TEXT(B2377,"aaa")</f>
        <v/>
      </c>
      <c r="E2377" s="20">
        <f>INDEX(매칭테이블!C:C,MATCH(RD!G2377,매칭테이블!D:D,0))</f>
        <v/>
      </c>
      <c r="F2377" s="20" t="inlineStr">
        <is>
          <t>카페24</t>
        </is>
      </c>
      <c r="G2377" s="20" t="inlineStr">
        <is>
          <t>스테이포에버 솔리드퍼퓸 002 (10차 재입고 완료제품선택=스테이포에버 1개</t>
        </is>
      </c>
      <c r="H2377" s="20" t="n">
        <v>3</v>
      </c>
      <c r="I2377" s="20">
        <f>VLOOKUP(G2377,매칭테이블!D:E,2,0)</f>
        <v/>
      </c>
      <c r="J2377" s="20" t="n">
        <v>201210</v>
      </c>
      <c r="L2377" s="20">
        <f>VLOOKUP($O2377,매칭테이블!$G:$J,2,0)*H2377</f>
        <v/>
      </c>
      <c r="M2377" s="20">
        <f>L2377-L2377*VLOOKUP($O2377,매칭테이블!$G:$J,3,0)</f>
        <v/>
      </c>
      <c r="N2377" s="20">
        <f>VLOOKUP($O2377,매칭테이블!$G:$J,4,0)*H2377</f>
        <v/>
      </c>
      <c r="O2377" s="20">
        <f>F2377&amp;E2377&amp;G2377&amp;J2377</f>
        <v/>
      </c>
    </row>
    <row r="2378" ht="16.5" customHeight="1" s="17">
      <c r="B2378" s="16" t="n">
        <v>44184</v>
      </c>
      <c r="C2378" s="20">
        <f>TEXT(B2378,"aaa")</f>
        <v/>
      </c>
      <c r="E2378" s="20">
        <f>INDEX(매칭테이블!C:C,MATCH(RD!G2378,매칭테이블!D:D,0))</f>
        <v/>
      </c>
      <c r="F2378" s="20" t="inlineStr">
        <is>
          <t>카페24</t>
        </is>
      </c>
      <c r="G2378" s="20" t="inlineStr">
        <is>
          <t>스테이포에버 솔리드퍼퓸 002 (10차 재입고 완료제품선택=커플추천</t>
        </is>
      </c>
      <c r="H2378" s="20" t="n">
        <v>1</v>
      </c>
      <c r="I2378" s="20">
        <f>VLOOKUP(G2378,매칭테이블!D:E,2,0)</f>
        <v/>
      </c>
      <c r="J2378" s="20" t="n">
        <v>201210</v>
      </c>
      <c r="L2378" s="20">
        <f>VLOOKUP($O2378,매칭테이블!$G:$J,2,0)*H2378</f>
        <v/>
      </c>
      <c r="M2378" s="20">
        <f>L2378-L2378*VLOOKUP($O2378,매칭테이블!$G:$J,3,0)</f>
        <v/>
      </c>
      <c r="N2378" s="20">
        <f>VLOOKUP($O2378,매칭테이블!$G:$J,4,0)*H2378</f>
        <v/>
      </c>
      <c r="O2378" s="20">
        <f>F2378&amp;E2378&amp;G2378&amp;J2378</f>
        <v/>
      </c>
    </row>
    <row r="2379" ht="16.5" customHeight="1" s="17">
      <c r="B2379" s="16" t="n">
        <v>44184</v>
      </c>
      <c r="C2379" s="20">
        <f>TEXT(B2379,"aaa")</f>
        <v/>
      </c>
      <c r="E2379" s="20">
        <f>INDEX(매칭테이블!C:C,MATCH(RD!G2379,매칭테이블!D:D,0))</f>
        <v/>
      </c>
      <c r="F2379" s="20" t="inlineStr">
        <is>
          <t>카페24</t>
        </is>
      </c>
      <c r="G2379" s="20" t="inlineStr">
        <is>
          <t>유즈 솔리드퍼퓸 - 30ml (10차 재입고 완료향=이그나이트 001 SOLID PERFUME, 세트 선택=1개</t>
        </is>
      </c>
      <c r="H2379" s="20" t="n">
        <v>1</v>
      </c>
      <c r="I2379" s="20">
        <f>VLOOKUP(G2379,매칭테이블!D:E,2,0)</f>
        <v/>
      </c>
      <c r="J2379" s="20" t="n">
        <v>201210</v>
      </c>
      <c r="L2379" s="20">
        <f>VLOOKUP($O2379,매칭테이블!$G:$J,2,0)*H2379</f>
        <v/>
      </c>
      <c r="M2379" s="20">
        <f>L2379-L2379*VLOOKUP($O2379,매칭테이블!$G:$J,3,0)</f>
        <v/>
      </c>
      <c r="N2379" s="20">
        <f>VLOOKUP($O2379,매칭테이블!$G:$J,4,0)*H2379</f>
        <v/>
      </c>
      <c r="O2379" s="20">
        <f>F2379&amp;E2379&amp;G2379&amp;J2379</f>
        <v/>
      </c>
    </row>
    <row r="2380" ht="16.5" customHeight="1" s="17">
      <c r="B2380" s="16" t="n">
        <v>44184</v>
      </c>
      <c r="C2380" s="20">
        <f>TEXT(B2380,"aaa")</f>
        <v/>
      </c>
      <c r="E2380" s="20">
        <f>INDEX(매칭테이블!C:C,MATCH(RD!G2380,매칭테이블!D:D,0))</f>
        <v/>
      </c>
      <c r="F2380" s="20" t="inlineStr">
        <is>
          <t>카페24</t>
        </is>
      </c>
      <c r="G2380" s="20" t="inlineStr">
        <is>
          <t>유즈 솔리드퍼퓸 - 30ml (10차 재입고 완료향=스테이포에버 002 SOLID PERFUME, 세트 선택=1개</t>
        </is>
      </c>
      <c r="H2380" s="20" t="n">
        <v>7</v>
      </c>
      <c r="I2380" s="20">
        <f>VLOOKUP(G2380,매칭테이블!D:E,2,0)</f>
        <v/>
      </c>
      <c r="J2380" s="20" t="n">
        <v>201210</v>
      </c>
      <c r="L2380" s="20">
        <f>VLOOKUP($O2380,매칭테이블!$G:$J,2,0)*H2380</f>
        <v/>
      </c>
      <c r="M2380" s="20">
        <f>L2380-L2380*VLOOKUP($O2380,매칭테이블!$G:$J,3,0)</f>
        <v/>
      </c>
      <c r="N2380" s="20">
        <f>VLOOKUP($O2380,매칭테이블!$G:$J,4,0)*H2380</f>
        <v/>
      </c>
      <c r="O2380" s="20">
        <f>F2380&amp;E2380&amp;G2380&amp;J2380</f>
        <v/>
      </c>
    </row>
    <row r="2381" ht="16.5" customHeight="1" s="17">
      <c r="B2381" s="16" t="n">
        <v>44184</v>
      </c>
      <c r="C2381" s="20">
        <f>TEXT(B2381,"aaa")</f>
        <v/>
      </c>
      <c r="E2381" s="20">
        <f>INDEX(매칭테이블!C:C,MATCH(RD!G2381,매칭테이블!D:D,0))</f>
        <v/>
      </c>
      <c r="F2381" s="20" t="inlineStr">
        <is>
          <t>카페24</t>
        </is>
      </c>
      <c r="G2381" s="20" t="inlineStr">
        <is>
          <t>유즈 솔리드퍼퓸 - 30ml (10차 재입고 완료향=스테이포에버 002 SOLID PERFUME, 세트 선택=best</t>
        </is>
      </c>
      <c r="H2381" s="20" t="n">
        <v>4</v>
      </c>
      <c r="I2381" s="20">
        <f>VLOOKUP(G2381,매칭테이블!D:E,2,0)</f>
        <v/>
      </c>
      <c r="J2381" s="20" t="n">
        <v>201210</v>
      </c>
      <c r="L2381" s="20">
        <f>VLOOKUP($O2381,매칭테이블!$G:$J,2,0)*H2381</f>
        <v/>
      </c>
      <c r="M2381" s="20">
        <f>L2381-L2381*VLOOKUP($O2381,매칭테이블!$G:$J,3,0)</f>
        <v/>
      </c>
      <c r="N2381" s="20">
        <f>VLOOKUP($O2381,매칭테이블!$G:$J,4,0)*H2381</f>
        <v/>
      </c>
      <c r="O2381" s="20">
        <f>F2381&amp;E2381&amp;G2381&amp;J2381</f>
        <v/>
      </c>
    </row>
    <row r="2382" ht="16.5" customHeight="1" s="17">
      <c r="B2382" s="16" t="n">
        <v>44184</v>
      </c>
      <c r="C2382" s="20">
        <f>TEXT(B2382,"aaa")</f>
        <v/>
      </c>
      <c r="E2382" s="20">
        <f>INDEX(매칭테이블!C:C,MATCH(RD!G2382,매칭테이블!D:D,0))</f>
        <v/>
      </c>
      <c r="F2382" s="20" t="inlineStr">
        <is>
          <t>카페24</t>
        </is>
      </c>
      <c r="G2382" s="20" t="inlineStr">
        <is>
          <t>유즈 솔리드퍼퓸 - 30ml (10차 재입고 완료향=커플세트</t>
        </is>
      </c>
      <c r="H2382" s="20" t="n">
        <v>6</v>
      </c>
      <c r="I2382" s="20">
        <f>VLOOKUP(G2382,매칭테이블!D:E,2,0)</f>
        <v/>
      </c>
      <c r="J2382" s="20" t="n">
        <v>201210</v>
      </c>
      <c r="L2382" s="20">
        <f>VLOOKUP($O2382,매칭테이블!$G:$J,2,0)*H2382</f>
        <v/>
      </c>
      <c r="M2382" s="20">
        <f>L2382-L2382*VLOOKUP($O2382,매칭테이블!$G:$J,3,0)</f>
        <v/>
      </c>
      <c r="N2382" s="20">
        <f>VLOOKUP($O2382,매칭테이블!$G:$J,4,0)*H2382</f>
        <v/>
      </c>
      <c r="O2382" s="20">
        <f>F2382&amp;E2382&amp;G2382&amp;J2382</f>
        <v/>
      </c>
    </row>
    <row r="2383" ht="16.5" customHeight="1" s="17">
      <c r="B2383" s="16" t="n">
        <v>44184</v>
      </c>
      <c r="C2383" s="20">
        <f>TEXT(B2383,"aaa")</f>
        <v/>
      </c>
      <c r="E2383" s="20">
        <f>INDEX(매칭테이블!C:C,MATCH(RD!G2383,매칭테이블!D:D,0))</f>
        <v/>
      </c>
      <c r="F2383" s="20" t="inlineStr">
        <is>
          <t>카페24</t>
        </is>
      </c>
      <c r="G2383" s="20" t="inlineStr">
        <is>
          <t>유즈 솔리드퍼퓸 - 30ml (10차 재입고 완료향=커플세트</t>
        </is>
      </c>
      <c r="H2383" s="20" t="n">
        <v>2</v>
      </c>
      <c r="I2383" s="20">
        <f>VLOOKUP(G2383,매칭테이블!D:E,2,0)</f>
        <v/>
      </c>
      <c r="J2383" s="20" t="n">
        <v>201210</v>
      </c>
      <c r="L2383" s="20">
        <f>VLOOKUP($O2383,매칭테이블!$G:$J,2,0)*H2383</f>
        <v/>
      </c>
      <c r="M2383" s="20">
        <f>L2383-L2383*VLOOKUP($O2383,매칭테이블!$G:$J,3,0)</f>
        <v/>
      </c>
      <c r="N2383" s="20">
        <f>VLOOKUP($O2383,매칭테이블!$G:$J,4,0)*H2383</f>
        <v/>
      </c>
      <c r="O2383" s="20">
        <f>F2383&amp;E2383&amp;G2383&amp;J2383</f>
        <v/>
      </c>
    </row>
    <row r="2384" ht="16.5" customHeight="1" s="17">
      <c r="B2384" s="16" t="n">
        <v>44184</v>
      </c>
      <c r="C2384" s="20">
        <f>TEXT(B2384,"aaa")</f>
        <v/>
      </c>
      <c r="E2384" s="20">
        <f>INDEX(매칭테이블!C:C,MATCH(RD!G2384,매칭테이블!D:D,0))</f>
        <v/>
      </c>
      <c r="F2384" s="20" t="inlineStr">
        <is>
          <t>카페24</t>
        </is>
      </c>
      <c r="G2384" s="20" t="inlineStr">
        <is>
          <t>유즈 솔리드퍼퓸 - 30ml (10차 재입고 완료 )향=이그나이트 001 SOLID PERFUME, 세트 선택=best 2개 (28% 할인)</t>
        </is>
      </c>
      <c r="H2384" s="20" t="n">
        <v>1</v>
      </c>
      <c r="I2384" s="20">
        <f>VLOOKUP(G2384,매칭테이블!D:E,2,0)</f>
        <v/>
      </c>
      <c r="J2384" s="20" t="n">
        <v>201210</v>
      </c>
      <c r="L2384" s="20">
        <f>VLOOKUP($O2384,매칭테이블!$G:$J,2,0)*H2384</f>
        <v/>
      </c>
      <c r="M2384" s="20">
        <f>L2384-L2384*VLOOKUP($O2384,매칭테이블!$G:$J,3,0)</f>
        <v/>
      </c>
      <c r="N2384" s="20">
        <f>VLOOKUP($O2384,매칭테이블!$G:$J,4,0)*H2384</f>
        <v/>
      </c>
      <c r="O2384" s="20">
        <f>F2384&amp;E2384&amp;G2384&amp;J2384</f>
        <v/>
      </c>
    </row>
    <row r="2385" ht="16.5" customHeight="1" s="17">
      <c r="B2385" s="16" t="n">
        <v>44184</v>
      </c>
      <c r="C2385" s="20">
        <f>TEXT(B2385,"aaa")</f>
        <v/>
      </c>
      <c r="E2385" s="20">
        <f>INDEX(매칭테이블!C:C,MATCH(RD!G2385,매칭테이블!D:D,0))</f>
        <v/>
      </c>
      <c r="F2385" s="20" t="inlineStr">
        <is>
          <t>카페24</t>
        </is>
      </c>
      <c r="G2385" s="20" t="inlineStr">
        <is>
          <t>유즈 솔리드퍼퓸 - 30ml (10차 재입고 완료 )향=스테이포에버 002 SOLID PERFUME, 세트 선택=1개</t>
        </is>
      </c>
      <c r="H2385" s="20" t="n">
        <v>12</v>
      </c>
      <c r="I2385" s="20">
        <f>VLOOKUP(G2385,매칭테이블!D:E,2,0)</f>
        <v/>
      </c>
      <c r="J2385" s="20" t="n">
        <v>201210</v>
      </c>
      <c r="L2385" s="20">
        <f>VLOOKUP($O2385,매칭테이블!$G:$J,2,0)*H2385</f>
        <v/>
      </c>
      <c r="M2385" s="20">
        <f>L2385-L2385*VLOOKUP($O2385,매칭테이블!$G:$J,3,0)</f>
        <v/>
      </c>
      <c r="N2385" s="20">
        <f>VLOOKUP($O2385,매칭테이블!$G:$J,4,0)*H2385</f>
        <v/>
      </c>
      <c r="O2385" s="20">
        <f>F2385&amp;E2385&amp;G2385&amp;J2385</f>
        <v/>
      </c>
    </row>
    <row r="2386" ht="16.5" customHeight="1" s="17">
      <c r="B2386" s="16" t="n">
        <v>44184</v>
      </c>
      <c r="C2386" s="20">
        <f>TEXT(B2386,"aaa")</f>
        <v/>
      </c>
      <c r="E2386" s="20">
        <f>INDEX(매칭테이블!C:C,MATCH(RD!G2386,매칭테이블!D:D,0))</f>
        <v/>
      </c>
      <c r="F2386" s="20" t="inlineStr">
        <is>
          <t>카페24</t>
        </is>
      </c>
      <c r="G2386" s="20" t="inlineStr">
        <is>
          <t>유즈 솔리드퍼퓸 - 30ml (10차 재입고 완료 )향=스테이포에버 002 SOLID PERFUME, 세트 선택=best 2개 (28% 할인)</t>
        </is>
      </c>
      <c r="H2386" s="20" t="n">
        <v>2</v>
      </c>
      <c r="I2386" s="20">
        <f>VLOOKUP(G2386,매칭테이블!D:E,2,0)</f>
        <v/>
      </c>
      <c r="J2386" s="20" t="n">
        <v>201210</v>
      </c>
      <c r="L2386" s="20">
        <f>VLOOKUP($O2386,매칭테이블!$G:$J,2,0)*H2386</f>
        <v/>
      </c>
      <c r="M2386" s="20">
        <f>L2386-L2386*VLOOKUP($O2386,매칭테이블!$G:$J,3,0)</f>
        <v/>
      </c>
      <c r="N2386" s="20">
        <f>VLOOKUP($O2386,매칭테이블!$G:$J,4,0)*H2386</f>
        <v/>
      </c>
      <c r="O2386" s="20">
        <f>F2386&amp;E2386&amp;G2386&amp;J2386</f>
        <v/>
      </c>
    </row>
    <row r="2387" ht="16.5" customHeight="1" s="17">
      <c r="B2387" s="16" t="n">
        <v>44184</v>
      </c>
      <c r="C2387" s="20">
        <f>TEXT(B2387,"aaa")</f>
        <v/>
      </c>
      <c r="E2387" s="20">
        <f>INDEX(매칭테이블!C:C,MATCH(RD!G2387,매칭테이블!D:D,0))</f>
        <v/>
      </c>
      <c r="F2387" s="20" t="inlineStr">
        <is>
          <t>카페24</t>
        </is>
      </c>
      <c r="G2387" s="20" t="inlineStr">
        <is>
          <t>유즈 솔리드퍼퓸 - 30ml (10차 재입고 완료 )향=커플세트(이그나이트 + 스테이포에버), 세트 선택=1 SET</t>
        </is>
      </c>
      <c r="H2387" s="20" t="n">
        <v>2</v>
      </c>
      <c r="I2387" s="20">
        <f>VLOOKUP(G2387,매칭테이블!D:E,2,0)</f>
        <v/>
      </c>
      <c r="J2387" s="20" t="n">
        <v>201210</v>
      </c>
      <c r="L2387" s="20">
        <f>VLOOKUP($O2387,매칭테이블!$G:$J,2,0)*H2387</f>
        <v/>
      </c>
      <c r="M2387" s="20">
        <f>L2387-L2387*VLOOKUP($O2387,매칭테이블!$G:$J,3,0)</f>
        <v/>
      </c>
      <c r="N2387" s="20">
        <f>VLOOKUP($O2387,매칭테이블!$G:$J,4,0)*H2387</f>
        <v/>
      </c>
      <c r="O2387" s="20">
        <f>F2387&amp;E2387&amp;G2387&amp;J2387</f>
        <v/>
      </c>
    </row>
    <row r="2388" ht="16.5" customHeight="1" s="17">
      <c r="B2388" s="16" t="n">
        <v>44184</v>
      </c>
      <c r="C2388" s="20">
        <f>TEXT(B2388,"aaa")</f>
        <v/>
      </c>
      <c r="E2388" s="20">
        <f>INDEX(매칭테이블!C:C,MATCH(RD!G2388,매칭테이블!D:D,0))</f>
        <v/>
      </c>
      <c r="F2388" s="20" t="inlineStr">
        <is>
          <t>카페24</t>
        </is>
      </c>
      <c r="G2388" s="20" t="inlineStr">
        <is>
          <t>유즈 스테이포에버 솔리드퍼퓸 002 (10차 재입고 완료제품선택=스테이포에버 1개</t>
        </is>
      </c>
      <c r="H2388" s="20" t="n">
        <v>113</v>
      </c>
      <c r="I2388" s="20">
        <f>VLOOKUP(G2388,매칭테이블!D:E,2,0)</f>
        <v/>
      </c>
      <c r="J2388" s="20" t="n">
        <v>201210</v>
      </c>
      <c r="L2388" s="20">
        <f>VLOOKUP($O2388,매칭테이블!$G:$J,2,0)*H2388</f>
        <v/>
      </c>
      <c r="M2388" s="20">
        <f>L2388-L2388*VLOOKUP($O2388,매칭테이블!$G:$J,3,0)</f>
        <v/>
      </c>
      <c r="N2388" s="20">
        <f>VLOOKUP($O2388,매칭테이블!$G:$J,4,0)*H2388</f>
        <v/>
      </c>
      <c r="O2388" s="20">
        <f>F2388&amp;E2388&amp;G2388&amp;J2388</f>
        <v/>
      </c>
    </row>
    <row r="2389" ht="16.5" customHeight="1" s="17">
      <c r="B2389" s="16" t="n">
        <v>44184</v>
      </c>
      <c r="C2389" s="20">
        <f>TEXT(B2389,"aaa")</f>
        <v/>
      </c>
      <c r="E2389" s="20">
        <f>INDEX(매칭테이블!C:C,MATCH(RD!G2389,매칭테이블!D:D,0))</f>
        <v/>
      </c>
      <c r="F2389" s="20" t="inlineStr">
        <is>
          <t>카페24</t>
        </is>
      </c>
      <c r="G2389" s="20" t="inlineStr">
        <is>
          <t>유즈 스테이포에버 솔리드퍼퓸 002 (10차 재입고 완료제품선택=best</t>
        </is>
      </c>
      <c r="H2389" s="20" t="n">
        <v>59</v>
      </c>
      <c r="I2389" s="20">
        <f>VLOOKUP(G2389,매칭테이블!D:E,2,0)</f>
        <v/>
      </c>
      <c r="J2389" s="20" t="n">
        <v>201210</v>
      </c>
      <c r="L2389" s="20">
        <f>VLOOKUP($O2389,매칭테이블!$G:$J,2,0)*H2389</f>
        <v/>
      </c>
      <c r="M2389" s="20">
        <f>L2389-L2389*VLOOKUP($O2389,매칭테이블!$G:$J,3,0)</f>
        <v/>
      </c>
      <c r="N2389" s="20">
        <f>VLOOKUP($O2389,매칭테이블!$G:$J,4,0)*H2389</f>
        <v/>
      </c>
      <c r="O2389" s="20">
        <f>F2389&amp;E2389&amp;G2389&amp;J2389</f>
        <v/>
      </c>
    </row>
    <row r="2390" ht="16.5" customHeight="1" s="17">
      <c r="B2390" s="16" t="n">
        <v>44184</v>
      </c>
      <c r="C2390" s="20">
        <f>TEXT(B2390,"aaa")</f>
        <v/>
      </c>
      <c r="E2390" s="20">
        <f>INDEX(매칭테이블!C:C,MATCH(RD!G2390,매칭테이블!D:D,0))</f>
        <v/>
      </c>
      <c r="F2390" s="20" t="inlineStr">
        <is>
          <t>카페24</t>
        </is>
      </c>
      <c r="G2390" s="20" t="inlineStr">
        <is>
          <t>유즈 스테이포에버 솔리드퍼퓸 002 (10차 재입고 완료제품선택=커플추천</t>
        </is>
      </c>
      <c r="H2390" s="20" t="n">
        <v>6</v>
      </c>
      <c r="I2390" s="20">
        <f>VLOOKUP(G2390,매칭테이블!D:E,2,0)</f>
        <v/>
      </c>
      <c r="J2390" s="20" t="n">
        <v>201210</v>
      </c>
      <c r="L2390" s="20">
        <f>VLOOKUP($O2390,매칭테이블!$G:$J,2,0)*H2390</f>
        <v/>
      </c>
      <c r="M2390" s="20">
        <f>L2390-L2390*VLOOKUP($O2390,매칭테이블!$G:$J,3,0)</f>
        <v/>
      </c>
      <c r="N2390" s="20">
        <f>VLOOKUP($O2390,매칭테이블!$G:$J,4,0)*H2390</f>
        <v/>
      </c>
      <c r="O2390" s="20">
        <f>F2390&amp;E2390&amp;G2390&amp;J2390</f>
        <v/>
      </c>
    </row>
    <row r="2391" ht="16.5" customHeight="1" s="17">
      <c r="B2391" s="16" t="n">
        <v>44184</v>
      </c>
      <c r="C2391" s="20">
        <f>TEXT(B2391,"aaa")</f>
        <v/>
      </c>
      <c r="E2391" s="20">
        <f>INDEX(매칭테이블!C:C,MATCH(RD!G2391,매칭테이블!D:D,0))</f>
        <v/>
      </c>
      <c r="F2391" s="20" t="inlineStr">
        <is>
          <t>카페24</t>
        </is>
      </c>
      <c r="G2391" s="20" t="inlineStr">
        <is>
          <t>유즈 스테이포에버 솔리드퍼퓸 002 (10차 재입고 완료쇼핑백=선물용 쇼핑백</t>
        </is>
      </c>
      <c r="H2391" s="20" t="n">
        <v>7</v>
      </c>
      <c r="I2391" s="20">
        <f>VLOOKUP(G2391,매칭테이블!D:E,2,0)</f>
        <v/>
      </c>
      <c r="J2391" s="20" t="n">
        <v>201210</v>
      </c>
      <c r="L2391" s="20">
        <f>VLOOKUP($O2391,매칭테이블!$G:$J,2,0)*H2391</f>
        <v/>
      </c>
      <c r="M2391" s="20">
        <f>L2391-L2391*VLOOKUP($O2391,매칭테이블!$G:$J,3,0)</f>
        <v/>
      </c>
      <c r="N2391" s="20">
        <f>VLOOKUP($O2391,매칭테이블!$G:$J,4,0)*H2391</f>
        <v/>
      </c>
      <c r="O2391" s="20">
        <f>F2391&amp;E2391&amp;G2391&amp;J2391</f>
        <v/>
      </c>
    </row>
    <row r="2392" ht="16.5" customHeight="1" s="17">
      <c r="B2392" s="16" t="n">
        <v>44184</v>
      </c>
      <c r="C2392" s="20">
        <f>TEXT(B2392,"aaa")</f>
        <v/>
      </c>
      <c r="E2392" s="20">
        <f>INDEX(매칭테이블!C:C,MATCH(RD!G2392,매칭테이블!D:D,0))</f>
        <v/>
      </c>
      <c r="F2392" s="20" t="inlineStr">
        <is>
          <t>카페24</t>
        </is>
      </c>
      <c r="G2392" s="20" t="inlineStr">
        <is>
          <t>유즈 스테이포에버 솔리드퍼퓸 002 (10차 재입고 완료)제품선택=스테이포에버 1개</t>
        </is>
      </c>
      <c r="H2392" s="20" t="n">
        <v>190</v>
      </c>
      <c r="I2392" s="20">
        <f>VLOOKUP(G2392,매칭테이블!D:E,2,0)</f>
        <v/>
      </c>
      <c r="J2392" s="20" t="n">
        <v>201210</v>
      </c>
      <c r="L2392" s="20">
        <f>VLOOKUP($O2392,매칭테이블!$G:$J,2,0)*H2392</f>
        <v/>
      </c>
      <c r="M2392" s="20">
        <f>L2392-L2392*VLOOKUP($O2392,매칭테이블!$G:$J,3,0)</f>
        <v/>
      </c>
      <c r="N2392" s="20">
        <f>VLOOKUP($O2392,매칭테이블!$G:$J,4,0)*H2392</f>
        <v/>
      </c>
      <c r="O2392" s="20">
        <f>F2392&amp;E2392&amp;G2392&amp;J2392</f>
        <v/>
      </c>
    </row>
    <row r="2393" ht="16.5" customHeight="1" s="17">
      <c r="B2393" s="16" t="n">
        <v>44184</v>
      </c>
      <c r="C2393" s="20">
        <f>TEXT(B2393,"aaa")</f>
        <v/>
      </c>
      <c r="E2393" s="20">
        <f>INDEX(매칭테이블!C:C,MATCH(RD!G2393,매칭테이블!D:D,0))</f>
        <v/>
      </c>
      <c r="F2393" s="20" t="inlineStr">
        <is>
          <t>카페24</t>
        </is>
      </c>
      <c r="G2393" s="20" t="inlineStr">
        <is>
          <t>유즈 스테이포에버 솔리드퍼퓸 002 (10차 재입고 완료)제품선택=best스테이포에버 2개[28% 할인]</t>
        </is>
      </c>
      <c r="H2393" s="20" t="n">
        <v>59</v>
      </c>
      <c r="I2393" s="20">
        <f>VLOOKUP(G2393,매칭테이블!D:E,2,0)</f>
        <v/>
      </c>
      <c r="J2393" s="20" t="n">
        <v>201210</v>
      </c>
      <c r="L2393" s="20">
        <f>VLOOKUP($O2393,매칭테이블!$G:$J,2,0)*H2393</f>
        <v/>
      </c>
      <c r="M2393" s="20">
        <f>L2393-L2393*VLOOKUP($O2393,매칭테이블!$G:$J,3,0)</f>
        <v/>
      </c>
      <c r="N2393" s="20">
        <f>VLOOKUP($O2393,매칭테이블!$G:$J,4,0)*H2393</f>
        <v/>
      </c>
      <c r="O2393" s="20">
        <f>F2393&amp;E2393&amp;G2393&amp;J2393</f>
        <v/>
      </c>
    </row>
    <row r="2394" ht="16.5" customHeight="1" s="17">
      <c r="B2394" s="16" t="n">
        <v>44184</v>
      </c>
      <c r="C2394" s="20">
        <f>TEXT(B2394,"aaa")</f>
        <v/>
      </c>
      <c r="E2394" s="20">
        <f>INDEX(매칭테이블!C:C,MATCH(RD!G2394,매칭테이블!D:D,0))</f>
        <v/>
      </c>
      <c r="F2394" s="20" t="inlineStr">
        <is>
          <t>카페24</t>
        </is>
      </c>
      <c r="G2394" s="20" t="inlineStr">
        <is>
          <t>유즈 스테이포에버 솔리드퍼퓸 002 (10차 재입고 완료)제품선택=커플추천스테이포에버 + 이그나이트 세트</t>
        </is>
      </c>
      <c r="H2394" s="20" t="n">
        <v>10</v>
      </c>
      <c r="I2394" s="20">
        <f>VLOOKUP(G2394,매칭테이블!D:E,2,0)</f>
        <v/>
      </c>
      <c r="J2394" s="20" t="n">
        <v>201210</v>
      </c>
      <c r="L2394" s="20">
        <f>VLOOKUP($O2394,매칭테이블!$G:$J,2,0)*H2394</f>
        <v/>
      </c>
      <c r="M2394" s="20">
        <f>L2394-L2394*VLOOKUP($O2394,매칭테이블!$G:$J,3,0)</f>
        <v/>
      </c>
      <c r="N2394" s="20">
        <f>VLOOKUP($O2394,매칭테이블!$G:$J,4,0)*H2394</f>
        <v/>
      </c>
      <c r="O2394" s="20">
        <f>F2394&amp;E2394&amp;G2394&amp;J2394</f>
        <v/>
      </c>
    </row>
    <row r="2395" ht="16.5" customHeight="1" s="17">
      <c r="B2395" s="16" t="n">
        <v>44184</v>
      </c>
      <c r="C2395" s="20">
        <f>TEXT(B2395,"aaa")</f>
        <v/>
      </c>
      <c r="E2395" s="20">
        <f>INDEX(매칭테이블!C:C,MATCH(RD!G2395,매칭테이블!D:D,0))</f>
        <v/>
      </c>
      <c r="F2395" s="20" t="inlineStr">
        <is>
          <t>카페24</t>
        </is>
      </c>
      <c r="G2395" s="20" t="inlineStr">
        <is>
          <t>유즈 스테이포에버 솔리드퍼퓸 002 (10차 재입고 완료)쇼핑백=선물용 쇼핑백</t>
        </is>
      </c>
      <c r="H2395" s="20" t="n">
        <v>9</v>
      </c>
      <c r="I2395" s="20">
        <f>VLOOKUP(G2395,매칭테이블!D:E,2,0)</f>
        <v/>
      </c>
      <c r="J2395" s="20" t="n">
        <v>201210</v>
      </c>
      <c r="L2395" s="20">
        <f>VLOOKUP($O2395,매칭테이블!$G:$J,2,0)*H2395</f>
        <v/>
      </c>
      <c r="M2395" s="20">
        <f>L2395-L2395*VLOOKUP($O2395,매칭테이블!$G:$J,3,0)</f>
        <v/>
      </c>
      <c r="N2395" s="20">
        <f>VLOOKUP($O2395,매칭테이블!$G:$J,4,0)*H2395</f>
        <v/>
      </c>
      <c r="O2395" s="20">
        <f>F2395&amp;E2395&amp;G2395&amp;J2395</f>
        <v/>
      </c>
    </row>
    <row r="2396" ht="16.5" customHeight="1" s="17">
      <c r="B2396" s="16" t="n">
        <v>44184</v>
      </c>
      <c r="C2396" s="20">
        <f>TEXT(B2396,"aaa")</f>
        <v/>
      </c>
      <c r="E2396" s="20">
        <f>INDEX(매칭테이블!C:C,MATCH(RD!G2396,매칭테이블!D:D,0))</f>
        <v/>
      </c>
      <c r="F2396" s="20" t="inlineStr">
        <is>
          <t>카페24</t>
        </is>
      </c>
      <c r="G2396" s="20" t="inlineStr">
        <is>
          <t>유즈 이그나이트 솔리드퍼퓸 001제품선택=이그나이트 솔리드퍼퓸 - 30ml</t>
        </is>
      </c>
      <c r="H2396" s="20" t="n">
        <v>2</v>
      </c>
      <c r="I2396" s="20">
        <f>VLOOKUP(G2396,매칭테이블!D:E,2,0)</f>
        <v/>
      </c>
      <c r="J2396" s="20" t="n">
        <v>201210</v>
      </c>
      <c r="L2396" s="20">
        <f>VLOOKUP($O2396,매칭테이블!$G:$J,2,0)*H2396</f>
        <v/>
      </c>
      <c r="M2396" s="20">
        <f>L2396-L2396*VLOOKUP($O2396,매칭테이블!$G:$J,3,0)</f>
        <v/>
      </c>
      <c r="N2396" s="20">
        <f>VLOOKUP($O2396,매칭테이블!$G:$J,4,0)*H2396</f>
        <v/>
      </c>
      <c r="O2396" s="20">
        <f>F2396&amp;E2396&amp;G2396&amp;J2396</f>
        <v/>
      </c>
    </row>
    <row r="2397" ht="16.5" customHeight="1" s="17">
      <c r="B2397" s="16" t="n">
        <v>44184</v>
      </c>
      <c r="C2397" s="20">
        <f>TEXT(B2397,"aaa")</f>
        <v/>
      </c>
      <c r="E2397" s="20">
        <f>INDEX(매칭테이블!C:C,MATCH(RD!G2397,매칭테이블!D:D,0))</f>
        <v/>
      </c>
      <c r="F2397" s="20" t="inlineStr">
        <is>
          <t>카페24</t>
        </is>
      </c>
      <c r="G2397" s="20" t="inlineStr">
        <is>
          <t>유즈 이그나이트 솔리드퍼퓸 001제품선택=이그나이트 2개 세트</t>
        </is>
      </c>
      <c r="H2397" s="20" t="n">
        <v>1</v>
      </c>
      <c r="I2397" s="20">
        <f>VLOOKUP(G2397,매칭테이블!D:E,2,0)</f>
        <v/>
      </c>
      <c r="J2397" s="20" t="n">
        <v>201210</v>
      </c>
      <c r="L2397" s="20">
        <f>VLOOKUP($O2397,매칭테이블!$G:$J,2,0)*H2397</f>
        <v/>
      </c>
      <c r="M2397" s="20">
        <f>L2397-L2397*VLOOKUP($O2397,매칭테이블!$G:$J,3,0)</f>
        <v/>
      </c>
      <c r="N2397" s="20">
        <f>VLOOKUP($O2397,매칭테이블!$G:$J,4,0)*H2397</f>
        <v/>
      </c>
      <c r="O2397" s="20">
        <f>F2397&amp;E2397&amp;G2397&amp;J2397</f>
        <v/>
      </c>
    </row>
    <row r="2398" ht="16.5" customHeight="1" s="17">
      <c r="B2398" s="16" t="n">
        <v>44185</v>
      </c>
      <c r="C2398" s="20">
        <f>TEXT(B2398,"aaa")</f>
        <v/>
      </c>
      <c r="E2398" s="20">
        <f>INDEX(매칭테이블!C:C,MATCH(RD!G2398,매칭테이블!D:D,0))</f>
        <v/>
      </c>
      <c r="F2398" s="20" t="inlineStr">
        <is>
          <t>카페24</t>
        </is>
      </c>
      <c r="G2398" s="20" t="inlineStr">
        <is>
          <t>SHOPPING BAG</t>
        </is>
      </c>
      <c r="H2398" s="20" t="n">
        <v>1</v>
      </c>
      <c r="I2398" s="20">
        <f>VLOOKUP(G2398,매칭테이블!D:E,2,0)</f>
        <v/>
      </c>
      <c r="J2398" s="20" t="n">
        <v>201210</v>
      </c>
      <c r="L2398" s="20">
        <f>VLOOKUP($O2398,매칭테이블!$G:$J,2,0)*H2398</f>
        <v/>
      </c>
      <c r="M2398" s="20">
        <f>L2398-L2398*VLOOKUP($O2398,매칭테이블!$G:$J,3,0)</f>
        <v/>
      </c>
      <c r="N2398" s="20">
        <f>VLOOKUP($O2398,매칭테이블!$G:$J,4,0)*H2398</f>
        <v/>
      </c>
      <c r="O2398" s="20">
        <f>F2398&amp;E2398&amp;G2398&amp;J2398</f>
        <v/>
      </c>
    </row>
    <row r="2399" ht="16.5" customHeight="1" s="17">
      <c r="B2399" s="16" t="n">
        <v>44185</v>
      </c>
      <c r="C2399" s="20">
        <f>TEXT(B2399,"aaa")</f>
        <v/>
      </c>
      <c r="E2399" s="20">
        <f>INDEX(매칭테이블!C:C,MATCH(RD!G2399,매칭테이블!D:D,0))</f>
        <v/>
      </c>
      <c r="F2399" s="20" t="inlineStr">
        <is>
          <t>카페24</t>
        </is>
      </c>
      <c r="G2399" s="20" t="inlineStr">
        <is>
          <t>유즈 솔리드퍼퓸 - 30ml (10차 재입고 완료향=스테이포에버 002 SOLID PERFUME, 세트 선택=1개</t>
        </is>
      </c>
      <c r="H2399" s="20" t="n">
        <v>5</v>
      </c>
      <c r="I2399" s="20">
        <f>VLOOKUP(G2399,매칭테이블!D:E,2,0)</f>
        <v/>
      </c>
      <c r="J2399" s="20" t="n">
        <v>201210</v>
      </c>
      <c r="L2399" s="20">
        <f>VLOOKUP($O2399,매칭테이블!$G:$J,2,0)*H2399</f>
        <v/>
      </c>
      <c r="M2399" s="20">
        <f>L2399-L2399*VLOOKUP($O2399,매칭테이블!$G:$J,3,0)</f>
        <v/>
      </c>
      <c r="N2399" s="20">
        <f>VLOOKUP($O2399,매칭테이블!$G:$J,4,0)*H2399</f>
        <v/>
      </c>
      <c r="O2399" s="20">
        <f>F2399&amp;E2399&amp;G2399&amp;J2399</f>
        <v/>
      </c>
    </row>
    <row r="2400" ht="16.5" customHeight="1" s="17">
      <c r="B2400" s="16" t="n">
        <v>44185</v>
      </c>
      <c r="C2400" s="20">
        <f>TEXT(B2400,"aaa")</f>
        <v/>
      </c>
      <c r="E2400" s="20">
        <f>INDEX(매칭테이블!C:C,MATCH(RD!G2400,매칭테이블!D:D,0))</f>
        <v/>
      </c>
      <c r="F2400" s="20" t="inlineStr">
        <is>
          <t>카페24</t>
        </is>
      </c>
      <c r="G2400" s="20" t="inlineStr">
        <is>
          <t>유즈 솔리드퍼퓸 - 30ml (10차 재입고 완료향=커플세트</t>
        </is>
      </c>
      <c r="H2400" s="20" t="n">
        <v>5</v>
      </c>
      <c r="I2400" s="20">
        <f>VLOOKUP(G2400,매칭테이블!D:E,2,0)</f>
        <v/>
      </c>
      <c r="J2400" s="20" t="n">
        <v>201210</v>
      </c>
      <c r="L2400" s="20">
        <f>VLOOKUP($O2400,매칭테이블!$G:$J,2,0)*H2400</f>
        <v/>
      </c>
      <c r="M2400" s="20">
        <f>L2400-L2400*VLOOKUP($O2400,매칭테이블!$G:$J,3,0)</f>
        <v/>
      </c>
      <c r="N2400" s="20">
        <f>VLOOKUP($O2400,매칭테이블!$G:$J,4,0)*H2400</f>
        <v/>
      </c>
      <c r="O2400" s="20">
        <f>F2400&amp;E2400&amp;G2400&amp;J2400</f>
        <v/>
      </c>
    </row>
    <row r="2401" ht="16.5" customHeight="1" s="17">
      <c r="B2401" s="16" t="n">
        <v>44185</v>
      </c>
      <c r="C2401" s="20">
        <f>TEXT(B2401,"aaa")</f>
        <v/>
      </c>
      <c r="E2401" s="20">
        <f>INDEX(매칭테이블!C:C,MATCH(RD!G2401,매칭테이블!D:D,0))</f>
        <v/>
      </c>
      <c r="F2401" s="20" t="inlineStr">
        <is>
          <t>카페24</t>
        </is>
      </c>
      <c r="G2401" s="20" t="inlineStr">
        <is>
          <t>유즈 솔리드퍼퓸 - 30ml (10차 재입고 완료향=커플세트</t>
        </is>
      </c>
      <c r="H2401" s="20" t="n">
        <v>1</v>
      </c>
      <c r="I2401" s="20">
        <f>VLOOKUP(G2401,매칭테이블!D:E,2,0)</f>
        <v/>
      </c>
      <c r="J2401" s="20" t="n">
        <v>201210</v>
      </c>
      <c r="L2401" s="20">
        <f>VLOOKUP($O2401,매칭테이블!$G:$J,2,0)*H2401</f>
        <v/>
      </c>
      <c r="M2401" s="20">
        <f>L2401-L2401*VLOOKUP($O2401,매칭테이블!$G:$J,3,0)</f>
        <v/>
      </c>
      <c r="N2401" s="20">
        <f>VLOOKUP($O2401,매칭테이블!$G:$J,4,0)*H2401</f>
        <v/>
      </c>
      <c r="O2401" s="20">
        <f>F2401&amp;E2401&amp;G2401&amp;J2401</f>
        <v/>
      </c>
    </row>
    <row r="2402" ht="16.5" customHeight="1" s="17">
      <c r="B2402" s="16" t="n">
        <v>44185</v>
      </c>
      <c r="C2402" s="20">
        <f>TEXT(B2402,"aaa")</f>
        <v/>
      </c>
      <c r="E2402" s="20">
        <f>INDEX(매칭테이블!C:C,MATCH(RD!G2402,매칭테이블!D:D,0))</f>
        <v/>
      </c>
      <c r="F2402" s="20" t="inlineStr">
        <is>
          <t>카페24</t>
        </is>
      </c>
      <c r="G2402" s="20" t="inlineStr">
        <is>
          <t>유즈 솔리드퍼퓸 - 30ml (10차 재입고 완료 )향=이그나이트 001 SOLID PERFUME, 세트 선택=1개</t>
        </is>
      </c>
      <c r="H2402" s="20" t="n">
        <v>3</v>
      </c>
      <c r="I2402" s="20">
        <f>VLOOKUP(G2402,매칭테이블!D:E,2,0)</f>
        <v/>
      </c>
      <c r="J2402" s="20" t="n">
        <v>201210</v>
      </c>
      <c r="L2402" s="20">
        <f>VLOOKUP($O2402,매칭테이블!$G:$J,2,0)*H2402</f>
        <v/>
      </c>
      <c r="M2402" s="20">
        <f>L2402-L2402*VLOOKUP($O2402,매칭테이블!$G:$J,3,0)</f>
        <v/>
      </c>
      <c r="N2402" s="20">
        <f>VLOOKUP($O2402,매칭테이블!$G:$J,4,0)*H2402</f>
        <v/>
      </c>
      <c r="O2402" s="20">
        <f>F2402&amp;E2402&amp;G2402&amp;J2402</f>
        <v/>
      </c>
    </row>
    <row r="2403" ht="16.5" customHeight="1" s="17">
      <c r="B2403" s="16" t="n">
        <v>44185</v>
      </c>
      <c r="C2403" s="20">
        <f>TEXT(B2403,"aaa")</f>
        <v/>
      </c>
      <c r="E2403" s="20">
        <f>INDEX(매칭테이블!C:C,MATCH(RD!G2403,매칭테이블!D:D,0))</f>
        <v/>
      </c>
      <c r="F2403" s="20" t="inlineStr">
        <is>
          <t>카페24</t>
        </is>
      </c>
      <c r="G2403" s="20" t="inlineStr">
        <is>
          <t>유즈 솔리드퍼퓸 - 30ml (10차 재입고 완료 )향=스테이포에버 002 SOLID PERFUME, 세트 선택=1개</t>
        </is>
      </c>
      <c r="H2403" s="20" t="n">
        <v>10</v>
      </c>
      <c r="I2403" s="20">
        <f>VLOOKUP(G2403,매칭테이블!D:E,2,0)</f>
        <v/>
      </c>
      <c r="J2403" s="20" t="n">
        <v>201210</v>
      </c>
      <c r="L2403" s="20">
        <f>VLOOKUP($O2403,매칭테이블!$G:$J,2,0)*H2403</f>
        <v/>
      </c>
      <c r="M2403" s="20">
        <f>L2403-L2403*VLOOKUP($O2403,매칭테이블!$G:$J,3,0)</f>
        <v/>
      </c>
      <c r="N2403" s="20">
        <f>VLOOKUP($O2403,매칭테이블!$G:$J,4,0)*H2403</f>
        <v/>
      </c>
      <c r="O2403" s="20">
        <f>F2403&amp;E2403&amp;G2403&amp;J2403</f>
        <v/>
      </c>
    </row>
    <row r="2404" ht="16.5" customHeight="1" s="17">
      <c r="B2404" s="16" t="n">
        <v>44185</v>
      </c>
      <c r="C2404" s="20">
        <f>TEXT(B2404,"aaa")</f>
        <v/>
      </c>
      <c r="E2404" s="20">
        <f>INDEX(매칭테이블!C:C,MATCH(RD!G2404,매칭테이블!D:D,0))</f>
        <v/>
      </c>
      <c r="F2404" s="20" t="inlineStr">
        <is>
          <t>카페24</t>
        </is>
      </c>
      <c r="G2404" s="20" t="inlineStr">
        <is>
          <t>유즈 솔리드퍼퓸 - 30ml (10차 재입고 완료 )향=스테이포에버 002 SOLID PERFUME, 세트 선택=best 2개 (28% 할인)</t>
        </is>
      </c>
      <c r="H2404" s="20" t="n">
        <v>3</v>
      </c>
      <c r="I2404" s="20">
        <f>VLOOKUP(G2404,매칭테이블!D:E,2,0)</f>
        <v/>
      </c>
      <c r="J2404" s="20" t="n">
        <v>201210</v>
      </c>
      <c r="L2404" s="20">
        <f>VLOOKUP($O2404,매칭테이블!$G:$J,2,0)*H2404</f>
        <v/>
      </c>
      <c r="M2404" s="20">
        <f>L2404-L2404*VLOOKUP($O2404,매칭테이블!$G:$J,3,0)</f>
        <v/>
      </c>
      <c r="N2404" s="20">
        <f>VLOOKUP($O2404,매칭테이블!$G:$J,4,0)*H2404</f>
        <v/>
      </c>
      <c r="O2404" s="20">
        <f>F2404&amp;E2404&amp;G2404&amp;J2404</f>
        <v/>
      </c>
    </row>
    <row r="2405" ht="16.5" customHeight="1" s="17">
      <c r="B2405" s="16" t="n">
        <v>44185</v>
      </c>
      <c r="C2405" s="20">
        <f>TEXT(B2405,"aaa")</f>
        <v/>
      </c>
      <c r="E2405" s="20">
        <f>INDEX(매칭테이블!C:C,MATCH(RD!G2405,매칭테이블!D:D,0))</f>
        <v/>
      </c>
      <c r="F2405" s="20" t="inlineStr">
        <is>
          <t>카페24</t>
        </is>
      </c>
      <c r="G2405" s="20" t="inlineStr">
        <is>
          <t>유즈 솔리드퍼퓸 - 30ml (10차 재입고 완료 )향=커플세트(이그나이트 + 스테이포에버), 세트 선택=1 SET</t>
        </is>
      </c>
      <c r="H2405" s="20" t="n">
        <v>4</v>
      </c>
      <c r="I2405" s="20">
        <f>VLOOKUP(G2405,매칭테이블!D:E,2,0)</f>
        <v/>
      </c>
      <c r="J2405" s="20" t="n">
        <v>201210</v>
      </c>
      <c r="L2405" s="20">
        <f>VLOOKUP($O2405,매칭테이블!$G:$J,2,0)*H2405</f>
        <v/>
      </c>
      <c r="M2405" s="20">
        <f>L2405-L2405*VLOOKUP($O2405,매칭테이블!$G:$J,3,0)</f>
        <v/>
      </c>
      <c r="N2405" s="20">
        <f>VLOOKUP($O2405,매칭테이블!$G:$J,4,0)*H2405</f>
        <v/>
      </c>
      <c r="O2405" s="20">
        <f>F2405&amp;E2405&amp;G2405&amp;J2405</f>
        <v/>
      </c>
    </row>
    <row r="2406" ht="16.5" customHeight="1" s="17">
      <c r="B2406" s="16" t="n">
        <v>44185</v>
      </c>
      <c r="C2406" s="20">
        <f>TEXT(B2406,"aaa")</f>
        <v/>
      </c>
      <c r="E2406" s="20">
        <f>INDEX(매칭테이블!C:C,MATCH(RD!G2406,매칭테이블!D:D,0))</f>
        <v/>
      </c>
      <c r="F2406" s="20" t="inlineStr">
        <is>
          <t>카페24</t>
        </is>
      </c>
      <c r="G2406" s="20" t="inlineStr">
        <is>
          <t>유즈 스테이포에버 솔리드퍼퓸 002 (10차 재입고 완료제품선택=스테이포에버 1개</t>
        </is>
      </c>
      <c r="H2406" s="20" t="n">
        <v>94</v>
      </c>
      <c r="I2406" s="20">
        <f>VLOOKUP(G2406,매칭테이블!D:E,2,0)</f>
        <v/>
      </c>
      <c r="J2406" s="20" t="n">
        <v>201210</v>
      </c>
      <c r="L2406" s="20">
        <f>VLOOKUP($O2406,매칭테이블!$G:$J,2,0)*H2406</f>
        <v/>
      </c>
      <c r="M2406" s="20">
        <f>L2406-L2406*VLOOKUP($O2406,매칭테이블!$G:$J,3,0)</f>
        <v/>
      </c>
      <c r="N2406" s="20">
        <f>VLOOKUP($O2406,매칭테이블!$G:$J,4,0)*H2406</f>
        <v/>
      </c>
      <c r="O2406" s="20">
        <f>F2406&amp;E2406&amp;G2406&amp;J2406</f>
        <v/>
      </c>
    </row>
    <row r="2407" ht="16.5" customHeight="1" s="17">
      <c r="B2407" s="16" t="n">
        <v>44185</v>
      </c>
      <c r="C2407" s="20">
        <f>TEXT(B2407,"aaa")</f>
        <v/>
      </c>
      <c r="E2407" s="20">
        <f>INDEX(매칭테이블!C:C,MATCH(RD!G2407,매칭테이블!D:D,0))</f>
        <v/>
      </c>
      <c r="F2407" s="20" t="inlineStr">
        <is>
          <t>카페24</t>
        </is>
      </c>
      <c r="G2407" s="20" t="inlineStr">
        <is>
          <t>유즈 스테이포에버 솔리드퍼퓸 002 (10차 재입고 완료제품선택=best</t>
        </is>
      </c>
      <c r="H2407" s="20" t="n">
        <v>45</v>
      </c>
      <c r="I2407" s="20">
        <f>VLOOKUP(G2407,매칭테이블!D:E,2,0)</f>
        <v/>
      </c>
      <c r="J2407" s="20" t="n">
        <v>201210</v>
      </c>
      <c r="L2407" s="20">
        <f>VLOOKUP($O2407,매칭테이블!$G:$J,2,0)*H2407</f>
        <v/>
      </c>
      <c r="M2407" s="20">
        <f>L2407-L2407*VLOOKUP($O2407,매칭테이블!$G:$J,3,0)</f>
        <v/>
      </c>
      <c r="N2407" s="20">
        <f>VLOOKUP($O2407,매칭테이블!$G:$J,4,0)*H2407</f>
        <v/>
      </c>
      <c r="O2407" s="20">
        <f>F2407&amp;E2407&amp;G2407&amp;J2407</f>
        <v/>
      </c>
    </row>
    <row r="2408" ht="16.5" customHeight="1" s="17">
      <c r="B2408" s="16" t="n">
        <v>44185</v>
      </c>
      <c r="C2408" s="20">
        <f>TEXT(B2408,"aaa")</f>
        <v/>
      </c>
      <c r="E2408" s="20">
        <f>INDEX(매칭테이블!C:C,MATCH(RD!G2408,매칭테이블!D:D,0))</f>
        <v/>
      </c>
      <c r="F2408" s="20" t="inlineStr">
        <is>
          <t>카페24</t>
        </is>
      </c>
      <c r="G2408" s="20" t="inlineStr">
        <is>
          <t>유즈 스테이포에버 솔리드퍼퓸 002 (10차 재입고 완료제품선택=커플추천</t>
        </is>
      </c>
      <c r="H2408" s="20" t="n">
        <v>15</v>
      </c>
      <c r="I2408" s="20">
        <f>VLOOKUP(G2408,매칭테이블!D:E,2,0)</f>
        <v/>
      </c>
      <c r="J2408" s="20" t="n">
        <v>201210</v>
      </c>
      <c r="L2408" s="20">
        <f>VLOOKUP($O2408,매칭테이블!$G:$J,2,0)*H2408</f>
        <v/>
      </c>
      <c r="M2408" s="20">
        <f>L2408-L2408*VLOOKUP($O2408,매칭테이블!$G:$J,3,0)</f>
        <v/>
      </c>
      <c r="N2408" s="20">
        <f>VLOOKUP($O2408,매칭테이블!$G:$J,4,0)*H2408</f>
        <v/>
      </c>
      <c r="O2408" s="20">
        <f>F2408&amp;E2408&amp;G2408&amp;J2408</f>
        <v/>
      </c>
    </row>
    <row r="2409" ht="16.5" customHeight="1" s="17">
      <c r="B2409" s="16" t="n">
        <v>44185</v>
      </c>
      <c r="C2409" s="20">
        <f>TEXT(B2409,"aaa")</f>
        <v/>
      </c>
      <c r="E2409" s="20">
        <f>INDEX(매칭테이블!C:C,MATCH(RD!G2409,매칭테이블!D:D,0))</f>
        <v/>
      </c>
      <c r="F2409" s="20" t="inlineStr">
        <is>
          <t>카페24</t>
        </is>
      </c>
      <c r="G2409" s="20" t="inlineStr">
        <is>
          <t>유즈 스테이포에버 솔리드퍼퓸 002 (10차 재입고 완료쇼핑백=선물용 쇼핑백</t>
        </is>
      </c>
      <c r="H2409" s="20" t="n">
        <v>3</v>
      </c>
      <c r="I2409" s="20">
        <f>VLOOKUP(G2409,매칭테이블!D:E,2,0)</f>
        <v/>
      </c>
      <c r="J2409" s="20" t="n">
        <v>201210</v>
      </c>
      <c r="L2409" s="20">
        <f>VLOOKUP($O2409,매칭테이블!$G:$J,2,0)*H2409</f>
        <v/>
      </c>
      <c r="M2409" s="20">
        <f>L2409-L2409*VLOOKUP($O2409,매칭테이블!$G:$J,3,0)</f>
        <v/>
      </c>
      <c r="N2409" s="20">
        <f>VLOOKUP($O2409,매칭테이블!$G:$J,4,0)*H2409</f>
        <v/>
      </c>
      <c r="O2409" s="20">
        <f>F2409&amp;E2409&amp;G2409&amp;J2409</f>
        <v/>
      </c>
    </row>
    <row r="2410" ht="16.5" customHeight="1" s="17">
      <c r="B2410" s="16" t="n">
        <v>44185</v>
      </c>
      <c r="C2410" s="20">
        <f>TEXT(B2410,"aaa")</f>
        <v/>
      </c>
      <c r="E2410" s="20">
        <f>INDEX(매칭테이블!C:C,MATCH(RD!G2410,매칭테이블!D:D,0))</f>
        <v/>
      </c>
      <c r="F2410" s="20" t="inlineStr">
        <is>
          <t>카페24</t>
        </is>
      </c>
      <c r="G2410" s="20" t="inlineStr">
        <is>
          <t>유즈 스테이포에버 솔리드퍼퓸 002 (10차 재입고 완료)제품선택=스테이포에버 1개</t>
        </is>
      </c>
      <c r="H2410" s="20" t="n">
        <v>154</v>
      </c>
      <c r="I2410" s="20">
        <f>VLOOKUP(G2410,매칭테이블!D:E,2,0)</f>
        <v/>
      </c>
      <c r="J2410" s="20" t="n">
        <v>201210</v>
      </c>
      <c r="L2410" s="20">
        <f>VLOOKUP($O2410,매칭테이블!$G:$J,2,0)*H2410</f>
        <v/>
      </c>
      <c r="M2410" s="20">
        <f>L2410-L2410*VLOOKUP($O2410,매칭테이블!$G:$J,3,0)</f>
        <v/>
      </c>
      <c r="N2410" s="20">
        <f>VLOOKUP($O2410,매칭테이블!$G:$J,4,0)*H2410</f>
        <v/>
      </c>
      <c r="O2410" s="20">
        <f>F2410&amp;E2410&amp;G2410&amp;J2410</f>
        <v/>
      </c>
    </row>
    <row r="2411" ht="16.5" customHeight="1" s="17">
      <c r="B2411" s="16" t="n">
        <v>44185</v>
      </c>
      <c r="C2411" s="20">
        <f>TEXT(B2411,"aaa")</f>
        <v/>
      </c>
      <c r="E2411" s="20">
        <f>INDEX(매칭테이블!C:C,MATCH(RD!G2411,매칭테이블!D:D,0))</f>
        <v/>
      </c>
      <c r="F2411" s="20" t="inlineStr">
        <is>
          <t>카페24</t>
        </is>
      </c>
      <c r="G2411" s="20" t="inlineStr">
        <is>
          <t>유즈 스테이포에버 솔리드퍼퓸 002 (10차 재입고 완료)제품선택=best스테이포에버 2개[28% 할인]</t>
        </is>
      </c>
      <c r="H2411" s="20" t="n">
        <v>57</v>
      </c>
      <c r="I2411" s="20">
        <f>VLOOKUP(G2411,매칭테이블!D:E,2,0)</f>
        <v/>
      </c>
      <c r="J2411" s="20" t="n">
        <v>201210</v>
      </c>
      <c r="L2411" s="20">
        <f>VLOOKUP($O2411,매칭테이블!$G:$J,2,0)*H2411</f>
        <v/>
      </c>
      <c r="M2411" s="20">
        <f>L2411-L2411*VLOOKUP($O2411,매칭테이블!$G:$J,3,0)</f>
        <v/>
      </c>
      <c r="N2411" s="20">
        <f>VLOOKUP($O2411,매칭테이블!$G:$J,4,0)*H2411</f>
        <v/>
      </c>
      <c r="O2411" s="20">
        <f>F2411&amp;E2411&amp;G2411&amp;J2411</f>
        <v/>
      </c>
    </row>
    <row r="2412" ht="16.5" customHeight="1" s="17">
      <c r="B2412" s="16" t="n">
        <v>44185</v>
      </c>
      <c r="C2412" s="20">
        <f>TEXT(B2412,"aaa")</f>
        <v/>
      </c>
      <c r="E2412" s="20">
        <f>INDEX(매칭테이블!C:C,MATCH(RD!G2412,매칭테이블!D:D,0))</f>
        <v/>
      </c>
      <c r="F2412" s="20" t="inlineStr">
        <is>
          <t>카페24</t>
        </is>
      </c>
      <c r="G2412" s="20" t="inlineStr">
        <is>
          <t>유즈 스테이포에버 솔리드퍼퓸 002 (10차 재입고 완료)제품선택=커플추천스테이포에버 + 이그나이트 세트</t>
        </is>
      </c>
      <c r="H2412" s="20" t="n">
        <v>16</v>
      </c>
      <c r="I2412" s="20">
        <f>VLOOKUP(G2412,매칭테이블!D:E,2,0)</f>
        <v/>
      </c>
      <c r="J2412" s="20" t="n">
        <v>201210</v>
      </c>
      <c r="L2412" s="20">
        <f>VLOOKUP($O2412,매칭테이블!$G:$J,2,0)*H2412</f>
        <v/>
      </c>
      <c r="M2412" s="20">
        <f>L2412-L2412*VLOOKUP($O2412,매칭테이블!$G:$J,3,0)</f>
        <v/>
      </c>
      <c r="N2412" s="20">
        <f>VLOOKUP($O2412,매칭테이블!$G:$J,4,0)*H2412</f>
        <v/>
      </c>
      <c r="O2412" s="20">
        <f>F2412&amp;E2412&amp;G2412&amp;J2412</f>
        <v/>
      </c>
    </row>
    <row r="2413" ht="16.5" customHeight="1" s="17">
      <c r="B2413" s="16" t="n">
        <v>44185</v>
      </c>
      <c r="C2413" s="20">
        <f>TEXT(B2413,"aaa")</f>
        <v/>
      </c>
      <c r="E2413" s="20">
        <f>INDEX(매칭테이블!C:C,MATCH(RD!G2413,매칭테이블!D:D,0))</f>
        <v/>
      </c>
      <c r="F2413" s="20" t="inlineStr">
        <is>
          <t>카페24</t>
        </is>
      </c>
      <c r="G2413" s="20" t="inlineStr">
        <is>
          <t>유즈 스테이포에버 솔리드퍼퓸 002 (10차 재입고 완료)쇼핑백=선물용 쇼핑백</t>
        </is>
      </c>
      <c r="H2413" s="20" t="n">
        <v>11</v>
      </c>
      <c r="I2413" s="20">
        <f>VLOOKUP(G2413,매칭테이블!D:E,2,0)</f>
        <v/>
      </c>
      <c r="J2413" s="20" t="n">
        <v>201210</v>
      </c>
      <c r="L2413" s="20">
        <f>VLOOKUP($O2413,매칭테이블!$G:$J,2,0)*H2413</f>
        <v/>
      </c>
      <c r="M2413" s="20">
        <f>L2413-L2413*VLOOKUP($O2413,매칭테이블!$G:$J,3,0)</f>
        <v/>
      </c>
      <c r="N2413" s="20">
        <f>VLOOKUP($O2413,매칭테이블!$G:$J,4,0)*H2413</f>
        <v/>
      </c>
      <c r="O2413" s="20">
        <f>F2413&amp;E2413&amp;G2413&amp;J2413</f>
        <v/>
      </c>
    </row>
    <row r="2414" ht="16.5" customHeight="1" s="17">
      <c r="B2414" s="16" t="n">
        <v>44185</v>
      </c>
      <c r="C2414" s="20">
        <f>TEXT(B2414,"aaa")</f>
        <v/>
      </c>
      <c r="E2414" s="20">
        <f>INDEX(매칭테이블!C:C,MATCH(RD!G2414,매칭테이블!D:D,0))</f>
        <v/>
      </c>
      <c r="F2414" s="20" t="inlineStr">
        <is>
          <t>카페24</t>
        </is>
      </c>
      <c r="G2414" s="20" t="inlineStr">
        <is>
          <t>유즈 이그나이트 솔리드퍼퓸 001제품선택=이그나이트 솔리드퍼퓸 - 30ml</t>
        </is>
      </c>
      <c r="H2414" s="20" t="n">
        <v>5</v>
      </c>
      <c r="I2414" s="20">
        <f>VLOOKUP(G2414,매칭테이블!D:E,2,0)</f>
        <v/>
      </c>
      <c r="J2414" s="20" t="n">
        <v>201210</v>
      </c>
      <c r="L2414" s="20">
        <f>VLOOKUP($O2414,매칭테이블!$G:$J,2,0)*H2414</f>
        <v/>
      </c>
      <c r="M2414" s="20">
        <f>L2414-L2414*VLOOKUP($O2414,매칭테이블!$G:$J,3,0)</f>
        <v/>
      </c>
      <c r="N2414" s="20">
        <f>VLOOKUP($O2414,매칭테이블!$G:$J,4,0)*H2414</f>
        <v/>
      </c>
      <c r="O2414" s="20">
        <f>F2414&amp;E2414&amp;G2414&amp;J2414</f>
        <v/>
      </c>
    </row>
    <row r="2415" ht="16.5" customHeight="1" s="17">
      <c r="B2415" s="16" t="n">
        <v>44186</v>
      </c>
      <c r="C2415" s="20">
        <f>TEXT(B2415,"aaa")</f>
        <v/>
      </c>
      <c r="E2415" s="20">
        <f>INDEX(매칭테이블!C:C,MATCH(RD!G2415,매칭테이블!D:D,0))</f>
        <v/>
      </c>
      <c r="F2415" s="20" t="inlineStr">
        <is>
          <t>유즈 CS</t>
        </is>
      </c>
      <c r="G2415" s="20" t="inlineStr">
        <is>
          <t>솔리드퍼퓸 스테이포에버 002 30ml</t>
        </is>
      </c>
      <c r="H2415" s="20" t="n">
        <v>1</v>
      </c>
      <c r="I2415" s="20">
        <f>VLOOKUP(G2415,매칭테이블!D:E,2,0)</f>
        <v/>
      </c>
      <c r="J2415" s="20" t="n">
        <v>201210</v>
      </c>
      <c r="L2415" s="20">
        <f>VLOOKUP($O2415,매칭테이블!$G:$J,2,0)*H2415</f>
        <v/>
      </c>
      <c r="M2415" s="20">
        <f>L2415-L2415*VLOOKUP($O2415,매칭테이블!$G:$J,3,0)</f>
        <v/>
      </c>
      <c r="N2415" s="20">
        <f>VLOOKUP($O2415,매칭테이블!$G:$J,4,0)*H2415</f>
        <v/>
      </c>
      <c r="O2415" s="20">
        <f>F2415&amp;E2415&amp;G2415&amp;J2415</f>
        <v/>
      </c>
    </row>
    <row r="2416" ht="16.5" customHeight="1" s="17">
      <c r="B2416" s="16" t="n">
        <v>44186</v>
      </c>
      <c r="C2416" s="20">
        <f>TEXT(B2416,"aaa")</f>
        <v/>
      </c>
      <c r="E2416" s="20">
        <f>INDEX(매칭테이블!C:C,MATCH(RD!G2416,매칭테이블!D:D,0))</f>
        <v/>
      </c>
      <c r="F2416" s="20" t="inlineStr">
        <is>
          <t>카페24</t>
        </is>
      </c>
      <c r="G2416" s="20" t="inlineStr">
        <is>
          <t>스테이포에버 솔리드퍼퓸 002 (10차 재입고 완료제품선택=best</t>
        </is>
      </c>
      <c r="H2416" s="20" t="n">
        <v>1</v>
      </c>
      <c r="I2416" s="20">
        <f>VLOOKUP(G2416,매칭테이블!D:E,2,0)</f>
        <v/>
      </c>
      <c r="J2416" s="20" t="n">
        <v>201210</v>
      </c>
      <c r="L2416" s="20">
        <f>VLOOKUP($O2416,매칭테이블!$G:$J,2,0)*H2416</f>
        <v/>
      </c>
      <c r="M2416" s="20">
        <f>L2416-L2416*VLOOKUP($O2416,매칭테이블!$G:$J,3,0)</f>
        <v/>
      </c>
      <c r="N2416" s="20">
        <f>VLOOKUP($O2416,매칭테이블!$G:$J,4,0)*H2416</f>
        <v/>
      </c>
      <c r="O2416" s="20">
        <f>F2416&amp;E2416&amp;G2416&amp;J2416</f>
        <v/>
      </c>
    </row>
    <row r="2417" ht="16.5" customHeight="1" s="17">
      <c r="B2417" s="16" t="n">
        <v>44186</v>
      </c>
      <c r="C2417" s="20">
        <f>TEXT(B2417,"aaa")</f>
        <v/>
      </c>
      <c r="E2417" s="20">
        <f>INDEX(매칭테이블!C:C,MATCH(RD!G2417,매칭테이블!D:D,0))</f>
        <v/>
      </c>
      <c r="F2417" s="20" t="inlineStr">
        <is>
          <t>카페24</t>
        </is>
      </c>
      <c r="G2417" s="20" t="inlineStr">
        <is>
          <t>유즈 솔리드퍼퓸 - 30ml (10차 재입고 완료향=이그나이트 001 SOLID PERFUME, 세트 선택=1개</t>
        </is>
      </c>
      <c r="H2417" s="20" t="n">
        <v>4</v>
      </c>
      <c r="I2417" s="20">
        <f>VLOOKUP(G2417,매칭테이블!D:E,2,0)</f>
        <v/>
      </c>
      <c r="J2417" s="20" t="n">
        <v>201210</v>
      </c>
      <c r="L2417" s="20">
        <f>VLOOKUP($O2417,매칭테이블!$G:$J,2,0)*H2417</f>
        <v/>
      </c>
      <c r="M2417" s="20">
        <f>L2417-L2417*VLOOKUP($O2417,매칭테이블!$G:$J,3,0)</f>
        <v/>
      </c>
      <c r="N2417" s="20">
        <f>VLOOKUP($O2417,매칭테이블!$G:$J,4,0)*H2417</f>
        <v/>
      </c>
      <c r="O2417" s="20">
        <f>F2417&amp;E2417&amp;G2417&amp;J2417</f>
        <v/>
      </c>
    </row>
    <row r="2418" ht="16.5" customHeight="1" s="17">
      <c r="B2418" s="16" t="n">
        <v>44186</v>
      </c>
      <c r="C2418" s="20">
        <f>TEXT(B2418,"aaa")</f>
        <v/>
      </c>
      <c r="E2418" s="20">
        <f>INDEX(매칭테이블!C:C,MATCH(RD!G2418,매칭테이블!D:D,0))</f>
        <v/>
      </c>
      <c r="F2418" s="20" t="inlineStr">
        <is>
          <t>카페24</t>
        </is>
      </c>
      <c r="G2418" s="20" t="inlineStr">
        <is>
          <t>유즈 솔리드퍼퓸 - 30ml (10차 재입고 완료향=이그나이트 001 SOLID PERFUME, 세트 선택=best</t>
        </is>
      </c>
      <c r="H2418" s="20" t="n">
        <v>1</v>
      </c>
      <c r="I2418" s="20">
        <f>VLOOKUP(G2418,매칭테이블!D:E,2,0)</f>
        <v/>
      </c>
      <c r="J2418" s="20" t="n">
        <v>201210</v>
      </c>
      <c r="L2418" s="20">
        <f>VLOOKUP($O2418,매칭테이블!$G:$J,2,0)*H2418</f>
        <v/>
      </c>
      <c r="M2418" s="20">
        <f>L2418-L2418*VLOOKUP($O2418,매칭테이블!$G:$J,3,0)</f>
        <v/>
      </c>
      <c r="N2418" s="20">
        <f>VLOOKUP($O2418,매칭테이블!$G:$J,4,0)*H2418</f>
        <v/>
      </c>
      <c r="O2418" s="20">
        <f>F2418&amp;E2418&amp;G2418&amp;J2418</f>
        <v/>
      </c>
    </row>
    <row r="2419" ht="16.5" customHeight="1" s="17">
      <c r="B2419" s="16" t="n">
        <v>44186</v>
      </c>
      <c r="C2419" s="20">
        <f>TEXT(B2419,"aaa")</f>
        <v/>
      </c>
      <c r="E2419" s="20">
        <f>INDEX(매칭테이블!C:C,MATCH(RD!G2419,매칭테이블!D:D,0))</f>
        <v/>
      </c>
      <c r="F2419" s="20" t="inlineStr">
        <is>
          <t>카페24</t>
        </is>
      </c>
      <c r="G2419" s="20" t="inlineStr">
        <is>
          <t>유즈 솔리드퍼퓸 - 30ml (10차 재입고 완료향=스테이포에버 002 SOLID PERFUME, 세트 선택=1개</t>
        </is>
      </c>
      <c r="H2419" s="20" t="n">
        <v>4</v>
      </c>
      <c r="I2419" s="20">
        <f>VLOOKUP(G2419,매칭테이블!D:E,2,0)</f>
        <v/>
      </c>
      <c r="J2419" s="20" t="n">
        <v>201210</v>
      </c>
      <c r="L2419" s="20">
        <f>VLOOKUP($O2419,매칭테이블!$G:$J,2,0)*H2419</f>
        <v/>
      </c>
      <c r="M2419" s="20">
        <f>L2419-L2419*VLOOKUP($O2419,매칭테이블!$G:$J,3,0)</f>
        <v/>
      </c>
      <c r="N2419" s="20">
        <f>VLOOKUP($O2419,매칭테이블!$G:$J,4,0)*H2419</f>
        <v/>
      </c>
      <c r="O2419" s="20">
        <f>F2419&amp;E2419&amp;G2419&amp;J2419</f>
        <v/>
      </c>
    </row>
    <row r="2420" ht="16.5" customHeight="1" s="17">
      <c r="B2420" s="16" t="n">
        <v>44186</v>
      </c>
      <c r="C2420" s="20">
        <f>TEXT(B2420,"aaa")</f>
        <v/>
      </c>
      <c r="E2420" s="20">
        <f>INDEX(매칭테이블!C:C,MATCH(RD!G2420,매칭테이블!D:D,0))</f>
        <v/>
      </c>
      <c r="F2420" s="20" t="inlineStr">
        <is>
          <t>카페24</t>
        </is>
      </c>
      <c r="G2420" s="20" t="inlineStr">
        <is>
          <t>유즈 솔리드퍼퓸 - 30ml (10차 재입고 완료향=스테이포에버 002 SOLID PERFUME, 세트 선택=best</t>
        </is>
      </c>
      <c r="H2420" s="20" t="n">
        <v>2</v>
      </c>
      <c r="I2420" s="20">
        <f>VLOOKUP(G2420,매칭테이블!D:E,2,0)</f>
        <v/>
      </c>
      <c r="J2420" s="20" t="n">
        <v>201210</v>
      </c>
      <c r="L2420" s="20">
        <f>VLOOKUP($O2420,매칭테이블!$G:$J,2,0)*H2420</f>
        <v/>
      </c>
      <c r="M2420" s="20">
        <f>L2420-L2420*VLOOKUP($O2420,매칭테이블!$G:$J,3,0)</f>
        <v/>
      </c>
      <c r="N2420" s="20">
        <f>VLOOKUP($O2420,매칭테이블!$G:$J,4,0)*H2420</f>
        <v/>
      </c>
      <c r="O2420" s="20">
        <f>F2420&amp;E2420&amp;G2420&amp;J2420</f>
        <v/>
      </c>
    </row>
    <row r="2421" ht="16.5" customHeight="1" s="17">
      <c r="B2421" s="16" t="n">
        <v>44186</v>
      </c>
      <c r="C2421" s="20">
        <f>TEXT(B2421,"aaa")</f>
        <v/>
      </c>
      <c r="E2421" s="20">
        <f>INDEX(매칭테이블!C:C,MATCH(RD!G2421,매칭테이블!D:D,0))</f>
        <v/>
      </c>
      <c r="F2421" s="20" t="inlineStr">
        <is>
          <t>카페24</t>
        </is>
      </c>
      <c r="G2421" s="20" t="inlineStr">
        <is>
          <t>유즈 솔리드퍼퓸 - 30ml (10차 재입고 완료향=커플세트</t>
        </is>
      </c>
      <c r="H2421" s="20" t="n">
        <v>1</v>
      </c>
      <c r="I2421" s="20">
        <f>VLOOKUP(G2421,매칭테이블!D:E,2,0)</f>
        <v/>
      </c>
      <c r="J2421" s="20" t="n">
        <v>201210</v>
      </c>
      <c r="L2421" s="20">
        <f>VLOOKUP($O2421,매칭테이블!$G:$J,2,0)*H2421</f>
        <v/>
      </c>
      <c r="M2421" s="20">
        <f>L2421-L2421*VLOOKUP($O2421,매칭테이블!$G:$J,3,0)</f>
        <v/>
      </c>
      <c r="N2421" s="20">
        <f>VLOOKUP($O2421,매칭테이블!$G:$J,4,0)*H2421</f>
        <v/>
      </c>
      <c r="O2421" s="20">
        <f>F2421&amp;E2421&amp;G2421&amp;J2421</f>
        <v/>
      </c>
    </row>
    <row r="2422" ht="16.5" customHeight="1" s="17">
      <c r="B2422" s="16" t="n">
        <v>44186</v>
      </c>
      <c r="C2422" s="20">
        <f>TEXT(B2422,"aaa")</f>
        <v/>
      </c>
      <c r="E2422" s="20">
        <f>INDEX(매칭테이블!C:C,MATCH(RD!G2422,매칭테이블!D:D,0))</f>
        <v/>
      </c>
      <c r="F2422" s="20" t="inlineStr">
        <is>
          <t>카페24</t>
        </is>
      </c>
      <c r="G2422" s="20" t="inlineStr">
        <is>
          <t>유즈 솔리드퍼퓸 - 30ml (10차 재입고 완료 )향=스테이포에버 002 SOLID PERFUME, 세트 선택=1개</t>
        </is>
      </c>
      <c r="H2422" s="20" t="n">
        <v>6</v>
      </c>
      <c r="I2422" s="20">
        <f>VLOOKUP(G2422,매칭테이블!D:E,2,0)</f>
        <v/>
      </c>
      <c r="J2422" s="20" t="n">
        <v>201210</v>
      </c>
      <c r="L2422" s="20">
        <f>VLOOKUP($O2422,매칭테이블!$G:$J,2,0)*H2422</f>
        <v/>
      </c>
      <c r="M2422" s="20">
        <f>L2422-L2422*VLOOKUP($O2422,매칭테이블!$G:$J,3,0)</f>
        <v/>
      </c>
      <c r="N2422" s="20">
        <f>VLOOKUP($O2422,매칭테이블!$G:$J,4,0)*H2422</f>
        <v/>
      </c>
      <c r="O2422" s="20">
        <f>F2422&amp;E2422&amp;G2422&amp;J2422</f>
        <v/>
      </c>
    </row>
    <row r="2423" ht="16.5" customHeight="1" s="17">
      <c r="B2423" s="16" t="n">
        <v>44186</v>
      </c>
      <c r="C2423" s="20">
        <f>TEXT(B2423,"aaa")</f>
        <v/>
      </c>
      <c r="E2423" s="20">
        <f>INDEX(매칭테이블!C:C,MATCH(RD!G2423,매칭테이블!D:D,0))</f>
        <v/>
      </c>
      <c r="F2423" s="20" t="inlineStr">
        <is>
          <t>카페24</t>
        </is>
      </c>
      <c r="G2423" s="20" t="inlineStr">
        <is>
          <t>유즈 솔리드퍼퓸 - 30ml (10차 재입고 완료 )향=커플세트(이그나이트 + 스테이포에버), 세트 선택=1 SET</t>
        </is>
      </c>
      <c r="H2423" s="20" t="n">
        <v>2</v>
      </c>
      <c r="I2423" s="20">
        <f>VLOOKUP(G2423,매칭테이블!D:E,2,0)</f>
        <v/>
      </c>
      <c r="J2423" s="20" t="n">
        <v>201210</v>
      </c>
      <c r="L2423" s="20">
        <f>VLOOKUP($O2423,매칭테이블!$G:$J,2,0)*H2423</f>
        <v/>
      </c>
      <c r="M2423" s="20">
        <f>L2423-L2423*VLOOKUP($O2423,매칭테이블!$G:$J,3,0)</f>
        <v/>
      </c>
      <c r="N2423" s="20">
        <f>VLOOKUP($O2423,매칭테이블!$G:$J,4,0)*H2423</f>
        <v/>
      </c>
      <c r="O2423" s="20">
        <f>F2423&amp;E2423&amp;G2423&amp;J2423</f>
        <v/>
      </c>
    </row>
    <row r="2424" ht="16.5" customHeight="1" s="17">
      <c r="B2424" s="16" t="n">
        <v>44186</v>
      </c>
      <c r="C2424" s="20">
        <f>TEXT(B2424,"aaa")</f>
        <v/>
      </c>
      <c r="E2424" s="20">
        <f>INDEX(매칭테이블!C:C,MATCH(RD!G2424,매칭테이블!D:D,0))</f>
        <v/>
      </c>
      <c r="F2424" s="20" t="inlineStr">
        <is>
          <t>카페24</t>
        </is>
      </c>
      <c r="G2424" s="20" t="inlineStr">
        <is>
          <t>유즈 솔리드퍼퓸 - 30ml (10차 재입고 완료 )향=커플세트(이그나이트 + 스테이포에버), 세트 선택=2 SET (42% 할인)</t>
        </is>
      </c>
      <c r="H2424" s="20" t="n">
        <v>1</v>
      </c>
      <c r="I2424" s="20">
        <f>VLOOKUP(G2424,매칭테이블!D:E,2,0)</f>
        <v/>
      </c>
      <c r="J2424" s="20" t="n">
        <v>201210</v>
      </c>
      <c r="L2424" s="20">
        <f>VLOOKUP($O2424,매칭테이블!$G:$J,2,0)*H2424</f>
        <v/>
      </c>
      <c r="M2424" s="20">
        <f>L2424-L2424*VLOOKUP($O2424,매칭테이블!$G:$J,3,0)</f>
        <v/>
      </c>
      <c r="N2424" s="20">
        <f>VLOOKUP($O2424,매칭테이블!$G:$J,4,0)*H2424</f>
        <v/>
      </c>
      <c r="O2424" s="20">
        <f>F2424&amp;E2424&amp;G2424&amp;J2424</f>
        <v/>
      </c>
    </row>
    <row r="2425" ht="16.5" customHeight="1" s="17">
      <c r="B2425" s="16" t="n">
        <v>44186</v>
      </c>
      <c r="C2425" s="20">
        <f>TEXT(B2425,"aaa")</f>
        <v/>
      </c>
      <c r="E2425" s="20">
        <f>INDEX(매칭테이블!C:C,MATCH(RD!G2425,매칭테이블!D:D,0))</f>
        <v/>
      </c>
      <c r="F2425" s="20" t="inlineStr">
        <is>
          <t>카페24</t>
        </is>
      </c>
      <c r="G2425" s="20" t="inlineStr">
        <is>
          <t>유즈 스테이포에버 솔리드퍼퓸 002 (10차 재입고 완료제품선택=스테이포에버 1개</t>
        </is>
      </c>
      <c r="H2425" s="20" t="n">
        <v>75</v>
      </c>
      <c r="I2425" s="20">
        <f>VLOOKUP(G2425,매칭테이블!D:E,2,0)</f>
        <v/>
      </c>
      <c r="J2425" s="20" t="n">
        <v>201210</v>
      </c>
      <c r="L2425" s="20">
        <f>VLOOKUP($O2425,매칭테이블!$G:$J,2,0)*H2425</f>
        <v/>
      </c>
      <c r="M2425" s="20">
        <f>L2425-L2425*VLOOKUP($O2425,매칭테이블!$G:$J,3,0)</f>
        <v/>
      </c>
      <c r="N2425" s="20">
        <f>VLOOKUP($O2425,매칭테이블!$G:$J,4,0)*H2425</f>
        <v/>
      </c>
      <c r="O2425" s="20">
        <f>F2425&amp;E2425&amp;G2425&amp;J2425</f>
        <v/>
      </c>
    </row>
    <row r="2426" ht="16.5" customHeight="1" s="17">
      <c r="B2426" s="16" t="n">
        <v>44186</v>
      </c>
      <c r="C2426" s="20">
        <f>TEXT(B2426,"aaa")</f>
        <v/>
      </c>
      <c r="E2426" s="20">
        <f>INDEX(매칭테이블!C:C,MATCH(RD!G2426,매칭테이블!D:D,0))</f>
        <v/>
      </c>
      <c r="F2426" s="20" t="inlineStr">
        <is>
          <t>카페24</t>
        </is>
      </c>
      <c r="G2426" s="20" t="inlineStr">
        <is>
          <t>유즈 스테이포에버 솔리드퍼퓸 002 (10차 재입고 완료제품선택=best</t>
        </is>
      </c>
      <c r="H2426" s="20" t="n">
        <v>35</v>
      </c>
      <c r="I2426" s="20">
        <f>VLOOKUP(G2426,매칭테이블!D:E,2,0)</f>
        <v/>
      </c>
      <c r="J2426" s="20" t="n">
        <v>201210</v>
      </c>
      <c r="L2426" s="20">
        <f>VLOOKUP($O2426,매칭테이블!$G:$J,2,0)*H2426</f>
        <v/>
      </c>
      <c r="M2426" s="20">
        <f>L2426-L2426*VLOOKUP($O2426,매칭테이블!$G:$J,3,0)</f>
        <v/>
      </c>
      <c r="N2426" s="20">
        <f>VLOOKUP($O2426,매칭테이블!$G:$J,4,0)*H2426</f>
        <v/>
      </c>
      <c r="O2426" s="20">
        <f>F2426&amp;E2426&amp;G2426&amp;J2426</f>
        <v/>
      </c>
    </row>
    <row r="2427" ht="16.5" customHeight="1" s="17">
      <c r="B2427" s="16" t="n">
        <v>44186</v>
      </c>
      <c r="C2427" s="20">
        <f>TEXT(B2427,"aaa")</f>
        <v/>
      </c>
      <c r="E2427" s="20">
        <f>INDEX(매칭테이블!C:C,MATCH(RD!G2427,매칭테이블!D:D,0))</f>
        <v/>
      </c>
      <c r="F2427" s="20" t="inlineStr">
        <is>
          <t>카페24</t>
        </is>
      </c>
      <c r="G2427" s="20" t="inlineStr">
        <is>
          <t>유즈 스테이포에버 솔리드퍼퓸 002 (10차 재입고 완료제품선택=커플추천</t>
        </is>
      </c>
      <c r="H2427" s="20" t="n">
        <v>1</v>
      </c>
      <c r="I2427" s="20">
        <f>VLOOKUP(G2427,매칭테이블!D:E,2,0)</f>
        <v/>
      </c>
      <c r="J2427" s="20" t="n">
        <v>201210</v>
      </c>
      <c r="L2427" s="20">
        <f>VLOOKUP($O2427,매칭테이블!$G:$J,2,0)*H2427</f>
        <v/>
      </c>
      <c r="M2427" s="20">
        <f>L2427-L2427*VLOOKUP($O2427,매칭테이블!$G:$J,3,0)</f>
        <v/>
      </c>
      <c r="N2427" s="20">
        <f>VLOOKUP($O2427,매칭테이블!$G:$J,4,0)*H2427</f>
        <v/>
      </c>
      <c r="O2427" s="20">
        <f>F2427&amp;E2427&amp;G2427&amp;J2427</f>
        <v/>
      </c>
    </row>
    <row r="2428" ht="16.5" customHeight="1" s="17">
      <c r="B2428" s="16" t="n">
        <v>44186</v>
      </c>
      <c r="C2428" s="20">
        <f>TEXT(B2428,"aaa")</f>
        <v/>
      </c>
      <c r="E2428" s="20">
        <f>INDEX(매칭테이블!C:C,MATCH(RD!G2428,매칭테이블!D:D,0))</f>
        <v/>
      </c>
      <c r="F2428" s="20" t="inlineStr">
        <is>
          <t>카페24</t>
        </is>
      </c>
      <c r="G2428" s="20" t="inlineStr">
        <is>
          <t>유즈 스테이포에버 솔리드퍼퓸 002 (10차 재입고 완료쇼핑백=선물용 쇼핑백</t>
        </is>
      </c>
      <c r="H2428" s="20" t="n">
        <v>5</v>
      </c>
      <c r="I2428" s="20">
        <f>VLOOKUP(G2428,매칭테이블!D:E,2,0)</f>
        <v/>
      </c>
      <c r="J2428" s="20" t="n">
        <v>201210</v>
      </c>
      <c r="L2428" s="20">
        <f>VLOOKUP($O2428,매칭테이블!$G:$J,2,0)*H2428</f>
        <v/>
      </c>
      <c r="M2428" s="20">
        <f>L2428-L2428*VLOOKUP($O2428,매칭테이블!$G:$J,3,0)</f>
        <v/>
      </c>
      <c r="N2428" s="20">
        <f>VLOOKUP($O2428,매칭테이블!$G:$J,4,0)*H2428</f>
        <v/>
      </c>
      <c r="O2428" s="20">
        <f>F2428&amp;E2428&amp;G2428&amp;J2428</f>
        <v/>
      </c>
    </row>
    <row r="2429" ht="16.5" customHeight="1" s="17">
      <c r="B2429" s="16" t="n">
        <v>44186</v>
      </c>
      <c r="C2429" s="20">
        <f>TEXT(B2429,"aaa")</f>
        <v/>
      </c>
      <c r="E2429" s="20">
        <f>INDEX(매칭테이블!C:C,MATCH(RD!G2429,매칭테이블!D:D,0))</f>
        <v/>
      </c>
      <c r="F2429" s="20" t="inlineStr">
        <is>
          <t>카페24</t>
        </is>
      </c>
      <c r="G2429" s="20" t="inlineStr">
        <is>
          <t>유즈 스테이포에버 솔리드퍼퓸 002 (10차 재입고 완료)제품선택=스테이포에버 1개</t>
        </is>
      </c>
      <c r="H2429" s="20" t="n">
        <v>94</v>
      </c>
      <c r="I2429" s="20">
        <f>VLOOKUP(G2429,매칭테이블!D:E,2,0)</f>
        <v/>
      </c>
      <c r="J2429" s="20" t="n">
        <v>201210</v>
      </c>
      <c r="L2429" s="20">
        <f>VLOOKUP($O2429,매칭테이블!$G:$J,2,0)*H2429</f>
        <v/>
      </c>
      <c r="M2429" s="20">
        <f>L2429-L2429*VLOOKUP($O2429,매칭테이블!$G:$J,3,0)</f>
        <v/>
      </c>
      <c r="N2429" s="20">
        <f>VLOOKUP($O2429,매칭테이블!$G:$J,4,0)*H2429</f>
        <v/>
      </c>
      <c r="O2429" s="20">
        <f>F2429&amp;E2429&amp;G2429&amp;J2429</f>
        <v/>
      </c>
    </row>
    <row r="2430" ht="16.5" customHeight="1" s="17">
      <c r="B2430" s="16" t="n">
        <v>44186</v>
      </c>
      <c r="C2430" s="20">
        <f>TEXT(B2430,"aaa")</f>
        <v/>
      </c>
      <c r="E2430" s="20">
        <f>INDEX(매칭테이블!C:C,MATCH(RD!G2430,매칭테이블!D:D,0))</f>
        <v/>
      </c>
      <c r="F2430" s="20" t="inlineStr">
        <is>
          <t>카페24</t>
        </is>
      </c>
      <c r="G2430" s="20" t="inlineStr">
        <is>
          <t>유즈 스테이포에버 솔리드퍼퓸 002 (10차 재입고 완료)제품선택=best스테이포에버 2개[28% 할인]</t>
        </is>
      </c>
      <c r="H2430" s="20" t="n">
        <v>40</v>
      </c>
      <c r="I2430" s="20">
        <f>VLOOKUP(G2430,매칭테이블!D:E,2,0)</f>
        <v/>
      </c>
      <c r="J2430" s="20" t="n">
        <v>201210</v>
      </c>
      <c r="L2430" s="20">
        <f>VLOOKUP($O2430,매칭테이블!$G:$J,2,0)*H2430</f>
        <v/>
      </c>
      <c r="M2430" s="20">
        <f>L2430-L2430*VLOOKUP($O2430,매칭테이블!$G:$J,3,0)</f>
        <v/>
      </c>
      <c r="N2430" s="20">
        <f>VLOOKUP($O2430,매칭테이블!$G:$J,4,0)*H2430</f>
        <v/>
      </c>
      <c r="O2430" s="20">
        <f>F2430&amp;E2430&amp;G2430&amp;J2430</f>
        <v/>
      </c>
    </row>
    <row r="2431" ht="16.5" customHeight="1" s="17">
      <c r="B2431" s="16" t="n">
        <v>44186</v>
      </c>
      <c r="C2431" s="20">
        <f>TEXT(B2431,"aaa")</f>
        <v/>
      </c>
      <c r="E2431" s="20">
        <f>INDEX(매칭테이블!C:C,MATCH(RD!G2431,매칭테이블!D:D,0))</f>
        <v/>
      </c>
      <c r="F2431" s="20" t="inlineStr">
        <is>
          <t>카페24</t>
        </is>
      </c>
      <c r="G2431" s="20" t="inlineStr">
        <is>
          <t>유즈 스테이포에버 솔리드퍼퓸 002 (10차 재입고 완료)제품선택=커플추천스테이포에버 + 이그나이트 세트</t>
        </is>
      </c>
      <c r="H2431" s="20" t="n">
        <v>9</v>
      </c>
      <c r="I2431" s="20">
        <f>VLOOKUP(G2431,매칭테이블!D:E,2,0)</f>
        <v/>
      </c>
      <c r="J2431" s="20" t="n">
        <v>201210</v>
      </c>
      <c r="L2431" s="20">
        <f>VLOOKUP($O2431,매칭테이블!$G:$J,2,0)*H2431</f>
        <v/>
      </c>
      <c r="M2431" s="20">
        <f>L2431-L2431*VLOOKUP($O2431,매칭테이블!$G:$J,3,0)</f>
        <v/>
      </c>
      <c r="N2431" s="20">
        <f>VLOOKUP($O2431,매칭테이블!$G:$J,4,0)*H2431</f>
        <v/>
      </c>
      <c r="O2431" s="20">
        <f>F2431&amp;E2431&amp;G2431&amp;J2431</f>
        <v/>
      </c>
    </row>
    <row r="2432" ht="16.5" customHeight="1" s="17">
      <c r="B2432" s="16" t="n">
        <v>44186</v>
      </c>
      <c r="C2432" s="20">
        <f>TEXT(B2432,"aaa")</f>
        <v/>
      </c>
      <c r="E2432" s="20">
        <f>INDEX(매칭테이블!C:C,MATCH(RD!G2432,매칭테이블!D:D,0))</f>
        <v/>
      </c>
      <c r="F2432" s="20" t="inlineStr">
        <is>
          <t>카페24</t>
        </is>
      </c>
      <c r="G2432" s="20" t="inlineStr">
        <is>
          <t>유즈 스테이포에버 솔리드퍼퓸 002 (10차 재입고 완료)쇼핑백=선물용 쇼핑백</t>
        </is>
      </c>
      <c r="H2432" s="20" t="n">
        <v>7</v>
      </c>
      <c r="I2432" s="20">
        <f>VLOOKUP(G2432,매칭테이블!D:E,2,0)</f>
        <v/>
      </c>
      <c r="J2432" s="20" t="n">
        <v>201210</v>
      </c>
      <c r="L2432" s="20">
        <f>VLOOKUP($O2432,매칭테이블!$G:$J,2,0)*H2432</f>
        <v/>
      </c>
      <c r="M2432" s="20">
        <f>L2432-L2432*VLOOKUP($O2432,매칭테이블!$G:$J,3,0)</f>
        <v/>
      </c>
      <c r="N2432" s="20">
        <f>VLOOKUP($O2432,매칭테이블!$G:$J,4,0)*H2432</f>
        <v/>
      </c>
      <c r="O2432" s="20">
        <f>F2432&amp;E2432&amp;G2432&amp;J2432</f>
        <v/>
      </c>
    </row>
    <row r="2433" ht="16.5" customHeight="1" s="17">
      <c r="B2433" s="16" t="n">
        <v>44186</v>
      </c>
      <c r="C2433" s="20">
        <f>TEXT(B2433,"aaa")</f>
        <v/>
      </c>
      <c r="E2433" s="20">
        <f>INDEX(매칭테이블!C:C,MATCH(RD!G2433,매칭테이블!D:D,0))</f>
        <v/>
      </c>
      <c r="F2433" s="20" t="inlineStr">
        <is>
          <t>카페24</t>
        </is>
      </c>
      <c r="G2433" s="20" t="inlineStr">
        <is>
          <t>유즈 스테이포에버 솔리드퍼퓸 002 (스테이포에버 주문시 12/15 순차배송)제품선택=스테이포에버 1개</t>
        </is>
      </c>
      <c r="H2433" s="20" t="n">
        <v>1</v>
      </c>
      <c r="I2433" s="20">
        <f>VLOOKUP(G2433,매칭테이블!D:E,2,0)</f>
        <v/>
      </c>
      <c r="J2433" s="20" t="n">
        <v>201210</v>
      </c>
      <c r="L2433" s="20">
        <f>VLOOKUP($O2433,매칭테이블!$G:$J,2,0)*H2433</f>
        <v/>
      </c>
      <c r="M2433" s="20">
        <f>L2433-L2433*VLOOKUP($O2433,매칭테이블!$G:$J,3,0)</f>
        <v/>
      </c>
      <c r="N2433" s="20">
        <f>VLOOKUP($O2433,매칭테이블!$G:$J,4,0)*H2433</f>
        <v/>
      </c>
      <c r="O2433" s="20">
        <f>F2433&amp;E2433&amp;G2433&amp;J2433</f>
        <v/>
      </c>
    </row>
    <row r="2434" ht="16.5" customHeight="1" s="17">
      <c r="B2434" s="16" t="n">
        <v>44186</v>
      </c>
      <c r="C2434" s="20">
        <f>TEXT(B2434,"aaa")</f>
        <v/>
      </c>
      <c r="E2434" s="20">
        <f>INDEX(매칭테이블!C:C,MATCH(RD!G2434,매칭테이블!D:D,0))</f>
        <v/>
      </c>
      <c r="F2434" s="20" t="inlineStr">
        <is>
          <t>카페24</t>
        </is>
      </c>
      <c r="G2434" s="20" t="inlineStr">
        <is>
          <t>유즈 이그나이트 솔리드퍼퓸 001제품선택=이그나이트 솔리드퍼퓸 - 30ml</t>
        </is>
      </c>
      <c r="H2434" s="20" t="n">
        <v>1</v>
      </c>
      <c r="I2434" s="20">
        <f>VLOOKUP(G2434,매칭테이블!D:E,2,0)</f>
        <v/>
      </c>
      <c r="J2434" s="20" t="n">
        <v>201210</v>
      </c>
      <c r="L2434" s="20">
        <f>VLOOKUP($O2434,매칭테이블!$G:$J,2,0)*H2434</f>
        <v/>
      </c>
      <c r="M2434" s="20">
        <f>L2434-L2434*VLOOKUP($O2434,매칭테이블!$G:$J,3,0)</f>
        <v/>
      </c>
      <c r="N2434" s="20">
        <f>VLOOKUP($O2434,매칭테이블!$G:$J,4,0)*H2434</f>
        <v/>
      </c>
      <c r="O2434" s="20">
        <f>F2434&amp;E2434&amp;G2434&amp;J2434</f>
        <v/>
      </c>
    </row>
    <row r="2435" ht="16.5" customHeight="1" s="17">
      <c r="B2435" s="16" t="n">
        <v>44186</v>
      </c>
      <c r="C2435" s="20">
        <f>TEXT(B2435,"aaa")</f>
        <v/>
      </c>
      <c r="E2435" s="20">
        <f>INDEX(매칭테이블!C:C,MATCH(RD!G2435,매칭테이블!D:D,0))</f>
        <v/>
      </c>
      <c r="F2435" s="20" t="inlineStr">
        <is>
          <t>카페24</t>
        </is>
      </c>
      <c r="G2435" s="20" t="inlineStr">
        <is>
          <t>유즈 이그나이트 솔리드퍼퓸 001제품선택=이그나이트 2개 세트</t>
        </is>
      </c>
      <c r="H2435" s="20" t="n">
        <v>1</v>
      </c>
      <c r="I2435" s="20">
        <f>VLOOKUP(G2435,매칭테이블!D:E,2,0)</f>
        <v/>
      </c>
      <c r="J2435" s="20" t="n">
        <v>201210</v>
      </c>
      <c r="L2435" s="20">
        <f>VLOOKUP($O2435,매칭테이블!$G:$J,2,0)*H2435</f>
        <v/>
      </c>
      <c r="M2435" s="20">
        <f>L2435-L2435*VLOOKUP($O2435,매칭테이블!$G:$J,3,0)</f>
        <v/>
      </c>
      <c r="N2435" s="20">
        <f>VLOOKUP($O2435,매칭테이블!$G:$J,4,0)*H2435</f>
        <v/>
      </c>
      <c r="O2435" s="20">
        <f>F2435&amp;E2435&amp;G2435&amp;J2435</f>
        <v/>
      </c>
    </row>
    <row r="2436" ht="16.5" customHeight="1" s="17">
      <c r="B2436" s="16" t="n">
        <v>44186</v>
      </c>
      <c r="C2436" s="20">
        <f>TEXT(B2436,"aaa")</f>
        <v/>
      </c>
      <c r="E2436" s="20">
        <f>INDEX(매칭테이블!C:C,MATCH(RD!G2436,매칭테이블!D:D,0))</f>
        <v/>
      </c>
      <c r="F2436" s="20" t="inlineStr">
        <is>
          <t>카페24</t>
        </is>
      </c>
      <c r="G2436" s="20" t="inlineStr">
        <is>
          <t>유즈 이그나이트 솔리드퍼퓸 001쇼핑백=선물용 쇼핑백</t>
        </is>
      </c>
      <c r="H2436" s="20" t="n">
        <v>1</v>
      </c>
      <c r="I2436" s="20">
        <f>VLOOKUP(G2436,매칭테이블!D:E,2,0)</f>
        <v/>
      </c>
      <c r="J2436" s="20" t="n">
        <v>201210</v>
      </c>
      <c r="L2436" s="20">
        <f>VLOOKUP($O2436,매칭테이블!$G:$J,2,0)*H2436</f>
        <v/>
      </c>
      <c r="M2436" s="20">
        <f>L2436-L2436*VLOOKUP($O2436,매칭테이블!$G:$J,3,0)</f>
        <v/>
      </c>
      <c r="N2436" s="20">
        <f>VLOOKUP($O2436,매칭테이블!$G:$J,4,0)*H2436</f>
        <v/>
      </c>
      <c r="O2436" s="20">
        <f>F2436&amp;E2436&amp;G2436&amp;J2436</f>
        <v/>
      </c>
    </row>
    <row r="2437" ht="16.5" customHeight="1" s="17">
      <c r="B2437" s="16" t="n">
        <v>44187</v>
      </c>
      <c r="C2437" s="20">
        <f>TEXT(B2437,"aaa")</f>
        <v/>
      </c>
      <c r="E2437" s="20">
        <f>INDEX(매칭테이블!C:C,MATCH(RD!G2437,매칭테이블!D:D,0))</f>
        <v/>
      </c>
      <c r="F2437" s="20" t="inlineStr">
        <is>
          <t>카페24</t>
        </is>
      </c>
      <c r="G2437" s="20" t="inlineStr">
        <is>
          <t>솔리드퍼퓸 스테이포에버 002 30ml</t>
        </is>
      </c>
      <c r="H2437" s="20" t="n">
        <v>1</v>
      </c>
      <c r="I2437" s="20">
        <f>VLOOKUP(G2437,매칭테이블!D:E,2,0)</f>
        <v/>
      </c>
      <c r="J2437" s="20" t="n">
        <v>201210</v>
      </c>
      <c r="L2437" s="20">
        <f>VLOOKUP($O2437,매칭테이블!$G:$J,2,0)*H2437</f>
        <v/>
      </c>
      <c r="M2437" s="20">
        <f>L2437-L2437*VLOOKUP($O2437,매칭테이블!$G:$J,3,0)</f>
        <v/>
      </c>
      <c r="N2437" s="20">
        <f>VLOOKUP($O2437,매칭테이블!$G:$J,4,0)*H2437</f>
        <v/>
      </c>
      <c r="O2437" s="20">
        <f>F2437&amp;E2437&amp;G2437&amp;J2437</f>
        <v/>
      </c>
    </row>
    <row r="2438" ht="16.5" customHeight="1" s="17">
      <c r="B2438" s="16" t="n">
        <v>44187</v>
      </c>
      <c r="C2438" s="20">
        <f>TEXT(B2438,"aaa")</f>
        <v/>
      </c>
      <c r="E2438" s="20">
        <f>INDEX(매칭테이블!C:C,MATCH(RD!G2438,매칭테이블!D:D,0))</f>
        <v/>
      </c>
      <c r="F2438" s="20" t="inlineStr">
        <is>
          <t>카페24</t>
        </is>
      </c>
      <c r="G2438" s="20" t="inlineStr">
        <is>
          <t>스테이포에버 솔리드퍼퓸 002 (10차 재입고 완료제품선택=스테이포에버 1개</t>
        </is>
      </c>
      <c r="H2438" s="20" t="n">
        <v>1</v>
      </c>
      <c r="I2438" s="20">
        <f>VLOOKUP(G2438,매칭테이블!D:E,2,0)</f>
        <v/>
      </c>
      <c r="J2438" s="20" t="n">
        <v>201210</v>
      </c>
      <c r="L2438" s="20">
        <f>VLOOKUP($O2438,매칭테이블!$G:$J,2,0)*H2438</f>
        <v/>
      </c>
      <c r="M2438" s="20">
        <f>L2438-L2438*VLOOKUP($O2438,매칭테이블!$G:$J,3,0)</f>
        <v/>
      </c>
      <c r="N2438" s="20">
        <f>VLOOKUP($O2438,매칭테이블!$G:$J,4,0)*H2438</f>
        <v/>
      </c>
      <c r="O2438" s="20">
        <f>F2438&amp;E2438&amp;G2438&amp;J2438</f>
        <v/>
      </c>
    </row>
    <row r="2439" ht="16.5" customHeight="1" s="17">
      <c r="B2439" s="16" t="n">
        <v>44187</v>
      </c>
      <c r="C2439" s="20">
        <f>TEXT(B2439,"aaa")</f>
        <v/>
      </c>
      <c r="E2439" s="20">
        <f>INDEX(매칭테이블!C:C,MATCH(RD!G2439,매칭테이블!D:D,0))</f>
        <v/>
      </c>
      <c r="F2439" s="20" t="inlineStr">
        <is>
          <t>카페24</t>
        </is>
      </c>
      <c r="G2439" s="20" t="inlineStr">
        <is>
          <t>스테이포에버 솔리드퍼퓸 002 (10차 재입고 완료제품선택=커플추천</t>
        </is>
      </c>
      <c r="H2439" s="20" t="n">
        <v>1</v>
      </c>
      <c r="I2439" s="20">
        <f>VLOOKUP(G2439,매칭테이블!D:E,2,0)</f>
        <v/>
      </c>
      <c r="J2439" s="20" t="n">
        <v>201210</v>
      </c>
      <c r="L2439" s="20">
        <f>VLOOKUP($O2439,매칭테이블!$G:$J,2,0)*H2439</f>
        <v/>
      </c>
      <c r="M2439" s="20">
        <f>L2439-L2439*VLOOKUP($O2439,매칭테이블!$G:$J,3,0)</f>
        <v/>
      </c>
      <c r="N2439" s="20">
        <f>VLOOKUP($O2439,매칭테이블!$G:$J,4,0)*H2439</f>
        <v/>
      </c>
      <c r="O2439" s="20">
        <f>F2439&amp;E2439&amp;G2439&amp;J2439</f>
        <v/>
      </c>
    </row>
    <row r="2440" ht="16.5" customHeight="1" s="17">
      <c r="B2440" s="16" t="n">
        <v>44187</v>
      </c>
      <c r="C2440" s="20">
        <f>TEXT(B2440,"aaa")</f>
        <v/>
      </c>
      <c r="E2440" s="20">
        <f>INDEX(매칭테이블!C:C,MATCH(RD!G2440,매칭테이블!D:D,0))</f>
        <v/>
      </c>
      <c r="F2440" s="20" t="inlineStr">
        <is>
          <t>카페24</t>
        </is>
      </c>
      <c r="G2440" s="20" t="inlineStr">
        <is>
          <t>유즈 솔리드퍼퓸 - 30ml (10차 재입고 완료향=스테이포에버 002 SOLID PERFUME, 세트 선택=1개</t>
        </is>
      </c>
      <c r="H2440" s="20" t="n">
        <v>2</v>
      </c>
      <c r="I2440" s="20">
        <f>VLOOKUP(G2440,매칭테이블!D:E,2,0)</f>
        <v/>
      </c>
      <c r="J2440" s="20" t="n">
        <v>201210</v>
      </c>
      <c r="L2440" s="20">
        <f>VLOOKUP($O2440,매칭테이블!$G:$J,2,0)*H2440</f>
        <v/>
      </c>
      <c r="M2440" s="20">
        <f>L2440-L2440*VLOOKUP($O2440,매칭테이블!$G:$J,3,0)</f>
        <v/>
      </c>
      <c r="N2440" s="20">
        <f>VLOOKUP($O2440,매칭테이블!$G:$J,4,0)*H2440</f>
        <v/>
      </c>
      <c r="O2440" s="20">
        <f>F2440&amp;E2440&amp;G2440&amp;J2440</f>
        <v/>
      </c>
    </row>
    <row r="2441" ht="16.5" customHeight="1" s="17">
      <c r="B2441" s="16" t="n">
        <v>44187</v>
      </c>
      <c r="C2441" s="20">
        <f>TEXT(B2441,"aaa")</f>
        <v/>
      </c>
      <c r="E2441" s="20">
        <f>INDEX(매칭테이블!C:C,MATCH(RD!G2441,매칭테이블!D:D,0))</f>
        <v/>
      </c>
      <c r="F2441" s="20" t="inlineStr">
        <is>
          <t>카페24</t>
        </is>
      </c>
      <c r="G2441" s="20" t="inlineStr">
        <is>
          <t>유즈 솔리드퍼퓸 - 30ml (10차 재입고 완료향=스테이포에버 002 SOLID PERFUME, 세트 선택=best</t>
        </is>
      </c>
      <c r="H2441" s="20" t="n">
        <v>1</v>
      </c>
      <c r="I2441" s="20">
        <f>VLOOKUP(G2441,매칭테이블!D:E,2,0)</f>
        <v/>
      </c>
      <c r="J2441" s="20" t="n">
        <v>201210</v>
      </c>
      <c r="L2441" s="20">
        <f>VLOOKUP($O2441,매칭테이블!$G:$J,2,0)*H2441</f>
        <v/>
      </c>
      <c r="M2441" s="20">
        <f>L2441-L2441*VLOOKUP($O2441,매칭테이블!$G:$J,3,0)</f>
        <v/>
      </c>
      <c r="N2441" s="20">
        <f>VLOOKUP($O2441,매칭테이블!$G:$J,4,0)*H2441</f>
        <v/>
      </c>
      <c r="O2441" s="20">
        <f>F2441&amp;E2441&amp;G2441&amp;J2441</f>
        <v/>
      </c>
    </row>
    <row r="2442" ht="16.5" customHeight="1" s="17">
      <c r="B2442" s="16" t="n">
        <v>44187</v>
      </c>
      <c r="C2442" s="20">
        <f>TEXT(B2442,"aaa")</f>
        <v/>
      </c>
      <c r="E2442" s="20">
        <f>INDEX(매칭테이블!C:C,MATCH(RD!G2442,매칭테이블!D:D,0))</f>
        <v/>
      </c>
      <c r="F2442" s="20" t="inlineStr">
        <is>
          <t>카페24</t>
        </is>
      </c>
      <c r="G2442" s="20" t="inlineStr">
        <is>
          <t>유즈 솔리드퍼퓸 - 30ml (10차 재입고 완료향=커플세트</t>
        </is>
      </c>
      <c r="H2442" s="20" t="n">
        <v>4</v>
      </c>
      <c r="I2442" s="20">
        <f>VLOOKUP(G2442,매칭테이블!D:E,2,0)</f>
        <v/>
      </c>
      <c r="J2442" s="20" t="n">
        <v>201210</v>
      </c>
      <c r="L2442" s="20">
        <f>VLOOKUP($O2442,매칭테이블!$G:$J,2,0)*H2442</f>
        <v/>
      </c>
      <c r="M2442" s="20">
        <f>L2442-L2442*VLOOKUP($O2442,매칭테이블!$G:$J,3,0)</f>
        <v/>
      </c>
      <c r="N2442" s="20">
        <f>VLOOKUP($O2442,매칭테이블!$G:$J,4,0)*H2442</f>
        <v/>
      </c>
      <c r="O2442" s="20">
        <f>F2442&amp;E2442&amp;G2442&amp;J2442</f>
        <v/>
      </c>
    </row>
    <row r="2443" ht="16.5" customHeight="1" s="17">
      <c r="B2443" s="16" t="n">
        <v>44187</v>
      </c>
      <c r="C2443" s="20">
        <f>TEXT(B2443,"aaa")</f>
        <v/>
      </c>
      <c r="E2443" s="20">
        <f>INDEX(매칭테이블!C:C,MATCH(RD!G2443,매칭테이블!D:D,0))</f>
        <v/>
      </c>
      <c r="F2443" s="20" t="inlineStr">
        <is>
          <t>카페24</t>
        </is>
      </c>
      <c r="G2443" s="20" t="inlineStr">
        <is>
          <t>유즈 솔리드퍼퓸 - 30ml (10차 재입고 완료향=커플세트</t>
        </is>
      </c>
      <c r="H2443" s="20" t="n">
        <v>1</v>
      </c>
      <c r="I2443" s="20">
        <f>VLOOKUP(G2443,매칭테이블!D:E,2,0)</f>
        <v/>
      </c>
      <c r="J2443" s="20" t="n">
        <v>201210</v>
      </c>
      <c r="L2443" s="20">
        <f>VLOOKUP($O2443,매칭테이블!$G:$J,2,0)*H2443</f>
        <v/>
      </c>
      <c r="M2443" s="20">
        <f>L2443-L2443*VLOOKUP($O2443,매칭테이블!$G:$J,3,0)</f>
        <v/>
      </c>
      <c r="N2443" s="20">
        <f>VLOOKUP($O2443,매칭테이블!$G:$J,4,0)*H2443</f>
        <v/>
      </c>
      <c r="O2443" s="20">
        <f>F2443&amp;E2443&amp;G2443&amp;J2443</f>
        <v/>
      </c>
    </row>
    <row r="2444" ht="16.5" customHeight="1" s="17">
      <c r="B2444" s="16" t="n">
        <v>44187</v>
      </c>
      <c r="C2444" s="20">
        <f>TEXT(B2444,"aaa")</f>
        <v/>
      </c>
      <c r="E2444" s="20">
        <f>INDEX(매칭테이블!C:C,MATCH(RD!G2444,매칭테이블!D:D,0))</f>
        <v/>
      </c>
      <c r="F2444" s="20" t="inlineStr">
        <is>
          <t>카페24</t>
        </is>
      </c>
      <c r="G2444" s="20" t="inlineStr">
        <is>
          <t>유즈 솔리드퍼퓸 - 30ml (10차 재입고 완료 )향=스테이포에버 002 SOLID PERFUME, 세트 선택=1개</t>
        </is>
      </c>
      <c r="H2444" s="20" t="n">
        <v>9</v>
      </c>
      <c r="I2444" s="20">
        <f>VLOOKUP(G2444,매칭테이블!D:E,2,0)</f>
        <v/>
      </c>
      <c r="J2444" s="20" t="n">
        <v>201210</v>
      </c>
      <c r="L2444" s="20">
        <f>VLOOKUP($O2444,매칭테이블!$G:$J,2,0)*H2444</f>
        <v/>
      </c>
      <c r="M2444" s="20">
        <f>L2444-L2444*VLOOKUP($O2444,매칭테이블!$G:$J,3,0)</f>
        <v/>
      </c>
      <c r="N2444" s="20">
        <f>VLOOKUP($O2444,매칭테이블!$G:$J,4,0)*H2444</f>
        <v/>
      </c>
      <c r="O2444" s="20">
        <f>F2444&amp;E2444&amp;G2444&amp;J2444</f>
        <v/>
      </c>
    </row>
    <row r="2445" ht="16.5" customHeight="1" s="17">
      <c r="B2445" s="16" t="n">
        <v>44187</v>
      </c>
      <c r="C2445" s="20">
        <f>TEXT(B2445,"aaa")</f>
        <v/>
      </c>
      <c r="E2445" s="20">
        <f>INDEX(매칭테이블!C:C,MATCH(RD!G2445,매칭테이블!D:D,0))</f>
        <v/>
      </c>
      <c r="F2445" s="20" t="inlineStr">
        <is>
          <t>카페24</t>
        </is>
      </c>
      <c r="G2445" s="20" t="inlineStr">
        <is>
          <t>유즈 솔리드퍼퓸 - 30ml (10차 재입고 완료 )향=스테이포에버 002 SOLID PERFUME, 세트 선택=best 2개 (28% 할인)</t>
        </is>
      </c>
      <c r="H2445" s="20" t="n">
        <v>3</v>
      </c>
      <c r="I2445" s="20">
        <f>VLOOKUP(G2445,매칭테이블!D:E,2,0)</f>
        <v/>
      </c>
      <c r="J2445" s="20" t="n">
        <v>201210</v>
      </c>
      <c r="L2445" s="20">
        <f>VLOOKUP($O2445,매칭테이블!$G:$J,2,0)*H2445</f>
        <v/>
      </c>
      <c r="M2445" s="20">
        <f>L2445-L2445*VLOOKUP($O2445,매칭테이블!$G:$J,3,0)</f>
        <v/>
      </c>
      <c r="N2445" s="20">
        <f>VLOOKUP($O2445,매칭테이블!$G:$J,4,0)*H2445</f>
        <v/>
      </c>
      <c r="O2445" s="20">
        <f>F2445&amp;E2445&amp;G2445&amp;J2445</f>
        <v/>
      </c>
    </row>
    <row r="2446" ht="16.5" customHeight="1" s="17">
      <c r="B2446" s="16" t="n">
        <v>44187</v>
      </c>
      <c r="C2446" s="20">
        <f>TEXT(B2446,"aaa")</f>
        <v/>
      </c>
      <c r="E2446" s="20">
        <f>INDEX(매칭테이블!C:C,MATCH(RD!G2446,매칭테이블!D:D,0))</f>
        <v/>
      </c>
      <c r="F2446" s="20" t="inlineStr">
        <is>
          <t>카페24</t>
        </is>
      </c>
      <c r="G2446" s="20" t="inlineStr">
        <is>
          <t>유즈 솔리드퍼퓸 - 30ml (10차 재입고 완료 )향=커플세트(이그나이트 + 스테이포에버), 세트 선택=1 SET</t>
        </is>
      </c>
      <c r="H2446" s="20" t="n">
        <v>4</v>
      </c>
      <c r="I2446" s="20">
        <f>VLOOKUP(G2446,매칭테이블!D:E,2,0)</f>
        <v/>
      </c>
      <c r="J2446" s="20" t="n">
        <v>201210</v>
      </c>
      <c r="L2446" s="20">
        <f>VLOOKUP($O2446,매칭테이블!$G:$J,2,0)*H2446</f>
        <v/>
      </c>
      <c r="M2446" s="20">
        <f>L2446-L2446*VLOOKUP($O2446,매칭테이블!$G:$J,3,0)</f>
        <v/>
      </c>
      <c r="N2446" s="20">
        <f>VLOOKUP($O2446,매칭테이블!$G:$J,4,0)*H2446</f>
        <v/>
      </c>
      <c r="O2446" s="20">
        <f>F2446&amp;E2446&amp;G2446&amp;J2446</f>
        <v/>
      </c>
    </row>
    <row r="2447" ht="16.5" customHeight="1" s="17">
      <c r="B2447" s="16" t="n">
        <v>44187</v>
      </c>
      <c r="C2447" s="20">
        <f>TEXT(B2447,"aaa")</f>
        <v/>
      </c>
      <c r="E2447" s="20">
        <f>INDEX(매칭테이블!C:C,MATCH(RD!G2447,매칭테이블!D:D,0))</f>
        <v/>
      </c>
      <c r="F2447" s="20" t="inlineStr">
        <is>
          <t>카페24</t>
        </is>
      </c>
      <c r="G2447" s="20" t="inlineStr">
        <is>
          <t>유즈 솔리드퍼퓸 - 30ml (10차 재입고 완료 )향=커플세트(이그나이트 + 스테이포에버), 세트 선택=2 SET (42% 할인)</t>
        </is>
      </c>
      <c r="H2447" s="20" t="n">
        <v>1</v>
      </c>
      <c r="I2447" s="20">
        <f>VLOOKUP(G2447,매칭테이블!D:E,2,0)</f>
        <v/>
      </c>
      <c r="J2447" s="20" t="n">
        <v>201210</v>
      </c>
      <c r="L2447" s="20">
        <f>VLOOKUP($O2447,매칭테이블!$G:$J,2,0)*H2447</f>
        <v/>
      </c>
      <c r="M2447" s="20">
        <f>L2447-L2447*VLOOKUP($O2447,매칭테이블!$G:$J,3,0)</f>
        <v/>
      </c>
      <c r="N2447" s="20">
        <f>VLOOKUP($O2447,매칭테이블!$G:$J,4,0)*H2447</f>
        <v/>
      </c>
      <c r="O2447" s="20">
        <f>F2447&amp;E2447&amp;G2447&amp;J2447</f>
        <v/>
      </c>
    </row>
    <row r="2448" ht="16.5" customHeight="1" s="17">
      <c r="B2448" s="16" t="n">
        <v>44187</v>
      </c>
      <c r="C2448" s="20">
        <f>TEXT(B2448,"aaa")</f>
        <v/>
      </c>
      <c r="E2448" s="20">
        <f>INDEX(매칭테이블!C:C,MATCH(RD!G2448,매칭테이블!D:D,0))</f>
        <v/>
      </c>
      <c r="F2448" s="20" t="inlineStr">
        <is>
          <t>카페24</t>
        </is>
      </c>
      <c r="G2448" s="20" t="inlineStr">
        <is>
          <t>유즈 스테이포에버 솔리드퍼퓸 002 (10차 재입고 완료제품선택=스테이포에버 1개</t>
        </is>
      </c>
      <c r="H2448" s="20" t="n">
        <v>68</v>
      </c>
      <c r="I2448" s="20">
        <f>VLOOKUP(G2448,매칭테이블!D:E,2,0)</f>
        <v/>
      </c>
      <c r="J2448" s="20" t="n">
        <v>201210</v>
      </c>
      <c r="L2448" s="20">
        <f>VLOOKUP($O2448,매칭테이블!$G:$J,2,0)*H2448</f>
        <v/>
      </c>
      <c r="M2448" s="20">
        <f>L2448-L2448*VLOOKUP($O2448,매칭테이블!$G:$J,3,0)</f>
        <v/>
      </c>
      <c r="N2448" s="20">
        <f>VLOOKUP($O2448,매칭테이블!$G:$J,4,0)*H2448</f>
        <v/>
      </c>
      <c r="O2448" s="20">
        <f>F2448&amp;E2448&amp;G2448&amp;J2448</f>
        <v/>
      </c>
    </row>
    <row r="2449" ht="16.5" customHeight="1" s="17">
      <c r="B2449" s="16" t="n">
        <v>44187</v>
      </c>
      <c r="C2449" s="20">
        <f>TEXT(B2449,"aaa")</f>
        <v/>
      </c>
      <c r="E2449" s="20">
        <f>INDEX(매칭테이블!C:C,MATCH(RD!G2449,매칭테이블!D:D,0))</f>
        <v/>
      </c>
      <c r="F2449" s="20" t="inlineStr">
        <is>
          <t>카페24</t>
        </is>
      </c>
      <c r="G2449" s="20" t="inlineStr">
        <is>
          <t>유즈 스테이포에버 솔리드퍼퓸 002 (10차 재입고 완료제품선택=best</t>
        </is>
      </c>
      <c r="H2449" s="20" t="n">
        <v>26</v>
      </c>
      <c r="I2449" s="20">
        <f>VLOOKUP(G2449,매칭테이블!D:E,2,0)</f>
        <v/>
      </c>
      <c r="J2449" s="20" t="n">
        <v>201210</v>
      </c>
      <c r="L2449" s="20">
        <f>VLOOKUP($O2449,매칭테이블!$G:$J,2,0)*H2449</f>
        <v/>
      </c>
      <c r="M2449" s="20">
        <f>L2449-L2449*VLOOKUP($O2449,매칭테이블!$G:$J,3,0)</f>
        <v/>
      </c>
      <c r="N2449" s="20">
        <f>VLOOKUP($O2449,매칭테이블!$G:$J,4,0)*H2449</f>
        <v/>
      </c>
      <c r="O2449" s="20">
        <f>F2449&amp;E2449&amp;G2449&amp;J2449</f>
        <v/>
      </c>
    </row>
    <row r="2450" ht="16.5" customHeight="1" s="17">
      <c r="B2450" s="16" t="n">
        <v>44187</v>
      </c>
      <c r="C2450" s="20">
        <f>TEXT(B2450,"aaa")</f>
        <v/>
      </c>
      <c r="E2450" s="20">
        <f>INDEX(매칭테이블!C:C,MATCH(RD!G2450,매칭테이블!D:D,0))</f>
        <v/>
      </c>
      <c r="F2450" s="20" t="inlineStr">
        <is>
          <t>카페24</t>
        </is>
      </c>
      <c r="G2450" s="20" t="inlineStr">
        <is>
          <t>유즈 스테이포에버 솔리드퍼퓸 002 (10차 재입고 완료제품선택=커플추천</t>
        </is>
      </c>
      <c r="H2450" s="20" t="n">
        <v>11</v>
      </c>
      <c r="I2450" s="20">
        <f>VLOOKUP(G2450,매칭테이블!D:E,2,0)</f>
        <v/>
      </c>
      <c r="J2450" s="20" t="n">
        <v>201210</v>
      </c>
      <c r="L2450" s="20">
        <f>VLOOKUP($O2450,매칭테이블!$G:$J,2,0)*H2450</f>
        <v/>
      </c>
      <c r="M2450" s="20">
        <f>L2450-L2450*VLOOKUP($O2450,매칭테이블!$G:$J,3,0)</f>
        <v/>
      </c>
      <c r="N2450" s="20">
        <f>VLOOKUP($O2450,매칭테이블!$G:$J,4,0)*H2450</f>
        <v/>
      </c>
      <c r="O2450" s="20">
        <f>F2450&amp;E2450&amp;G2450&amp;J2450</f>
        <v/>
      </c>
    </row>
    <row r="2451" ht="16.5" customHeight="1" s="17">
      <c r="B2451" s="16" t="n">
        <v>44187</v>
      </c>
      <c r="C2451" s="20">
        <f>TEXT(B2451,"aaa")</f>
        <v/>
      </c>
      <c r="E2451" s="20">
        <f>INDEX(매칭테이블!C:C,MATCH(RD!G2451,매칭테이블!D:D,0))</f>
        <v/>
      </c>
      <c r="F2451" s="20" t="inlineStr">
        <is>
          <t>카페24</t>
        </is>
      </c>
      <c r="G2451" s="20" t="inlineStr">
        <is>
          <t>유즈 스테이포에버 솔리드퍼퓸 002 (10차 재입고 완료)제품선택=스테이포에버 1개</t>
        </is>
      </c>
      <c r="H2451" s="20" t="n">
        <v>103</v>
      </c>
      <c r="I2451" s="20">
        <f>VLOOKUP(G2451,매칭테이블!D:E,2,0)</f>
        <v/>
      </c>
      <c r="J2451" s="20" t="n">
        <v>201210</v>
      </c>
      <c r="L2451" s="20">
        <f>VLOOKUP($O2451,매칭테이블!$G:$J,2,0)*H2451</f>
        <v/>
      </c>
      <c r="M2451" s="20">
        <f>L2451-L2451*VLOOKUP($O2451,매칭테이블!$G:$J,3,0)</f>
        <v/>
      </c>
      <c r="N2451" s="20">
        <f>VLOOKUP($O2451,매칭테이블!$G:$J,4,0)*H2451</f>
        <v/>
      </c>
      <c r="O2451" s="20">
        <f>F2451&amp;E2451&amp;G2451&amp;J2451</f>
        <v/>
      </c>
    </row>
    <row r="2452" ht="16.5" customHeight="1" s="17">
      <c r="B2452" s="16" t="n">
        <v>44187</v>
      </c>
      <c r="C2452" s="20">
        <f>TEXT(B2452,"aaa")</f>
        <v/>
      </c>
      <c r="E2452" s="20">
        <f>INDEX(매칭테이블!C:C,MATCH(RD!G2452,매칭테이블!D:D,0))</f>
        <v/>
      </c>
      <c r="F2452" s="20" t="inlineStr">
        <is>
          <t>카페24</t>
        </is>
      </c>
      <c r="G2452" s="20" t="inlineStr">
        <is>
          <t>유즈 스테이포에버 솔리드퍼퓸 002 (10차 재입고 완료)제품선택=best스테이포에버 2개[28% 할인]</t>
        </is>
      </c>
      <c r="H2452" s="20" t="n">
        <v>38</v>
      </c>
      <c r="I2452" s="20">
        <f>VLOOKUP(G2452,매칭테이블!D:E,2,0)</f>
        <v/>
      </c>
      <c r="J2452" s="20" t="n">
        <v>201210</v>
      </c>
      <c r="L2452" s="20">
        <f>VLOOKUP($O2452,매칭테이블!$G:$J,2,0)*H2452</f>
        <v/>
      </c>
      <c r="M2452" s="20">
        <f>L2452-L2452*VLOOKUP($O2452,매칭테이블!$G:$J,3,0)</f>
        <v/>
      </c>
      <c r="N2452" s="20">
        <f>VLOOKUP($O2452,매칭테이블!$G:$J,4,0)*H2452</f>
        <v/>
      </c>
      <c r="O2452" s="20">
        <f>F2452&amp;E2452&amp;G2452&amp;J2452</f>
        <v/>
      </c>
    </row>
    <row r="2453" ht="16.5" customHeight="1" s="17">
      <c r="B2453" s="16" t="n">
        <v>44187</v>
      </c>
      <c r="C2453" s="20">
        <f>TEXT(B2453,"aaa")</f>
        <v/>
      </c>
      <c r="E2453" s="20">
        <f>INDEX(매칭테이블!C:C,MATCH(RD!G2453,매칭테이블!D:D,0))</f>
        <v/>
      </c>
      <c r="F2453" s="20" t="inlineStr">
        <is>
          <t>카페24</t>
        </is>
      </c>
      <c r="G2453" s="20" t="inlineStr">
        <is>
          <t>유즈 스테이포에버 솔리드퍼퓸 002 (10차 재입고 완료)제품선택=커플추천스테이포에버 + 이그나이트 세트</t>
        </is>
      </c>
      <c r="H2453" s="20" t="n">
        <v>5</v>
      </c>
      <c r="I2453" s="20">
        <f>VLOOKUP(G2453,매칭테이블!D:E,2,0)</f>
        <v/>
      </c>
      <c r="J2453" s="20" t="n">
        <v>201210</v>
      </c>
      <c r="L2453" s="20">
        <f>VLOOKUP($O2453,매칭테이블!$G:$J,2,0)*H2453</f>
        <v/>
      </c>
      <c r="M2453" s="20">
        <f>L2453-L2453*VLOOKUP($O2453,매칭테이블!$G:$J,3,0)</f>
        <v/>
      </c>
      <c r="N2453" s="20">
        <f>VLOOKUP($O2453,매칭테이블!$G:$J,4,0)*H2453</f>
        <v/>
      </c>
      <c r="O2453" s="20">
        <f>F2453&amp;E2453&amp;G2453&amp;J2453</f>
        <v/>
      </c>
    </row>
    <row r="2454" ht="16.5" customHeight="1" s="17">
      <c r="B2454" s="16" t="n">
        <v>44187</v>
      </c>
      <c r="C2454" s="20">
        <f>TEXT(B2454,"aaa")</f>
        <v/>
      </c>
      <c r="E2454" s="20">
        <f>INDEX(매칭테이블!C:C,MATCH(RD!G2454,매칭테이블!D:D,0))</f>
        <v/>
      </c>
      <c r="F2454" s="20" t="inlineStr">
        <is>
          <t>카페24</t>
        </is>
      </c>
      <c r="G2454" s="20" t="inlineStr">
        <is>
          <t>유즈 스테이포에버 솔리드퍼퓸 002 (10차 재입고 완료)쇼핑백=선물용 쇼핑백</t>
        </is>
      </c>
      <c r="H2454" s="20" t="n">
        <v>6</v>
      </c>
      <c r="I2454" s="20">
        <f>VLOOKUP(G2454,매칭테이블!D:E,2,0)</f>
        <v/>
      </c>
      <c r="J2454" s="20" t="n">
        <v>201210</v>
      </c>
      <c r="L2454" s="20">
        <f>VLOOKUP($O2454,매칭테이블!$G:$J,2,0)*H2454</f>
        <v/>
      </c>
      <c r="M2454" s="20">
        <f>L2454-L2454*VLOOKUP($O2454,매칭테이블!$G:$J,3,0)</f>
        <v/>
      </c>
      <c r="N2454" s="20">
        <f>VLOOKUP($O2454,매칭테이블!$G:$J,4,0)*H2454</f>
        <v/>
      </c>
      <c r="O2454" s="20">
        <f>F2454&amp;E2454&amp;G2454&amp;J2454</f>
        <v/>
      </c>
    </row>
    <row r="2455" ht="16.5" customHeight="1" s="17">
      <c r="B2455" s="16" t="n">
        <v>44187</v>
      </c>
      <c r="C2455" s="20">
        <f>TEXT(B2455,"aaa")</f>
        <v/>
      </c>
      <c r="E2455" s="20">
        <f>INDEX(매칭테이블!C:C,MATCH(RD!G2455,매칭테이블!D:D,0))</f>
        <v/>
      </c>
      <c r="F2455" s="20" t="inlineStr">
        <is>
          <t>카페24</t>
        </is>
      </c>
      <c r="G2455" s="20" t="inlineStr">
        <is>
          <t>유즈 이그나이트 솔리드퍼퓸 001제품선택=이그나이트 솔리드퍼퓸 - 30ml</t>
        </is>
      </c>
      <c r="H2455" s="20" t="n">
        <v>4</v>
      </c>
      <c r="I2455" s="20">
        <f>VLOOKUP(G2455,매칭테이블!D:E,2,0)</f>
        <v/>
      </c>
      <c r="J2455" s="20" t="n">
        <v>201210</v>
      </c>
      <c r="L2455" s="20">
        <f>VLOOKUP($O2455,매칭테이블!$G:$J,2,0)*H2455</f>
        <v/>
      </c>
      <c r="M2455" s="20">
        <f>L2455-L2455*VLOOKUP($O2455,매칭테이블!$G:$J,3,0)</f>
        <v/>
      </c>
      <c r="N2455" s="20">
        <f>VLOOKUP($O2455,매칭테이블!$G:$J,4,0)*H2455</f>
        <v/>
      </c>
      <c r="O2455" s="20">
        <f>F2455&amp;E2455&amp;G2455&amp;J2455</f>
        <v/>
      </c>
    </row>
    <row r="2456" ht="16.5" customHeight="1" s="17">
      <c r="B2456" s="16" t="n">
        <v>44187</v>
      </c>
      <c r="C2456" s="20">
        <f>TEXT(B2456,"aaa")</f>
        <v/>
      </c>
      <c r="E2456" s="20">
        <f>INDEX(매칭테이블!C:C,MATCH(RD!G2456,매칭테이블!D:D,0))</f>
        <v/>
      </c>
      <c r="F2456" s="20" t="inlineStr">
        <is>
          <t>카페24</t>
        </is>
      </c>
      <c r="G2456" s="20" t="inlineStr">
        <is>
          <t>유즈 이그나이트 솔리드퍼퓸 001쇼핑백=선물용 쇼핑백</t>
        </is>
      </c>
      <c r="H2456" s="20" t="n">
        <v>1</v>
      </c>
      <c r="I2456" s="20">
        <f>VLOOKUP(G2456,매칭테이블!D:E,2,0)</f>
        <v/>
      </c>
      <c r="J2456" s="20" t="n">
        <v>201210</v>
      </c>
      <c r="L2456" s="20">
        <f>VLOOKUP($O2456,매칭테이블!$G:$J,2,0)*H2456</f>
        <v/>
      </c>
      <c r="M2456" s="20">
        <f>L2456-L2456*VLOOKUP($O2456,매칭테이블!$G:$J,3,0)</f>
        <v/>
      </c>
      <c r="N2456" s="20">
        <f>VLOOKUP($O2456,매칭테이블!$G:$J,4,0)*H2456</f>
        <v/>
      </c>
      <c r="O2456" s="20">
        <f>F2456&amp;E2456&amp;G2456&amp;J2456</f>
        <v/>
      </c>
    </row>
    <row r="2457" ht="16.5" customHeight="1" s="17">
      <c r="B2457" s="16" t="n">
        <v>44188</v>
      </c>
      <c r="C2457" s="20">
        <f>TEXT(B2457,"aaa")</f>
        <v/>
      </c>
      <c r="E2457" s="20">
        <f>INDEX(매칭테이블!C:C,MATCH(RD!G2457,매칭테이블!D:D,0))</f>
        <v/>
      </c>
      <c r="F2457" s="20" t="inlineStr">
        <is>
          <t>카페24</t>
        </is>
      </c>
      <c r="G2457" s="20" t="inlineStr">
        <is>
          <t>스테이포에버 솔리드퍼퓸 002 (10차 재입고 완료제품선택=best</t>
        </is>
      </c>
      <c r="H2457" s="20" t="n">
        <v>1</v>
      </c>
      <c r="I2457" s="20">
        <f>VLOOKUP(G2457,매칭테이블!D:E,2,0)</f>
        <v/>
      </c>
      <c r="J2457" s="20" t="n">
        <v>201210</v>
      </c>
      <c r="L2457" s="20">
        <f>VLOOKUP($O2457,매칭테이블!$G:$J,2,0)*H2457</f>
        <v/>
      </c>
      <c r="M2457" s="20">
        <f>L2457-L2457*VLOOKUP($O2457,매칭테이블!$G:$J,3,0)</f>
        <v/>
      </c>
      <c r="N2457" s="20">
        <f>VLOOKUP($O2457,매칭테이블!$G:$J,4,0)*H2457</f>
        <v/>
      </c>
      <c r="O2457" s="20">
        <f>F2457&amp;E2457&amp;G2457&amp;J2457</f>
        <v/>
      </c>
    </row>
    <row r="2458" ht="16.5" customHeight="1" s="17">
      <c r="B2458" s="16" t="n">
        <v>44188</v>
      </c>
      <c r="C2458" s="20">
        <f>TEXT(B2458,"aaa")</f>
        <v/>
      </c>
      <c r="E2458" s="20">
        <f>INDEX(매칭테이블!C:C,MATCH(RD!G2458,매칭테이블!D:D,0))</f>
        <v/>
      </c>
      <c r="F2458" s="20" t="inlineStr">
        <is>
          <t>카페24</t>
        </is>
      </c>
      <c r="G2458" s="20" t="inlineStr">
        <is>
          <t>유즈 솔리드퍼퓸 - 30ml (10차 재입고 완료향=스테이포에버 002 SOLID PERFUME, 세트 선택=1개</t>
        </is>
      </c>
      <c r="H2458" s="20" t="n">
        <v>5</v>
      </c>
      <c r="I2458" s="20">
        <f>VLOOKUP(G2458,매칭테이블!D:E,2,0)</f>
        <v/>
      </c>
      <c r="J2458" s="20" t="n">
        <v>201210</v>
      </c>
      <c r="L2458" s="20">
        <f>VLOOKUP($O2458,매칭테이블!$G:$J,2,0)*H2458</f>
        <v/>
      </c>
      <c r="M2458" s="20">
        <f>L2458-L2458*VLOOKUP($O2458,매칭테이블!$G:$J,3,0)</f>
        <v/>
      </c>
      <c r="N2458" s="20">
        <f>VLOOKUP($O2458,매칭테이블!$G:$J,4,0)*H2458</f>
        <v/>
      </c>
      <c r="O2458" s="20">
        <f>F2458&amp;E2458&amp;G2458&amp;J2458</f>
        <v/>
      </c>
    </row>
    <row r="2459" ht="16.5" customHeight="1" s="17">
      <c r="B2459" s="16" t="n">
        <v>44188</v>
      </c>
      <c r="C2459" s="20">
        <f>TEXT(B2459,"aaa")</f>
        <v/>
      </c>
      <c r="E2459" s="20">
        <f>INDEX(매칭테이블!C:C,MATCH(RD!G2459,매칭테이블!D:D,0))</f>
        <v/>
      </c>
      <c r="F2459" s="20" t="inlineStr">
        <is>
          <t>카페24</t>
        </is>
      </c>
      <c r="G2459" s="20" t="inlineStr">
        <is>
          <t>유즈 솔리드퍼퓸 - 30ml (10차 재입고 완료향=스테이포에버 002 SOLID PERFUME, 세트 선택=best</t>
        </is>
      </c>
      <c r="H2459" s="20" t="n">
        <v>1</v>
      </c>
      <c r="I2459" s="20">
        <f>VLOOKUP(G2459,매칭테이블!D:E,2,0)</f>
        <v/>
      </c>
      <c r="J2459" s="20" t="n">
        <v>201210</v>
      </c>
      <c r="L2459" s="20">
        <f>VLOOKUP($O2459,매칭테이블!$G:$J,2,0)*H2459</f>
        <v/>
      </c>
      <c r="M2459" s="20">
        <f>L2459-L2459*VLOOKUP($O2459,매칭테이블!$G:$J,3,0)</f>
        <v/>
      </c>
      <c r="N2459" s="20">
        <f>VLOOKUP($O2459,매칭테이블!$G:$J,4,0)*H2459</f>
        <v/>
      </c>
      <c r="O2459" s="20">
        <f>F2459&amp;E2459&amp;G2459&amp;J2459</f>
        <v/>
      </c>
    </row>
    <row r="2460" ht="16.5" customHeight="1" s="17">
      <c r="B2460" s="16" t="n">
        <v>44188</v>
      </c>
      <c r="C2460" s="20">
        <f>TEXT(B2460,"aaa")</f>
        <v/>
      </c>
      <c r="E2460" s="20">
        <f>INDEX(매칭테이블!C:C,MATCH(RD!G2460,매칭테이블!D:D,0))</f>
        <v/>
      </c>
      <c r="F2460" s="20" t="inlineStr">
        <is>
          <t>카페24</t>
        </is>
      </c>
      <c r="G2460" s="20" t="inlineStr">
        <is>
          <t>유즈 솔리드퍼퓸 - 30ml (10차 재입고 완료향=커플세트</t>
        </is>
      </c>
      <c r="H2460" s="20" t="n">
        <v>6</v>
      </c>
      <c r="I2460" s="20">
        <f>VLOOKUP(G2460,매칭테이블!D:E,2,0)</f>
        <v/>
      </c>
      <c r="J2460" s="20" t="n">
        <v>201210</v>
      </c>
      <c r="L2460" s="20">
        <f>VLOOKUP($O2460,매칭테이블!$G:$J,2,0)*H2460</f>
        <v/>
      </c>
      <c r="M2460" s="20">
        <f>L2460-L2460*VLOOKUP($O2460,매칭테이블!$G:$J,3,0)</f>
        <v/>
      </c>
      <c r="N2460" s="20">
        <f>VLOOKUP($O2460,매칭테이블!$G:$J,4,0)*H2460</f>
        <v/>
      </c>
      <c r="O2460" s="20">
        <f>F2460&amp;E2460&amp;G2460&amp;J2460</f>
        <v/>
      </c>
    </row>
    <row r="2461" ht="16.5" customHeight="1" s="17">
      <c r="B2461" s="16" t="n">
        <v>44188</v>
      </c>
      <c r="C2461" s="20">
        <f>TEXT(B2461,"aaa")</f>
        <v/>
      </c>
      <c r="E2461" s="20">
        <f>INDEX(매칭테이블!C:C,MATCH(RD!G2461,매칭테이블!D:D,0))</f>
        <v/>
      </c>
      <c r="F2461" s="20" t="inlineStr">
        <is>
          <t>카페24</t>
        </is>
      </c>
      <c r="G2461" s="20" t="inlineStr">
        <is>
          <t>유즈 솔리드퍼퓸 - 30ml (10차 재입고 완료향=커플세트</t>
        </is>
      </c>
      <c r="H2461" s="20" t="n">
        <v>1</v>
      </c>
      <c r="I2461" s="20">
        <f>VLOOKUP(G2461,매칭테이블!D:E,2,0)</f>
        <v/>
      </c>
      <c r="J2461" s="20" t="n">
        <v>201210</v>
      </c>
      <c r="L2461" s="20">
        <f>VLOOKUP($O2461,매칭테이블!$G:$J,2,0)*H2461</f>
        <v/>
      </c>
      <c r="M2461" s="20">
        <f>L2461-L2461*VLOOKUP($O2461,매칭테이블!$G:$J,3,0)</f>
        <v/>
      </c>
      <c r="N2461" s="20">
        <f>VLOOKUP($O2461,매칭테이블!$G:$J,4,0)*H2461</f>
        <v/>
      </c>
      <c r="O2461" s="20">
        <f>F2461&amp;E2461&amp;G2461&amp;J2461</f>
        <v/>
      </c>
    </row>
    <row r="2462" ht="16.5" customHeight="1" s="17">
      <c r="B2462" s="16" t="n">
        <v>44188</v>
      </c>
      <c r="C2462" s="20">
        <f>TEXT(B2462,"aaa")</f>
        <v/>
      </c>
      <c r="E2462" s="20">
        <f>INDEX(매칭테이블!C:C,MATCH(RD!G2462,매칭테이블!D:D,0))</f>
        <v/>
      </c>
      <c r="F2462" s="20" t="inlineStr">
        <is>
          <t>카페24</t>
        </is>
      </c>
      <c r="G2462" s="20" t="inlineStr">
        <is>
          <t>유즈 솔리드퍼퓸 - 30ml (10차 재입고 완료 )향=스테이포에버 002 SOLID PERFUME, 세트 선택=1개</t>
        </is>
      </c>
      <c r="H2462" s="20" t="n">
        <v>8</v>
      </c>
      <c r="I2462" s="20">
        <f>VLOOKUP(G2462,매칭테이블!D:E,2,0)</f>
        <v/>
      </c>
      <c r="J2462" s="20" t="n">
        <v>201210</v>
      </c>
      <c r="L2462" s="20">
        <f>VLOOKUP($O2462,매칭테이블!$G:$J,2,0)*H2462</f>
        <v/>
      </c>
      <c r="M2462" s="20">
        <f>L2462-L2462*VLOOKUP($O2462,매칭테이블!$G:$J,3,0)</f>
        <v/>
      </c>
      <c r="N2462" s="20">
        <f>VLOOKUP($O2462,매칭테이블!$G:$J,4,0)*H2462</f>
        <v/>
      </c>
      <c r="O2462" s="20">
        <f>F2462&amp;E2462&amp;G2462&amp;J2462</f>
        <v/>
      </c>
    </row>
    <row r="2463" ht="16.5" customHeight="1" s="17">
      <c r="B2463" s="16" t="n">
        <v>44188</v>
      </c>
      <c r="C2463" s="20">
        <f>TEXT(B2463,"aaa")</f>
        <v/>
      </c>
      <c r="E2463" s="20">
        <f>INDEX(매칭테이블!C:C,MATCH(RD!G2463,매칭테이블!D:D,0))</f>
        <v/>
      </c>
      <c r="F2463" s="20" t="inlineStr">
        <is>
          <t>카페24</t>
        </is>
      </c>
      <c r="G2463" s="20" t="inlineStr">
        <is>
          <t>유즈 솔리드퍼퓸 - 30ml (10차 재입고 완료 )향=스테이포에버 002 SOLID PERFUME, 세트 선택=best 2개 (28% 할인)</t>
        </is>
      </c>
      <c r="H2463" s="20" t="n">
        <v>8</v>
      </c>
      <c r="I2463" s="20">
        <f>VLOOKUP(G2463,매칭테이블!D:E,2,0)</f>
        <v/>
      </c>
      <c r="J2463" s="20" t="n">
        <v>201210</v>
      </c>
      <c r="L2463" s="20">
        <f>VLOOKUP($O2463,매칭테이블!$G:$J,2,0)*H2463</f>
        <v/>
      </c>
      <c r="M2463" s="20">
        <f>L2463-L2463*VLOOKUP($O2463,매칭테이블!$G:$J,3,0)</f>
        <v/>
      </c>
      <c r="N2463" s="20">
        <f>VLOOKUP($O2463,매칭테이블!$G:$J,4,0)*H2463</f>
        <v/>
      </c>
      <c r="O2463" s="20">
        <f>F2463&amp;E2463&amp;G2463&amp;J2463</f>
        <v/>
      </c>
    </row>
    <row r="2464" ht="16.5" customHeight="1" s="17">
      <c r="B2464" s="16" t="n">
        <v>44188</v>
      </c>
      <c r="C2464" s="20">
        <f>TEXT(B2464,"aaa")</f>
        <v/>
      </c>
      <c r="E2464" s="20">
        <f>INDEX(매칭테이블!C:C,MATCH(RD!G2464,매칭테이블!D:D,0))</f>
        <v/>
      </c>
      <c r="F2464" s="20" t="inlineStr">
        <is>
          <t>카페24</t>
        </is>
      </c>
      <c r="G2464" s="20" t="inlineStr">
        <is>
          <t>유즈 솔리드퍼퓸 - 30ml (10차 재입고 완료 )향=커플세트(이그나이트 + 스테이포에버), 세트 선택=1 SET</t>
        </is>
      </c>
      <c r="H2464" s="20" t="n">
        <v>1</v>
      </c>
      <c r="I2464" s="20">
        <f>VLOOKUP(G2464,매칭테이블!D:E,2,0)</f>
        <v/>
      </c>
      <c r="J2464" s="20" t="n">
        <v>201210</v>
      </c>
      <c r="L2464" s="20">
        <f>VLOOKUP($O2464,매칭테이블!$G:$J,2,0)*H2464</f>
        <v/>
      </c>
      <c r="M2464" s="20">
        <f>L2464-L2464*VLOOKUP($O2464,매칭테이블!$G:$J,3,0)</f>
        <v/>
      </c>
      <c r="N2464" s="20">
        <f>VLOOKUP($O2464,매칭테이블!$G:$J,4,0)*H2464</f>
        <v/>
      </c>
      <c r="O2464" s="20">
        <f>F2464&amp;E2464&amp;G2464&amp;J2464</f>
        <v/>
      </c>
    </row>
    <row r="2465" ht="16.5" customHeight="1" s="17">
      <c r="B2465" s="16" t="n">
        <v>44188</v>
      </c>
      <c r="C2465" s="20">
        <f>TEXT(B2465,"aaa")</f>
        <v/>
      </c>
      <c r="E2465" s="20">
        <f>INDEX(매칭테이블!C:C,MATCH(RD!G2465,매칭테이블!D:D,0))</f>
        <v/>
      </c>
      <c r="F2465" s="20" t="inlineStr">
        <is>
          <t>카페24</t>
        </is>
      </c>
      <c r="G2465" s="20" t="inlineStr">
        <is>
          <t>유즈 스테이포에버 솔리드퍼퓸 002 (10차 재입고 완료제품선택=스테이포에버 1개</t>
        </is>
      </c>
      <c r="H2465" s="20" t="n">
        <v>85</v>
      </c>
      <c r="I2465" s="20">
        <f>VLOOKUP(G2465,매칭테이블!D:E,2,0)</f>
        <v/>
      </c>
      <c r="J2465" s="20" t="n">
        <v>201210</v>
      </c>
      <c r="L2465" s="20">
        <f>VLOOKUP($O2465,매칭테이블!$G:$J,2,0)*H2465</f>
        <v/>
      </c>
      <c r="M2465" s="20">
        <f>L2465-L2465*VLOOKUP($O2465,매칭테이블!$G:$J,3,0)</f>
        <v/>
      </c>
      <c r="N2465" s="20">
        <f>VLOOKUP($O2465,매칭테이블!$G:$J,4,0)*H2465</f>
        <v/>
      </c>
      <c r="O2465" s="20">
        <f>F2465&amp;E2465&amp;G2465&amp;J2465</f>
        <v/>
      </c>
    </row>
    <row r="2466" ht="16.5" customHeight="1" s="17">
      <c r="B2466" s="16" t="n">
        <v>44188</v>
      </c>
      <c r="C2466" s="20">
        <f>TEXT(B2466,"aaa")</f>
        <v/>
      </c>
      <c r="E2466" s="20">
        <f>INDEX(매칭테이블!C:C,MATCH(RD!G2466,매칭테이블!D:D,0))</f>
        <v/>
      </c>
      <c r="F2466" s="20" t="inlineStr">
        <is>
          <t>카페24</t>
        </is>
      </c>
      <c r="G2466" s="20" t="inlineStr">
        <is>
          <t>유즈 스테이포에버 솔리드퍼퓸 002 (10차 재입고 완료제품선택=best</t>
        </is>
      </c>
      <c r="H2466" s="20" t="n">
        <v>45</v>
      </c>
      <c r="I2466" s="20">
        <f>VLOOKUP(G2466,매칭테이블!D:E,2,0)</f>
        <v/>
      </c>
      <c r="J2466" s="20" t="n">
        <v>201210</v>
      </c>
      <c r="L2466" s="20">
        <f>VLOOKUP($O2466,매칭테이블!$G:$J,2,0)*H2466</f>
        <v/>
      </c>
      <c r="M2466" s="20">
        <f>L2466-L2466*VLOOKUP($O2466,매칭테이블!$G:$J,3,0)</f>
        <v/>
      </c>
      <c r="N2466" s="20">
        <f>VLOOKUP($O2466,매칭테이블!$G:$J,4,0)*H2466</f>
        <v/>
      </c>
      <c r="O2466" s="20">
        <f>F2466&amp;E2466&amp;G2466&amp;J2466</f>
        <v/>
      </c>
    </row>
    <row r="2467" ht="16.5" customHeight="1" s="17">
      <c r="B2467" s="16" t="n">
        <v>44188</v>
      </c>
      <c r="C2467" s="20">
        <f>TEXT(B2467,"aaa")</f>
        <v/>
      </c>
      <c r="E2467" s="20">
        <f>INDEX(매칭테이블!C:C,MATCH(RD!G2467,매칭테이블!D:D,0))</f>
        <v/>
      </c>
      <c r="F2467" s="20" t="inlineStr">
        <is>
          <t>카페24</t>
        </is>
      </c>
      <c r="G2467" s="20" t="inlineStr">
        <is>
          <t>유즈 스테이포에버 솔리드퍼퓸 002 (10차 재입고 완료제품선택=커플추천</t>
        </is>
      </c>
      <c r="H2467" s="20" t="n">
        <v>8</v>
      </c>
      <c r="I2467" s="20">
        <f>VLOOKUP(G2467,매칭테이블!D:E,2,0)</f>
        <v/>
      </c>
      <c r="J2467" s="20" t="n">
        <v>201210</v>
      </c>
      <c r="L2467" s="20">
        <f>VLOOKUP($O2467,매칭테이블!$G:$J,2,0)*H2467</f>
        <v/>
      </c>
      <c r="M2467" s="20">
        <f>L2467-L2467*VLOOKUP($O2467,매칭테이블!$G:$J,3,0)</f>
        <v/>
      </c>
      <c r="N2467" s="20">
        <f>VLOOKUP($O2467,매칭테이블!$G:$J,4,0)*H2467</f>
        <v/>
      </c>
      <c r="O2467" s="20">
        <f>F2467&amp;E2467&amp;G2467&amp;J2467</f>
        <v/>
      </c>
    </row>
    <row r="2468" ht="16.5" customHeight="1" s="17">
      <c r="B2468" s="16" t="n">
        <v>44188</v>
      </c>
      <c r="C2468" s="20">
        <f>TEXT(B2468,"aaa")</f>
        <v/>
      </c>
      <c r="E2468" s="20">
        <f>INDEX(매칭테이블!C:C,MATCH(RD!G2468,매칭테이블!D:D,0))</f>
        <v/>
      </c>
      <c r="F2468" s="20" t="inlineStr">
        <is>
          <t>카페24</t>
        </is>
      </c>
      <c r="G2468" s="20" t="inlineStr">
        <is>
          <t>유즈 스테이포에버 솔리드퍼퓸 002 (10차 재입고 완료쇼핑백=선물용 쇼핑백</t>
        </is>
      </c>
      <c r="H2468" s="20" t="n">
        <v>3</v>
      </c>
      <c r="I2468" s="20">
        <f>VLOOKUP(G2468,매칭테이블!D:E,2,0)</f>
        <v/>
      </c>
      <c r="J2468" s="20" t="n">
        <v>201210</v>
      </c>
      <c r="L2468" s="20">
        <f>VLOOKUP($O2468,매칭테이블!$G:$J,2,0)*H2468</f>
        <v/>
      </c>
      <c r="M2468" s="20">
        <f>L2468-L2468*VLOOKUP($O2468,매칭테이블!$G:$J,3,0)</f>
        <v/>
      </c>
      <c r="N2468" s="20">
        <f>VLOOKUP($O2468,매칭테이블!$G:$J,4,0)*H2468</f>
        <v/>
      </c>
      <c r="O2468" s="20">
        <f>F2468&amp;E2468&amp;G2468&amp;J2468</f>
        <v/>
      </c>
    </row>
    <row r="2469" ht="16.5" customHeight="1" s="17">
      <c r="B2469" s="16" t="n">
        <v>44188</v>
      </c>
      <c r="C2469" s="20">
        <f>TEXT(B2469,"aaa")</f>
        <v/>
      </c>
      <c r="E2469" s="20">
        <f>INDEX(매칭테이블!C:C,MATCH(RD!G2469,매칭테이블!D:D,0))</f>
        <v/>
      </c>
      <c r="F2469" s="20" t="inlineStr">
        <is>
          <t>카페24</t>
        </is>
      </c>
      <c r="G2469" s="20" t="inlineStr">
        <is>
          <t>유즈 스테이포에버 솔리드퍼퓸 002 (10차 재입고 완료)제품선택=스테이포에버 1개</t>
        </is>
      </c>
      <c r="H2469" s="20" t="n">
        <v>157</v>
      </c>
      <c r="I2469" s="20">
        <f>VLOOKUP(G2469,매칭테이블!D:E,2,0)</f>
        <v/>
      </c>
      <c r="J2469" s="20" t="n">
        <v>201210</v>
      </c>
      <c r="L2469" s="20">
        <f>VLOOKUP($O2469,매칭테이블!$G:$J,2,0)*H2469</f>
        <v/>
      </c>
      <c r="M2469" s="20">
        <f>L2469-L2469*VLOOKUP($O2469,매칭테이블!$G:$J,3,0)</f>
        <v/>
      </c>
      <c r="N2469" s="20">
        <f>VLOOKUP($O2469,매칭테이블!$G:$J,4,0)*H2469</f>
        <v/>
      </c>
      <c r="O2469" s="20">
        <f>F2469&amp;E2469&amp;G2469&amp;J2469</f>
        <v/>
      </c>
    </row>
    <row r="2470" ht="16.5" customHeight="1" s="17">
      <c r="B2470" s="16" t="n">
        <v>44188</v>
      </c>
      <c r="C2470" s="20">
        <f>TEXT(B2470,"aaa")</f>
        <v/>
      </c>
      <c r="E2470" s="20">
        <f>INDEX(매칭테이블!C:C,MATCH(RD!G2470,매칭테이블!D:D,0))</f>
        <v/>
      </c>
      <c r="F2470" s="20" t="inlineStr">
        <is>
          <t>카페24</t>
        </is>
      </c>
      <c r="G2470" s="20" t="inlineStr">
        <is>
          <t>유즈 스테이포에버 솔리드퍼퓸 002 (10차 재입고 완료)제품선택=best스테이포에버 2개[28% 할인]</t>
        </is>
      </c>
      <c r="H2470" s="20" t="n">
        <v>72</v>
      </c>
      <c r="I2470" s="20">
        <f>VLOOKUP(G2470,매칭테이블!D:E,2,0)</f>
        <v/>
      </c>
      <c r="J2470" s="20" t="n">
        <v>201210</v>
      </c>
      <c r="L2470" s="20">
        <f>VLOOKUP($O2470,매칭테이블!$G:$J,2,0)*H2470</f>
        <v/>
      </c>
      <c r="M2470" s="20">
        <f>L2470-L2470*VLOOKUP($O2470,매칭테이블!$G:$J,3,0)</f>
        <v/>
      </c>
      <c r="N2470" s="20">
        <f>VLOOKUP($O2470,매칭테이블!$G:$J,4,0)*H2470</f>
        <v/>
      </c>
      <c r="O2470" s="20">
        <f>F2470&amp;E2470&amp;G2470&amp;J2470</f>
        <v/>
      </c>
    </row>
    <row r="2471" ht="16.5" customHeight="1" s="17">
      <c r="B2471" s="16" t="n">
        <v>44188</v>
      </c>
      <c r="C2471" s="20">
        <f>TEXT(B2471,"aaa")</f>
        <v/>
      </c>
      <c r="E2471" s="20">
        <f>INDEX(매칭테이블!C:C,MATCH(RD!G2471,매칭테이블!D:D,0))</f>
        <v/>
      </c>
      <c r="F2471" s="20" t="inlineStr">
        <is>
          <t>카페24</t>
        </is>
      </c>
      <c r="G2471" s="20" t="inlineStr">
        <is>
          <t>유즈 스테이포에버 솔리드퍼퓸 002 (10차 재입고 완료)제품선택=커플추천스테이포에버 + 이그나이트 세트</t>
        </is>
      </c>
      <c r="H2471" s="20" t="n">
        <v>7</v>
      </c>
      <c r="I2471" s="20">
        <f>VLOOKUP(G2471,매칭테이블!D:E,2,0)</f>
        <v/>
      </c>
      <c r="J2471" s="20" t="n">
        <v>201210</v>
      </c>
      <c r="L2471" s="20">
        <f>VLOOKUP($O2471,매칭테이블!$G:$J,2,0)*H2471</f>
        <v/>
      </c>
      <c r="M2471" s="20">
        <f>L2471-L2471*VLOOKUP($O2471,매칭테이블!$G:$J,3,0)</f>
        <v/>
      </c>
      <c r="N2471" s="20">
        <f>VLOOKUP($O2471,매칭테이블!$G:$J,4,0)*H2471</f>
        <v/>
      </c>
      <c r="O2471" s="20">
        <f>F2471&amp;E2471&amp;G2471&amp;J2471</f>
        <v/>
      </c>
    </row>
    <row r="2472" ht="16.5" customHeight="1" s="17">
      <c r="B2472" s="16" t="n">
        <v>44188</v>
      </c>
      <c r="C2472" s="20">
        <f>TEXT(B2472,"aaa")</f>
        <v/>
      </c>
      <c r="E2472" s="20">
        <f>INDEX(매칭테이블!C:C,MATCH(RD!G2472,매칭테이블!D:D,0))</f>
        <v/>
      </c>
      <c r="F2472" s="20" t="inlineStr">
        <is>
          <t>카페24</t>
        </is>
      </c>
      <c r="G2472" s="20" t="inlineStr">
        <is>
          <t>유즈 스테이포에버 솔리드퍼퓸 002 (10차 재입고 완료)쇼핑백=선물용 쇼핑백</t>
        </is>
      </c>
      <c r="H2472" s="20" t="n">
        <v>9</v>
      </c>
      <c r="I2472" s="20">
        <f>VLOOKUP(G2472,매칭테이블!D:E,2,0)</f>
        <v/>
      </c>
      <c r="J2472" s="20" t="n">
        <v>201210</v>
      </c>
      <c r="L2472" s="20">
        <f>VLOOKUP($O2472,매칭테이블!$G:$J,2,0)*H2472</f>
        <v/>
      </c>
      <c r="M2472" s="20">
        <f>L2472-L2472*VLOOKUP($O2472,매칭테이블!$G:$J,3,0)</f>
        <v/>
      </c>
      <c r="N2472" s="20">
        <f>VLOOKUP($O2472,매칭테이블!$G:$J,4,0)*H2472</f>
        <v/>
      </c>
      <c r="O2472" s="20">
        <f>F2472&amp;E2472&amp;G2472&amp;J2472</f>
        <v/>
      </c>
    </row>
    <row r="2473" ht="16.5" customHeight="1" s="17">
      <c r="B2473" s="16" t="n">
        <v>44188</v>
      </c>
      <c r="C2473" s="20">
        <f>TEXT(B2473,"aaa")</f>
        <v/>
      </c>
      <c r="E2473" s="20">
        <f>INDEX(매칭테이블!C:C,MATCH(RD!G2473,매칭테이블!D:D,0))</f>
        <v/>
      </c>
      <c r="F2473" s="20" t="inlineStr">
        <is>
          <t>카페24</t>
        </is>
      </c>
      <c r="G2473" s="20" t="inlineStr">
        <is>
          <t>유즈 이그나이트 솔리드퍼퓸 001제품선택=이그나이트 솔리드퍼퓸 - 30ml</t>
        </is>
      </c>
      <c r="H2473" s="20" t="n">
        <v>4</v>
      </c>
      <c r="I2473" s="20">
        <f>VLOOKUP(G2473,매칭테이블!D:E,2,0)</f>
        <v/>
      </c>
      <c r="J2473" s="20" t="n">
        <v>201210</v>
      </c>
      <c r="L2473" s="20">
        <f>VLOOKUP($O2473,매칭테이블!$G:$J,2,0)*H2473</f>
        <v/>
      </c>
      <c r="M2473" s="20">
        <f>L2473-L2473*VLOOKUP($O2473,매칭테이블!$G:$J,3,0)</f>
        <v/>
      </c>
      <c r="N2473" s="20">
        <f>VLOOKUP($O2473,매칭테이블!$G:$J,4,0)*H2473</f>
        <v/>
      </c>
      <c r="O2473" s="20">
        <f>F2473&amp;E2473&amp;G2473&amp;J2473</f>
        <v/>
      </c>
    </row>
    <row r="2474" ht="16.5" customHeight="1" s="17">
      <c r="B2474" s="16" t="n">
        <v>44188</v>
      </c>
      <c r="C2474" s="20">
        <f>TEXT(B2474,"aaa")</f>
        <v/>
      </c>
      <c r="E2474" s="20">
        <f>INDEX(매칭테이블!C:C,MATCH(RD!G2474,매칭테이블!D:D,0))</f>
        <v/>
      </c>
      <c r="F2474" s="20" t="inlineStr">
        <is>
          <t>카페24</t>
        </is>
      </c>
      <c r="G2474" s="20" t="inlineStr">
        <is>
          <t>유즈 이그나이트 솔리드퍼퓸 001제품선택=이그나이트 2개 세트</t>
        </is>
      </c>
      <c r="H2474" s="20" t="n">
        <v>4</v>
      </c>
      <c r="I2474" s="20">
        <f>VLOOKUP(G2474,매칭테이블!D:E,2,0)</f>
        <v/>
      </c>
      <c r="J2474" s="20" t="n">
        <v>201210</v>
      </c>
      <c r="L2474" s="20">
        <f>VLOOKUP($O2474,매칭테이블!$G:$J,2,0)*H2474</f>
        <v/>
      </c>
      <c r="M2474" s="20">
        <f>L2474-L2474*VLOOKUP($O2474,매칭테이블!$G:$J,3,0)</f>
        <v/>
      </c>
      <c r="N2474" s="20">
        <f>VLOOKUP($O2474,매칭테이블!$G:$J,4,0)*H2474</f>
        <v/>
      </c>
      <c r="O2474" s="20">
        <f>F2474&amp;E2474&amp;G2474&amp;J2474</f>
        <v/>
      </c>
    </row>
    <row r="2475" ht="16.5" customHeight="1" s="17">
      <c r="B2475" s="16" t="n">
        <v>44189</v>
      </c>
      <c r="C2475" s="20">
        <f>TEXT(B2475,"aaa")</f>
        <v/>
      </c>
      <c r="E2475" s="20">
        <f>INDEX(매칭테이블!C:C,MATCH(RD!G2475,매칭테이블!D:D,0))</f>
        <v/>
      </c>
      <c r="F2475" s="20" t="inlineStr">
        <is>
          <t>유즈 CS</t>
        </is>
      </c>
      <c r="G2475" s="20" t="inlineStr">
        <is>
          <t>유즈 스테이포에버 솔리드퍼퓸 002 (10차 재입고 완료)제품선택=커플추천스테이포에버 + 이그나이트 세트</t>
        </is>
      </c>
      <c r="H2475" s="20" t="n">
        <v>1</v>
      </c>
      <c r="I2475" s="20">
        <f>VLOOKUP(G2475,매칭테이블!D:E,2,0)</f>
        <v/>
      </c>
      <c r="J2475" s="20" t="n">
        <v>201210</v>
      </c>
      <c r="L2475" s="20">
        <f>VLOOKUP($O2475,매칭테이블!$G:$J,2,0)*H2475</f>
        <v/>
      </c>
      <c r="M2475" s="20">
        <f>L2475-L2475*VLOOKUP($O2475,매칭테이블!$G:$J,3,0)</f>
        <v/>
      </c>
      <c r="N2475" s="20">
        <f>VLOOKUP($O2475,매칭테이블!$G:$J,4,0)*H2475</f>
        <v/>
      </c>
      <c r="O2475" s="20">
        <f>F2475&amp;E2475&amp;G2475&amp;J2475</f>
        <v/>
      </c>
    </row>
    <row r="2476" ht="16.5" customHeight="1" s="17">
      <c r="B2476" s="16" t="n">
        <v>44189</v>
      </c>
      <c r="C2476" s="20">
        <f>TEXT(B2476,"aaa")</f>
        <v/>
      </c>
      <c r="E2476" s="20">
        <f>INDEX(매칭테이블!C:C,MATCH(RD!G2476,매칭테이블!D:D,0))</f>
        <v/>
      </c>
      <c r="F2476" s="20" t="inlineStr">
        <is>
          <t>카페24</t>
        </is>
      </c>
      <c r="G2476" s="20" t="inlineStr">
        <is>
          <t>유즈 솔리드퍼퓸 - 30ml (10차 재입고 완료향=이그나이트 001 SOLID PERFUME, 세트 선택=1개</t>
        </is>
      </c>
      <c r="H2476" s="20" t="n">
        <v>1</v>
      </c>
      <c r="I2476" s="20">
        <f>VLOOKUP(G2476,매칭테이블!D:E,2,0)</f>
        <v/>
      </c>
      <c r="J2476" s="20" t="n">
        <v>201210</v>
      </c>
      <c r="L2476" s="20">
        <f>VLOOKUP($O2476,매칭테이블!$G:$J,2,0)*H2476</f>
        <v/>
      </c>
      <c r="M2476" s="20">
        <f>L2476-L2476*VLOOKUP($O2476,매칭테이블!$G:$J,3,0)</f>
        <v/>
      </c>
      <c r="N2476" s="20">
        <f>VLOOKUP($O2476,매칭테이블!$G:$J,4,0)*H2476</f>
        <v/>
      </c>
      <c r="O2476" s="20">
        <f>F2476&amp;E2476&amp;G2476&amp;J2476</f>
        <v/>
      </c>
    </row>
    <row r="2477" ht="16.5" customHeight="1" s="17">
      <c r="B2477" s="16" t="n">
        <v>44189</v>
      </c>
      <c r="C2477" s="20">
        <f>TEXT(B2477,"aaa")</f>
        <v/>
      </c>
      <c r="E2477" s="20">
        <f>INDEX(매칭테이블!C:C,MATCH(RD!G2477,매칭테이블!D:D,0))</f>
        <v/>
      </c>
      <c r="F2477" s="20" t="inlineStr">
        <is>
          <t>카페24</t>
        </is>
      </c>
      <c r="G2477" s="20" t="inlineStr">
        <is>
          <t>유즈 솔리드퍼퓸 - 30ml (10차 재입고 완료향=스테이포에버 002 SOLID PERFUME, 세트 선택=1개</t>
        </is>
      </c>
      <c r="H2477" s="20" t="n">
        <v>8</v>
      </c>
      <c r="I2477" s="20">
        <f>VLOOKUP(G2477,매칭테이블!D:E,2,0)</f>
        <v/>
      </c>
      <c r="J2477" s="20" t="n">
        <v>201210</v>
      </c>
      <c r="L2477" s="20">
        <f>VLOOKUP($O2477,매칭테이블!$G:$J,2,0)*H2477</f>
        <v/>
      </c>
      <c r="M2477" s="20">
        <f>L2477-L2477*VLOOKUP($O2477,매칭테이블!$G:$J,3,0)</f>
        <v/>
      </c>
      <c r="N2477" s="20">
        <f>VLOOKUP($O2477,매칭테이블!$G:$J,4,0)*H2477</f>
        <v/>
      </c>
      <c r="O2477" s="20">
        <f>F2477&amp;E2477&amp;G2477&amp;J2477</f>
        <v/>
      </c>
    </row>
    <row r="2478" ht="16.5" customHeight="1" s="17">
      <c r="B2478" s="16" t="n">
        <v>44189</v>
      </c>
      <c r="C2478" s="20">
        <f>TEXT(B2478,"aaa")</f>
        <v/>
      </c>
      <c r="E2478" s="20">
        <f>INDEX(매칭테이블!C:C,MATCH(RD!G2478,매칭테이블!D:D,0))</f>
        <v/>
      </c>
      <c r="F2478" s="20" t="inlineStr">
        <is>
          <t>카페24</t>
        </is>
      </c>
      <c r="G2478" s="20" t="inlineStr">
        <is>
          <t>유즈 솔리드퍼퓸 - 30ml (10차 재입고 완료향=스테이포에버 002 SOLID PERFUME, 세트 선택=best</t>
        </is>
      </c>
      <c r="H2478" s="20" t="n">
        <v>3</v>
      </c>
      <c r="I2478" s="20">
        <f>VLOOKUP(G2478,매칭테이블!D:E,2,0)</f>
        <v/>
      </c>
      <c r="J2478" s="20" t="n">
        <v>201210</v>
      </c>
      <c r="L2478" s="20">
        <f>VLOOKUP($O2478,매칭테이블!$G:$J,2,0)*H2478</f>
        <v/>
      </c>
      <c r="M2478" s="20">
        <f>L2478-L2478*VLOOKUP($O2478,매칭테이블!$G:$J,3,0)</f>
        <v/>
      </c>
      <c r="N2478" s="20">
        <f>VLOOKUP($O2478,매칭테이블!$G:$J,4,0)*H2478</f>
        <v/>
      </c>
      <c r="O2478" s="20">
        <f>F2478&amp;E2478&amp;G2478&amp;J2478</f>
        <v/>
      </c>
    </row>
    <row r="2479" ht="16.5" customHeight="1" s="17">
      <c r="B2479" s="16" t="n">
        <v>44189</v>
      </c>
      <c r="C2479" s="20">
        <f>TEXT(B2479,"aaa")</f>
        <v/>
      </c>
      <c r="E2479" s="20">
        <f>INDEX(매칭테이블!C:C,MATCH(RD!G2479,매칭테이블!D:D,0))</f>
        <v/>
      </c>
      <c r="F2479" s="20" t="inlineStr">
        <is>
          <t>카페24</t>
        </is>
      </c>
      <c r="G2479" s="20" t="inlineStr">
        <is>
          <t>유즈 솔리드퍼퓸 - 30ml (10차 재입고 완료향=커플세트</t>
        </is>
      </c>
      <c r="H2479" s="20" t="n">
        <v>7</v>
      </c>
      <c r="I2479" s="20">
        <f>VLOOKUP(G2479,매칭테이블!D:E,2,0)</f>
        <v/>
      </c>
      <c r="J2479" s="20" t="n">
        <v>201210</v>
      </c>
      <c r="L2479" s="20">
        <f>VLOOKUP($O2479,매칭테이블!$G:$J,2,0)*H2479</f>
        <v/>
      </c>
      <c r="M2479" s="20">
        <f>L2479-L2479*VLOOKUP($O2479,매칭테이블!$G:$J,3,0)</f>
        <v/>
      </c>
      <c r="N2479" s="20">
        <f>VLOOKUP($O2479,매칭테이블!$G:$J,4,0)*H2479</f>
        <v/>
      </c>
      <c r="O2479" s="20">
        <f>F2479&amp;E2479&amp;G2479&amp;J2479</f>
        <v/>
      </c>
    </row>
    <row r="2480" ht="16.5" customHeight="1" s="17">
      <c r="B2480" s="16" t="n">
        <v>44189</v>
      </c>
      <c r="C2480" s="20">
        <f>TEXT(B2480,"aaa")</f>
        <v/>
      </c>
      <c r="E2480" s="20">
        <f>INDEX(매칭테이블!C:C,MATCH(RD!G2480,매칭테이블!D:D,0))</f>
        <v/>
      </c>
      <c r="F2480" s="20" t="inlineStr">
        <is>
          <t>카페24</t>
        </is>
      </c>
      <c r="G2480" s="20" t="inlineStr">
        <is>
          <t>유즈 솔리드퍼퓸 - 30ml (10차 재입고 완료 )향=이그나이트 001 SOLID PERFUME, 세트 선택=1개</t>
        </is>
      </c>
      <c r="H2480" s="20" t="n">
        <v>1</v>
      </c>
      <c r="I2480" s="20">
        <f>VLOOKUP(G2480,매칭테이블!D:E,2,0)</f>
        <v/>
      </c>
      <c r="J2480" s="20" t="n">
        <v>201210</v>
      </c>
      <c r="L2480" s="20">
        <f>VLOOKUP($O2480,매칭테이블!$G:$J,2,0)*H2480</f>
        <v/>
      </c>
      <c r="M2480" s="20">
        <f>L2480-L2480*VLOOKUP($O2480,매칭테이블!$G:$J,3,0)</f>
        <v/>
      </c>
      <c r="N2480" s="20">
        <f>VLOOKUP($O2480,매칭테이블!$G:$J,4,0)*H2480</f>
        <v/>
      </c>
      <c r="O2480" s="20">
        <f>F2480&amp;E2480&amp;G2480&amp;J2480</f>
        <v/>
      </c>
    </row>
    <row r="2481" ht="16.5" customHeight="1" s="17">
      <c r="B2481" s="16" t="n">
        <v>44189</v>
      </c>
      <c r="C2481" s="20">
        <f>TEXT(B2481,"aaa")</f>
        <v/>
      </c>
      <c r="E2481" s="20">
        <f>INDEX(매칭테이블!C:C,MATCH(RD!G2481,매칭테이블!D:D,0))</f>
        <v/>
      </c>
      <c r="F2481" s="20" t="inlineStr">
        <is>
          <t>카페24</t>
        </is>
      </c>
      <c r="G2481" s="20" t="inlineStr">
        <is>
          <t>유즈 솔리드퍼퓸 - 30ml (10차 재입고 완료 )향=스테이포에버 002 SOLID PERFUME, 세트 선택=1개</t>
        </is>
      </c>
      <c r="H2481" s="20" t="n">
        <v>4</v>
      </c>
      <c r="I2481" s="20">
        <f>VLOOKUP(G2481,매칭테이블!D:E,2,0)</f>
        <v/>
      </c>
      <c r="J2481" s="20" t="n">
        <v>201210</v>
      </c>
      <c r="L2481" s="20">
        <f>VLOOKUP($O2481,매칭테이블!$G:$J,2,0)*H2481</f>
        <v/>
      </c>
      <c r="M2481" s="20">
        <f>L2481-L2481*VLOOKUP($O2481,매칭테이블!$G:$J,3,0)</f>
        <v/>
      </c>
      <c r="N2481" s="20">
        <f>VLOOKUP($O2481,매칭테이블!$G:$J,4,0)*H2481</f>
        <v/>
      </c>
      <c r="O2481" s="20">
        <f>F2481&amp;E2481&amp;G2481&amp;J2481</f>
        <v/>
      </c>
    </row>
    <row r="2482" ht="16.5" customHeight="1" s="17">
      <c r="B2482" s="16" t="n">
        <v>44189</v>
      </c>
      <c r="C2482" s="20">
        <f>TEXT(B2482,"aaa")</f>
        <v/>
      </c>
      <c r="E2482" s="20">
        <f>INDEX(매칭테이블!C:C,MATCH(RD!G2482,매칭테이블!D:D,0))</f>
        <v/>
      </c>
      <c r="F2482" s="20" t="inlineStr">
        <is>
          <t>카페24</t>
        </is>
      </c>
      <c r="G2482" s="20" t="inlineStr">
        <is>
          <t>유즈 솔리드퍼퓸 - 30ml (10차 재입고 완료 )향=스테이포에버 002 SOLID PERFUME, 세트 선택=best 2개 (28% 할인)</t>
        </is>
      </c>
      <c r="H2482" s="20" t="n">
        <v>1</v>
      </c>
      <c r="I2482" s="20">
        <f>VLOOKUP(G2482,매칭테이블!D:E,2,0)</f>
        <v/>
      </c>
      <c r="J2482" s="20" t="n">
        <v>201210</v>
      </c>
      <c r="L2482" s="20">
        <f>VLOOKUP($O2482,매칭테이블!$G:$J,2,0)*H2482</f>
        <v/>
      </c>
      <c r="M2482" s="20">
        <f>L2482-L2482*VLOOKUP($O2482,매칭테이블!$G:$J,3,0)</f>
        <v/>
      </c>
      <c r="N2482" s="20">
        <f>VLOOKUP($O2482,매칭테이블!$G:$J,4,0)*H2482</f>
        <v/>
      </c>
      <c r="O2482" s="20">
        <f>F2482&amp;E2482&amp;G2482&amp;J2482</f>
        <v/>
      </c>
    </row>
    <row r="2483" ht="16.5" customHeight="1" s="17">
      <c r="B2483" s="16" t="n">
        <v>44189</v>
      </c>
      <c r="C2483" s="20">
        <f>TEXT(B2483,"aaa")</f>
        <v/>
      </c>
      <c r="E2483" s="20">
        <f>INDEX(매칭테이블!C:C,MATCH(RD!G2483,매칭테이블!D:D,0))</f>
        <v/>
      </c>
      <c r="F2483" s="20" t="inlineStr">
        <is>
          <t>카페24</t>
        </is>
      </c>
      <c r="G2483" s="20" t="inlineStr">
        <is>
          <t>유즈 스테이포에버 솔리드퍼퓸 002 (10차 재입고 완료제품선택=스테이포에버 1개</t>
        </is>
      </c>
      <c r="H2483" s="20" t="n">
        <v>95</v>
      </c>
      <c r="I2483" s="20">
        <f>VLOOKUP(G2483,매칭테이블!D:E,2,0)</f>
        <v/>
      </c>
      <c r="J2483" s="20" t="n">
        <v>201210</v>
      </c>
      <c r="L2483" s="20">
        <f>VLOOKUP($O2483,매칭테이블!$G:$J,2,0)*H2483</f>
        <v/>
      </c>
      <c r="M2483" s="20">
        <f>L2483-L2483*VLOOKUP($O2483,매칭테이블!$G:$J,3,0)</f>
        <v/>
      </c>
      <c r="N2483" s="20">
        <f>VLOOKUP($O2483,매칭테이블!$G:$J,4,0)*H2483</f>
        <v/>
      </c>
      <c r="O2483" s="20">
        <f>F2483&amp;E2483&amp;G2483&amp;J2483</f>
        <v/>
      </c>
    </row>
    <row r="2484" ht="16.5" customHeight="1" s="17">
      <c r="B2484" s="16" t="n">
        <v>44189</v>
      </c>
      <c r="C2484" s="20">
        <f>TEXT(B2484,"aaa")</f>
        <v/>
      </c>
      <c r="E2484" s="20">
        <f>INDEX(매칭테이블!C:C,MATCH(RD!G2484,매칭테이블!D:D,0))</f>
        <v/>
      </c>
      <c r="F2484" s="20" t="inlineStr">
        <is>
          <t>카페24</t>
        </is>
      </c>
      <c r="G2484" s="20" t="inlineStr">
        <is>
          <t>유즈 스테이포에버 솔리드퍼퓸 002 (10차 재입고 완료제품선택=best</t>
        </is>
      </c>
      <c r="H2484" s="20" t="n">
        <v>50</v>
      </c>
      <c r="I2484" s="20">
        <f>VLOOKUP(G2484,매칭테이블!D:E,2,0)</f>
        <v/>
      </c>
      <c r="J2484" s="20" t="n">
        <v>201210</v>
      </c>
      <c r="L2484" s="20">
        <f>VLOOKUP($O2484,매칭테이블!$G:$J,2,0)*H2484</f>
        <v/>
      </c>
      <c r="M2484" s="20">
        <f>L2484-L2484*VLOOKUP($O2484,매칭테이블!$G:$J,3,0)</f>
        <v/>
      </c>
      <c r="N2484" s="20">
        <f>VLOOKUP($O2484,매칭테이블!$G:$J,4,0)*H2484</f>
        <v/>
      </c>
      <c r="O2484" s="20">
        <f>F2484&amp;E2484&amp;G2484&amp;J2484</f>
        <v/>
      </c>
    </row>
    <row r="2485" ht="16.5" customHeight="1" s="17">
      <c r="B2485" s="16" t="n">
        <v>44189</v>
      </c>
      <c r="C2485" s="20">
        <f>TEXT(B2485,"aaa")</f>
        <v/>
      </c>
      <c r="E2485" s="20">
        <f>INDEX(매칭테이블!C:C,MATCH(RD!G2485,매칭테이블!D:D,0))</f>
        <v/>
      </c>
      <c r="F2485" s="20" t="inlineStr">
        <is>
          <t>카페24</t>
        </is>
      </c>
      <c r="G2485" s="20" t="inlineStr">
        <is>
          <t>유즈 스테이포에버 솔리드퍼퓸 002 (10차 재입고 완료제품선택=커플추천</t>
        </is>
      </c>
      <c r="H2485" s="20" t="n">
        <v>7</v>
      </c>
      <c r="I2485" s="20">
        <f>VLOOKUP(G2485,매칭테이블!D:E,2,0)</f>
        <v/>
      </c>
      <c r="J2485" s="20" t="n">
        <v>201210</v>
      </c>
      <c r="L2485" s="20">
        <f>VLOOKUP($O2485,매칭테이블!$G:$J,2,0)*H2485</f>
        <v/>
      </c>
      <c r="M2485" s="20">
        <f>L2485-L2485*VLOOKUP($O2485,매칭테이블!$G:$J,3,0)</f>
        <v/>
      </c>
      <c r="N2485" s="20">
        <f>VLOOKUP($O2485,매칭테이블!$G:$J,4,0)*H2485</f>
        <v/>
      </c>
      <c r="O2485" s="20">
        <f>F2485&amp;E2485&amp;G2485&amp;J2485</f>
        <v/>
      </c>
    </row>
    <row r="2486" ht="16.5" customHeight="1" s="17">
      <c r="B2486" s="16" t="n">
        <v>44189</v>
      </c>
      <c r="C2486" s="20">
        <f>TEXT(B2486,"aaa")</f>
        <v/>
      </c>
      <c r="E2486" s="20">
        <f>INDEX(매칭테이블!C:C,MATCH(RD!G2486,매칭테이블!D:D,0))</f>
        <v/>
      </c>
      <c r="F2486" s="20" t="inlineStr">
        <is>
          <t>카페24</t>
        </is>
      </c>
      <c r="G2486" s="20" t="inlineStr">
        <is>
          <t>유즈 스테이포에버 솔리드퍼퓸 002 (10차 재입고 완료쇼핑백=선물용 쇼핑백</t>
        </is>
      </c>
      <c r="H2486" s="20" t="n">
        <v>4</v>
      </c>
      <c r="I2486" s="20">
        <f>VLOOKUP(G2486,매칭테이블!D:E,2,0)</f>
        <v/>
      </c>
      <c r="J2486" s="20" t="n">
        <v>201210</v>
      </c>
      <c r="L2486" s="20">
        <f>VLOOKUP($O2486,매칭테이블!$G:$J,2,0)*H2486</f>
        <v/>
      </c>
      <c r="M2486" s="20">
        <f>L2486-L2486*VLOOKUP($O2486,매칭테이블!$G:$J,3,0)</f>
        <v/>
      </c>
      <c r="N2486" s="20">
        <f>VLOOKUP($O2486,매칭테이블!$G:$J,4,0)*H2486</f>
        <v/>
      </c>
      <c r="O2486" s="20">
        <f>F2486&amp;E2486&amp;G2486&amp;J2486</f>
        <v/>
      </c>
    </row>
    <row r="2487" ht="16.5" customHeight="1" s="17">
      <c r="B2487" s="16" t="n">
        <v>44189</v>
      </c>
      <c r="C2487" s="20">
        <f>TEXT(B2487,"aaa")</f>
        <v/>
      </c>
      <c r="E2487" s="20">
        <f>INDEX(매칭테이블!C:C,MATCH(RD!G2487,매칭테이블!D:D,0))</f>
        <v/>
      </c>
      <c r="F2487" s="20" t="inlineStr">
        <is>
          <t>카페24</t>
        </is>
      </c>
      <c r="G2487" s="20" t="inlineStr">
        <is>
          <t>유즈 스테이포에버 솔리드퍼퓸 002 (10차 재입고 완료)제품선택=스테이포에버 1개</t>
        </is>
      </c>
      <c r="H2487" s="20" t="n">
        <v>168</v>
      </c>
      <c r="I2487" s="20">
        <f>VLOOKUP(G2487,매칭테이블!D:E,2,0)</f>
        <v/>
      </c>
      <c r="J2487" s="20" t="n">
        <v>201210</v>
      </c>
      <c r="L2487" s="20">
        <f>VLOOKUP($O2487,매칭테이블!$G:$J,2,0)*H2487</f>
        <v/>
      </c>
      <c r="M2487" s="20">
        <f>L2487-L2487*VLOOKUP($O2487,매칭테이블!$G:$J,3,0)</f>
        <v/>
      </c>
      <c r="N2487" s="20">
        <f>VLOOKUP($O2487,매칭테이블!$G:$J,4,0)*H2487</f>
        <v/>
      </c>
      <c r="O2487" s="20">
        <f>F2487&amp;E2487&amp;G2487&amp;J2487</f>
        <v/>
      </c>
    </row>
    <row r="2488" ht="16.5" customHeight="1" s="17">
      <c r="B2488" s="16" t="n">
        <v>44189</v>
      </c>
      <c r="C2488" s="20">
        <f>TEXT(B2488,"aaa")</f>
        <v/>
      </c>
      <c r="E2488" s="20">
        <f>INDEX(매칭테이블!C:C,MATCH(RD!G2488,매칭테이블!D:D,0))</f>
        <v/>
      </c>
      <c r="F2488" s="20" t="inlineStr">
        <is>
          <t>카페24</t>
        </is>
      </c>
      <c r="G2488" s="20" t="inlineStr">
        <is>
          <t>유즈 스테이포에버 솔리드퍼퓸 002 (10차 재입고 완료)제품선택=best스테이포에버 2개[28% 할인]</t>
        </is>
      </c>
      <c r="H2488" s="20" t="n">
        <v>69</v>
      </c>
      <c r="I2488" s="20">
        <f>VLOOKUP(G2488,매칭테이블!D:E,2,0)</f>
        <v/>
      </c>
      <c r="J2488" s="20" t="n">
        <v>201210</v>
      </c>
      <c r="L2488" s="20">
        <f>VLOOKUP($O2488,매칭테이블!$G:$J,2,0)*H2488</f>
        <v/>
      </c>
      <c r="M2488" s="20">
        <f>L2488-L2488*VLOOKUP($O2488,매칭테이블!$G:$J,3,0)</f>
        <v/>
      </c>
      <c r="N2488" s="20">
        <f>VLOOKUP($O2488,매칭테이블!$G:$J,4,0)*H2488</f>
        <v/>
      </c>
      <c r="O2488" s="20">
        <f>F2488&amp;E2488&amp;G2488&amp;J2488</f>
        <v/>
      </c>
    </row>
    <row r="2489" ht="16.5" customHeight="1" s="17">
      <c r="B2489" s="16" t="n">
        <v>44189</v>
      </c>
      <c r="C2489" s="20">
        <f>TEXT(B2489,"aaa")</f>
        <v/>
      </c>
      <c r="E2489" s="20">
        <f>INDEX(매칭테이블!C:C,MATCH(RD!G2489,매칭테이블!D:D,0))</f>
        <v/>
      </c>
      <c r="F2489" s="20" t="inlineStr">
        <is>
          <t>카페24</t>
        </is>
      </c>
      <c r="G2489" s="20" t="inlineStr">
        <is>
          <t>유즈 스테이포에버 솔리드퍼퓸 002 (10차 재입고 완료)제품선택=커플추천스테이포에버 + 이그나이트 세트</t>
        </is>
      </c>
      <c r="H2489" s="20" t="n">
        <v>10</v>
      </c>
      <c r="I2489" s="20">
        <f>VLOOKUP(G2489,매칭테이블!D:E,2,0)</f>
        <v/>
      </c>
      <c r="J2489" s="20" t="n">
        <v>201210</v>
      </c>
      <c r="L2489" s="20">
        <f>VLOOKUP($O2489,매칭테이블!$G:$J,2,0)*H2489</f>
        <v/>
      </c>
      <c r="M2489" s="20">
        <f>L2489-L2489*VLOOKUP($O2489,매칭테이블!$G:$J,3,0)</f>
        <v/>
      </c>
      <c r="N2489" s="20">
        <f>VLOOKUP($O2489,매칭테이블!$G:$J,4,0)*H2489</f>
        <v/>
      </c>
      <c r="O2489" s="20">
        <f>F2489&amp;E2489&amp;G2489&amp;J2489</f>
        <v/>
      </c>
    </row>
    <row r="2490" ht="16.5" customHeight="1" s="17">
      <c r="B2490" s="16" t="n">
        <v>44189</v>
      </c>
      <c r="C2490" s="20">
        <f>TEXT(B2490,"aaa")</f>
        <v/>
      </c>
      <c r="E2490" s="20">
        <f>INDEX(매칭테이블!C:C,MATCH(RD!G2490,매칭테이블!D:D,0))</f>
        <v/>
      </c>
      <c r="F2490" s="20" t="inlineStr">
        <is>
          <t>카페24</t>
        </is>
      </c>
      <c r="G2490" s="20" t="inlineStr">
        <is>
          <t>유즈 스테이포에버 솔리드퍼퓸 002 (10차 재입고 완료)쇼핑백=선물용 쇼핑백</t>
        </is>
      </c>
      <c r="H2490" s="20" t="n">
        <v>6</v>
      </c>
      <c r="I2490" s="20">
        <f>VLOOKUP(G2490,매칭테이블!D:E,2,0)</f>
        <v/>
      </c>
      <c r="J2490" s="20" t="n">
        <v>201210</v>
      </c>
      <c r="L2490" s="20">
        <f>VLOOKUP($O2490,매칭테이블!$G:$J,2,0)*H2490</f>
        <v/>
      </c>
      <c r="M2490" s="20">
        <f>L2490-L2490*VLOOKUP($O2490,매칭테이블!$G:$J,3,0)</f>
        <v/>
      </c>
      <c r="N2490" s="20">
        <f>VLOOKUP($O2490,매칭테이블!$G:$J,4,0)*H2490</f>
        <v/>
      </c>
      <c r="O2490" s="20">
        <f>F2490&amp;E2490&amp;G2490&amp;J2490</f>
        <v/>
      </c>
    </row>
    <row r="2491" ht="16.5" customHeight="1" s="17">
      <c r="B2491" s="16" t="n">
        <v>44189</v>
      </c>
      <c r="C2491" s="20">
        <f>TEXT(B2491,"aaa")</f>
        <v/>
      </c>
      <c r="E2491" s="20">
        <f>INDEX(매칭테이블!C:C,MATCH(RD!G2491,매칭테이블!D:D,0))</f>
        <v/>
      </c>
      <c r="F2491" s="20" t="inlineStr">
        <is>
          <t>카페24</t>
        </is>
      </c>
      <c r="G2491" s="20" t="inlineStr">
        <is>
          <t>유즈 이그나이트 솔리드퍼퓸 001제품선택=이그나이트 솔리드퍼퓸 - 30ml</t>
        </is>
      </c>
      <c r="H2491" s="20" t="n">
        <v>2</v>
      </c>
      <c r="I2491" s="20">
        <f>VLOOKUP(G2491,매칭테이블!D:E,2,0)</f>
        <v/>
      </c>
      <c r="J2491" s="20" t="n">
        <v>201210</v>
      </c>
      <c r="L2491" s="20">
        <f>VLOOKUP($O2491,매칭테이블!$G:$J,2,0)*H2491</f>
        <v/>
      </c>
      <c r="M2491" s="20">
        <f>L2491-L2491*VLOOKUP($O2491,매칭테이블!$G:$J,3,0)</f>
        <v/>
      </c>
      <c r="N2491" s="20">
        <f>VLOOKUP($O2491,매칭테이블!$G:$J,4,0)*H2491</f>
        <v/>
      </c>
      <c r="O2491" s="20">
        <f>F2491&amp;E2491&amp;G2491&amp;J2491</f>
        <v/>
      </c>
    </row>
    <row r="2492" ht="16.5" customHeight="1" s="17">
      <c r="B2492" s="16" t="n">
        <v>44190</v>
      </c>
      <c r="C2492" s="20">
        <f>TEXT(B2492,"aaa")</f>
        <v/>
      </c>
      <c r="E2492" s="20">
        <f>INDEX(매칭테이블!C:C,MATCH(RD!G2492,매칭테이블!D:D,0))</f>
        <v/>
      </c>
      <c r="F2492" s="20" t="inlineStr">
        <is>
          <t>카페24</t>
        </is>
      </c>
      <c r="G2492" s="20" t="inlineStr">
        <is>
          <t>유즈 솔리드퍼퓸 - 30ml (10차 재입고 완료향=이그나이트 001 SOLID PERFUME, 세트 선택=1개</t>
        </is>
      </c>
      <c r="H2492" s="20" t="n">
        <v>1</v>
      </c>
      <c r="I2492" s="20">
        <f>VLOOKUP(G2492,매칭테이블!D:E,2,0)</f>
        <v/>
      </c>
      <c r="J2492" s="20" t="n">
        <v>201210</v>
      </c>
      <c r="L2492" s="20">
        <f>VLOOKUP($O2492,매칭테이블!$G:$J,2,0)*H2492</f>
        <v/>
      </c>
      <c r="M2492" s="20">
        <f>L2492-L2492*VLOOKUP($O2492,매칭테이블!$G:$J,3,0)</f>
        <v/>
      </c>
      <c r="N2492" s="20">
        <f>VLOOKUP($O2492,매칭테이블!$G:$J,4,0)*H2492</f>
        <v/>
      </c>
      <c r="O2492" s="20">
        <f>F2492&amp;E2492&amp;G2492&amp;J2492</f>
        <v/>
      </c>
    </row>
    <row r="2493" ht="16.5" customHeight="1" s="17">
      <c r="B2493" s="16" t="n">
        <v>44190</v>
      </c>
      <c r="C2493" s="20">
        <f>TEXT(B2493,"aaa")</f>
        <v/>
      </c>
      <c r="E2493" s="20">
        <f>INDEX(매칭테이블!C:C,MATCH(RD!G2493,매칭테이블!D:D,0))</f>
        <v/>
      </c>
      <c r="F2493" s="20" t="inlineStr">
        <is>
          <t>카페24</t>
        </is>
      </c>
      <c r="G2493" s="20" t="inlineStr">
        <is>
          <t>유즈 솔리드퍼퓸 - 30ml (10차 재입고 완료향=이그나이트 001 SOLID PERFUME, 세트 선택=best</t>
        </is>
      </c>
      <c r="H2493" s="20" t="n">
        <v>1</v>
      </c>
      <c r="I2493" s="20">
        <f>VLOOKUP(G2493,매칭테이블!D:E,2,0)</f>
        <v/>
      </c>
      <c r="J2493" s="20" t="n">
        <v>201210</v>
      </c>
      <c r="L2493" s="20">
        <f>VLOOKUP($O2493,매칭테이블!$G:$J,2,0)*H2493</f>
        <v/>
      </c>
      <c r="M2493" s="20">
        <f>L2493-L2493*VLOOKUP($O2493,매칭테이블!$G:$J,3,0)</f>
        <v/>
      </c>
      <c r="N2493" s="20">
        <f>VLOOKUP($O2493,매칭테이블!$G:$J,4,0)*H2493</f>
        <v/>
      </c>
      <c r="O2493" s="20">
        <f>F2493&amp;E2493&amp;G2493&amp;J2493</f>
        <v/>
      </c>
    </row>
    <row r="2494" ht="16.5" customHeight="1" s="17">
      <c r="B2494" s="16" t="n">
        <v>44190</v>
      </c>
      <c r="C2494" s="20">
        <f>TEXT(B2494,"aaa")</f>
        <v/>
      </c>
      <c r="E2494" s="20">
        <f>INDEX(매칭테이블!C:C,MATCH(RD!G2494,매칭테이블!D:D,0))</f>
        <v/>
      </c>
      <c r="F2494" s="20" t="inlineStr">
        <is>
          <t>카페24</t>
        </is>
      </c>
      <c r="G2494" s="20" t="inlineStr">
        <is>
          <t>유즈 솔리드퍼퓸 - 30ml (10차 재입고 완료향=스테이포에버 002 SOLID PERFUME, 세트 선택=1개</t>
        </is>
      </c>
      <c r="H2494" s="20" t="n">
        <v>9</v>
      </c>
      <c r="I2494" s="20">
        <f>VLOOKUP(G2494,매칭테이블!D:E,2,0)</f>
        <v/>
      </c>
      <c r="J2494" s="20" t="n">
        <v>201210</v>
      </c>
      <c r="L2494" s="20">
        <f>VLOOKUP($O2494,매칭테이블!$G:$J,2,0)*H2494</f>
        <v/>
      </c>
      <c r="M2494" s="20">
        <f>L2494-L2494*VLOOKUP($O2494,매칭테이블!$G:$J,3,0)</f>
        <v/>
      </c>
      <c r="N2494" s="20">
        <f>VLOOKUP($O2494,매칭테이블!$G:$J,4,0)*H2494</f>
        <v/>
      </c>
      <c r="O2494" s="20">
        <f>F2494&amp;E2494&amp;G2494&amp;J2494</f>
        <v/>
      </c>
    </row>
    <row r="2495" ht="16.5" customHeight="1" s="17">
      <c r="B2495" s="16" t="n">
        <v>44190</v>
      </c>
      <c r="C2495" s="20">
        <f>TEXT(B2495,"aaa")</f>
        <v/>
      </c>
      <c r="E2495" s="20">
        <f>INDEX(매칭테이블!C:C,MATCH(RD!G2495,매칭테이블!D:D,0))</f>
        <v/>
      </c>
      <c r="F2495" s="20" t="inlineStr">
        <is>
          <t>카페24</t>
        </is>
      </c>
      <c r="G2495" s="20" t="inlineStr">
        <is>
          <t>유즈 솔리드퍼퓸 - 30ml (10차 재입고 완료향=스테이포에버 002 SOLID PERFUME, 세트 선택=best</t>
        </is>
      </c>
      <c r="H2495" s="20" t="n">
        <v>4</v>
      </c>
      <c r="I2495" s="20">
        <f>VLOOKUP(G2495,매칭테이블!D:E,2,0)</f>
        <v/>
      </c>
      <c r="J2495" s="20" t="n">
        <v>201210</v>
      </c>
      <c r="L2495" s="20">
        <f>VLOOKUP($O2495,매칭테이블!$G:$J,2,0)*H2495</f>
        <v/>
      </c>
      <c r="M2495" s="20">
        <f>L2495-L2495*VLOOKUP($O2495,매칭테이블!$G:$J,3,0)</f>
        <v/>
      </c>
      <c r="N2495" s="20">
        <f>VLOOKUP($O2495,매칭테이블!$G:$J,4,0)*H2495</f>
        <v/>
      </c>
      <c r="O2495" s="20">
        <f>F2495&amp;E2495&amp;G2495&amp;J2495</f>
        <v/>
      </c>
    </row>
    <row r="2496" ht="16.5" customHeight="1" s="17">
      <c r="B2496" s="16" t="n">
        <v>44190</v>
      </c>
      <c r="C2496" s="20">
        <f>TEXT(B2496,"aaa")</f>
        <v/>
      </c>
      <c r="E2496" s="20">
        <f>INDEX(매칭테이블!C:C,MATCH(RD!G2496,매칭테이블!D:D,0))</f>
        <v/>
      </c>
      <c r="F2496" s="20" t="inlineStr">
        <is>
          <t>카페24</t>
        </is>
      </c>
      <c r="G2496" s="20" t="inlineStr">
        <is>
          <t>유즈 솔리드퍼퓸 - 30ml (10차 재입고 완료향=커플세트</t>
        </is>
      </c>
      <c r="H2496" s="20" t="n">
        <v>4</v>
      </c>
      <c r="I2496" s="20">
        <f>VLOOKUP(G2496,매칭테이블!D:E,2,0)</f>
        <v/>
      </c>
      <c r="J2496" s="20" t="n">
        <v>201210</v>
      </c>
      <c r="L2496" s="20">
        <f>VLOOKUP($O2496,매칭테이블!$G:$J,2,0)*H2496</f>
        <v/>
      </c>
      <c r="M2496" s="20">
        <f>L2496-L2496*VLOOKUP($O2496,매칭테이블!$G:$J,3,0)</f>
        <v/>
      </c>
      <c r="N2496" s="20">
        <f>VLOOKUP($O2496,매칭테이블!$G:$J,4,0)*H2496</f>
        <v/>
      </c>
      <c r="O2496" s="20">
        <f>F2496&amp;E2496&amp;G2496&amp;J2496</f>
        <v/>
      </c>
    </row>
    <row r="2497" ht="16.5" customHeight="1" s="17">
      <c r="B2497" s="16" t="n">
        <v>44190</v>
      </c>
      <c r="C2497" s="20">
        <f>TEXT(B2497,"aaa")</f>
        <v/>
      </c>
      <c r="E2497" s="20">
        <f>INDEX(매칭테이블!C:C,MATCH(RD!G2497,매칭테이블!D:D,0))</f>
        <v/>
      </c>
      <c r="F2497" s="20" t="inlineStr">
        <is>
          <t>카페24</t>
        </is>
      </c>
      <c r="G2497" s="20" t="inlineStr">
        <is>
          <t>유즈 솔리드퍼퓸 - 30ml (10차 재입고 완료향=커플세트</t>
        </is>
      </c>
      <c r="H2497" s="20" t="n">
        <v>2</v>
      </c>
      <c r="I2497" s="20">
        <f>VLOOKUP(G2497,매칭테이블!D:E,2,0)</f>
        <v/>
      </c>
      <c r="J2497" s="20" t="n">
        <v>201210</v>
      </c>
      <c r="L2497" s="20">
        <f>VLOOKUP($O2497,매칭테이블!$G:$J,2,0)*H2497</f>
        <v/>
      </c>
      <c r="M2497" s="20">
        <f>L2497-L2497*VLOOKUP($O2497,매칭테이블!$G:$J,3,0)</f>
        <v/>
      </c>
      <c r="N2497" s="20">
        <f>VLOOKUP($O2497,매칭테이블!$G:$J,4,0)*H2497</f>
        <v/>
      </c>
      <c r="O2497" s="20">
        <f>F2497&amp;E2497&amp;G2497&amp;J2497</f>
        <v/>
      </c>
    </row>
    <row r="2498" ht="16.5" customHeight="1" s="17">
      <c r="B2498" s="16" t="n">
        <v>44190</v>
      </c>
      <c r="C2498" s="20">
        <f>TEXT(B2498,"aaa")</f>
        <v/>
      </c>
      <c r="E2498" s="20">
        <f>INDEX(매칭테이블!C:C,MATCH(RD!G2498,매칭테이블!D:D,0))</f>
        <v/>
      </c>
      <c r="F2498" s="20" t="inlineStr">
        <is>
          <t>카페24</t>
        </is>
      </c>
      <c r="G2498" s="20" t="inlineStr">
        <is>
          <t>유즈 솔리드퍼퓸 - 30ml (10차 재입고 완료 )향=스테이포에버 002 SOLID PERFUME, 세트 선택=1개</t>
        </is>
      </c>
      <c r="H2498" s="20" t="n">
        <v>4</v>
      </c>
      <c r="I2498" s="20">
        <f>VLOOKUP(G2498,매칭테이블!D:E,2,0)</f>
        <v/>
      </c>
      <c r="J2498" s="20" t="n">
        <v>201210</v>
      </c>
      <c r="L2498" s="20">
        <f>VLOOKUP($O2498,매칭테이블!$G:$J,2,0)*H2498</f>
        <v/>
      </c>
      <c r="M2498" s="20">
        <f>L2498-L2498*VLOOKUP($O2498,매칭테이블!$G:$J,3,0)</f>
        <v/>
      </c>
      <c r="N2498" s="20">
        <f>VLOOKUP($O2498,매칭테이블!$G:$J,4,0)*H2498</f>
        <v/>
      </c>
      <c r="O2498" s="20">
        <f>F2498&amp;E2498&amp;G2498&amp;J2498</f>
        <v/>
      </c>
    </row>
    <row r="2499" ht="16.5" customHeight="1" s="17">
      <c r="B2499" s="16" t="n">
        <v>44190</v>
      </c>
      <c r="C2499" s="20">
        <f>TEXT(B2499,"aaa")</f>
        <v/>
      </c>
      <c r="E2499" s="20">
        <f>INDEX(매칭테이블!C:C,MATCH(RD!G2499,매칭테이블!D:D,0))</f>
        <v/>
      </c>
      <c r="F2499" s="20" t="inlineStr">
        <is>
          <t>카페24</t>
        </is>
      </c>
      <c r="G2499" s="20" t="inlineStr">
        <is>
          <t>유즈 솔리드퍼퓸 - 30ml (10차 재입고 완료 )향=스테이포에버 002 SOLID PERFUME, 세트 선택=best 2개 (28% 할인)</t>
        </is>
      </c>
      <c r="H2499" s="20" t="n">
        <v>2</v>
      </c>
      <c r="I2499" s="20">
        <f>VLOOKUP(G2499,매칭테이블!D:E,2,0)</f>
        <v/>
      </c>
      <c r="J2499" s="20" t="n">
        <v>201210</v>
      </c>
      <c r="L2499" s="20">
        <f>VLOOKUP($O2499,매칭테이블!$G:$J,2,0)*H2499</f>
        <v/>
      </c>
      <c r="M2499" s="20">
        <f>L2499-L2499*VLOOKUP($O2499,매칭테이블!$G:$J,3,0)</f>
        <v/>
      </c>
      <c r="N2499" s="20">
        <f>VLOOKUP($O2499,매칭테이블!$G:$J,4,0)*H2499</f>
        <v/>
      </c>
      <c r="O2499" s="20">
        <f>F2499&amp;E2499&amp;G2499&amp;J2499</f>
        <v/>
      </c>
    </row>
    <row r="2500" ht="16.5" customHeight="1" s="17">
      <c r="B2500" s="16" t="n">
        <v>44190</v>
      </c>
      <c r="C2500" s="20">
        <f>TEXT(B2500,"aaa")</f>
        <v/>
      </c>
      <c r="E2500" s="20">
        <f>INDEX(매칭테이블!C:C,MATCH(RD!G2500,매칭테이블!D:D,0))</f>
        <v/>
      </c>
      <c r="F2500" s="20" t="inlineStr">
        <is>
          <t>카페24</t>
        </is>
      </c>
      <c r="G2500" s="20" t="inlineStr">
        <is>
          <t>유즈 솔리드퍼퓸 - 30ml (10차 재입고 완료 )향=커플세트(이그나이트 + 스테이포에버), 세트 선택=1 SET</t>
        </is>
      </c>
      <c r="H2500" s="20" t="n">
        <v>5</v>
      </c>
      <c r="I2500" s="20">
        <f>VLOOKUP(G2500,매칭테이블!D:E,2,0)</f>
        <v/>
      </c>
      <c r="J2500" s="20" t="n">
        <v>201210</v>
      </c>
      <c r="L2500" s="20">
        <f>VLOOKUP($O2500,매칭테이블!$G:$J,2,0)*H2500</f>
        <v/>
      </c>
      <c r="M2500" s="20">
        <f>L2500-L2500*VLOOKUP($O2500,매칭테이블!$G:$J,3,0)</f>
        <v/>
      </c>
      <c r="N2500" s="20">
        <f>VLOOKUP($O2500,매칭테이블!$G:$J,4,0)*H2500</f>
        <v/>
      </c>
      <c r="O2500" s="20">
        <f>F2500&amp;E2500&amp;G2500&amp;J2500</f>
        <v/>
      </c>
    </row>
    <row r="2501" ht="16.5" customHeight="1" s="17">
      <c r="B2501" s="16" t="n">
        <v>44190</v>
      </c>
      <c r="C2501" s="20">
        <f>TEXT(B2501,"aaa")</f>
        <v/>
      </c>
      <c r="E2501" s="20">
        <f>INDEX(매칭테이블!C:C,MATCH(RD!G2501,매칭테이블!D:D,0))</f>
        <v/>
      </c>
      <c r="F2501" s="20" t="inlineStr">
        <is>
          <t>카페24</t>
        </is>
      </c>
      <c r="G2501" s="20" t="inlineStr">
        <is>
          <t>유즈 솔리드퍼퓸 - 30ml (10차 재입고 완료)향=커플세트</t>
        </is>
      </c>
      <c r="H2501" s="20" t="n">
        <v>1</v>
      </c>
      <c r="I2501" s="20">
        <f>VLOOKUP(G2501,매칭테이블!D:E,2,0)</f>
        <v/>
      </c>
      <c r="J2501" s="20" t="n">
        <v>201210</v>
      </c>
      <c r="L2501" s="20">
        <f>VLOOKUP($O2501,매칭테이블!$G:$J,2,0)*H2501</f>
        <v/>
      </c>
      <c r="M2501" s="20">
        <f>L2501-L2501*VLOOKUP($O2501,매칭테이블!$G:$J,3,0)</f>
        <v/>
      </c>
      <c r="N2501" s="20">
        <f>VLOOKUP($O2501,매칭테이블!$G:$J,4,0)*H2501</f>
        <v/>
      </c>
      <c r="O2501" s="20">
        <f>F2501&amp;E2501&amp;G2501&amp;J2501</f>
        <v/>
      </c>
    </row>
    <row r="2502" ht="16.5" customHeight="1" s="17">
      <c r="B2502" s="16" t="n">
        <v>44190</v>
      </c>
      <c r="C2502" s="20">
        <f>TEXT(B2502,"aaa")</f>
        <v/>
      </c>
      <c r="E2502" s="20">
        <f>INDEX(매칭테이블!C:C,MATCH(RD!G2502,매칭테이블!D:D,0))</f>
        <v/>
      </c>
      <c r="F2502" s="20" t="inlineStr">
        <is>
          <t>카페24</t>
        </is>
      </c>
      <c r="G2502" s="20" t="inlineStr">
        <is>
          <t>유즈 스테이포에버 솔리드퍼퓸 002 (10차 재입고 완료제품선택=스테이포에버 1개</t>
        </is>
      </c>
      <c r="H2502" s="20" t="n">
        <v>141</v>
      </c>
      <c r="I2502" s="20">
        <f>VLOOKUP(G2502,매칭테이블!D:E,2,0)</f>
        <v/>
      </c>
      <c r="J2502" s="20" t="n">
        <v>201210</v>
      </c>
      <c r="L2502" s="20">
        <f>VLOOKUP($O2502,매칭테이블!$G:$J,2,0)*H2502</f>
        <v/>
      </c>
      <c r="M2502" s="20">
        <f>L2502-L2502*VLOOKUP($O2502,매칭테이블!$G:$J,3,0)</f>
        <v/>
      </c>
      <c r="N2502" s="20">
        <f>VLOOKUP($O2502,매칭테이블!$G:$J,4,0)*H2502</f>
        <v/>
      </c>
      <c r="O2502" s="20">
        <f>F2502&amp;E2502&amp;G2502&amp;J2502</f>
        <v/>
      </c>
    </row>
    <row r="2503" ht="16.5" customHeight="1" s="17">
      <c r="B2503" s="16" t="n">
        <v>44190</v>
      </c>
      <c r="C2503" s="20">
        <f>TEXT(B2503,"aaa")</f>
        <v/>
      </c>
      <c r="E2503" s="20">
        <f>INDEX(매칭테이블!C:C,MATCH(RD!G2503,매칭테이블!D:D,0))</f>
        <v/>
      </c>
      <c r="F2503" s="20" t="inlineStr">
        <is>
          <t>카페24</t>
        </is>
      </c>
      <c r="G2503" s="20" t="inlineStr">
        <is>
          <t>유즈 스테이포에버 솔리드퍼퓸 002 (10차 재입고 완료제품선택=best</t>
        </is>
      </c>
      <c r="H2503" s="20" t="n">
        <v>76</v>
      </c>
      <c r="I2503" s="20">
        <f>VLOOKUP(G2503,매칭테이블!D:E,2,0)</f>
        <v/>
      </c>
      <c r="J2503" s="20" t="n">
        <v>201210</v>
      </c>
      <c r="L2503" s="20">
        <f>VLOOKUP($O2503,매칭테이블!$G:$J,2,0)*H2503</f>
        <v/>
      </c>
      <c r="M2503" s="20">
        <f>L2503-L2503*VLOOKUP($O2503,매칭테이블!$G:$J,3,0)</f>
        <v/>
      </c>
      <c r="N2503" s="20">
        <f>VLOOKUP($O2503,매칭테이블!$G:$J,4,0)*H2503</f>
        <v/>
      </c>
      <c r="O2503" s="20">
        <f>F2503&amp;E2503&amp;G2503&amp;J2503</f>
        <v/>
      </c>
    </row>
    <row r="2504" ht="16.5" customHeight="1" s="17">
      <c r="B2504" s="16" t="n">
        <v>44190</v>
      </c>
      <c r="C2504" s="20">
        <f>TEXT(B2504,"aaa")</f>
        <v/>
      </c>
      <c r="E2504" s="20">
        <f>INDEX(매칭테이블!C:C,MATCH(RD!G2504,매칭테이블!D:D,0))</f>
        <v/>
      </c>
      <c r="F2504" s="20" t="inlineStr">
        <is>
          <t>카페24</t>
        </is>
      </c>
      <c r="G2504" s="20" t="inlineStr">
        <is>
          <t>유즈 스테이포에버 솔리드퍼퓸 002 (10차 재입고 완료제품선택=커플추천</t>
        </is>
      </c>
      <c r="H2504" s="20" t="n">
        <v>11</v>
      </c>
      <c r="I2504" s="20">
        <f>VLOOKUP(G2504,매칭테이블!D:E,2,0)</f>
        <v/>
      </c>
      <c r="J2504" s="20" t="n">
        <v>201210</v>
      </c>
      <c r="L2504" s="20">
        <f>VLOOKUP($O2504,매칭테이블!$G:$J,2,0)*H2504</f>
        <v/>
      </c>
      <c r="M2504" s="20">
        <f>L2504-L2504*VLOOKUP($O2504,매칭테이블!$G:$J,3,0)</f>
        <v/>
      </c>
      <c r="N2504" s="20">
        <f>VLOOKUP($O2504,매칭테이블!$G:$J,4,0)*H2504</f>
        <v/>
      </c>
      <c r="O2504" s="20">
        <f>F2504&amp;E2504&amp;G2504&amp;J2504</f>
        <v/>
      </c>
    </row>
    <row r="2505" ht="16.5" customHeight="1" s="17">
      <c r="B2505" s="16" t="n">
        <v>44190</v>
      </c>
      <c r="C2505" s="20">
        <f>TEXT(B2505,"aaa")</f>
        <v/>
      </c>
      <c r="E2505" s="20">
        <f>INDEX(매칭테이블!C:C,MATCH(RD!G2505,매칭테이블!D:D,0))</f>
        <v/>
      </c>
      <c r="F2505" s="20" t="inlineStr">
        <is>
          <t>카페24</t>
        </is>
      </c>
      <c r="G2505" s="20" t="inlineStr">
        <is>
          <t>유즈 스테이포에버 솔리드퍼퓸 002 (10차 재입고 완료쇼핑백=선물용 쇼핑백</t>
        </is>
      </c>
      <c r="H2505" s="20" t="n">
        <v>4</v>
      </c>
      <c r="I2505" s="20">
        <f>VLOOKUP(G2505,매칭테이블!D:E,2,0)</f>
        <v/>
      </c>
      <c r="J2505" s="20" t="n">
        <v>201210</v>
      </c>
      <c r="L2505" s="20">
        <f>VLOOKUP($O2505,매칭테이블!$G:$J,2,0)*H2505</f>
        <v/>
      </c>
      <c r="M2505" s="20">
        <f>L2505-L2505*VLOOKUP($O2505,매칭테이블!$G:$J,3,0)</f>
        <v/>
      </c>
      <c r="N2505" s="20">
        <f>VLOOKUP($O2505,매칭테이블!$G:$J,4,0)*H2505</f>
        <v/>
      </c>
      <c r="O2505" s="20">
        <f>F2505&amp;E2505&amp;G2505&amp;J2505</f>
        <v/>
      </c>
    </row>
    <row r="2506" ht="16.5" customHeight="1" s="17">
      <c r="B2506" s="16" t="n">
        <v>44190</v>
      </c>
      <c r="C2506" s="20">
        <f>TEXT(B2506,"aaa")</f>
        <v/>
      </c>
      <c r="E2506" s="20">
        <f>INDEX(매칭테이블!C:C,MATCH(RD!G2506,매칭테이블!D:D,0))</f>
        <v/>
      </c>
      <c r="F2506" s="20" t="inlineStr">
        <is>
          <t>카페24</t>
        </is>
      </c>
      <c r="G2506" s="20" t="inlineStr">
        <is>
          <t>유즈 스테이포에버 솔리드퍼퓸 002 (10차 재입고 완료)제품선택=스테이포에버 1개</t>
        </is>
      </c>
      <c r="H2506" s="20" t="n">
        <v>264</v>
      </c>
      <c r="I2506" s="20">
        <f>VLOOKUP(G2506,매칭테이블!D:E,2,0)</f>
        <v/>
      </c>
      <c r="J2506" s="20" t="n">
        <v>201210</v>
      </c>
      <c r="L2506" s="20">
        <f>VLOOKUP($O2506,매칭테이블!$G:$J,2,0)*H2506</f>
        <v/>
      </c>
      <c r="M2506" s="20">
        <f>L2506-L2506*VLOOKUP($O2506,매칭테이블!$G:$J,3,0)</f>
        <v/>
      </c>
      <c r="N2506" s="20">
        <f>VLOOKUP($O2506,매칭테이블!$G:$J,4,0)*H2506</f>
        <v/>
      </c>
      <c r="O2506" s="20">
        <f>F2506&amp;E2506&amp;G2506&amp;J2506</f>
        <v/>
      </c>
    </row>
    <row r="2507" ht="16.5" customHeight="1" s="17">
      <c r="B2507" s="16" t="n">
        <v>44190</v>
      </c>
      <c r="C2507" s="20">
        <f>TEXT(B2507,"aaa")</f>
        <v/>
      </c>
      <c r="E2507" s="20">
        <f>INDEX(매칭테이블!C:C,MATCH(RD!G2507,매칭테이블!D:D,0))</f>
        <v/>
      </c>
      <c r="F2507" s="20" t="inlineStr">
        <is>
          <t>카페24</t>
        </is>
      </c>
      <c r="G2507" s="20" t="inlineStr">
        <is>
          <t>유즈 스테이포에버 솔리드퍼퓸 002 (10차 재입고 완료)제품선택=best스테이포에버 2개[28% 할인]</t>
        </is>
      </c>
      <c r="H2507" s="20" t="n">
        <v>115</v>
      </c>
      <c r="I2507" s="20">
        <f>VLOOKUP(G2507,매칭테이블!D:E,2,0)</f>
        <v/>
      </c>
      <c r="J2507" s="20" t="n">
        <v>201210</v>
      </c>
      <c r="L2507" s="20">
        <f>VLOOKUP($O2507,매칭테이블!$G:$J,2,0)*H2507</f>
        <v/>
      </c>
      <c r="M2507" s="20">
        <f>L2507-L2507*VLOOKUP($O2507,매칭테이블!$G:$J,3,0)</f>
        <v/>
      </c>
      <c r="N2507" s="20">
        <f>VLOOKUP($O2507,매칭테이블!$G:$J,4,0)*H2507</f>
        <v/>
      </c>
      <c r="O2507" s="20">
        <f>F2507&amp;E2507&amp;G2507&amp;J2507</f>
        <v/>
      </c>
    </row>
    <row r="2508" ht="16.5" customHeight="1" s="17">
      <c r="B2508" s="16" t="n">
        <v>44190</v>
      </c>
      <c r="C2508" s="20">
        <f>TEXT(B2508,"aaa")</f>
        <v/>
      </c>
      <c r="E2508" s="20">
        <f>INDEX(매칭테이블!C:C,MATCH(RD!G2508,매칭테이블!D:D,0))</f>
        <v/>
      </c>
      <c r="F2508" s="20" t="inlineStr">
        <is>
          <t>카페24</t>
        </is>
      </c>
      <c r="G2508" s="20" t="inlineStr">
        <is>
          <t>유즈 스테이포에버 솔리드퍼퓸 002 (10차 재입고 완료)제품선택=커플추천스테이포에버 + 이그나이트 세트</t>
        </is>
      </c>
      <c r="H2508" s="20" t="n">
        <v>21</v>
      </c>
      <c r="I2508" s="20">
        <f>VLOOKUP(G2508,매칭테이블!D:E,2,0)</f>
        <v/>
      </c>
      <c r="J2508" s="20" t="n">
        <v>201210</v>
      </c>
      <c r="L2508" s="20">
        <f>VLOOKUP($O2508,매칭테이블!$G:$J,2,0)*H2508</f>
        <v/>
      </c>
      <c r="M2508" s="20">
        <f>L2508-L2508*VLOOKUP($O2508,매칭테이블!$G:$J,3,0)</f>
        <v/>
      </c>
      <c r="N2508" s="20">
        <f>VLOOKUP($O2508,매칭테이블!$G:$J,4,0)*H2508</f>
        <v/>
      </c>
      <c r="O2508" s="20">
        <f>F2508&amp;E2508&amp;G2508&amp;J2508</f>
        <v/>
      </c>
    </row>
    <row r="2509" ht="16.5" customHeight="1" s="17">
      <c r="B2509" s="16" t="n">
        <v>44190</v>
      </c>
      <c r="C2509" s="20">
        <f>TEXT(B2509,"aaa")</f>
        <v/>
      </c>
      <c r="E2509" s="20">
        <f>INDEX(매칭테이블!C:C,MATCH(RD!G2509,매칭테이블!D:D,0))</f>
        <v/>
      </c>
      <c r="F2509" s="20" t="inlineStr">
        <is>
          <t>카페24</t>
        </is>
      </c>
      <c r="G2509" s="20" t="inlineStr">
        <is>
          <t>유즈 스테이포에버 솔리드퍼퓸 002 (10차 재입고 완료)쇼핑백=선물용 쇼핑백</t>
        </is>
      </c>
      <c r="H2509" s="20" t="n">
        <v>13</v>
      </c>
      <c r="I2509" s="20">
        <f>VLOOKUP(G2509,매칭테이블!D:E,2,0)</f>
        <v/>
      </c>
      <c r="J2509" s="20" t="n">
        <v>201210</v>
      </c>
      <c r="L2509" s="20">
        <f>VLOOKUP($O2509,매칭테이블!$G:$J,2,0)*H2509</f>
        <v/>
      </c>
      <c r="M2509" s="20">
        <f>L2509-L2509*VLOOKUP($O2509,매칭테이블!$G:$J,3,0)</f>
        <v/>
      </c>
      <c r="N2509" s="20">
        <f>VLOOKUP($O2509,매칭테이블!$G:$J,4,0)*H2509</f>
        <v/>
      </c>
      <c r="O2509" s="20">
        <f>F2509&amp;E2509&amp;G2509&amp;J2509</f>
        <v/>
      </c>
    </row>
    <row r="2510" ht="16.5" customHeight="1" s="17">
      <c r="B2510" s="16" t="n">
        <v>44190</v>
      </c>
      <c r="C2510" s="20">
        <f>TEXT(B2510,"aaa")</f>
        <v/>
      </c>
      <c r="E2510" s="20">
        <f>INDEX(매칭테이블!C:C,MATCH(RD!G2510,매칭테이블!D:D,0))</f>
        <v/>
      </c>
      <c r="F2510" s="20" t="inlineStr">
        <is>
          <t>카페24</t>
        </is>
      </c>
      <c r="G2510" s="20" t="inlineStr">
        <is>
          <t>유즈 이그나이트 솔리드퍼퓸 001제품선택=이그나이트 솔리드퍼퓸 - 30ml</t>
        </is>
      </c>
      <c r="H2510" s="20" t="n">
        <v>6</v>
      </c>
      <c r="I2510" s="20">
        <f>VLOOKUP(G2510,매칭테이블!D:E,2,0)</f>
        <v/>
      </c>
      <c r="J2510" s="20" t="n">
        <v>201210</v>
      </c>
      <c r="L2510" s="20">
        <f>VLOOKUP($O2510,매칭테이블!$G:$J,2,0)*H2510</f>
        <v/>
      </c>
      <c r="M2510" s="20">
        <f>L2510-L2510*VLOOKUP($O2510,매칭테이블!$G:$J,3,0)</f>
        <v/>
      </c>
      <c r="N2510" s="20">
        <f>VLOOKUP($O2510,매칭테이블!$G:$J,4,0)*H2510</f>
        <v/>
      </c>
      <c r="O2510" s="20">
        <f>F2510&amp;E2510&amp;G2510&amp;J2510</f>
        <v/>
      </c>
    </row>
    <row r="2511" ht="16.5" customHeight="1" s="17">
      <c r="B2511" s="16" t="n">
        <v>44190</v>
      </c>
      <c r="C2511" s="20">
        <f>TEXT(B2511,"aaa")</f>
        <v/>
      </c>
      <c r="E2511" s="20">
        <f>INDEX(매칭테이블!C:C,MATCH(RD!G2511,매칭테이블!D:D,0))</f>
        <v/>
      </c>
      <c r="F2511" s="20" t="inlineStr">
        <is>
          <t>카페24</t>
        </is>
      </c>
      <c r="G2511" s="20" t="inlineStr">
        <is>
          <t>유즈 이그나이트 솔리드퍼퓸 001제품선택=이그나이트 2개 세트</t>
        </is>
      </c>
      <c r="H2511" s="20" t="n">
        <v>2</v>
      </c>
      <c r="I2511" s="20">
        <f>VLOOKUP(G2511,매칭테이블!D:E,2,0)</f>
        <v/>
      </c>
      <c r="J2511" s="20" t="n">
        <v>201210</v>
      </c>
      <c r="L2511" s="20">
        <f>VLOOKUP($O2511,매칭테이블!$G:$J,2,0)*H2511</f>
        <v/>
      </c>
      <c r="M2511" s="20">
        <f>L2511-L2511*VLOOKUP($O2511,매칭테이블!$G:$J,3,0)</f>
        <v/>
      </c>
      <c r="N2511" s="20">
        <f>VLOOKUP($O2511,매칭테이블!$G:$J,4,0)*H2511</f>
        <v/>
      </c>
      <c r="O2511" s="20">
        <f>F2511&amp;E2511&amp;G2511&amp;J2511</f>
        <v/>
      </c>
    </row>
    <row r="2512" ht="16.5" customHeight="1" s="17">
      <c r="B2512" s="16" t="n">
        <v>44191</v>
      </c>
      <c r="C2512" s="20">
        <f>TEXT(B2512,"aaa")</f>
        <v/>
      </c>
      <c r="E2512" s="20">
        <f>INDEX(매칭테이블!C:C,MATCH(RD!G2512,매칭테이블!D:D,0))</f>
        <v/>
      </c>
      <c r="F2512" s="20" t="inlineStr">
        <is>
          <t>카페24</t>
        </is>
      </c>
      <c r="G2512" s="20" t="inlineStr">
        <is>
          <t>유즈 솔리드퍼퓸 - 30ml (10차 재입고 완료향=스테이포에버 002 SOLID PERFUME, 세트 선택=1개</t>
        </is>
      </c>
      <c r="H2512" s="20" t="n">
        <v>7</v>
      </c>
      <c r="I2512" s="20">
        <f>VLOOKUP(G2512,매칭테이블!D:E,2,0)</f>
        <v/>
      </c>
      <c r="J2512" s="20" t="n">
        <v>201210</v>
      </c>
      <c r="L2512" s="20">
        <f>VLOOKUP($O2512,매칭테이블!$G:$J,2,0)*H2512</f>
        <v/>
      </c>
      <c r="M2512" s="20">
        <f>L2512-L2512*VLOOKUP($O2512,매칭테이블!$G:$J,3,0)</f>
        <v/>
      </c>
      <c r="N2512" s="20">
        <f>VLOOKUP($O2512,매칭테이블!$G:$J,4,0)*H2512</f>
        <v/>
      </c>
      <c r="O2512" s="20">
        <f>F2512&amp;E2512&amp;G2512&amp;J2512</f>
        <v/>
      </c>
    </row>
    <row r="2513" ht="16.5" customHeight="1" s="17">
      <c r="B2513" s="16" t="n">
        <v>44191</v>
      </c>
      <c r="C2513" s="20">
        <f>TEXT(B2513,"aaa")</f>
        <v/>
      </c>
      <c r="E2513" s="20">
        <f>INDEX(매칭테이블!C:C,MATCH(RD!G2513,매칭테이블!D:D,0))</f>
        <v/>
      </c>
      <c r="F2513" s="20" t="inlineStr">
        <is>
          <t>카페24</t>
        </is>
      </c>
      <c r="G2513" s="20" t="inlineStr">
        <is>
          <t>유즈 솔리드퍼퓸 - 30ml (10차 재입고 완료향=스테이포에버 002 SOLID PERFUME, 세트 선택=best</t>
        </is>
      </c>
      <c r="H2513" s="20" t="n">
        <v>5</v>
      </c>
      <c r="I2513" s="20">
        <f>VLOOKUP(G2513,매칭테이블!D:E,2,0)</f>
        <v/>
      </c>
      <c r="J2513" s="20" t="n">
        <v>201210</v>
      </c>
      <c r="L2513" s="20">
        <f>VLOOKUP($O2513,매칭테이블!$G:$J,2,0)*H2513</f>
        <v/>
      </c>
      <c r="M2513" s="20">
        <f>L2513-L2513*VLOOKUP($O2513,매칭테이블!$G:$J,3,0)</f>
        <v/>
      </c>
      <c r="N2513" s="20">
        <f>VLOOKUP($O2513,매칭테이블!$G:$J,4,0)*H2513</f>
        <v/>
      </c>
      <c r="O2513" s="20">
        <f>F2513&amp;E2513&amp;G2513&amp;J2513</f>
        <v/>
      </c>
    </row>
    <row r="2514" ht="16.5" customHeight="1" s="17">
      <c r="B2514" s="16" t="n">
        <v>44191</v>
      </c>
      <c r="C2514" s="20">
        <f>TEXT(B2514,"aaa")</f>
        <v/>
      </c>
      <c r="E2514" s="20">
        <f>INDEX(매칭테이블!C:C,MATCH(RD!G2514,매칭테이블!D:D,0))</f>
        <v/>
      </c>
      <c r="F2514" s="20" t="inlineStr">
        <is>
          <t>카페24</t>
        </is>
      </c>
      <c r="G2514" s="20" t="inlineStr">
        <is>
          <t>유즈 솔리드퍼퓸 - 30ml (10차 재입고 완료향=커플세트</t>
        </is>
      </c>
      <c r="H2514" s="20" t="n">
        <v>7</v>
      </c>
      <c r="I2514" s="20">
        <f>VLOOKUP(G2514,매칭테이블!D:E,2,0)</f>
        <v/>
      </c>
      <c r="J2514" s="20" t="n">
        <v>201210</v>
      </c>
      <c r="L2514" s="20">
        <f>VLOOKUP($O2514,매칭테이블!$G:$J,2,0)*H2514</f>
        <v/>
      </c>
      <c r="M2514" s="20">
        <f>L2514-L2514*VLOOKUP($O2514,매칭테이블!$G:$J,3,0)</f>
        <v/>
      </c>
      <c r="N2514" s="20">
        <f>VLOOKUP($O2514,매칭테이블!$G:$J,4,0)*H2514</f>
        <v/>
      </c>
      <c r="O2514" s="20">
        <f>F2514&amp;E2514&amp;G2514&amp;J2514</f>
        <v/>
      </c>
    </row>
    <row r="2515" ht="16.5" customHeight="1" s="17">
      <c r="B2515" s="16" t="n">
        <v>44191</v>
      </c>
      <c r="C2515" s="20">
        <f>TEXT(B2515,"aaa")</f>
        <v/>
      </c>
      <c r="E2515" s="20">
        <f>INDEX(매칭테이블!C:C,MATCH(RD!G2515,매칭테이블!D:D,0))</f>
        <v/>
      </c>
      <c r="F2515" s="20" t="inlineStr">
        <is>
          <t>카페24</t>
        </is>
      </c>
      <c r="G2515" s="20" t="inlineStr">
        <is>
          <t>유즈 솔리드퍼퓸 - 30ml (10차 재입고 완료 )향=스테이포에버 002 SOLID PERFUME, 세트 선택=1개</t>
        </is>
      </c>
      <c r="H2515" s="20" t="n">
        <v>11</v>
      </c>
      <c r="I2515" s="20">
        <f>VLOOKUP(G2515,매칭테이블!D:E,2,0)</f>
        <v/>
      </c>
      <c r="J2515" s="20" t="n">
        <v>201210</v>
      </c>
      <c r="L2515" s="20">
        <f>VLOOKUP($O2515,매칭테이블!$G:$J,2,0)*H2515</f>
        <v/>
      </c>
      <c r="M2515" s="20">
        <f>L2515-L2515*VLOOKUP($O2515,매칭테이블!$G:$J,3,0)</f>
        <v/>
      </c>
      <c r="N2515" s="20">
        <f>VLOOKUP($O2515,매칭테이블!$G:$J,4,0)*H2515</f>
        <v/>
      </c>
      <c r="O2515" s="20">
        <f>F2515&amp;E2515&amp;G2515&amp;J2515</f>
        <v/>
      </c>
    </row>
    <row r="2516" ht="16.5" customHeight="1" s="17">
      <c r="B2516" s="16" t="n">
        <v>44191</v>
      </c>
      <c r="C2516" s="20">
        <f>TEXT(B2516,"aaa")</f>
        <v/>
      </c>
      <c r="E2516" s="20">
        <f>INDEX(매칭테이블!C:C,MATCH(RD!G2516,매칭테이블!D:D,0))</f>
        <v/>
      </c>
      <c r="F2516" s="20" t="inlineStr">
        <is>
          <t>카페24</t>
        </is>
      </c>
      <c r="G2516" s="20" t="inlineStr">
        <is>
          <t>유즈 솔리드퍼퓸 - 30ml (10차 재입고 완료 )향=스테이포에버 002 SOLID PERFUME, 세트 선택=best 2개 (28% 할인)</t>
        </is>
      </c>
      <c r="H2516" s="20" t="n">
        <v>2</v>
      </c>
      <c r="I2516" s="20">
        <f>VLOOKUP(G2516,매칭테이블!D:E,2,0)</f>
        <v/>
      </c>
      <c r="J2516" s="20" t="n">
        <v>201210</v>
      </c>
      <c r="L2516" s="20">
        <f>VLOOKUP($O2516,매칭테이블!$G:$J,2,0)*H2516</f>
        <v/>
      </c>
      <c r="M2516" s="20">
        <f>L2516-L2516*VLOOKUP($O2516,매칭테이블!$G:$J,3,0)</f>
        <v/>
      </c>
      <c r="N2516" s="20">
        <f>VLOOKUP($O2516,매칭테이블!$G:$J,4,0)*H2516</f>
        <v/>
      </c>
      <c r="O2516" s="20">
        <f>F2516&amp;E2516&amp;G2516&amp;J2516</f>
        <v/>
      </c>
    </row>
    <row r="2517" ht="16.5" customHeight="1" s="17">
      <c r="B2517" s="16" t="n">
        <v>44191</v>
      </c>
      <c r="C2517" s="20">
        <f>TEXT(B2517,"aaa")</f>
        <v/>
      </c>
      <c r="E2517" s="20">
        <f>INDEX(매칭테이블!C:C,MATCH(RD!G2517,매칭테이블!D:D,0))</f>
        <v/>
      </c>
      <c r="F2517" s="20" t="inlineStr">
        <is>
          <t>카페24</t>
        </is>
      </c>
      <c r="G2517" s="20" t="inlineStr">
        <is>
          <t>유즈 솔리드퍼퓸 - 30ml (10차 재입고 완료 )향=커플세트(이그나이트 + 스테이포에버), 세트 선택=1 SET</t>
        </is>
      </c>
      <c r="H2517" s="20" t="n">
        <v>4</v>
      </c>
      <c r="I2517" s="20">
        <f>VLOOKUP(G2517,매칭테이블!D:E,2,0)</f>
        <v/>
      </c>
      <c r="J2517" s="20" t="n">
        <v>201210</v>
      </c>
      <c r="L2517" s="20">
        <f>VLOOKUP($O2517,매칭테이블!$G:$J,2,0)*H2517</f>
        <v/>
      </c>
      <c r="M2517" s="20">
        <f>L2517-L2517*VLOOKUP($O2517,매칭테이블!$G:$J,3,0)</f>
        <v/>
      </c>
      <c r="N2517" s="20">
        <f>VLOOKUP($O2517,매칭테이블!$G:$J,4,0)*H2517</f>
        <v/>
      </c>
      <c r="O2517" s="20">
        <f>F2517&amp;E2517&amp;G2517&amp;J2517</f>
        <v/>
      </c>
    </row>
    <row r="2518" ht="16.5" customHeight="1" s="17">
      <c r="B2518" s="16" t="n">
        <v>44191</v>
      </c>
      <c r="C2518" s="20">
        <f>TEXT(B2518,"aaa")</f>
        <v/>
      </c>
      <c r="E2518" s="20">
        <f>INDEX(매칭테이블!C:C,MATCH(RD!G2518,매칭테이블!D:D,0))</f>
        <v/>
      </c>
      <c r="F2518" s="20" t="inlineStr">
        <is>
          <t>카페24</t>
        </is>
      </c>
      <c r="G2518" s="20" t="inlineStr">
        <is>
          <t>유즈 스테이포에버 솔리드퍼퓸 002 (10차 재입고 완료제품선택=스테이포에버 1개</t>
        </is>
      </c>
      <c r="H2518" s="20" t="n">
        <v>179</v>
      </c>
      <c r="I2518" s="20">
        <f>VLOOKUP(G2518,매칭테이블!D:E,2,0)</f>
        <v/>
      </c>
      <c r="J2518" s="20" t="n">
        <v>201210</v>
      </c>
      <c r="L2518" s="20">
        <f>VLOOKUP($O2518,매칭테이블!$G:$J,2,0)*H2518</f>
        <v/>
      </c>
      <c r="M2518" s="20">
        <f>L2518-L2518*VLOOKUP($O2518,매칭테이블!$G:$J,3,0)</f>
        <v/>
      </c>
      <c r="N2518" s="20">
        <f>VLOOKUP($O2518,매칭테이블!$G:$J,4,0)*H2518</f>
        <v/>
      </c>
      <c r="O2518" s="20">
        <f>F2518&amp;E2518&amp;G2518&amp;J2518</f>
        <v/>
      </c>
    </row>
    <row r="2519" ht="16.5" customHeight="1" s="17">
      <c r="B2519" s="16" t="n">
        <v>44191</v>
      </c>
      <c r="C2519" s="20">
        <f>TEXT(B2519,"aaa")</f>
        <v/>
      </c>
      <c r="E2519" s="20">
        <f>INDEX(매칭테이블!C:C,MATCH(RD!G2519,매칭테이블!D:D,0))</f>
        <v/>
      </c>
      <c r="F2519" s="20" t="inlineStr">
        <is>
          <t>카페24</t>
        </is>
      </c>
      <c r="G2519" s="20" t="inlineStr">
        <is>
          <t>유즈 스테이포에버 솔리드퍼퓸 002 (10차 재입고 완료제품선택=best</t>
        </is>
      </c>
      <c r="H2519" s="20" t="n">
        <v>93</v>
      </c>
      <c r="I2519" s="20">
        <f>VLOOKUP(G2519,매칭테이블!D:E,2,0)</f>
        <v/>
      </c>
      <c r="J2519" s="20" t="n">
        <v>201210</v>
      </c>
      <c r="L2519" s="20">
        <f>VLOOKUP($O2519,매칭테이블!$G:$J,2,0)*H2519</f>
        <v/>
      </c>
      <c r="M2519" s="20">
        <f>L2519-L2519*VLOOKUP($O2519,매칭테이블!$G:$J,3,0)</f>
        <v/>
      </c>
      <c r="N2519" s="20">
        <f>VLOOKUP($O2519,매칭테이블!$G:$J,4,0)*H2519</f>
        <v/>
      </c>
      <c r="O2519" s="20">
        <f>F2519&amp;E2519&amp;G2519&amp;J2519</f>
        <v/>
      </c>
    </row>
    <row r="2520" ht="16.5" customHeight="1" s="17">
      <c r="B2520" s="16" t="n">
        <v>44191</v>
      </c>
      <c r="C2520" s="20">
        <f>TEXT(B2520,"aaa")</f>
        <v/>
      </c>
      <c r="E2520" s="20">
        <f>INDEX(매칭테이블!C:C,MATCH(RD!G2520,매칭테이블!D:D,0))</f>
        <v/>
      </c>
      <c r="F2520" s="20" t="inlineStr">
        <is>
          <t>카페24</t>
        </is>
      </c>
      <c r="G2520" s="20" t="inlineStr">
        <is>
          <t>유즈 스테이포에버 솔리드퍼퓸 002 (10차 재입고 완료제품선택=커플추천</t>
        </is>
      </c>
      <c r="H2520" s="20" t="n">
        <v>7</v>
      </c>
      <c r="I2520" s="20">
        <f>VLOOKUP(G2520,매칭테이블!D:E,2,0)</f>
        <v/>
      </c>
      <c r="J2520" s="20" t="n">
        <v>201210</v>
      </c>
      <c r="L2520" s="20">
        <f>VLOOKUP($O2520,매칭테이블!$G:$J,2,0)*H2520</f>
        <v/>
      </c>
      <c r="M2520" s="20">
        <f>L2520-L2520*VLOOKUP($O2520,매칭테이블!$G:$J,3,0)</f>
        <v/>
      </c>
      <c r="N2520" s="20">
        <f>VLOOKUP($O2520,매칭테이블!$G:$J,4,0)*H2520</f>
        <v/>
      </c>
      <c r="O2520" s="20">
        <f>F2520&amp;E2520&amp;G2520&amp;J2520</f>
        <v/>
      </c>
    </row>
    <row r="2521" ht="16.5" customHeight="1" s="17">
      <c r="B2521" s="16" t="n">
        <v>44191</v>
      </c>
      <c r="C2521" s="20">
        <f>TEXT(B2521,"aaa")</f>
        <v/>
      </c>
      <c r="E2521" s="20">
        <f>INDEX(매칭테이블!C:C,MATCH(RD!G2521,매칭테이블!D:D,0))</f>
        <v/>
      </c>
      <c r="F2521" s="20" t="inlineStr">
        <is>
          <t>카페24</t>
        </is>
      </c>
      <c r="G2521" s="20" t="inlineStr">
        <is>
          <t>유즈 스테이포에버 솔리드퍼퓸 002 (10차 재입고 완료쇼핑백=선물용 쇼핑백</t>
        </is>
      </c>
      <c r="H2521" s="20" t="n">
        <v>4</v>
      </c>
      <c r="I2521" s="20">
        <f>VLOOKUP(G2521,매칭테이블!D:E,2,0)</f>
        <v/>
      </c>
      <c r="J2521" s="20" t="n">
        <v>201210</v>
      </c>
      <c r="L2521" s="20">
        <f>VLOOKUP($O2521,매칭테이블!$G:$J,2,0)*H2521</f>
        <v/>
      </c>
      <c r="M2521" s="20">
        <f>L2521-L2521*VLOOKUP($O2521,매칭테이블!$G:$J,3,0)</f>
        <v/>
      </c>
      <c r="N2521" s="20">
        <f>VLOOKUP($O2521,매칭테이블!$G:$J,4,0)*H2521</f>
        <v/>
      </c>
      <c r="O2521" s="20">
        <f>F2521&amp;E2521&amp;G2521&amp;J2521</f>
        <v/>
      </c>
    </row>
    <row r="2522" ht="16.5" customHeight="1" s="17">
      <c r="B2522" s="16" t="n">
        <v>44191</v>
      </c>
      <c r="C2522" s="20">
        <f>TEXT(B2522,"aaa")</f>
        <v/>
      </c>
      <c r="E2522" s="20">
        <f>INDEX(매칭테이블!C:C,MATCH(RD!G2522,매칭테이블!D:D,0))</f>
        <v/>
      </c>
      <c r="F2522" s="20" t="inlineStr">
        <is>
          <t>카페24</t>
        </is>
      </c>
      <c r="G2522" s="20" t="inlineStr">
        <is>
          <t>유즈 스테이포에버 솔리드퍼퓸 002 (10차 재입고 완료)제품선택=스테이포에버 1개</t>
        </is>
      </c>
      <c r="H2522" s="20" t="n">
        <v>317</v>
      </c>
      <c r="I2522" s="20">
        <f>VLOOKUP(G2522,매칭테이블!D:E,2,0)</f>
        <v/>
      </c>
      <c r="J2522" s="20" t="n">
        <v>201210</v>
      </c>
      <c r="L2522" s="20">
        <f>VLOOKUP($O2522,매칭테이블!$G:$J,2,0)*H2522</f>
        <v/>
      </c>
      <c r="M2522" s="20">
        <f>L2522-L2522*VLOOKUP($O2522,매칭테이블!$G:$J,3,0)</f>
        <v/>
      </c>
      <c r="N2522" s="20">
        <f>VLOOKUP($O2522,매칭테이블!$G:$J,4,0)*H2522</f>
        <v/>
      </c>
      <c r="O2522" s="20">
        <f>F2522&amp;E2522&amp;G2522&amp;J2522</f>
        <v/>
      </c>
    </row>
    <row r="2523" ht="16.5" customHeight="1" s="17">
      <c r="B2523" s="16" t="n">
        <v>44191</v>
      </c>
      <c r="C2523" s="20">
        <f>TEXT(B2523,"aaa")</f>
        <v/>
      </c>
      <c r="E2523" s="20">
        <f>INDEX(매칭테이블!C:C,MATCH(RD!G2523,매칭테이블!D:D,0))</f>
        <v/>
      </c>
      <c r="F2523" s="20" t="inlineStr">
        <is>
          <t>카페24</t>
        </is>
      </c>
      <c r="G2523" s="20" t="inlineStr">
        <is>
          <t>유즈 스테이포에버 솔리드퍼퓸 002 (10차 재입고 완료)제품선택=best스테이포에버 2개[28% 할인]</t>
        </is>
      </c>
      <c r="H2523" s="20" t="n">
        <v>112</v>
      </c>
      <c r="I2523" s="20">
        <f>VLOOKUP(G2523,매칭테이블!D:E,2,0)</f>
        <v/>
      </c>
      <c r="J2523" s="20" t="n">
        <v>201210</v>
      </c>
      <c r="L2523" s="20">
        <f>VLOOKUP($O2523,매칭테이블!$G:$J,2,0)*H2523</f>
        <v/>
      </c>
      <c r="M2523" s="20">
        <f>L2523-L2523*VLOOKUP($O2523,매칭테이블!$G:$J,3,0)</f>
        <v/>
      </c>
      <c r="N2523" s="20">
        <f>VLOOKUP($O2523,매칭테이블!$G:$J,4,0)*H2523</f>
        <v/>
      </c>
      <c r="O2523" s="20">
        <f>F2523&amp;E2523&amp;G2523&amp;J2523</f>
        <v/>
      </c>
    </row>
    <row r="2524" ht="16.5" customHeight="1" s="17">
      <c r="B2524" s="16" t="n">
        <v>44191</v>
      </c>
      <c r="C2524" s="20">
        <f>TEXT(B2524,"aaa")</f>
        <v/>
      </c>
      <c r="E2524" s="20">
        <f>INDEX(매칭테이블!C:C,MATCH(RD!G2524,매칭테이블!D:D,0))</f>
        <v/>
      </c>
      <c r="F2524" s="20" t="inlineStr">
        <is>
          <t>카페24</t>
        </is>
      </c>
      <c r="G2524" s="20" t="inlineStr">
        <is>
          <t>유즈 스테이포에버 솔리드퍼퓸 002 (10차 재입고 완료)제품선택=커플추천스테이포에버 + 이그나이트 세트</t>
        </is>
      </c>
      <c r="H2524" s="20" t="n">
        <v>19</v>
      </c>
      <c r="I2524" s="20">
        <f>VLOOKUP(G2524,매칭테이블!D:E,2,0)</f>
        <v/>
      </c>
      <c r="J2524" s="20" t="n">
        <v>201210</v>
      </c>
      <c r="L2524" s="20">
        <f>VLOOKUP($O2524,매칭테이블!$G:$J,2,0)*H2524</f>
        <v/>
      </c>
      <c r="M2524" s="20">
        <f>L2524-L2524*VLOOKUP($O2524,매칭테이블!$G:$J,3,0)</f>
        <v/>
      </c>
      <c r="N2524" s="20">
        <f>VLOOKUP($O2524,매칭테이블!$G:$J,4,0)*H2524</f>
        <v/>
      </c>
      <c r="O2524" s="20">
        <f>F2524&amp;E2524&amp;G2524&amp;J2524</f>
        <v/>
      </c>
    </row>
    <row r="2525" ht="16.5" customHeight="1" s="17">
      <c r="B2525" s="16" t="n">
        <v>44191</v>
      </c>
      <c r="C2525" s="20">
        <f>TEXT(B2525,"aaa")</f>
        <v/>
      </c>
      <c r="E2525" s="20">
        <f>INDEX(매칭테이블!C:C,MATCH(RD!G2525,매칭테이블!D:D,0))</f>
        <v/>
      </c>
      <c r="F2525" s="20" t="inlineStr">
        <is>
          <t>카페24</t>
        </is>
      </c>
      <c r="G2525" s="20" t="inlineStr">
        <is>
          <t>유즈 스테이포에버 솔리드퍼퓸 002 (10차 재입고 완료)쇼핑백=선물용 쇼핑백</t>
        </is>
      </c>
      <c r="H2525" s="20" t="n">
        <v>9</v>
      </c>
      <c r="I2525" s="20">
        <f>VLOOKUP(G2525,매칭테이블!D:E,2,0)</f>
        <v/>
      </c>
      <c r="J2525" s="20" t="n">
        <v>201210</v>
      </c>
      <c r="L2525" s="20">
        <f>VLOOKUP($O2525,매칭테이블!$G:$J,2,0)*H2525</f>
        <v/>
      </c>
      <c r="M2525" s="20">
        <f>L2525-L2525*VLOOKUP($O2525,매칭테이블!$G:$J,3,0)</f>
        <v/>
      </c>
      <c r="N2525" s="20">
        <f>VLOOKUP($O2525,매칭테이블!$G:$J,4,0)*H2525</f>
        <v/>
      </c>
      <c r="O2525" s="20">
        <f>F2525&amp;E2525&amp;G2525&amp;J2525</f>
        <v/>
      </c>
    </row>
    <row r="2526" ht="16.5" customHeight="1" s="17">
      <c r="B2526" s="16" t="n">
        <v>44191</v>
      </c>
      <c r="C2526" s="20">
        <f>TEXT(B2526,"aaa")</f>
        <v/>
      </c>
      <c r="E2526" s="20">
        <f>INDEX(매칭테이블!C:C,MATCH(RD!G2526,매칭테이블!D:D,0))</f>
        <v/>
      </c>
      <c r="F2526" s="20" t="inlineStr">
        <is>
          <t>카페24</t>
        </is>
      </c>
      <c r="G2526" s="20" t="inlineStr">
        <is>
          <t>유즈 이그나이트 솔리드퍼퓸 001제품선택=이그나이트 솔리드퍼퓸 - 30ml</t>
        </is>
      </c>
      <c r="H2526" s="20" t="n">
        <v>6</v>
      </c>
      <c r="I2526" s="20">
        <f>VLOOKUP(G2526,매칭테이블!D:E,2,0)</f>
        <v/>
      </c>
      <c r="J2526" s="20" t="n">
        <v>201210</v>
      </c>
      <c r="L2526" s="20">
        <f>VLOOKUP($O2526,매칭테이블!$G:$J,2,0)*H2526</f>
        <v/>
      </c>
      <c r="M2526" s="20">
        <f>L2526-L2526*VLOOKUP($O2526,매칭테이블!$G:$J,3,0)</f>
        <v/>
      </c>
      <c r="N2526" s="20">
        <f>VLOOKUP($O2526,매칭테이블!$G:$J,4,0)*H2526</f>
        <v/>
      </c>
      <c r="O2526" s="20">
        <f>F2526&amp;E2526&amp;G2526&amp;J2526</f>
        <v/>
      </c>
    </row>
    <row r="2527" ht="16.5" customHeight="1" s="17">
      <c r="B2527" s="16" t="n">
        <v>44192</v>
      </c>
      <c r="C2527" s="20">
        <f>TEXT(B2527,"aaa")</f>
        <v/>
      </c>
      <c r="E2527" s="20">
        <f>INDEX(매칭테이블!C:C,MATCH(RD!G2527,매칭테이블!D:D,0))</f>
        <v/>
      </c>
      <c r="F2527" s="20" t="inlineStr">
        <is>
          <t>카페24</t>
        </is>
      </c>
      <c r="G2527" s="20" t="inlineStr">
        <is>
          <t>SHOPPING BAG</t>
        </is>
      </c>
      <c r="H2527" s="20" t="n">
        <v>3</v>
      </c>
      <c r="I2527" s="20">
        <f>VLOOKUP(G2527,매칭테이블!D:E,2,0)</f>
        <v/>
      </c>
      <c r="J2527" s="20" t="n">
        <v>201210</v>
      </c>
      <c r="L2527" s="20">
        <f>VLOOKUP($O2527,매칭테이블!$G:$J,2,0)*H2527</f>
        <v/>
      </c>
      <c r="M2527" s="20">
        <f>L2527-L2527*VLOOKUP($O2527,매칭테이블!$G:$J,3,0)</f>
        <v/>
      </c>
      <c r="N2527" s="20">
        <f>VLOOKUP($O2527,매칭테이블!$G:$J,4,0)*H2527</f>
        <v/>
      </c>
      <c r="O2527" s="20">
        <f>F2527&amp;E2527&amp;G2527&amp;J2527</f>
        <v/>
      </c>
    </row>
    <row r="2528" ht="16.5" customHeight="1" s="17">
      <c r="B2528" s="16" t="n">
        <v>44192</v>
      </c>
      <c r="C2528" s="20">
        <f>TEXT(B2528,"aaa")</f>
        <v/>
      </c>
      <c r="E2528" s="20">
        <f>INDEX(매칭테이블!C:C,MATCH(RD!G2528,매칭테이블!D:D,0))</f>
        <v/>
      </c>
      <c r="F2528" s="20" t="inlineStr">
        <is>
          <t>카페24</t>
        </is>
      </c>
      <c r="G2528" s="20" t="inlineStr">
        <is>
          <t>유즈 솔리드퍼퓸 - 30ml (10차 재입고 완료향=이그나이트 001 SOLID PERFUME, 세트 선택=1개</t>
        </is>
      </c>
      <c r="H2528" s="20" t="n">
        <v>1</v>
      </c>
      <c r="I2528" s="20">
        <f>VLOOKUP(G2528,매칭테이블!D:E,2,0)</f>
        <v/>
      </c>
      <c r="J2528" s="20" t="n">
        <v>201210</v>
      </c>
      <c r="L2528" s="20">
        <f>VLOOKUP($O2528,매칭테이블!$G:$J,2,0)*H2528</f>
        <v/>
      </c>
      <c r="M2528" s="20">
        <f>L2528-L2528*VLOOKUP($O2528,매칭테이블!$G:$J,3,0)</f>
        <v/>
      </c>
      <c r="N2528" s="20">
        <f>VLOOKUP($O2528,매칭테이블!$G:$J,4,0)*H2528</f>
        <v/>
      </c>
      <c r="O2528" s="20">
        <f>F2528&amp;E2528&amp;G2528&amp;J2528</f>
        <v/>
      </c>
    </row>
    <row r="2529" ht="16.5" customHeight="1" s="17">
      <c r="B2529" s="16" t="n">
        <v>44192</v>
      </c>
      <c r="C2529" s="20">
        <f>TEXT(B2529,"aaa")</f>
        <v/>
      </c>
      <c r="E2529" s="20">
        <f>INDEX(매칭테이블!C:C,MATCH(RD!G2529,매칭테이블!D:D,0))</f>
        <v/>
      </c>
      <c r="F2529" s="20" t="inlineStr">
        <is>
          <t>카페24</t>
        </is>
      </c>
      <c r="G2529" s="20" t="inlineStr">
        <is>
          <t>유즈 솔리드퍼퓸 - 30ml (10차 재입고 완료향=이그나이트 001 SOLID PERFUME, 세트 선택=best</t>
        </is>
      </c>
      <c r="H2529" s="20" t="n">
        <v>1</v>
      </c>
      <c r="I2529" s="20">
        <f>VLOOKUP(G2529,매칭테이블!D:E,2,0)</f>
        <v/>
      </c>
      <c r="J2529" s="20" t="n">
        <v>201210</v>
      </c>
      <c r="L2529" s="20">
        <f>VLOOKUP($O2529,매칭테이블!$G:$J,2,0)*H2529</f>
        <v/>
      </c>
      <c r="M2529" s="20">
        <f>L2529-L2529*VLOOKUP($O2529,매칭테이블!$G:$J,3,0)</f>
        <v/>
      </c>
      <c r="N2529" s="20">
        <f>VLOOKUP($O2529,매칭테이블!$G:$J,4,0)*H2529</f>
        <v/>
      </c>
      <c r="O2529" s="20">
        <f>F2529&amp;E2529&amp;G2529&amp;J2529</f>
        <v/>
      </c>
    </row>
    <row r="2530" ht="16.5" customHeight="1" s="17">
      <c r="B2530" s="16" t="n">
        <v>44192</v>
      </c>
      <c r="C2530" s="20">
        <f>TEXT(B2530,"aaa")</f>
        <v/>
      </c>
      <c r="E2530" s="20">
        <f>INDEX(매칭테이블!C:C,MATCH(RD!G2530,매칭테이블!D:D,0))</f>
        <v/>
      </c>
      <c r="F2530" s="20" t="inlineStr">
        <is>
          <t>카페24</t>
        </is>
      </c>
      <c r="G2530" s="20" t="inlineStr">
        <is>
          <t>유즈 솔리드퍼퓸 - 30ml (10차 재입고 완료향=스테이포에버 002 SOLID PERFUME, 세트 선택=1개</t>
        </is>
      </c>
      <c r="H2530" s="20" t="n">
        <v>6</v>
      </c>
      <c r="I2530" s="20">
        <f>VLOOKUP(G2530,매칭테이블!D:E,2,0)</f>
        <v/>
      </c>
      <c r="J2530" s="20" t="n">
        <v>201210</v>
      </c>
      <c r="L2530" s="20">
        <f>VLOOKUP($O2530,매칭테이블!$G:$J,2,0)*H2530</f>
        <v/>
      </c>
      <c r="M2530" s="20">
        <f>L2530-L2530*VLOOKUP($O2530,매칭테이블!$G:$J,3,0)</f>
        <v/>
      </c>
      <c r="N2530" s="20">
        <f>VLOOKUP($O2530,매칭테이블!$G:$J,4,0)*H2530</f>
        <v/>
      </c>
      <c r="O2530" s="20">
        <f>F2530&amp;E2530&amp;G2530&amp;J2530</f>
        <v/>
      </c>
    </row>
    <row r="2531" ht="16.5" customHeight="1" s="17">
      <c r="B2531" s="16" t="n">
        <v>44192</v>
      </c>
      <c r="C2531" s="20">
        <f>TEXT(B2531,"aaa")</f>
        <v/>
      </c>
      <c r="E2531" s="20">
        <f>INDEX(매칭테이블!C:C,MATCH(RD!G2531,매칭테이블!D:D,0))</f>
        <v/>
      </c>
      <c r="F2531" s="20" t="inlineStr">
        <is>
          <t>카페24</t>
        </is>
      </c>
      <c r="G2531" s="20" t="inlineStr">
        <is>
          <t>유즈 솔리드퍼퓸 - 30ml (10차 재입고 완료향=스테이포에버 002 SOLID PERFUME, 세트 선택=best</t>
        </is>
      </c>
      <c r="H2531" s="20" t="n">
        <v>2</v>
      </c>
      <c r="I2531" s="20">
        <f>VLOOKUP(G2531,매칭테이블!D:E,2,0)</f>
        <v/>
      </c>
      <c r="J2531" s="20" t="n">
        <v>201210</v>
      </c>
      <c r="L2531" s="20">
        <f>VLOOKUP($O2531,매칭테이블!$G:$J,2,0)*H2531</f>
        <v/>
      </c>
      <c r="M2531" s="20">
        <f>L2531-L2531*VLOOKUP($O2531,매칭테이블!$G:$J,3,0)</f>
        <v/>
      </c>
      <c r="N2531" s="20">
        <f>VLOOKUP($O2531,매칭테이블!$G:$J,4,0)*H2531</f>
        <v/>
      </c>
      <c r="O2531" s="20">
        <f>F2531&amp;E2531&amp;G2531&amp;J2531</f>
        <v/>
      </c>
    </row>
    <row r="2532" ht="16.5" customHeight="1" s="17">
      <c r="B2532" s="16" t="n">
        <v>44192</v>
      </c>
      <c r="C2532" s="20">
        <f>TEXT(B2532,"aaa")</f>
        <v/>
      </c>
      <c r="E2532" s="20">
        <f>INDEX(매칭테이블!C:C,MATCH(RD!G2532,매칭테이블!D:D,0))</f>
        <v/>
      </c>
      <c r="F2532" s="20" t="inlineStr">
        <is>
          <t>카페24</t>
        </is>
      </c>
      <c r="G2532" s="20" t="inlineStr">
        <is>
          <t>유즈 솔리드퍼퓸 - 30ml (10차 재입고 완료향=커플세트</t>
        </is>
      </c>
      <c r="H2532" s="20" t="n">
        <v>3</v>
      </c>
      <c r="I2532" s="20">
        <f>VLOOKUP(G2532,매칭테이블!D:E,2,0)</f>
        <v/>
      </c>
      <c r="J2532" s="20" t="n">
        <v>201210</v>
      </c>
      <c r="L2532" s="20">
        <f>VLOOKUP($O2532,매칭테이블!$G:$J,2,0)*H2532</f>
        <v/>
      </c>
      <c r="M2532" s="20">
        <f>L2532-L2532*VLOOKUP($O2532,매칭테이블!$G:$J,3,0)</f>
        <v/>
      </c>
      <c r="N2532" s="20">
        <f>VLOOKUP($O2532,매칭테이블!$G:$J,4,0)*H2532</f>
        <v/>
      </c>
      <c r="O2532" s="20">
        <f>F2532&amp;E2532&amp;G2532&amp;J2532</f>
        <v/>
      </c>
    </row>
    <row r="2533" ht="16.5" customHeight="1" s="17">
      <c r="B2533" s="16" t="n">
        <v>44192</v>
      </c>
      <c r="C2533" s="20">
        <f>TEXT(B2533,"aaa")</f>
        <v/>
      </c>
      <c r="E2533" s="20">
        <f>INDEX(매칭테이블!C:C,MATCH(RD!G2533,매칭테이블!D:D,0))</f>
        <v/>
      </c>
      <c r="F2533" s="20" t="inlineStr">
        <is>
          <t>카페24</t>
        </is>
      </c>
      <c r="G2533" s="20" t="inlineStr">
        <is>
          <t>유즈 솔리드퍼퓸 - 30ml (10차 재입고 완료향=커플세트</t>
        </is>
      </c>
      <c r="H2533" s="20" t="n">
        <v>2</v>
      </c>
      <c r="I2533" s="20">
        <f>VLOOKUP(G2533,매칭테이블!D:E,2,0)</f>
        <v/>
      </c>
      <c r="J2533" s="20" t="n">
        <v>201210</v>
      </c>
      <c r="L2533" s="20">
        <f>VLOOKUP($O2533,매칭테이블!$G:$J,2,0)*H2533</f>
        <v/>
      </c>
      <c r="M2533" s="20">
        <f>L2533-L2533*VLOOKUP($O2533,매칭테이블!$G:$J,3,0)</f>
        <v/>
      </c>
      <c r="N2533" s="20">
        <f>VLOOKUP($O2533,매칭테이블!$G:$J,4,0)*H2533</f>
        <v/>
      </c>
      <c r="O2533" s="20">
        <f>F2533&amp;E2533&amp;G2533&amp;J2533</f>
        <v/>
      </c>
    </row>
    <row r="2534" ht="16.5" customHeight="1" s="17">
      <c r="B2534" s="16" t="n">
        <v>44192</v>
      </c>
      <c r="C2534" s="20">
        <f>TEXT(B2534,"aaa")</f>
        <v/>
      </c>
      <c r="E2534" s="20">
        <f>INDEX(매칭테이블!C:C,MATCH(RD!G2534,매칭테이블!D:D,0))</f>
        <v/>
      </c>
      <c r="F2534" s="20" t="inlineStr">
        <is>
          <t>카페24</t>
        </is>
      </c>
      <c r="G2534" s="20" t="inlineStr">
        <is>
          <t>유즈 솔리드퍼퓸 - 30ml (10차 재입고 완료 )향=이그나이트 001 SOLID PERFUME, 세트 선택=1개</t>
        </is>
      </c>
      <c r="H2534" s="20" t="n">
        <v>1</v>
      </c>
      <c r="I2534" s="20">
        <f>VLOOKUP(G2534,매칭테이블!D:E,2,0)</f>
        <v/>
      </c>
      <c r="J2534" s="20" t="n">
        <v>201210</v>
      </c>
      <c r="L2534" s="20">
        <f>VLOOKUP($O2534,매칭테이블!$G:$J,2,0)*H2534</f>
        <v/>
      </c>
      <c r="M2534" s="20">
        <f>L2534-L2534*VLOOKUP($O2534,매칭테이블!$G:$J,3,0)</f>
        <v/>
      </c>
      <c r="N2534" s="20">
        <f>VLOOKUP($O2534,매칭테이블!$G:$J,4,0)*H2534</f>
        <v/>
      </c>
      <c r="O2534" s="20">
        <f>F2534&amp;E2534&amp;G2534&amp;J2534</f>
        <v/>
      </c>
    </row>
    <row r="2535" ht="16.5" customHeight="1" s="17">
      <c r="B2535" s="16" t="n">
        <v>44192</v>
      </c>
      <c r="C2535" s="20">
        <f>TEXT(B2535,"aaa")</f>
        <v/>
      </c>
      <c r="E2535" s="20">
        <f>INDEX(매칭테이블!C:C,MATCH(RD!G2535,매칭테이블!D:D,0))</f>
        <v/>
      </c>
      <c r="F2535" s="20" t="inlineStr">
        <is>
          <t>카페24</t>
        </is>
      </c>
      <c r="G2535" s="20" t="inlineStr">
        <is>
          <t>유즈 솔리드퍼퓸 - 30ml (10차 재입고 완료 )향=스테이포에버 002 SOLID PERFUME, 세트 선택=1개</t>
        </is>
      </c>
      <c r="H2535" s="20" t="n">
        <v>8</v>
      </c>
      <c r="I2535" s="20">
        <f>VLOOKUP(G2535,매칭테이블!D:E,2,0)</f>
        <v/>
      </c>
      <c r="J2535" s="20" t="n">
        <v>201210</v>
      </c>
      <c r="L2535" s="20">
        <f>VLOOKUP($O2535,매칭테이블!$G:$J,2,0)*H2535</f>
        <v/>
      </c>
      <c r="M2535" s="20">
        <f>L2535-L2535*VLOOKUP($O2535,매칭테이블!$G:$J,3,0)</f>
        <v/>
      </c>
      <c r="N2535" s="20">
        <f>VLOOKUP($O2535,매칭테이블!$G:$J,4,0)*H2535</f>
        <v/>
      </c>
      <c r="O2535" s="20">
        <f>F2535&amp;E2535&amp;G2535&amp;J2535</f>
        <v/>
      </c>
    </row>
    <row r="2536" ht="16.5" customHeight="1" s="17">
      <c r="B2536" s="16" t="n">
        <v>44192</v>
      </c>
      <c r="C2536" s="20">
        <f>TEXT(B2536,"aaa")</f>
        <v/>
      </c>
      <c r="E2536" s="20">
        <f>INDEX(매칭테이블!C:C,MATCH(RD!G2536,매칭테이블!D:D,0))</f>
        <v/>
      </c>
      <c r="F2536" s="20" t="inlineStr">
        <is>
          <t>카페24</t>
        </is>
      </c>
      <c r="G2536" s="20" t="inlineStr">
        <is>
          <t>유즈 솔리드퍼퓸 - 30ml (10차 재입고 완료 )향=스테이포에버 002 SOLID PERFUME, 세트 선택=best 2개 (28% 할인)</t>
        </is>
      </c>
      <c r="H2536" s="20" t="n">
        <v>1</v>
      </c>
      <c r="I2536" s="20">
        <f>VLOOKUP(G2536,매칭테이블!D:E,2,0)</f>
        <v/>
      </c>
      <c r="J2536" s="20" t="n">
        <v>201210</v>
      </c>
      <c r="L2536" s="20">
        <f>VLOOKUP($O2536,매칭테이블!$G:$J,2,0)*H2536</f>
        <v/>
      </c>
      <c r="M2536" s="20">
        <f>L2536-L2536*VLOOKUP($O2536,매칭테이블!$G:$J,3,0)</f>
        <v/>
      </c>
      <c r="N2536" s="20">
        <f>VLOOKUP($O2536,매칭테이블!$G:$J,4,0)*H2536</f>
        <v/>
      </c>
      <c r="O2536" s="20">
        <f>F2536&amp;E2536&amp;G2536&amp;J2536</f>
        <v/>
      </c>
    </row>
    <row r="2537" ht="16.5" customHeight="1" s="17">
      <c r="B2537" s="16" t="n">
        <v>44192</v>
      </c>
      <c r="C2537" s="20">
        <f>TEXT(B2537,"aaa")</f>
        <v/>
      </c>
      <c r="E2537" s="20">
        <f>INDEX(매칭테이블!C:C,MATCH(RD!G2537,매칭테이블!D:D,0))</f>
        <v/>
      </c>
      <c r="F2537" s="20" t="inlineStr">
        <is>
          <t>카페24</t>
        </is>
      </c>
      <c r="G2537" s="20" t="inlineStr">
        <is>
          <t>유즈 솔리드퍼퓸 - 30ml (10차 재입고 완료 )향=커플세트(이그나이트 + 스테이포에버), 세트 선택=1 SET</t>
        </is>
      </c>
      <c r="H2537" s="20" t="n">
        <v>7</v>
      </c>
      <c r="I2537" s="20">
        <f>VLOOKUP(G2537,매칭테이블!D:E,2,0)</f>
        <v/>
      </c>
      <c r="J2537" s="20" t="n">
        <v>201210</v>
      </c>
      <c r="L2537" s="20">
        <f>VLOOKUP($O2537,매칭테이블!$G:$J,2,0)*H2537</f>
        <v/>
      </c>
      <c r="M2537" s="20">
        <f>L2537-L2537*VLOOKUP($O2537,매칭테이블!$G:$J,3,0)</f>
        <v/>
      </c>
      <c r="N2537" s="20">
        <f>VLOOKUP($O2537,매칭테이블!$G:$J,4,0)*H2537</f>
        <v/>
      </c>
      <c r="O2537" s="20">
        <f>F2537&amp;E2537&amp;G2537&amp;J2537</f>
        <v/>
      </c>
    </row>
    <row r="2538" ht="16.5" customHeight="1" s="17">
      <c r="B2538" s="16" t="n">
        <v>44192</v>
      </c>
      <c r="C2538" s="20">
        <f>TEXT(B2538,"aaa")</f>
        <v/>
      </c>
      <c r="E2538" s="20">
        <f>INDEX(매칭테이블!C:C,MATCH(RD!G2538,매칭테이블!D:D,0))</f>
        <v/>
      </c>
      <c r="F2538" s="20" t="inlineStr">
        <is>
          <t>카페24</t>
        </is>
      </c>
      <c r="G2538" s="20" t="inlineStr">
        <is>
          <t>유즈 스테이포에버 솔리드퍼퓸 002 (10차 재입고 완료제품선택=스테이포에버 1개</t>
        </is>
      </c>
      <c r="H2538" s="20" t="n">
        <v>143</v>
      </c>
      <c r="I2538" s="20">
        <f>VLOOKUP(G2538,매칭테이블!D:E,2,0)</f>
        <v/>
      </c>
      <c r="J2538" s="20" t="n">
        <v>201210</v>
      </c>
      <c r="L2538" s="20">
        <f>VLOOKUP($O2538,매칭테이블!$G:$J,2,0)*H2538</f>
        <v/>
      </c>
      <c r="M2538" s="20">
        <f>L2538-L2538*VLOOKUP($O2538,매칭테이블!$G:$J,3,0)</f>
        <v/>
      </c>
      <c r="N2538" s="20">
        <f>VLOOKUP($O2538,매칭테이블!$G:$J,4,0)*H2538</f>
        <v/>
      </c>
      <c r="O2538" s="20">
        <f>F2538&amp;E2538&amp;G2538&amp;J2538</f>
        <v/>
      </c>
    </row>
    <row r="2539" ht="16.5" customHeight="1" s="17">
      <c r="B2539" s="16" t="n">
        <v>44192</v>
      </c>
      <c r="C2539" s="20">
        <f>TEXT(B2539,"aaa")</f>
        <v/>
      </c>
      <c r="E2539" s="20">
        <f>INDEX(매칭테이블!C:C,MATCH(RD!G2539,매칭테이블!D:D,0))</f>
        <v/>
      </c>
      <c r="F2539" s="20" t="inlineStr">
        <is>
          <t>카페24</t>
        </is>
      </c>
      <c r="G2539" s="20" t="inlineStr">
        <is>
          <t>유즈 스테이포에버 솔리드퍼퓸 002 (10차 재입고 완료제품선택=best</t>
        </is>
      </c>
      <c r="H2539" s="20" t="n">
        <v>114</v>
      </c>
      <c r="I2539" s="20">
        <f>VLOOKUP(G2539,매칭테이블!D:E,2,0)</f>
        <v/>
      </c>
      <c r="J2539" s="20" t="n">
        <v>201210</v>
      </c>
      <c r="L2539" s="20">
        <f>VLOOKUP($O2539,매칭테이블!$G:$J,2,0)*H2539</f>
        <v/>
      </c>
      <c r="M2539" s="20">
        <f>L2539-L2539*VLOOKUP($O2539,매칭테이블!$G:$J,3,0)</f>
        <v/>
      </c>
      <c r="N2539" s="20">
        <f>VLOOKUP($O2539,매칭테이블!$G:$J,4,0)*H2539</f>
        <v/>
      </c>
      <c r="O2539" s="20">
        <f>F2539&amp;E2539&amp;G2539&amp;J2539</f>
        <v/>
      </c>
    </row>
    <row r="2540" ht="16.5" customHeight="1" s="17">
      <c r="B2540" s="16" t="n">
        <v>44192</v>
      </c>
      <c r="C2540" s="20">
        <f>TEXT(B2540,"aaa")</f>
        <v/>
      </c>
      <c r="E2540" s="20">
        <f>INDEX(매칭테이블!C:C,MATCH(RD!G2540,매칭테이블!D:D,0))</f>
        <v/>
      </c>
      <c r="F2540" s="20" t="inlineStr">
        <is>
          <t>카페24</t>
        </is>
      </c>
      <c r="G2540" s="20" t="inlineStr">
        <is>
          <t>유즈 스테이포에버 솔리드퍼퓸 002 (10차 재입고 완료제품선택=커플추천</t>
        </is>
      </c>
      <c r="H2540" s="20" t="n">
        <v>10</v>
      </c>
      <c r="I2540" s="20">
        <f>VLOOKUP(G2540,매칭테이블!D:E,2,0)</f>
        <v/>
      </c>
      <c r="J2540" s="20" t="n">
        <v>201210</v>
      </c>
      <c r="L2540" s="20">
        <f>VLOOKUP($O2540,매칭테이블!$G:$J,2,0)*H2540</f>
        <v/>
      </c>
      <c r="M2540" s="20">
        <f>L2540-L2540*VLOOKUP($O2540,매칭테이블!$G:$J,3,0)</f>
        <v/>
      </c>
      <c r="N2540" s="20">
        <f>VLOOKUP($O2540,매칭테이블!$G:$J,4,0)*H2540</f>
        <v/>
      </c>
      <c r="O2540" s="20">
        <f>F2540&amp;E2540&amp;G2540&amp;J2540</f>
        <v/>
      </c>
    </row>
    <row r="2541" ht="16.5" customHeight="1" s="17">
      <c r="B2541" s="16" t="n">
        <v>44192</v>
      </c>
      <c r="C2541" s="20">
        <f>TEXT(B2541,"aaa")</f>
        <v/>
      </c>
      <c r="E2541" s="20">
        <f>INDEX(매칭테이블!C:C,MATCH(RD!G2541,매칭테이블!D:D,0))</f>
        <v/>
      </c>
      <c r="F2541" s="20" t="inlineStr">
        <is>
          <t>카페24</t>
        </is>
      </c>
      <c r="G2541" s="20" t="inlineStr">
        <is>
          <t>유즈 스테이포에버 솔리드퍼퓸 002 (10차 재입고 완료쇼핑백=선물용 쇼핑백</t>
        </is>
      </c>
      <c r="H2541" s="20" t="n">
        <v>3</v>
      </c>
      <c r="I2541" s="20">
        <f>VLOOKUP(G2541,매칭테이블!D:E,2,0)</f>
        <v/>
      </c>
      <c r="J2541" s="20" t="n">
        <v>201210</v>
      </c>
      <c r="L2541" s="20">
        <f>VLOOKUP($O2541,매칭테이블!$G:$J,2,0)*H2541</f>
        <v/>
      </c>
      <c r="M2541" s="20">
        <f>L2541-L2541*VLOOKUP($O2541,매칭테이블!$G:$J,3,0)</f>
        <v/>
      </c>
      <c r="N2541" s="20">
        <f>VLOOKUP($O2541,매칭테이블!$G:$J,4,0)*H2541</f>
        <v/>
      </c>
      <c r="O2541" s="20">
        <f>F2541&amp;E2541&amp;G2541&amp;J2541</f>
        <v/>
      </c>
    </row>
    <row r="2542" ht="16.5" customHeight="1" s="17">
      <c r="B2542" s="16" t="n">
        <v>44192</v>
      </c>
      <c r="C2542" s="20">
        <f>TEXT(B2542,"aaa")</f>
        <v/>
      </c>
      <c r="E2542" s="20">
        <f>INDEX(매칭테이블!C:C,MATCH(RD!G2542,매칭테이블!D:D,0))</f>
        <v/>
      </c>
      <c r="F2542" s="20" t="inlineStr">
        <is>
          <t>카페24</t>
        </is>
      </c>
      <c r="G2542" s="20" t="inlineStr">
        <is>
          <t>유즈 스테이포에버 솔리드퍼퓸 002 (10차 재입고 완료)제품선택=스테이포에버 1개</t>
        </is>
      </c>
      <c r="H2542" s="20" t="n">
        <v>226</v>
      </c>
      <c r="I2542" s="20">
        <f>VLOOKUP(G2542,매칭테이블!D:E,2,0)</f>
        <v/>
      </c>
      <c r="J2542" s="20" t="n">
        <v>201210</v>
      </c>
      <c r="L2542" s="20">
        <f>VLOOKUP($O2542,매칭테이블!$G:$J,2,0)*H2542</f>
        <v/>
      </c>
      <c r="M2542" s="20">
        <f>L2542-L2542*VLOOKUP($O2542,매칭테이블!$G:$J,3,0)</f>
        <v/>
      </c>
      <c r="N2542" s="20">
        <f>VLOOKUP($O2542,매칭테이블!$G:$J,4,0)*H2542</f>
        <v/>
      </c>
      <c r="O2542" s="20">
        <f>F2542&amp;E2542&amp;G2542&amp;J2542</f>
        <v/>
      </c>
    </row>
    <row r="2543" ht="16.5" customHeight="1" s="17">
      <c r="B2543" s="16" t="n">
        <v>44192</v>
      </c>
      <c r="C2543" s="20">
        <f>TEXT(B2543,"aaa")</f>
        <v/>
      </c>
      <c r="E2543" s="20">
        <f>INDEX(매칭테이블!C:C,MATCH(RD!G2543,매칭테이블!D:D,0))</f>
        <v/>
      </c>
      <c r="F2543" s="20" t="inlineStr">
        <is>
          <t>카페24</t>
        </is>
      </c>
      <c r="G2543" s="20" t="inlineStr">
        <is>
          <t>유즈 스테이포에버 솔리드퍼퓸 002 (10차 재입고 완료)제품선택=best스테이포에버 2개[28% 할인]</t>
        </is>
      </c>
      <c r="H2543" s="20" t="n">
        <v>117</v>
      </c>
      <c r="I2543" s="20">
        <f>VLOOKUP(G2543,매칭테이블!D:E,2,0)</f>
        <v/>
      </c>
      <c r="J2543" s="20" t="n">
        <v>201210</v>
      </c>
      <c r="L2543" s="20">
        <f>VLOOKUP($O2543,매칭테이블!$G:$J,2,0)*H2543</f>
        <v/>
      </c>
      <c r="M2543" s="20">
        <f>L2543-L2543*VLOOKUP($O2543,매칭테이블!$G:$J,3,0)</f>
        <v/>
      </c>
      <c r="N2543" s="20">
        <f>VLOOKUP($O2543,매칭테이블!$G:$J,4,0)*H2543</f>
        <v/>
      </c>
      <c r="O2543" s="20">
        <f>F2543&amp;E2543&amp;G2543&amp;J2543</f>
        <v/>
      </c>
    </row>
    <row r="2544" ht="16.5" customHeight="1" s="17">
      <c r="B2544" s="16" t="n">
        <v>44192</v>
      </c>
      <c r="C2544" s="20">
        <f>TEXT(B2544,"aaa")</f>
        <v/>
      </c>
      <c r="E2544" s="20">
        <f>INDEX(매칭테이블!C:C,MATCH(RD!G2544,매칭테이블!D:D,0))</f>
        <v/>
      </c>
      <c r="F2544" s="20" t="inlineStr">
        <is>
          <t>카페24</t>
        </is>
      </c>
      <c r="G2544" s="20" t="inlineStr">
        <is>
          <t>유즈 스테이포에버 솔리드퍼퓸 002 (10차 재입고 완료)제품선택=커플추천스테이포에버 + 이그나이트 세트</t>
        </is>
      </c>
      <c r="H2544" s="20" t="n">
        <v>21</v>
      </c>
      <c r="I2544" s="20">
        <f>VLOOKUP(G2544,매칭테이블!D:E,2,0)</f>
        <v/>
      </c>
      <c r="J2544" s="20" t="n">
        <v>201210</v>
      </c>
      <c r="L2544" s="20">
        <f>VLOOKUP($O2544,매칭테이블!$G:$J,2,0)*H2544</f>
        <v/>
      </c>
      <c r="M2544" s="20">
        <f>L2544-L2544*VLOOKUP($O2544,매칭테이블!$G:$J,3,0)</f>
        <v/>
      </c>
      <c r="N2544" s="20">
        <f>VLOOKUP($O2544,매칭테이블!$G:$J,4,0)*H2544</f>
        <v/>
      </c>
      <c r="O2544" s="20">
        <f>F2544&amp;E2544&amp;G2544&amp;J2544</f>
        <v/>
      </c>
    </row>
    <row r="2545" ht="16.5" customHeight="1" s="17">
      <c r="B2545" s="16" t="n">
        <v>44192</v>
      </c>
      <c r="C2545" s="20">
        <f>TEXT(B2545,"aaa")</f>
        <v/>
      </c>
      <c r="E2545" s="20">
        <f>INDEX(매칭테이블!C:C,MATCH(RD!G2545,매칭테이블!D:D,0))</f>
        <v/>
      </c>
      <c r="F2545" s="20" t="inlineStr">
        <is>
          <t>카페24</t>
        </is>
      </c>
      <c r="G2545" s="20" t="inlineStr">
        <is>
          <t>유즈 스테이포에버 솔리드퍼퓸 002 (10차 재입고 완료)쇼핑백=선물용 쇼핑백</t>
        </is>
      </c>
      <c r="H2545" s="20" t="n">
        <v>15</v>
      </c>
      <c r="I2545" s="20">
        <f>VLOOKUP(G2545,매칭테이블!D:E,2,0)</f>
        <v/>
      </c>
      <c r="J2545" s="20" t="n">
        <v>201210</v>
      </c>
      <c r="L2545" s="20">
        <f>VLOOKUP($O2545,매칭테이블!$G:$J,2,0)*H2545</f>
        <v/>
      </c>
      <c r="M2545" s="20">
        <f>L2545-L2545*VLOOKUP($O2545,매칭테이블!$G:$J,3,0)</f>
        <v/>
      </c>
      <c r="N2545" s="20">
        <f>VLOOKUP($O2545,매칭테이블!$G:$J,4,0)*H2545</f>
        <v/>
      </c>
      <c r="O2545" s="20">
        <f>F2545&amp;E2545&amp;G2545&amp;J2545</f>
        <v/>
      </c>
    </row>
    <row r="2546" ht="16.5" customHeight="1" s="17">
      <c r="B2546" s="16" t="n">
        <v>44192</v>
      </c>
      <c r="C2546" s="20">
        <f>TEXT(B2546,"aaa")</f>
        <v/>
      </c>
      <c r="E2546" s="20">
        <f>INDEX(매칭테이블!C:C,MATCH(RD!G2546,매칭테이블!D:D,0))</f>
        <v/>
      </c>
      <c r="F2546" s="20" t="inlineStr">
        <is>
          <t>카페24</t>
        </is>
      </c>
      <c r="G2546" s="20" t="inlineStr">
        <is>
          <t>유즈 이그나이트 솔리드퍼퓸 001제품선택=이그나이트 솔리드퍼퓸 - 30ml</t>
        </is>
      </c>
      <c r="H2546" s="20" t="n">
        <v>3</v>
      </c>
      <c r="I2546" s="20">
        <f>VLOOKUP(G2546,매칭테이블!D:E,2,0)</f>
        <v/>
      </c>
      <c r="J2546" s="20" t="n">
        <v>201210</v>
      </c>
      <c r="L2546" s="20">
        <f>VLOOKUP($O2546,매칭테이블!$G:$J,2,0)*H2546</f>
        <v/>
      </c>
      <c r="M2546" s="20">
        <f>L2546-L2546*VLOOKUP($O2546,매칭테이블!$G:$J,3,0)</f>
        <v/>
      </c>
      <c r="N2546" s="20">
        <f>VLOOKUP($O2546,매칭테이블!$G:$J,4,0)*H2546</f>
        <v/>
      </c>
      <c r="O2546" s="20">
        <f>F2546&amp;E2546&amp;G2546&amp;J2546</f>
        <v/>
      </c>
    </row>
    <row r="2547" ht="16.5" customHeight="1" s="17">
      <c r="B2547" s="16" t="n">
        <v>44192</v>
      </c>
      <c r="C2547" s="20">
        <f>TEXT(B2547,"aaa")</f>
        <v/>
      </c>
      <c r="E2547" s="20">
        <f>INDEX(매칭테이블!C:C,MATCH(RD!G2547,매칭테이블!D:D,0))</f>
        <v/>
      </c>
      <c r="F2547" s="20" t="inlineStr">
        <is>
          <t>카페24</t>
        </is>
      </c>
      <c r="G2547" s="20" t="inlineStr">
        <is>
          <t>유즈 이그나이트 솔리드퍼퓸 001제품선택=이그나이트 2개 세트</t>
        </is>
      </c>
      <c r="H2547" s="20" t="n">
        <v>1</v>
      </c>
      <c r="I2547" s="20">
        <f>VLOOKUP(G2547,매칭테이블!D:E,2,0)</f>
        <v/>
      </c>
      <c r="J2547" s="20" t="n">
        <v>201210</v>
      </c>
      <c r="L2547" s="20">
        <f>VLOOKUP($O2547,매칭테이블!$G:$J,2,0)*H2547</f>
        <v/>
      </c>
      <c r="M2547" s="20">
        <f>L2547-L2547*VLOOKUP($O2547,매칭테이블!$G:$J,3,0)</f>
        <v/>
      </c>
      <c r="N2547" s="20">
        <f>VLOOKUP($O2547,매칭테이블!$G:$J,4,0)*H2547</f>
        <v/>
      </c>
      <c r="O2547" s="20">
        <f>F2547&amp;E2547&amp;G2547&amp;J2547</f>
        <v/>
      </c>
    </row>
    <row r="2548" ht="16.5" customHeight="1" s="17">
      <c r="B2548" s="16" t="n">
        <v>44193</v>
      </c>
      <c r="C2548" s="20">
        <f>TEXT(B2548,"aaa")</f>
        <v/>
      </c>
      <c r="E2548" s="20">
        <f>INDEX(매칭테이블!C:C,MATCH(RD!G2548,매칭테이블!D:D,0))</f>
        <v/>
      </c>
      <c r="F2548" s="20" t="inlineStr">
        <is>
          <t>카페24</t>
        </is>
      </c>
      <c r="G2548" s="20" t="inlineStr">
        <is>
          <t>유즈 솔리드퍼퓸 - 30ml (10차 재입고 완료향=스테이포에버 002 SOLID PERFUME, 세트 선택=1개</t>
        </is>
      </c>
      <c r="H2548" s="20" t="n">
        <v>2</v>
      </c>
      <c r="I2548" s="20">
        <f>VLOOKUP(G2548,매칭테이블!D:E,2,0)</f>
        <v/>
      </c>
      <c r="J2548" s="20" t="n">
        <v>201210</v>
      </c>
      <c r="L2548" s="20">
        <f>VLOOKUP($O2548,매칭테이블!$G:$J,2,0)*H2548</f>
        <v/>
      </c>
      <c r="M2548" s="20">
        <f>L2548-L2548*VLOOKUP($O2548,매칭테이블!$G:$J,3,0)</f>
        <v/>
      </c>
      <c r="N2548" s="20">
        <f>VLOOKUP($O2548,매칭테이블!$G:$J,4,0)*H2548</f>
        <v/>
      </c>
      <c r="O2548" s="20">
        <f>F2548&amp;E2548&amp;G2548&amp;J2548</f>
        <v/>
      </c>
    </row>
    <row r="2549" ht="16.5" customHeight="1" s="17">
      <c r="B2549" s="16" t="n">
        <v>44193</v>
      </c>
      <c r="C2549" s="20">
        <f>TEXT(B2549,"aaa")</f>
        <v/>
      </c>
      <c r="E2549" s="20">
        <f>INDEX(매칭테이블!C:C,MATCH(RD!G2549,매칭테이블!D:D,0))</f>
        <v/>
      </c>
      <c r="F2549" s="20" t="inlineStr">
        <is>
          <t>카페24</t>
        </is>
      </c>
      <c r="G2549" s="20" t="inlineStr">
        <is>
          <t>유즈 솔리드퍼퓸 - 30ml (10차 재입고 완료 )향=스테이포에버 002 SOLID PERFUME, 세트 선택=1개</t>
        </is>
      </c>
      <c r="H2549" s="20" t="n">
        <v>1</v>
      </c>
      <c r="I2549" s="20">
        <f>VLOOKUP(G2549,매칭테이블!D:E,2,0)</f>
        <v/>
      </c>
      <c r="J2549" s="20" t="n">
        <v>201210</v>
      </c>
      <c r="L2549" s="20">
        <f>VLOOKUP($O2549,매칭테이블!$G:$J,2,0)*H2549</f>
        <v/>
      </c>
      <c r="M2549" s="20">
        <f>L2549-L2549*VLOOKUP($O2549,매칭테이블!$G:$J,3,0)</f>
        <v/>
      </c>
      <c r="N2549" s="20">
        <f>VLOOKUP($O2549,매칭테이블!$G:$J,4,0)*H2549</f>
        <v/>
      </c>
      <c r="O2549" s="20">
        <f>F2549&amp;E2549&amp;G2549&amp;J2549</f>
        <v/>
      </c>
    </row>
    <row r="2550" ht="16.5" customHeight="1" s="17">
      <c r="B2550" s="16" t="n">
        <v>44193</v>
      </c>
      <c r="C2550" s="20">
        <f>TEXT(B2550,"aaa")</f>
        <v/>
      </c>
      <c r="E2550" s="20">
        <f>INDEX(매칭테이블!C:C,MATCH(RD!G2550,매칭테이블!D:D,0))</f>
        <v/>
      </c>
      <c r="F2550" s="20" t="inlineStr">
        <is>
          <t>카페24</t>
        </is>
      </c>
      <c r="G2550" s="20" t="inlineStr">
        <is>
          <t>유즈 솔리드퍼퓸 - 30ml (10차 재입고 완료 )향=스테이포에버 002 SOLID PERFUME, 세트 선택=best 2개 (28% 할인)</t>
        </is>
      </c>
      <c r="H2550" s="20" t="n">
        <v>1</v>
      </c>
      <c r="I2550" s="20">
        <f>VLOOKUP(G2550,매칭테이블!D:E,2,0)</f>
        <v/>
      </c>
      <c r="J2550" s="20" t="n">
        <v>201210</v>
      </c>
      <c r="L2550" s="20">
        <f>VLOOKUP($O2550,매칭테이블!$G:$J,2,0)*H2550</f>
        <v/>
      </c>
      <c r="M2550" s="20">
        <f>L2550-L2550*VLOOKUP($O2550,매칭테이블!$G:$J,3,0)</f>
        <v/>
      </c>
      <c r="N2550" s="20">
        <f>VLOOKUP($O2550,매칭테이블!$G:$J,4,0)*H2550</f>
        <v/>
      </c>
      <c r="O2550" s="20">
        <f>F2550&amp;E2550&amp;G2550&amp;J2550</f>
        <v/>
      </c>
    </row>
    <row r="2551" ht="16.5" customHeight="1" s="17">
      <c r="B2551" s="16" t="n">
        <v>44193</v>
      </c>
      <c r="C2551" s="20">
        <f>TEXT(B2551,"aaa")</f>
        <v/>
      </c>
      <c r="E2551" s="20">
        <f>INDEX(매칭테이블!C:C,MATCH(RD!G2551,매칭테이블!D:D,0))</f>
        <v/>
      </c>
      <c r="F2551" s="20" t="inlineStr">
        <is>
          <t>카페24</t>
        </is>
      </c>
      <c r="G2551" s="20" t="inlineStr">
        <is>
          <t>유즈 솔리드퍼퓸 - 30ml (10차 재입고 완료)향=이그나이트 001 SOLID PERFUME, 세트 선택=1개</t>
        </is>
      </c>
      <c r="H2551" s="20" t="n">
        <v>1</v>
      </c>
      <c r="I2551" s="20">
        <f>VLOOKUP(G2551,매칭테이블!D:E,2,0)</f>
        <v/>
      </c>
      <c r="J2551" s="20" t="n">
        <v>201210</v>
      </c>
      <c r="L2551" s="20">
        <f>VLOOKUP($O2551,매칭테이블!$G:$J,2,0)*H2551</f>
        <v/>
      </c>
      <c r="M2551" s="20">
        <f>L2551-L2551*VLOOKUP($O2551,매칭테이블!$G:$J,3,0)</f>
        <v/>
      </c>
      <c r="N2551" s="20">
        <f>VLOOKUP($O2551,매칭테이블!$G:$J,4,0)*H2551</f>
        <v/>
      </c>
      <c r="O2551" s="20">
        <f>F2551&amp;E2551&amp;G2551&amp;J2551</f>
        <v/>
      </c>
    </row>
    <row r="2552" ht="16.5" customHeight="1" s="17">
      <c r="B2552" s="16" t="n">
        <v>44193</v>
      </c>
      <c r="C2552" s="20">
        <f>TEXT(B2552,"aaa")</f>
        <v/>
      </c>
      <c r="E2552" s="20">
        <f>INDEX(매칭테이블!C:C,MATCH(RD!G2552,매칭테이블!D:D,0))</f>
        <v/>
      </c>
      <c r="F2552" s="20" t="inlineStr">
        <is>
          <t>카페24</t>
        </is>
      </c>
      <c r="G2552" s="20" t="inlineStr">
        <is>
          <t>유즈 솔리드퍼퓸 - 30ml (10차 재입고 완료)향=이그나이트 001 SOLID PERFUME, 세트 선택=best</t>
        </is>
      </c>
      <c r="H2552" s="20" t="n">
        <v>1</v>
      </c>
      <c r="I2552" s="20">
        <f>VLOOKUP(G2552,매칭테이블!D:E,2,0)</f>
        <v/>
      </c>
      <c r="J2552" s="20" t="n">
        <v>201210</v>
      </c>
      <c r="L2552" s="20">
        <f>VLOOKUP($O2552,매칭테이블!$G:$J,2,0)*H2552</f>
        <v/>
      </c>
      <c r="M2552" s="20">
        <f>L2552-L2552*VLOOKUP($O2552,매칭테이블!$G:$J,3,0)</f>
        <v/>
      </c>
      <c r="N2552" s="20">
        <f>VLOOKUP($O2552,매칭테이블!$G:$J,4,0)*H2552</f>
        <v/>
      </c>
      <c r="O2552" s="20">
        <f>F2552&amp;E2552&amp;G2552&amp;J2552</f>
        <v/>
      </c>
    </row>
    <row r="2553" ht="16.5" customHeight="1" s="17">
      <c r="B2553" s="16" t="n">
        <v>44193</v>
      </c>
      <c r="C2553" s="20">
        <f>TEXT(B2553,"aaa")</f>
        <v/>
      </c>
      <c r="E2553" s="20">
        <f>INDEX(매칭테이블!C:C,MATCH(RD!G2553,매칭테이블!D:D,0))</f>
        <v/>
      </c>
      <c r="F2553" s="20" t="inlineStr">
        <is>
          <t>카페24</t>
        </is>
      </c>
      <c r="G2553" s="20" t="inlineStr">
        <is>
          <t>유즈 솔리드퍼퓸 - 30ml (10차 재입고 완료)향=스테이포에버 002 SOLID PERFUME, 세트 선택=1개</t>
        </is>
      </c>
      <c r="H2553" s="20" t="n">
        <v>8</v>
      </c>
      <c r="I2553" s="20">
        <f>VLOOKUP(G2553,매칭테이블!D:E,2,0)</f>
        <v/>
      </c>
      <c r="J2553" s="20" t="n">
        <v>201210</v>
      </c>
      <c r="L2553" s="20">
        <f>VLOOKUP($O2553,매칭테이블!$G:$J,2,0)*H2553</f>
        <v/>
      </c>
      <c r="M2553" s="20">
        <f>L2553-L2553*VLOOKUP($O2553,매칭테이블!$G:$J,3,0)</f>
        <v/>
      </c>
      <c r="N2553" s="20">
        <f>VLOOKUP($O2553,매칭테이블!$G:$J,4,0)*H2553</f>
        <v/>
      </c>
      <c r="O2553" s="20">
        <f>F2553&amp;E2553&amp;G2553&amp;J2553</f>
        <v/>
      </c>
    </row>
    <row r="2554" ht="16.5" customHeight="1" s="17">
      <c r="B2554" s="16" t="n">
        <v>44193</v>
      </c>
      <c r="C2554" s="20">
        <f>TEXT(B2554,"aaa")</f>
        <v/>
      </c>
      <c r="E2554" s="20">
        <f>INDEX(매칭테이블!C:C,MATCH(RD!G2554,매칭테이블!D:D,0))</f>
        <v/>
      </c>
      <c r="F2554" s="20" t="inlineStr">
        <is>
          <t>카페24</t>
        </is>
      </c>
      <c r="G2554" s="20" t="inlineStr">
        <is>
          <t>유즈 솔리드퍼퓸 - 30ml (10차 재입고 완료)향=스테이포에버 002 SOLID PERFUME, 세트 선택=best 2개 (28% 할인)</t>
        </is>
      </c>
      <c r="H2554" s="20" t="n">
        <v>2</v>
      </c>
      <c r="I2554" s="20">
        <f>VLOOKUP(G2554,매칭테이블!D:E,2,0)</f>
        <v/>
      </c>
      <c r="J2554" s="20" t="n">
        <v>201210</v>
      </c>
      <c r="L2554" s="20">
        <f>VLOOKUP($O2554,매칭테이블!$G:$J,2,0)*H2554</f>
        <v/>
      </c>
      <c r="M2554" s="20">
        <f>L2554-L2554*VLOOKUP($O2554,매칭테이블!$G:$J,3,0)</f>
        <v/>
      </c>
      <c r="N2554" s="20">
        <f>VLOOKUP($O2554,매칭테이블!$G:$J,4,0)*H2554</f>
        <v/>
      </c>
      <c r="O2554" s="20">
        <f>F2554&amp;E2554&amp;G2554&amp;J2554</f>
        <v/>
      </c>
    </row>
    <row r="2555" ht="16.5" customHeight="1" s="17">
      <c r="B2555" s="16" t="n">
        <v>44193</v>
      </c>
      <c r="C2555" s="20">
        <f>TEXT(B2555,"aaa")</f>
        <v/>
      </c>
      <c r="E2555" s="20">
        <f>INDEX(매칭테이블!C:C,MATCH(RD!G2555,매칭테이블!D:D,0))</f>
        <v/>
      </c>
      <c r="F2555" s="20" t="inlineStr">
        <is>
          <t>카페24</t>
        </is>
      </c>
      <c r="G2555" s="20" t="inlineStr">
        <is>
          <t>유즈 솔리드퍼퓸 - 30ml (10차 재입고 완료)향=커플세트</t>
        </is>
      </c>
      <c r="H2555" s="20" t="n">
        <v>6</v>
      </c>
      <c r="I2555" s="20">
        <f>VLOOKUP(G2555,매칭테이블!D:E,2,0)</f>
        <v/>
      </c>
      <c r="J2555" s="20" t="n">
        <v>201210</v>
      </c>
      <c r="L2555" s="20">
        <f>VLOOKUP($O2555,매칭테이블!$G:$J,2,0)*H2555</f>
        <v/>
      </c>
      <c r="M2555" s="20">
        <f>L2555-L2555*VLOOKUP($O2555,매칭테이블!$G:$J,3,0)</f>
        <v/>
      </c>
      <c r="N2555" s="20">
        <f>VLOOKUP($O2555,매칭테이블!$G:$J,4,0)*H2555</f>
        <v/>
      </c>
      <c r="O2555" s="20">
        <f>F2555&amp;E2555&amp;G2555&amp;J2555</f>
        <v/>
      </c>
    </row>
    <row r="2556" ht="16.5" customHeight="1" s="17">
      <c r="B2556" s="16" t="n">
        <v>44193</v>
      </c>
      <c r="C2556" s="20">
        <f>TEXT(B2556,"aaa")</f>
        <v/>
      </c>
      <c r="E2556" s="20">
        <f>INDEX(매칭테이블!C:C,MATCH(RD!G2556,매칭테이블!D:D,0))</f>
        <v/>
      </c>
      <c r="F2556" s="20" t="inlineStr">
        <is>
          <t>카페24</t>
        </is>
      </c>
      <c r="G2556" s="20" t="inlineStr">
        <is>
          <t>유즈 솔리드퍼퓸 - 30ml (10차 재입고 완료)향=커플세트(이그나이트 + 스테이포에버), 세트 선택=1 SET</t>
        </is>
      </c>
      <c r="H2556" s="20" t="n">
        <v>2</v>
      </c>
      <c r="I2556" s="20">
        <f>VLOOKUP(G2556,매칭테이블!D:E,2,0)</f>
        <v/>
      </c>
      <c r="J2556" s="20" t="n">
        <v>201210</v>
      </c>
      <c r="L2556" s="20">
        <f>VLOOKUP($O2556,매칭테이블!$G:$J,2,0)*H2556</f>
        <v/>
      </c>
      <c r="M2556" s="20">
        <f>L2556-L2556*VLOOKUP($O2556,매칭테이블!$G:$J,3,0)</f>
        <v/>
      </c>
      <c r="N2556" s="20">
        <f>VLOOKUP($O2556,매칭테이블!$G:$J,4,0)*H2556</f>
        <v/>
      </c>
      <c r="O2556" s="20">
        <f>F2556&amp;E2556&amp;G2556&amp;J2556</f>
        <v/>
      </c>
    </row>
    <row r="2557" ht="16.5" customHeight="1" s="17">
      <c r="B2557" s="16" t="n">
        <v>44193</v>
      </c>
      <c r="C2557" s="20">
        <f>TEXT(B2557,"aaa")</f>
        <v/>
      </c>
      <c r="E2557" s="20">
        <f>INDEX(매칭테이블!C:C,MATCH(RD!G2557,매칭테이블!D:D,0))</f>
        <v/>
      </c>
      <c r="F2557" s="20" t="inlineStr">
        <is>
          <t>카페24</t>
        </is>
      </c>
      <c r="G2557" s="20" t="inlineStr">
        <is>
          <t>유즈 스테이포에버 솔리드퍼퓸 002 (10차 재입고 완료제품선택=스테이포에버 1개</t>
        </is>
      </c>
      <c r="H2557" s="20" t="n">
        <v>32</v>
      </c>
      <c r="I2557" s="20">
        <f>VLOOKUP(G2557,매칭테이블!D:E,2,0)</f>
        <v/>
      </c>
      <c r="J2557" s="20" t="n">
        <v>201210</v>
      </c>
      <c r="L2557" s="20">
        <f>VLOOKUP($O2557,매칭테이블!$G:$J,2,0)*H2557</f>
        <v/>
      </c>
      <c r="M2557" s="20">
        <f>L2557-L2557*VLOOKUP($O2557,매칭테이블!$G:$J,3,0)</f>
        <v/>
      </c>
      <c r="N2557" s="20">
        <f>VLOOKUP($O2557,매칭테이블!$G:$J,4,0)*H2557</f>
        <v/>
      </c>
      <c r="O2557" s="20">
        <f>F2557&amp;E2557&amp;G2557&amp;J2557</f>
        <v/>
      </c>
    </row>
    <row r="2558" ht="16.5" customHeight="1" s="17">
      <c r="B2558" s="16" t="n">
        <v>44193</v>
      </c>
      <c r="C2558" s="20">
        <f>TEXT(B2558,"aaa")</f>
        <v/>
      </c>
      <c r="E2558" s="20">
        <f>INDEX(매칭테이블!C:C,MATCH(RD!G2558,매칭테이블!D:D,0))</f>
        <v/>
      </c>
      <c r="F2558" s="20" t="inlineStr">
        <is>
          <t>카페24</t>
        </is>
      </c>
      <c r="G2558" s="20" t="inlineStr">
        <is>
          <t>유즈 스테이포에버 솔리드퍼퓸 002 (10차 재입고 완료제품선택=best</t>
        </is>
      </c>
      <c r="H2558" s="20" t="n">
        <v>14</v>
      </c>
      <c r="I2558" s="20">
        <f>VLOOKUP(G2558,매칭테이블!D:E,2,0)</f>
        <v/>
      </c>
      <c r="J2558" s="20" t="n">
        <v>201210</v>
      </c>
      <c r="L2558" s="20">
        <f>VLOOKUP($O2558,매칭테이블!$G:$J,2,0)*H2558</f>
        <v/>
      </c>
      <c r="M2558" s="20">
        <f>L2558-L2558*VLOOKUP($O2558,매칭테이블!$G:$J,3,0)</f>
        <v/>
      </c>
      <c r="N2558" s="20">
        <f>VLOOKUP($O2558,매칭테이블!$G:$J,4,0)*H2558</f>
        <v/>
      </c>
      <c r="O2558" s="20">
        <f>F2558&amp;E2558&amp;G2558&amp;J2558</f>
        <v/>
      </c>
    </row>
    <row r="2559" ht="16.5" customHeight="1" s="17">
      <c r="B2559" s="16" t="n">
        <v>44193</v>
      </c>
      <c r="C2559" s="20">
        <f>TEXT(B2559,"aaa")</f>
        <v/>
      </c>
      <c r="E2559" s="20">
        <f>INDEX(매칭테이블!C:C,MATCH(RD!G2559,매칭테이블!D:D,0))</f>
        <v/>
      </c>
      <c r="F2559" s="20" t="inlineStr">
        <is>
          <t>카페24</t>
        </is>
      </c>
      <c r="G2559" s="20" t="inlineStr">
        <is>
          <t>유즈 스테이포에버 솔리드퍼퓸 002 (10차 재입고 완료제품선택=커플추천</t>
        </is>
      </c>
      <c r="H2559" s="20" t="n">
        <v>4</v>
      </c>
      <c r="I2559" s="20">
        <f>VLOOKUP(G2559,매칭테이블!D:E,2,0)</f>
        <v/>
      </c>
      <c r="J2559" s="20" t="n">
        <v>201210</v>
      </c>
      <c r="L2559" s="20">
        <f>VLOOKUP($O2559,매칭테이블!$G:$J,2,0)*H2559</f>
        <v/>
      </c>
      <c r="M2559" s="20">
        <f>L2559-L2559*VLOOKUP($O2559,매칭테이블!$G:$J,3,0)</f>
        <v/>
      </c>
      <c r="N2559" s="20">
        <f>VLOOKUP($O2559,매칭테이블!$G:$J,4,0)*H2559</f>
        <v/>
      </c>
      <c r="O2559" s="20">
        <f>F2559&amp;E2559&amp;G2559&amp;J2559</f>
        <v/>
      </c>
    </row>
    <row r="2560" ht="16.5" customHeight="1" s="17">
      <c r="B2560" s="16" t="n">
        <v>44193</v>
      </c>
      <c r="C2560" s="20">
        <f>TEXT(B2560,"aaa")</f>
        <v/>
      </c>
      <c r="E2560" s="20">
        <f>INDEX(매칭테이블!C:C,MATCH(RD!G2560,매칭테이블!D:D,0))</f>
        <v/>
      </c>
      <c r="F2560" s="20" t="inlineStr">
        <is>
          <t>카페24</t>
        </is>
      </c>
      <c r="G2560" s="20" t="inlineStr">
        <is>
          <t>유즈 스테이포에버 솔리드퍼퓸 002 (10차 재입고 완료)제품선택=스테이포에버 1개</t>
        </is>
      </c>
      <c r="H2560" s="20" t="n">
        <v>251</v>
      </c>
      <c r="I2560" s="20">
        <f>VLOOKUP(G2560,매칭테이블!D:E,2,0)</f>
        <v/>
      </c>
      <c r="J2560" s="20" t="n">
        <v>201210</v>
      </c>
      <c r="L2560" s="20">
        <f>VLOOKUP($O2560,매칭테이블!$G:$J,2,0)*H2560</f>
        <v/>
      </c>
      <c r="M2560" s="20">
        <f>L2560-L2560*VLOOKUP($O2560,매칭테이블!$G:$J,3,0)</f>
        <v/>
      </c>
      <c r="N2560" s="20">
        <f>VLOOKUP($O2560,매칭테이블!$G:$J,4,0)*H2560</f>
        <v/>
      </c>
      <c r="O2560" s="20">
        <f>F2560&amp;E2560&amp;G2560&amp;J2560</f>
        <v/>
      </c>
    </row>
    <row r="2561" ht="16.5" customHeight="1" s="17">
      <c r="B2561" s="16" t="n">
        <v>44193</v>
      </c>
      <c r="C2561" s="20">
        <f>TEXT(B2561,"aaa")</f>
        <v/>
      </c>
      <c r="E2561" s="20">
        <f>INDEX(매칭테이블!C:C,MATCH(RD!G2561,매칭테이블!D:D,0))</f>
        <v/>
      </c>
      <c r="F2561" s="20" t="inlineStr">
        <is>
          <t>카페24</t>
        </is>
      </c>
      <c r="G2561" s="20" t="inlineStr">
        <is>
          <t>유즈 스테이포에버 솔리드퍼퓸 002 (10차 재입고 완료)제품선택=best</t>
        </is>
      </c>
      <c r="H2561" s="20" t="n">
        <v>29</v>
      </c>
      <c r="I2561" s="20">
        <f>VLOOKUP(G2561,매칭테이블!D:E,2,0)</f>
        <v/>
      </c>
      <c r="J2561" s="20" t="n">
        <v>201210</v>
      </c>
      <c r="L2561" s="20">
        <f>VLOOKUP($O2561,매칭테이블!$G:$J,2,0)*H2561</f>
        <v/>
      </c>
      <c r="M2561" s="20">
        <f>L2561-L2561*VLOOKUP($O2561,매칭테이블!$G:$J,3,0)</f>
        <v/>
      </c>
      <c r="N2561" s="20">
        <f>VLOOKUP($O2561,매칭테이블!$G:$J,4,0)*H2561</f>
        <v/>
      </c>
      <c r="O2561" s="20">
        <f>F2561&amp;E2561&amp;G2561&amp;J2561</f>
        <v/>
      </c>
    </row>
    <row r="2562" ht="16.5" customHeight="1" s="17">
      <c r="B2562" s="16" t="n">
        <v>44193</v>
      </c>
      <c r="C2562" s="20">
        <f>TEXT(B2562,"aaa")</f>
        <v/>
      </c>
      <c r="E2562" s="20">
        <f>INDEX(매칭테이블!C:C,MATCH(RD!G2562,매칭테이블!D:D,0))</f>
        <v/>
      </c>
      <c r="F2562" s="20" t="inlineStr">
        <is>
          <t>카페24</t>
        </is>
      </c>
      <c r="G2562" s="20" t="inlineStr">
        <is>
          <t>유즈 스테이포에버 솔리드퍼퓸 002 (10차 재입고 완료)제품선택=best스테이포에버 2개[28% 할인]</t>
        </is>
      </c>
      <c r="H2562" s="20" t="n">
        <v>63</v>
      </c>
      <c r="I2562" s="20">
        <f>VLOOKUP(G2562,매칭테이블!D:E,2,0)</f>
        <v/>
      </c>
      <c r="J2562" s="20" t="n">
        <v>201210</v>
      </c>
      <c r="L2562" s="20">
        <f>VLOOKUP($O2562,매칭테이블!$G:$J,2,0)*H2562</f>
        <v/>
      </c>
      <c r="M2562" s="20">
        <f>L2562-L2562*VLOOKUP($O2562,매칭테이블!$G:$J,3,0)</f>
        <v/>
      </c>
      <c r="N2562" s="20">
        <f>VLOOKUP($O2562,매칭테이블!$G:$J,4,0)*H2562</f>
        <v/>
      </c>
      <c r="O2562" s="20">
        <f>F2562&amp;E2562&amp;G2562&amp;J2562</f>
        <v/>
      </c>
    </row>
    <row r="2563" ht="16.5" customHeight="1" s="17">
      <c r="B2563" s="16" t="n">
        <v>44193</v>
      </c>
      <c r="C2563" s="20">
        <f>TEXT(B2563,"aaa")</f>
        <v/>
      </c>
      <c r="E2563" s="20">
        <f>INDEX(매칭테이블!C:C,MATCH(RD!G2563,매칭테이블!D:D,0))</f>
        <v/>
      </c>
      <c r="F2563" s="20" t="inlineStr">
        <is>
          <t>카페24</t>
        </is>
      </c>
      <c r="G2563" s="20" t="inlineStr">
        <is>
          <t>유즈 스테이포에버 솔리드퍼퓸 002 (10차 재입고 완료)제품선택=커플추천</t>
        </is>
      </c>
      <c r="H2563" s="20" t="n">
        <v>6</v>
      </c>
      <c r="I2563" s="20">
        <f>VLOOKUP(G2563,매칭테이블!D:E,2,0)</f>
        <v/>
      </c>
      <c r="J2563" s="20" t="n">
        <v>201210</v>
      </c>
      <c r="L2563" s="20">
        <f>VLOOKUP($O2563,매칭테이블!$G:$J,2,0)*H2563</f>
        <v/>
      </c>
      <c r="M2563" s="20">
        <f>L2563-L2563*VLOOKUP($O2563,매칭테이블!$G:$J,3,0)</f>
        <v/>
      </c>
      <c r="N2563" s="20">
        <f>VLOOKUP($O2563,매칭테이블!$G:$J,4,0)*H2563</f>
        <v/>
      </c>
      <c r="O2563" s="20">
        <f>F2563&amp;E2563&amp;G2563&amp;J2563</f>
        <v/>
      </c>
    </row>
    <row r="2564" ht="16.5" customHeight="1" s="17">
      <c r="B2564" s="16" t="n">
        <v>44193</v>
      </c>
      <c r="C2564" s="20">
        <f>TEXT(B2564,"aaa")</f>
        <v/>
      </c>
      <c r="E2564" s="20">
        <f>INDEX(매칭테이블!C:C,MATCH(RD!G2564,매칭테이블!D:D,0))</f>
        <v/>
      </c>
      <c r="F2564" s="20" t="inlineStr">
        <is>
          <t>카페24</t>
        </is>
      </c>
      <c r="G2564" s="20" t="inlineStr">
        <is>
          <t>유즈 스테이포에버 솔리드퍼퓸 002 (10차 재입고 완료)제품선택=커플추천스테이포에버 + 이그나이트 세트</t>
        </is>
      </c>
      <c r="H2564" s="20" t="n">
        <v>9</v>
      </c>
      <c r="I2564" s="20">
        <f>VLOOKUP(G2564,매칭테이블!D:E,2,0)</f>
        <v/>
      </c>
      <c r="J2564" s="20" t="n">
        <v>201210</v>
      </c>
      <c r="L2564" s="20">
        <f>VLOOKUP($O2564,매칭테이블!$G:$J,2,0)*H2564</f>
        <v/>
      </c>
      <c r="M2564" s="20">
        <f>L2564-L2564*VLOOKUP($O2564,매칭테이블!$G:$J,3,0)</f>
        <v/>
      </c>
      <c r="N2564" s="20">
        <f>VLOOKUP($O2564,매칭테이블!$G:$J,4,0)*H2564</f>
        <v/>
      </c>
      <c r="O2564" s="20">
        <f>F2564&amp;E2564&amp;G2564&amp;J2564</f>
        <v/>
      </c>
    </row>
    <row r="2565" ht="16.5" customHeight="1" s="17">
      <c r="B2565" s="16" t="n">
        <v>44193</v>
      </c>
      <c r="C2565" s="20">
        <f>TEXT(B2565,"aaa")</f>
        <v/>
      </c>
      <c r="E2565" s="20">
        <f>INDEX(매칭테이블!C:C,MATCH(RD!G2565,매칭테이블!D:D,0))</f>
        <v/>
      </c>
      <c r="F2565" s="20" t="inlineStr">
        <is>
          <t>카페24</t>
        </is>
      </c>
      <c r="G2565" s="20" t="inlineStr">
        <is>
          <t>유즈 스테이포에버 솔리드퍼퓸 002 (10차 재입고 완료)쇼핑백=선물용 쇼핑백</t>
        </is>
      </c>
      <c r="H2565" s="20" t="n">
        <v>14</v>
      </c>
      <c r="I2565" s="20">
        <f>VLOOKUP(G2565,매칭테이블!D:E,2,0)</f>
        <v/>
      </c>
      <c r="J2565" s="20" t="n">
        <v>201210</v>
      </c>
      <c r="L2565" s="20">
        <f>VLOOKUP($O2565,매칭테이블!$G:$J,2,0)*H2565</f>
        <v/>
      </c>
      <c r="M2565" s="20">
        <f>L2565-L2565*VLOOKUP($O2565,매칭테이블!$G:$J,3,0)</f>
        <v/>
      </c>
      <c r="N2565" s="20">
        <f>VLOOKUP($O2565,매칭테이블!$G:$J,4,0)*H2565</f>
        <v/>
      </c>
      <c r="O2565" s="20">
        <f>F2565&amp;E2565&amp;G2565&amp;J2565</f>
        <v/>
      </c>
    </row>
    <row r="2566" ht="16.5" customHeight="1" s="17">
      <c r="B2566" s="16" t="n">
        <v>44193</v>
      </c>
      <c r="C2566" s="20">
        <f>TEXT(B2566,"aaa")</f>
        <v/>
      </c>
      <c r="E2566" s="20">
        <f>INDEX(매칭테이블!C:C,MATCH(RD!G2566,매칭테이블!D:D,0))</f>
        <v/>
      </c>
      <c r="F2566" s="20" t="inlineStr">
        <is>
          <t>카페24</t>
        </is>
      </c>
      <c r="G2566" s="20" t="inlineStr">
        <is>
          <t>유즈 이그나이트 솔리드퍼퓸 001제품선택=이그나이트 솔리드퍼퓸 - 30ml</t>
        </is>
      </c>
      <c r="H2566" s="20" t="n">
        <v>3</v>
      </c>
      <c r="I2566" s="20">
        <f>VLOOKUP(G2566,매칭테이블!D:E,2,0)</f>
        <v/>
      </c>
      <c r="J2566" s="20" t="n">
        <v>201210</v>
      </c>
      <c r="L2566" s="20">
        <f>VLOOKUP($O2566,매칭테이블!$G:$J,2,0)*H2566</f>
        <v/>
      </c>
      <c r="M2566" s="20">
        <f>L2566-L2566*VLOOKUP($O2566,매칭테이블!$G:$J,3,0)</f>
        <v/>
      </c>
      <c r="N2566" s="20">
        <f>VLOOKUP($O2566,매칭테이블!$G:$J,4,0)*H2566</f>
        <v/>
      </c>
      <c r="O2566" s="20">
        <f>F2566&amp;E2566&amp;G2566&amp;J2566</f>
        <v/>
      </c>
    </row>
    <row r="2567" ht="16.5" customHeight="1" s="17">
      <c r="B2567" s="16" t="n">
        <v>44193</v>
      </c>
      <c r="C2567" s="20">
        <f>TEXT(B2567,"aaa")</f>
        <v/>
      </c>
      <c r="E2567" s="20">
        <f>INDEX(매칭테이블!C:C,MATCH(RD!G2567,매칭테이블!D:D,0))</f>
        <v/>
      </c>
      <c r="F2567" s="20" t="inlineStr">
        <is>
          <t>카페24</t>
        </is>
      </c>
      <c r="G2567" s="20" t="inlineStr">
        <is>
          <t>유즈 이그나이트 솔리드퍼퓸 001제품선택=이그나이트 2개 세트</t>
        </is>
      </c>
      <c r="H2567" s="20" t="n">
        <v>1</v>
      </c>
      <c r="I2567" s="20">
        <f>VLOOKUP(G2567,매칭테이블!D:E,2,0)</f>
        <v/>
      </c>
      <c r="J2567" s="20" t="n">
        <v>201210</v>
      </c>
      <c r="L2567" s="20">
        <f>VLOOKUP($O2567,매칭테이블!$G:$J,2,0)*H2567</f>
        <v/>
      </c>
      <c r="M2567" s="20">
        <f>L2567-L2567*VLOOKUP($O2567,매칭테이블!$G:$J,3,0)</f>
        <v/>
      </c>
      <c r="N2567" s="20">
        <f>VLOOKUP($O2567,매칭테이블!$G:$J,4,0)*H2567</f>
        <v/>
      </c>
      <c r="O2567" s="20">
        <f>F2567&amp;E2567&amp;G2567&amp;J2567</f>
        <v/>
      </c>
    </row>
    <row r="2568" ht="16.5" customHeight="1" s="17">
      <c r="B2568" s="16" t="n">
        <v>44194</v>
      </c>
      <c r="C2568" s="20">
        <f>TEXT(B2568,"aaa")</f>
        <v/>
      </c>
      <c r="E2568" s="20">
        <f>INDEX(매칭테이블!C:C,MATCH(RD!G2568,매칭테이블!D:D,0))</f>
        <v/>
      </c>
      <c r="F2568" s="20" t="inlineStr">
        <is>
          <t>카페24</t>
        </is>
      </c>
      <c r="G2568" s="20" t="inlineStr">
        <is>
          <t>유즈 솔리드퍼퓸 - 30ml (10차 재입고 완료)향=이그나이트 001 SOLID PERFUME, 세트 선택=1개</t>
        </is>
      </c>
      <c r="H2568" s="20" t="n">
        <v>3</v>
      </c>
      <c r="I2568" s="20">
        <f>VLOOKUP(G2568,매칭테이블!D:E,2,0)</f>
        <v/>
      </c>
      <c r="J2568" s="20" t="n">
        <v>201210</v>
      </c>
      <c r="L2568" s="20">
        <f>VLOOKUP($O2568,매칭테이블!$G:$J,2,0)*H2568</f>
        <v/>
      </c>
      <c r="M2568" s="20">
        <f>L2568-L2568*VLOOKUP($O2568,매칭테이블!$G:$J,3,0)</f>
        <v/>
      </c>
      <c r="N2568" s="20">
        <f>VLOOKUP($O2568,매칭테이블!$G:$J,4,0)*H2568</f>
        <v/>
      </c>
      <c r="O2568" s="20">
        <f>F2568&amp;E2568&amp;G2568&amp;J2568</f>
        <v/>
      </c>
    </row>
    <row r="2569" ht="16.5" customHeight="1" s="17">
      <c r="B2569" s="16" t="n">
        <v>44194</v>
      </c>
      <c r="C2569" s="20">
        <f>TEXT(B2569,"aaa")</f>
        <v/>
      </c>
      <c r="E2569" s="20">
        <f>INDEX(매칭테이블!C:C,MATCH(RD!G2569,매칭테이블!D:D,0))</f>
        <v/>
      </c>
      <c r="F2569" s="20" t="inlineStr">
        <is>
          <t>카페24</t>
        </is>
      </c>
      <c r="G2569" s="20" t="inlineStr">
        <is>
          <t>유즈 솔리드퍼퓸 - 30ml (10차 재입고 완료)향=이그나이트 001 SOLID PERFUME, 세트 선택=best</t>
        </is>
      </c>
      <c r="H2569" s="20" t="n">
        <v>1</v>
      </c>
      <c r="I2569" s="20">
        <f>VLOOKUP(G2569,매칭테이블!D:E,2,0)</f>
        <v/>
      </c>
      <c r="J2569" s="20" t="n">
        <v>201210</v>
      </c>
      <c r="L2569" s="20">
        <f>VLOOKUP($O2569,매칭테이블!$G:$J,2,0)*H2569</f>
        <v/>
      </c>
      <c r="M2569" s="20">
        <f>L2569-L2569*VLOOKUP($O2569,매칭테이블!$G:$J,3,0)</f>
        <v/>
      </c>
      <c r="N2569" s="20">
        <f>VLOOKUP($O2569,매칭테이블!$G:$J,4,0)*H2569</f>
        <v/>
      </c>
      <c r="O2569" s="20">
        <f>F2569&amp;E2569&amp;G2569&amp;J2569</f>
        <v/>
      </c>
    </row>
    <row r="2570" ht="16.5" customHeight="1" s="17">
      <c r="B2570" s="16" t="n">
        <v>44194</v>
      </c>
      <c r="C2570" s="20">
        <f>TEXT(B2570,"aaa")</f>
        <v/>
      </c>
      <c r="E2570" s="20">
        <f>INDEX(매칭테이블!C:C,MATCH(RD!G2570,매칭테이블!D:D,0))</f>
        <v/>
      </c>
      <c r="F2570" s="20" t="inlineStr">
        <is>
          <t>카페24</t>
        </is>
      </c>
      <c r="G2570" s="20" t="inlineStr">
        <is>
          <t>유즈 솔리드퍼퓸 - 30ml (10차 재입고 완료)향=스테이포에버 002 SOLID PERFUME, 세트 선택=1개</t>
        </is>
      </c>
      <c r="H2570" s="20" t="n">
        <v>9</v>
      </c>
      <c r="I2570" s="20">
        <f>VLOOKUP(G2570,매칭테이블!D:E,2,0)</f>
        <v/>
      </c>
      <c r="J2570" s="20" t="n">
        <v>201210</v>
      </c>
      <c r="L2570" s="20">
        <f>VLOOKUP($O2570,매칭테이블!$G:$J,2,0)*H2570</f>
        <v/>
      </c>
      <c r="M2570" s="20">
        <f>L2570-L2570*VLOOKUP($O2570,매칭테이블!$G:$J,3,0)</f>
        <v/>
      </c>
      <c r="N2570" s="20">
        <f>VLOOKUP($O2570,매칭테이블!$G:$J,4,0)*H2570</f>
        <v/>
      </c>
      <c r="O2570" s="20">
        <f>F2570&amp;E2570&amp;G2570&amp;J2570</f>
        <v/>
      </c>
    </row>
    <row r="2571" ht="16.5" customHeight="1" s="17">
      <c r="B2571" s="16" t="n">
        <v>44194</v>
      </c>
      <c r="C2571" s="20">
        <f>TEXT(B2571,"aaa")</f>
        <v/>
      </c>
      <c r="E2571" s="20">
        <f>INDEX(매칭테이블!C:C,MATCH(RD!G2571,매칭테이블!D:D,0))</f>
        <v/>
      </c>
      <c r="F2571" s="20" t="inlineStr">
        <is>
          <t>카페24</t>
        </is>
      </c>
      <c r="G2571" s="20" t="inlineStr">
        <is>
          <t>유즈 솔리드퍼퓸 - 30ml (10차 재입고 완료)향=스테이포에버 002 SOLID PERFUME, 세트 선택=best</t>
        </is>
      </c>
      <c r="H2571" s="20" t="n">
        <v>5</v>
      </c>
      <c r="I2571" s="20">
        <f>VLOOKUP(G2571,매칭테이블!D:E,2,0)</f>
        <v/>
      </c>
      <c r="J2571" s="20" t="n">
        <v>201210</v>
      </c>
      <c r="L2571" s="20">
        <f>VLOOKUP($O2571,매칭테이블!$G:$J,2,0)*H2571</f>
        <v/>
      </c>
      <c r="M2571" s="20">
        <f>L2571-L2571*VLOOKUP($O2571,매칭테이블!$G:$J,3,0)</f>
        <v/>
      </c>
      <c r="N2571" s="20">
        <f>VLOOKUP($O2571,매칭테이블!$G:$J,4,0)*H2571</f>
        <v/>
      </c>
      <c r="O2571" s="20">
        <f>F2571&amp;E2571&amp;G2571&amp;J2571</f>
        <v/>
      </c>
    </row>
    <row r="2572" ht="16.5" customHeight="1" s="17">
      <c r="B2572" s="16" t="n">
        <v>44194</v>
      </c>
      <c r="C2572" s="20">
        <f>TEXT(B2572,"aaa")</f>
        <v/>
      </c>
      <c r="E2572" s="20">
        <f>INDEX(매칭테이블!C:C,MATCH(RD!G2572,매칭테이블!D:D,0))</f>
        <v/>
      </c>
      <c r="F2572" s="20" t="inlineStr">
        <is>
          <t>카페24</t>
        </is>
      </c>
      <c r="G2572" s="20" t="inlineStr">
        <is>
          <t>유즈 솔리드퍼퓸 - 30ml (10차 재입고 완료)향=스테이포에버 002 SOLID PERFUME, 세트 선택=best 2개 (28% 할인)</t>
        </is>
      </c>
      <c r="H2572" s="20" t="n">
        <v>2</v>
      </c>
      <c r="I2572" s="20">
        <f>VLOOKUP(G2572,매칭테이블!D:E,2,0)</f>
        <v/>
      </c>
      <c r="J2572" s="20" t="n">
        <v>201210</v>
      </c>
      <c r="L2572" s="20">
        <f>VLOOKUP($O2572,매칭테이블!$G:$J,2,0)*H2572</f>
        <v/>
      </c>
      <c r="M2572" s="20">
        <f>L2572-L2572*VLOOKUP($O2572,매칭테이블!$G:$J,3,0)</f>
        <v/>
      </c>
      <c r="N2572" s="20">
        <f>VLOOKUP($O2572,매칭테이블!$G:$J,4,0)*H2572</f>
        <v/>
      </c>
      <c r="O2572" s="20">
        <f>F2572&amp;E2572&amp;G2572&amp;J2572</f>
        <v/>
      </c>
    </row>
    <row r="2573" ht="16.5" customHeight="1" s="17">
      <c r="B2573" s="16" t="n">
        <v>44194</v>
      </c>
      <c r="C2573" s="20">
        <f>TEXT(B2573,"aaa")</f>
        <v/>
      </c>
      <c r="E2573" s="20">
        <f>INDEX(매칭테이블!C:C,MATCH(RD!G2573,매칭테이블!D:D,0))</f>
        <v/>
      </c>
      <c r="F2573" s="20" t="inlineStr">
        <is>
          <t>카페24</t>
        </is>
      </c>
      <c r="G2573" s="20" t="inlineStr">
        <is>
          <t>유즈 솔리드퍼퓸 - 30ml (10차 재입고 완료)향=커플세트</t>
        </is>
      </c>
      <c r="H2573" s="20" t="n">
        <v>1</v>
      </c>
      <c r="I2573" s="20">
        <f>VLOOKUP(G2573,매칭테이블!D:E,2,0)</f>
        <v/>
      </c>
      <c r="J2573" s="20" t="n">
        <v>201210</v>
      </c>
      <c r="L2573" s="20">
        <f>VLOOKUP($O2573,매칭테이블!$G:$J,2,0)*H2573</f>
        <v/>
      </c>
      <c r="M2573" s="20">
        <f>L2573-L2573*VLOOKUP($O2573,매칭테이블!$G:$J,3,0)</f>
        <v/>
      </c>
      <c r="N2573" s="20">
        <f>VLOOKUP($O2573,매칭테이블!$G:$J,4,0)*H2573</f>
        <v/>
      </c>
      <c r="O2573" s="20">
        <f>F2573&amp;E2573&amp;G2573&amp;J2573</f>
        <v/>
      </c>
    </row>
    <row r="2574" ht="16.5" customHeight="1" s="17">
      <c r="B2574" s="16" t="n">
        <v>44194</v>
      </c>
      <c r="C2574" s="20">
        <f>TEXT(B2574,"aaa")</f>
        <v/>
      </c>
      <c r="E2574" s="20">
        <f>INDEX(매칭테이블!C:C,MATCH(RD!G2574,매칭테이블!D:D,0))</f>
        <v/>
      </c>
      <c r="F2574" s="20" t="inlineStr">
        <is>
          <t>카페24</t>
        </is>
      </c>
      <c r="G2574" s="20" t="inlineStr">
        <is>
          <t>유즈 솔리드퍼퓸 - 30ml (10차 재입고 완료)향=커플세트(이그나이트 + 스테이포에버), 세트 선택=1 SET</t>
        </is>
      </c>
      <c r="H2574" s="20" t="n">
        <v>3</v>
      </c>
      <c r="I2574" s="20">
        <f>VLOOKUP(G2574,매칭테이블!D:E,2,0)</f>
        <v/>
      </c>
      <c r="J2574" s="20" t="n">
        <v>201210</v>
      </c>
      <c r="L2574" s="20">
        <f>VLOOKUP($O2574,매칭테이블!$G:$J,2,0)*H2574</f>
        <v/>
      </c>
      <c r="M2574" s="20">
        <f>L2574-L2574*VLOOKUP($O2574,매칭테이블!$G:$J,3,0)</f>
        <v/>
      </c>
      <c r="N2574" s="20">
        <f>VLOOKUP($O2574,매칭테이블!$G:$J,4,0)*H2574</f>
        <v/>
      </c>
      <c r="O2574" s="20">
        <f>F2574&amp;E2574&amp;G2574&amp;J2574</f>
        <v/>
      </c>
    </row>
    <row r="2575" ht="16.5" customHeight="1" s="17">
      <c r="B2575" s="16" t="n">
        <v>44194</v>
      </c>
      <c r="C2575" s="20">
        <f>TEXT(B2575,"aaa")</f>
        <v/>
      </c>
      <c r="E2575" s="20">
        <f>INDEX(매칭테이블!C:C,MATCH(RD!G2575,매칭테이블!D:D,0))</f>
        <v/>
      </c>
      <c r="F2575" s="20" t="inlineStr">
        <is>
          <t>카페24</t>
        </is>
      </c>
      <c r="G2575" s="20" t="inlineStr">
        <is>
          <t>유즈 솔리드퍼퓸 - 30ml (10차 재입고 완료)향=커플세트</t>
        </is>
      </c>
      <c r="H2575" s="20" t="n">
        <v>1</v>
      </c>
      <c r="I2575" s="20">
        <f>VLOOKUP(G2575,매칭테이블!D:E,2,0)</f>
        <v/>
      </c>
      <c r="J2575" s="20" t="n">
        <v>201210</v>
      </c>
      <c r="L2575" s="20">
        <f>VLOOKUP($O2575,매칭테이블!$G:$J,2,0)*H2575</f>
        <v/>
      </c>
      <c r="M2575" s="20">
        <f>L2575-L2575*VLOOKUP($O2575,매칭테이블!$G:$J,3,0)</f>
        <v/>
      </c>
      <c r="N2575" s="20">
        <f>VLOOKUP($O2575,매칭테이블!$G:$J,4,0)*H2575</f>
        <v/>
      </c>
      <c r="O2575" s="20">
        <f>F2575&amp;E2575&amp;G2575&amp;J2575</f>
        <v/>
      </c>
    </row>
    <row r="2576" ht="16.5" customHeight="1" s="17">
      <c r="B2576" s="16" t="n">
        <v>44194</v>
      </c>
      <c r="C2576" s="20">
        <f>TEXT(B2576,"aaa")</f>
        <v/>
      </c>
      <c r="E2576" s="20">
        <f>INDEX(매칭테이블!C:C,MATCH(RD!G2576,매칭테이블!D:D,0))</f>
        <v/>
      </c>
      <c r="F2576" s="20" t="inlineStr">
        <is>
          <t>카페24</t>
        </is>
      </c>
      <c r="G2576" s="20" t="inlineStr">
        <is>
          <t>유즈 솔리드퍼퓸 - 30ml (10차 재입고 완료)향=커플세트(이그나이트 + 스테이포에버), 세트 선택=2 SET (42% 할인)</t>
        </is>
      </c>
      <c r="H2576" s="20" t="n">
        <v>1</v>
      </c>
      <c r="I2576" s="20">
        <f>VLOOKUP(G2576,매칭테이블!D:E,2,0)</f>
        <v/>
      </c>
      <c r="J2576" s="20" t="n">
        <v>201210</v>
      </c>
      <c r="L2576" s="20">
        <f>VLOOKUP($O2576,매칭테이블!$G:$J,2,0)*H2576</f>
        <v/>
      </c>
      <c r="M2576" s="20">
        <f>L2576-L2576*VLOOKUP($O2576,매칭테이블!$G:$J,3,0)</f>
        <v/>
      </c>
      <c r="N2576" s="20">
        <f>VLOOKUP($O2576,매칭테이블!$G:$J,4,0)*H2576</f>
        <v/>
      </c>
      <c r="O2576" s="20">
        <f>F2576&amp;E2576&amp;G2576&amp;J2576</f>
        <v/>
      </c>
    </row>
    <row r="2577" ht="16.5" customHeight="1" s="17">
      <c r="B2577" s="16" t="n">
        <v>44194</v>
      </c>
      <c r="C2577" s="20">
        <f>TEXT(B2577,"aaa")</f>
        <v/>
      </c>
      <c r="E2577" s="20">
        <f>INDEX(매칭테이블!C:C,MATCH(RD!G2577,매칭테이블!D:D,0))</f>
        <v/>
      </c>
      <c r="F2577" s="20" t="inlineStr">
        <is>
          <t>카페24</t>
        </is>
      </c>
      <c r="G2577" s="20" t="inlineStr">
        <is>
          <t>유즈 스테이포에버 솔리드퍼퓸 002 (10차 재입고 완료제품선택=스테이포에버 1개</t>
        </is>
      </c>
      <c r="H2577" s="20" t="n">
        <v>1</v>
      </c>
      <c r="I2577" s="20">
        <f>VLOOKUP(G2577,매칭테이블!D:E,2,0)</f>
        <v/>
      </c>
      <c r="J2577" s="20" t="n">
        <v>201210</v>
      </c>
      <c r="L2577" s="20">
        <f>VLOOKUP($O2577,매칭테이블!$G:$J,2,0)*H2577</f>
        <v/>
      </c>
      <c r="M2577" s="20">
        <f>L2577-L2577*VLOOKUP($O2577,매칭테이블!$G:$J,3,0)</f>
        <v/>
      </c>
      <c r="N2577" s="20">
        <f>VLOOKUP($O2577,매칭테이블!$G:$J,4,0)*H2577</f>
        <v/>
      </c>
      <c r="O2577" s="20">
        <f>F2577&amp;E2577&amp;G2577&amp;J2577</f>
        <v/>
      </c>
    </row>
    <row r="2578" ht="16.5" customHeight="1" s="17">
      <c r="B2578" s="16" t="n">
        <v>44194</v>
      </c>
      <c r="C2578" s="20">
        <f>TEXT(B2578,"aaa")</f>
        <v/>
      </c>
      <c r="E2578" s="20">
        <f>INDEX(매칭테이블!C:C,MATCH(RD!G2578,매칭테이블!D:D,0))</f>
        <v/>
      </c>
      <c r="F2578" s="20" t="inlineStr">
        <is>
          <t>카페24</t>
        </is>
      </c>
      <c r="G2578" s="20" t="inlineStr">
        <is>
          <t>유즈 스테이포에버 솔리드퍼퓸 002 (10차 재입고 완료제품선택=best</t>
        </is>
      </c>
      <c r="H2578" s="20" t="n">
        <v>1</v>
      </c>
      <c r="I2578" s="20">
        <f>VLOOKUP(G2578,매칭테이블!D:E,2,0)</f>
        <v/>
      </c>
      <c r="J2578" s="20" t="n">
        <v>201210</v>
      </c>
      <c r="L2578" s="20">
        <f>VLOOKUP($O2578,매칭테이블!$G:$J,2,0)*H2578</f>
        <v/>
      </c>
      <c r="M2578" s="20">
        <f>L2578-L2578*VLOOKUP($O2578,매칭테이블!$G:$J,3,0)</f>
        <v/>
      </c>
      <c r="N2578" s="20">
        <f>VLOOKUP($O2578,매칭테이블!$G:$J,4,0)*H2578</f>
        <v/>
      </c>
      <c r="O2578" s="20">
        <f>F2578&amp;E2578&amp;G2578&amp;J2578</f>
        <v/>
      </c>
    </row>
    <row r="2579" ht="16.5" customHeight="1" s="17">
      <c r="B2579" s="16" t="n">
        <v>44194</v>
      </c>
      <c r="C2579" s="20">
        <f>TEXT(B2579,"aaa")</f>
        <v/>
      </c>
      <c r="E2579" s="20">
        <f>INDEX(매칭테이블!C:C,MATCH(RD!G2579,매칭테이블!D:D,0))</f>
        <v/>
      </c>
      <c r="F2579" s="20" t="inlineStr">
        <is>
          <t>카페24</t>
        </is>
      </c>
      <c r="G2579" s="20" t="inlineStr">
        <is>
          <t>유즈 스테이포에버 솔리드퍼퓸 002 (10차 재입고 완료제품선택=커플추천</t>
        </is>
      </c>
      <c r="H2579" s="20" t="n">
        <v>1</v>
      </c>
      <c r="I2579" s="20">
        <f>VLOOKUP(G2579,매칭테이블!D:E,2,0)</f>
        <v/>
      </c>
      <c r="J2579" s="20" t="n">
        <v>201210</v>
      </c>
      <c r="L2579" s="20">
        <f>VLOOKUP($O2579,매칭테이블!$G:$J,2,0)*H2579</f>
        <v/>
      </c>
      <c r="M2579" s="20">
        <f>L2579-L2579*VLOOKUP($O2579,매칭테이블!$G:$J,3,0)</f>
        <v/>
      </c>
      <c r="N2579" s="20">
        <f>VLOOKUP($O2579,매칭테이블!$G:$J,4,0)*H2579</f>
        <v/>
      </c>
      <c r="O2579" s="20">
        <f>F2579&amp;E2579&amp;G2579&amp;J2579</f>
        <v/>
      </c>
    </row>
    <row r="2580" ht="16.5" customHeight="1" s="17">
      <c r="B2580" s="16" t="n">
        <v>44194</v>
      </c>
      <c r="C2580" s="20">
        <f>TEXT(B2580,"aaa")</f>
        <v/>
      </c>
      <c r="E2580" s="20">
        <f>INDEX(매칭테이블!C:C,MATCH(RD!G2580,매칭테이블!D:D,0))</f>
        <v/>
      </c>
      <c r="F2580" s="20" t="inlineStr">
        <is>
          <t>카페24</t>
        </is>
      </c>
      <c r="G2580" s="20" t="inlineStr">
        <is>
          <t>유즈 스테이포에버 솔리드퍼퓸 002 (10차 재입고 완료)제품선택=스테이포에버 1개</t>
        </is>
      </c>
      <c r="H2580" s="20" t="n">
        <v>281</v>
      </c>
      <c r="I2580" s="20">
        <f>VLOOKUP(G2580,매칭테이블!D:E,2,0)</f>
        <v/>
      </c>
      <c r="J2580" s="20" t="n">
        <v>201210</v>
      </c>
      <c r="L2580" s="20">
        <f>VLOOKUP($O2580,매칭테이블!$G:$J,2,0)*H2580</f>
        <v/>
      </c>
      <c r="M2580" s="20">
        <f>L2580-L2580*VLOOKUP($O2580,매칭테이블!$G:$J,3,0)</f>
        <v/>
      </c>
      <c r="N2580" s="20">
        <f>VLOOKUP($O2580,매칭테이블!$G:$J,4,0)*H2580</f>
        <v/>
      </c>
      <c r="O2580" s="20">
        <f>F2580&amp;E2580&amp;G2580&amp;J2580</f>
        <v/>
      </c>
    </row>
    <row r="2581" ht="16.5" customHeight="1" s="17">
      <c r="B2581" s="16" t="n">
        <v>44194</v>
      </c>
      <c r="C2581" s="20">
        <f>TEXT(B2581,"aaa")</f>
        <v/>
      </c>
      <c r="E2581" s="20">
        <f>INDEX(매칭테이블!C:C,MATCH(RD!G2581,매칭테이블!D:D,0))</f>
        <v/>
      </c>
      <c r="F2581" s="20" t="inlineStr">
        <is>
          <t>카페24</t>
        </is>
      </c>
      <c r="G2581" s="20" t="inlineStr">
        <is>
          <t>유즈 스테이포에버 솔리드퍼퓸 002 (10차 재입고 완료)제품선택=best</t>
        </is>
      </c>
      <c r="H2581" s="20" t="n">
        <v>46</v>
      </c>
      <c r="I2581" s="20">
        <f>VLOOKUP(G2581,매칭테이블!D:E,2,0)</f>
        <v/>
      </c>
      <c r="J2581" s="20" t="n">
        <v>201210</v>
      </c>
      <c r="L2581" s="20">
        <f>VLOOKUP($O2581,매칭테이블!$G:$J,2,0)*H2581</f>
        <v/>
      </c>
      <c r="M2581" s="20">
        <f>L2581-L2581*VLOOKUP($O2581,매칭테이블!$G:$J,3,0)</f>
        <v/>
      </c>
      <c r="N2581" s="20">
        <f>VLOOKUP($O2581,매칭테이블!$G:$J,4,0)*H2581</f>
        <v/>
      </c>
      <c r="O2581" s="20">
        <f>F2581&amp;E2581&amp;G2581&amp;J2581</f>
        <v/>
      </c>
    </row>
    <row r="2582" ht="16.5" customHeight="1" s="17">
      <c r="B2582" s="16" t="n">
        <v>44194</v>
      </c>
      <c r="C2582" s="20">
        <f>TEXT(B2582,"aaa")</f>
        <v/>
      </c>
      <c r="E2582" s="20">
        <f>INDEX(매칭테이블!C:C,MATCH(RD!G2582,매칭테이블!D:D,0))</f>
        <v/>
      </c>
      <c r="F2582" s="20" t="inlineStr">
        <is>
          <t>카페24</t>
        </is>
      </c>
      <c r="G2582" s="20" t="inlineStr">
        <is>
          <t>유즈 스테이포에버 솔리드퍼퓸 002 (10차 재입고 완료)제품선택=best스테이포에버 2개[28% 할인]</t>
        </is>
      </c>
      <c r="H2582" s="20" t="n">
        <v>58</v>
      </c>
      <c r="I2582" s="20">
        <f>VLOOKUP(G2582,매칭테이블!D:E,2,0)</f>
        <v/>
      </c>
      <c r="J2582" s="20" t="n">
        <v>201210</v>
      </c>
      <c r="L2582" s="20">
        <f>VLOOKUP($O2582,매칭테이블!$G:$J,2,0)*H2582</f>
        <v/>
      </c>
      <c r="M2582" s="20">
        <f>L2582-L2582*VLOOKUP($O2582,매칭테이블!$G:$J,3,0)</f>
        <v/>
      </c>
      <c r="N2582" s="20">
        <f>VLOOKUP($O2582,매칭테이블!$G:$J,4,0)*H2582</f>
        <v/>
      </c>
      <c r="O2582" s="20">
        <f>F2582&amp;E2582&amp;G2582&amp;J2582</f>
        <v/>
      </c>
    </row>
    <row r="2583" ht="16.5" customHeight="1" s="17">
      <c r="B2583" s="16" t="n">
        <v>44194</v>
      </c>
      <c r="C2583" s="20">
        <f>TEXT(B2583,"aaa")</f>
        <v/>
      </c>
      <c r="E2583" s="20">
        <f>INDEX(매칭테이블!C:C,MATCH(RD!G2583,매칭테이블!D:D,0))</f>
        <v/>
      </c>
      <c r="F2583" s="20" t="inlineStr">
        <is>
          <t>카페24</t>
        </is>
      </c>
      <c r="G2583" s="20" t="inlineStr">
        <is>
          <t>유즈 스테이포에버 솔리드퍼퓸 002 (10차 재입고 완료)제품선택=커플추천</t>
        </is>
      </c>
      <c r="H2583" s="20" t="n">
        <v>9</v>
      </c>
      <c r="I2583" s="20">
        <f>VLOOKUP(G2583,매칭테이블!D:E,2,0)</f>
        <v/>
      </c>
      <c r="J2583" s="20" t="n">
        <v>201210</v>
      </c>
      <c r="L2583" s="20">
        <f>VLOOKUP($O2583,매칭테이블!$G:$J,2,0)*H2583</f>
        <v/>
      </c>
      <c r="M2583" s="20">
        <f>L2583-L2583*VLOOKUP($O2583,매칭테이블!$G:$J,3,0)</f>
        <v/>
      </c>
      <c r="N2583" s="20">
        <f>VLOOKUP($O2583,매칭테이블!$G:$J,4,0)*H2583</f>
        <v/>
      </c>
      <c r="O2583" s="20">
        <f>F2583&amp;E2583&amp;G2583&amp;J2583</f>
        <v/>
      </c>
    </row>
    <row r="2584" ht="16.5" customHeight="1" s="17">
      <c r="B2584" s="16" t="n">
        <v>44194</v>
      </c>
      <c r="C2584" s="20">
        <f>TEXT(B2584,"aaa")</f>
        <v/>
      </c>
      <c r="E2584" s="20">
        <f>INDEX(매칭테이블!C:C,MATCH(RD!G2584,매칭테이블!D:D,0))</f>
        <v/>
      </c>
      <c r="F2584" s="20" t="inlineStr">
        <is>
          <t>카페24</t>
        </is>
      </c>
      <c r="G2584" s="20" t="inlineStr">
        <is>
          <t>유즈 스테이포에버 솔리드퍼퓸 002 (10차 재입고 완료)제품선택=커플추천스테이포에버 + 이그나이트 세트</t>
        </is>
      </c>
      <c r="H2584" s="20" t="n">
        <v>9</v>
      </c>
      <c r="I2584" s="20">
        <f>VLOOKUP(G2584,매칭테이블!D:E,2,0)</f>
        <v/>
      </c>
      <c r="J2584" s="20" t="n">
        <v>201210</v>
      </c>
      <c r="L2584" s="20">
        <f>VLOOKUP($O2584,매칭테이블!$G:$J,2,0)*H2584</f>
        <v/>
      </c>
      <c r="M2584" s="20">
        <f>L2584-L2584*VLOOKUP($O2584,매칭테이블!$G:$J,3,0)</f>
        <v/>
      </c>
      <c r="N2584" s="20">
        <f>VLOOKUP($O2584,매칭테이블!$G:$J,4,0)*H2584</f>
        <v/>
      </c>
      <c r="O2584" s="20">
        <f>F2584&amp;E2584&amp;G2584&amp;J2584</f>
        <v/>
      </c>
    </row>
    <row r="2585" ht="16.5" customHeight="1" s="17">
      <c r="B2585" s="16" t="n">
        <v>44194</v>
      </c>
      <c r="C2585" s="20">
        <f>TEXT(B2585,"aaa")</f>
        <v/>
      </c>
      <c r="E2585" s="20">
        <f>INDEX(매칭테이블!C:C,MATCH(RD!G2585,매칭테이블!D:D,0))</f>
        <v/>
      </c>
      <c r="F2585" s="20" t="inlineStr">
        <is>
          <t>카페24</t>
        </is>
      </c>
      <c r="G2585" s="20" t="inlineStr">
        <is>
          <t>유즈 스테이포에버 솔리드퍼퓸 002 (10차 재입고 완료)쇼핑백=선물용 쇼핑백</t>
        </is>
      </c>
      <c r="H2585" s="20" t="n">
        <v>13</v>
      </c>
      <c r="I2585" s="20">
        <f>VLOOKUP(G2585,매칭테이블!D:E,2,0)</f>
        <v/>
      </c>
      <c r="J2585" s="20" t="n">
        <v>201210</v>
      </c>
      <c r="L2585" s="20">
        <f>VLOOKUP($O2585,매칭테이블!$G:$J,2,0)*H2585</f>
        <v/>
      </c>
      <c r="M2585" s="20">
        <f>L2585-L2585*VLOOKUP($O2585,매칭테이블!$G:$J,3,0)</f>
        <v/>
      </c>
      <c r="N2585" s="20">
        <f>VLOOKUP($O2585,매칭테이블!$G:$J,4,0)*H2585</f>
        <v/>
      </c>
      <c r="O2585" s="20">
        <f>F2585&amp;E2585&amp;G2585&amp;J2585</f>
        <v/>
      </c>
    </row>
    <row r="2586" ht="16.5" customHeight="1" s="17">
      <c r="B2586" s="16" t="n">
        <v>44194</v>
      </c>
      <c r="C2586" s="20">
        <f>TEXT(B2586,"aaa")</f>
        <v/>
      </c>
      <c r="E2586" s="20">
        <f>INDEX(매칭테이블!C:C,MATCH(RD!G2586,매칭테이블!D:D,0))</f>
        <v/>
      </c>
      <c r="F2586" s="20" t="inlineStr">
        <is>
          <t>카페24</t>
        </is>
      </c>
      <c r="G2586" s="20" t="inlineStr">
        <is>
          <t>유즈 이그나이트 솔리드퍼퓸 001제품선택=이그나이트 솔리드퍼퓸 - 30ml</t>
        </is>
      </c>
      <c r="H2586" s="20" t="n">
        <v>4</v>
      </c>
      <c r="I2586" s="20">
        <f>VLOOKUP(G2586,매칭테이블!D:E,2,0)</f>
        <v/>
      </c>
      <c r="J2586" s="20" t="n">
        <v>201210</v>
      </c>
      <c r="L2586" s="20">
        <f>VLOOKUP($O2586,매칭테이블!$G:$J,2,0)*H2586</f>
        <v/>
      </c>
      <c r="M2586" s="20">
        <f>L2586-L2586*VLOOKUP($O2586,매칭테이블!$G:$J,3,0)</f>
        <v/>
      </c>
      <c r="N2586" s="20">
        <f>VLOOKUP($O2586,매칭테이블!$G:$J,4,0)*H2586</f>
        <v/>
      </c>
      <c r="O2586" s="20">
        <f>F2586&amp;E2586&amp;G2586&amp;J2586</f>
        <v/>
      </c>
    </row>
    <row r="2587" ht="16.5" customHeight="1" s="17">
      <c r="B2587" s="16" t="n">
        <v>44194</v>
      </c>
      <c r="C2587" s="20">
        <f>TEXT(B2587,"aaa")</f>
        <v/>
      </c>
      <c r="E2587" s="20">
        <f>INDEX(매칭테이블!C:C,MATCH(RD!G2587,매칭테이블!D:D,0))</f>
        <v/>
      </c>
      <c r="F2587" s="20" t="inlineStr">
        <is>
          <t>카페24</t>
        </is>
      </c>
      <c r="G2587" s="20" t="inlineStr">
        <is>
          <t>유즈 이그나이트 솔리드퍼퓸 001제품선택=이그나이트 2개 세트</t>
        </is>
      </c>
      <c r="H2587" s="20" t="n">
        <v>4</v>
      </c>
      <c r="I2587" s="20">
        <f>VLOOKUP(G2587,매칭테이블!D:E,2,0)</f>
        <v/>
      </c>
      <c r="J2587" s="20" t="n">
        <v>201210</v>
      </c>
      <c r="L2587" s="20">
        <f>VLOOKUP($O2587,매칭테이블!$G:$J,2,0)*H2587</f>
        <v/>
      </c>
      <c r="M2587" s="20">
        <f>L2587-L2587*VLOOKUP($O2587,매칭테이블!$G:$J,3,0)</f>
        <v/>
      </c>
      <c r="N2587" s="20">
        <f>VLOOKUP($O2587,매칭테이블!$G:$J,4,0)*H2587</f>
        <v/>
      </c>
      <c r="O2587" s="20">
        <f>F2587&amp;E2587&amp;G2587&amp;J2587</f>
        <v/>
      </c>
    </row>
    <row r="2588" ht="16.5" customHeight="1" s="17">
      <c r="B2588" s="16" t="n">
        <v>44195</v>
      </c>
      <c r="C2588" s="20">
        <f>TEXT(B2588,"aaa")</f>
        <v/>
      </c>
      <c r="E2588" s="20">
        <f>INDEX(매칭테이블!C:C,MATCH(RD!G2588,매칭테이블!D:D,0))</f>
        <v/>
      </c>
      <c r="F2588" s="20" t="inlineStr">
        <is>
          <t>카페24</t>
        </is>
      </c>
      <c r="G2588" s="20" t="inlineStr">
        <is>
          <t>SHOPPING BAG</t>
        </is>
      </c>
      <c r="H2588" s="20" t="n">
        <v>1</v>
      </c>
      <c r="I2588" s="20">
        <f>VLOOKUP(G2588,매칭테이블!D:E,2,0)</f>
        <v/>
      </c>
      <c r="J2588" s="20" t="n">
        <v>201210</v>
      </c>
      <c r="L2588" s="20">
        <f>VLOOKUP($O2588,매칭테이블!$G:$J,2,0)*H2588</f>
        <v/>
      </c>
      <c r="M2588" s="20">
        <f>L2588-L2588*VLOOKUP($O2588,매칭테이블!$G:$J,3,0)</f>
        <v/>
      </c>
      <c r="N2588" s="20">
        <f>VLOOKUP($O2588,매칭테이블!$G:$J,4,0)*H2588</f>
        <v/>
      </c>
      <c r="O2588" s="20">
        <f>F2588&amp;E2588&amp;G2588&amp;J2588</f>
        <v/>
      </c>
    </row>
    <row r="2589" ht="16.5" customHeight="1" s="17">
      <c r="B2589" s="16" t="n">
        <v>44195</v>
      </c>
      <c r="C2589" s="20">
        <f>TEXT(B2589,"aaa")</f>
        <v/>
      </c>
      <c r="E2589" s="20">
        <f>INDEX(매칭테이블!C:C,MATCH(RD!G2589,매칭테이블!D:D,0))</f>
        <v/>
      </c>
      <c r="F2589" s="20" t="inlineStr">
        <is>
          <t>카페24</t>
        </is>
      </c>
      <c r="G2589" s="20" t="inlineStr">
        <is>
          <t>솔리드퍼퓸 스테이포에버 002 30ml</t>
        </is>
      </c>
      <c r="H2589" s="20" t="n">
        <v>1</v>
      </c>
      <c r="I2589" s="20">
        <f>VLOOKUP(G2589,매칭테이블!D:E,2,0)</f>
        <v/>
      </c>
      <c r="J2589" s="20" t="n">
        <v>201210</v>
      </c>
      <c r="L2589" s="20">
        <f>VLOOKUP($O2589,매칭테이블!$G:$J,2,0)*H2589</f>
        <v/>
      </c>
      <c r="M2589" s="20">
        <f>L2589-L2589*VLOOKUP($O2589,매칭테이블!$G:$J,3,0)</f>
        <v/>
      </c>
      <c r="N2589" s="20">
        <f>VLOOKUP($O2589,매칭테이블!$G:$J,4,0)*H2589</f>
        <v/>
      </c>
      <c r="O2589" s="20">
        <f>F2589&amp;E2589&amp;G2589&amp;J2589</f>
        <v/>
      </c>
    </row>
    <row r="2590" ht="16.5" customHeight="1" s="17">
      <c r="B2590" s="16" t="n">
        <v>44195</v>
      </c>
      <c r="C2590" s="20">
        <f>TEXT(B2590,"aaa")</f>
        <v/>
      </c>
      <c r="E2590" s="20">
        <f>INDEX(매칭테이블!C:C,MATCH(RD!G2590,매칭테이블!D:D,0))</f>
        <v/>
      </c>
      <c r="F2590" s="20" t="inlineStr">
        <is>
          <t>카페24</t>
        </is>
      </c>
      <c r="G2590" s="20" t="inlineStr">
        <is>
          <t>유즈 솔리드퍼퓸 - 30ml (10차 재입고 완료)향=이그나이트 001 SOLID PERFUME, 세트 선택=1개</t>
        </is>
      </c>
      <c r="H2590" s="20" t="n">
        <v>1</v>
      </c>
      <c r="I2590" s="20">
        <f>VLOOKUP(G2590,매칭테이블!D:E,2,0)</f>
        <v/>
      </c>
      <c r="J2590" s="20" t="n">
        <v>201210</v>
      </c>
      <c r="L2590" s="20">
        <f>VLOOKUP($O2590,매칭테이블!$G:$J,2,0)*H2590</f>
        <v/>
      </c>
      <c r="M2590" s="20">
        <f>L2590-L2590*VLOOKUP($O2590,매칭테이블!$G:$J,3,0)</f>
        <v/>
      </c>
      <c r="N2590" s="20">
        <f>VLOOKUP($O2590,매칭테이블!$G:$J,4,0)*H2590</f>
        <v/>
      </c>
      <c r="O2590" s="20">
        <f>F2590&amp;E2590&amp;G2590&amp;J2590</f>
        <v/>
      </c>
    </row>
    <row r="2591" ht="16.5" customHeight="1" s="17">
      <c r="B2591" s="16" t="n">
        <v>44195</v>
      </c>
      <c r="C2591" s="20">
        <f>TEXT(B2591,"aaa")</f>
        <v/>
      </c>
      <c r="E2591" s="20">
        <f>INDEX(매칭테이블!C:C,MATCH(RD!G2591,매칭테이블!D:D,0))</f>
        <v/>
      </c>
      <c r="F2591" s="20" t="inlineStr">
        <is>
          <t>카페24</t>
        </is>
      </c>
      <c r="G2591" s="20" t="inlineStr">
        <is>
          <t>유즈 솔리드퍼퓸 - 30ml (10차 재입고 완료)향=스테이포에버 002 SOLID PERFUME, 세트 선택=1개</t>
        </is>
      </c>
      <c r="H2591" s="20" t="n">
        <v>11</v>
      </c>
      <c r="I2591" s="20">
        <f>VLOOKUP(G2591,매칭테이블!D:E,2,0)</f>
        <v/>
      </c>
      <c r="J2591" s="20" t="n">
        <v>201210</v>
      </c>
      <c r="L2591" s="20">
        <f>VLOOKUP($O2591,매칭테이블!$G:$J,2,0)*H2591</f>
        <v/>
      </c>
      <c r="M2591" s="20">
        <f>L2591-L2591*VLOOKUP($O2591,매칭테이블!$G:$J,3,0)</f>
        <v/>
      </c>
      <c r="N2591" s="20">
        <f>VLOOKUP($O2591,매칭테이블!$G:$J,4,0)*H2591</f>
        <v/>
      </c>
      <c r="O2591" s="20">
        <f>F2591&amp;E2591&amp;G2591&amp;J2591</f>
        <v/>
      </c>
    </row>
    <row r="2592" ht="16.5" customHeight="1" s="17">
      <c r="B2592" s="16" t="n">
        <v>44195</v>
      </c>
      <c r="C2592" s="20">
        <f>TEXT(B2592,"aaa")</f>
        <v/>
      </c>
      <c r="E2592" s="20">
        <f>INDEX(매칭테이블!C:C,MATCH(RD!G2592,매칭테이블!D:D,0))</f>
        <v/>
      </c>
      <c r="F2592" s="20" t="inlineStr">
        <is>
          <t>카페24</t>
        </is>
      </c>
      <c r="G2592" s="20" t="inlineStr">
        <is>
          <t>유즈 솔리드퍼퓸 - 30ml (10차 재입고 완료)향=스테이포에버 002 SOLID PERFUME, 세트 선택=best</t>
        </is>
      </c>
      <c r="H2592" s="20" t="n">
        <v>1</v>
      </c>
      <c r="I2592" s="20">
        <f>VLOOKUP(G2592,매칭테이블!D:E,2,0)</f>
        <v/>
      </c>
      <c r="J2592" s="20" t="n">
        <v>201210</v>
      </c>
      <c r="L2592" s="20">
        <f>VLOOKUP($O2592,매칭테이블!$G:$J,2,0)*H2592</f>
        <v/>
      </c>
      <c r="M2592" s="20">
        <f>L2592-L2592*VLOOKUP($O2592,매칭테이블!$G:$J,3,0)</f>
        <v/>
      </c>
      <c r="N2592" s="20">
        <f>VLOOKUP($O2592,매칭테이블!$G:$J,4,0)*H2592</f>
        <v/>
      </c>
      <c r="O2592" s="20">
        <f>F2592&amp;E2592&amp;G2592&amp;J2592</f>
        <v/>
      </c>
    </row>
    <row r="2593" ht="16.5" customHeight="1" s="17">
      <c r="B2593" s="16" t="n">
        <v>44195</v>
      </c>
      <c r="C2593" s="20">
        <f>TEXT(B2593,"aaa")</f>
        <v/>
      </c>
      <c r="E2593" s="20">
        <f>INDEX(매칭테이블!C:C,MATCH(RD!G2593,매칭테이블!D:D,0))</f>
        <v/>
      </c>
      <c r="F2593" s="20" t="inlineStr">
        <is>
          <t>카페24</t>
        </is>
      </c>
      <c r="G2593" s="20" t="inlineStr">
        <is>
          <t>유즈 솔리드퍼퓸 - 30ml (10차 재입고 완료)향=스테이포에버 002 SOLID PERFUME, 세트 선택=best 2개 (28% 할인)</t>
        </is>
      </c>
      <c r="H2593" s="20" t="n">
        <v>2</v>
      </c>
      <c r="I2593" s="20">
        <f>VLOOKUP(G2593,매칭테이블!D:E,2,0)</f>
        <v/>
      </c>
      <c r="J2593" s="20" t="n">
        <v>201210</v>
      </c>
      <c r="L2593" s="20">
        <f>VLOOKUP($O2593,매칭테이블!$G:$J,2,0)*H2593</f>
        <v/>
      </c>
      <c r="M2593" s="20">
        <f>L2593-L2593*VLOOKUP($O2593,매칭테이블!$G:$J,3,0)</f>
        <v/>
      </c>
      <c r="N2593" s="20">
        <f>VLOOKUP($O2593,매칭테이블!$G:$J,4,0)*H2593</f>
        <v/>
      </c>
      <c r="O2593" s="20">
        <f>F2593&amp;E2593&amp;G2593&amp;J2593</f>
        <v/>
      </c>
    </row>
    <row r="2594" ht="16.5" customHeight="1" s="17">
      <c r="B2594" s="16" t="n">
        <v>44195</v>
      </c>
      <c r="C2594" s="20">
        <f>TEXT(B2594,"aaa")</f>
        <v/>
      </c>
      <c r="E2594" s="20">
        <f>INDEX(매칭테이블!C:C,MATCH(RD!G2594,매칭테이블!D:D,0))</f>
        <v/>
      </c>
      <c r="F2594" s="20" t="inlineStr">
        <is>
          <t>카페24</t>
        </is>
      </c>
      <c r="G2594" s="20" t="inlineStr">
        <is>
          <t>유즈 솔리드퍼퓸 - 30ml (10차 재입고 완료)향=커플세트</t>
        </is>
      </c>
      <c r="H2594" s="20" t="n">
        <v>4</v>
      </c>
      <c r="I2594" s="20">
        <f>VLOOKUP(G2594,매칭테이블!D:E,2,0)</f>
        <v/>
      </c>
      <c r="J2594" s="20" t="n">
        <v>201210</v>
      </c>
      <c r="L2594" s="20">
        <f>VLOOKUP($O2594,매칭테이블!$G:$J,2,0)*H2594</f>
        <v/>
      </c>
      <c r="M2594" s="20">
        <f>L2594-L2594*VLOOKUP($O2594,매칭테이블!$G:$J,3,0)</f>
        <v/>
      </c>
      <c r="N2594" s="20">
        <f>VLOOKUP($O2594,매칭테이블!$G:$J,4,0)*H2594</f>
        <v/>
      </c>
      <c r="O2594" s="20">
        <f>F2594&amp;E2594&amp;G2594&amp;J2594</f>
        <v/>
      </c>
    </row>
    <row r="2595" ht="16.5" customHeight="1" s="17">
      <c r="B2595" s="16" t="n">
        <v>44195</v>
      </c>
      <c r="C2595" s="20">
        <f>TEXT(B2595,"aaa")</f>
        <v/>
      </c>
      <c r="E2595" s="20">
        <f>INDEX(매칭테이블!C:C,MATCH(RD!G2595,매칭테이블!D:D,0))</f>
        <v/>
      </c>
      <c r="F2595" s="20" t="inlineStr">
        <is>
          <t>카페24</t>
        </is>
      </c>
      <c r="G2595" s="20" t="inlineStr">
        <is>
          <t>유즈 솔리드퍼퓸 - 30ml (10차 재입고 완료)향=커플세트(이그나이트 + 스테이포에버), 세트 선택=1 SET</t>
        </is>
      </c>
      <c r="H2595" s="20" t="n">
        <v>3</v>
      </c>
      <c r="I2595" s="20">
        <f>VLOOKUP(G2595,매칭테이블!D:E,2,0)</f>
        <v/>
      </c>
      <c r="J2595" s="20" t="n">
        <v>201210</v>
      </c>
      <c r="L2595" s="20">
        <f>VLOOKUP($O2595,매칭테이블!$G:$J,2,0)*H2595</f>
        <v/>
      </c>
      <c r="M2595" s="20">
        <f>L2595-L2595*VLOOKUP($O2595,매칭테이블!$G:$J,3,0)</f>
        <v/>
      </c>
      <c r="N2595" s="20">
        <f>VLOOKUP($O2595,매칭테이블!$G:$J,4,0)*H2595</f>
        <v/>
      </c>
      <c r="O2595" s="20">
        <f>F2595&amp;E2595&amp;G2595&amp;J2595</f>
        <v/>
      </c>
    </row>
    <row r="2596" ht="16.5" customHeight="1" s="17">
      <c r="B2596" s="16" t="n">
        <v>44195</v>
      </c>
      <c r="C2596" s="20">
        <f>TEXT(B2596,"aaa")</f>
        <v/>
      </c>
      <c r="E2596" s="20">
        <f>INDEX(매칭테이블!C:C,MATCH(RD!G2596,매칭테이블!D:D,0))</f>
        <v/>
      </c>
      <c r="F2596" s="20" t="inlineStr">
        <is>
          <t>카페24</t>
        </is>
      </c>
      <c r="G2596" s="20" t="inlineStr">
        <is>
          <t>유즈 솔리드퍼퓸 - 30ml (10차 재입고 완료)향=커플세트</t>
        </is>
      </c>
      <c r="H2596" s="20" t="n">
        <v>1</v>
      </c>
      <c r="I2596" s="20">
        <f>VLOOKUP(G2596,매칭테이블!D:E,2,0)</f>
        <v/>
      </c>
      <c r="J2596" s="20" t="n">
        <v>201210</v>
      </c>
      <c r="L2596" s="20">
        <f>VLOOKUP($O2596,매칭테이블!$G:$J,2,0)*H2596</f>
        <v/>
      </c>
      <c r="M2596" s="20">
        <f>L2596-L2596*VLOOKUP($O2596,매칭테이블!$G:$J,3,0)</f>
        <v/>
      </c>
      <c r="N2596" s="20">
        <f>VLOOKUP($O2596,매칭테이블!$G:$J,4,0)*H2596</f>
        <v/>
      </c>
      <c r="O2596" s="20">
        <f>F2596&amp;E2596&amp;G2596&amp;J2596</f>
        <v/>
      </c>
    </row>
    <row r="2597" ht="16.5" customHeight="1" s="17">
      <c r="B2597" s="16" t="n">
        <v>44195</v>
      </c>
      <c r="C2597" s="20">
        <f>TEXT(B2597,"aaa")</f>
        <v/>
      </c>
      <c r="E2597" s="20">
        <f>INDEX(매칭테이블!C:C,MATCH(RD!G2597,매칭테이블!D:D,0))</f>
        <v/>
      </c>
      <c r="F2597" s="20" t="inlineStr">
        <is>
          <t>카페24</t>
        </is>
      </c>
      <c r="G2597" s="20" t="inlineStr">
        <is>
          <t>유즈 솔리드퍼퓸 - 30ml (10차 재입고 완료)향=커플세트(이그나이트 + 스테이포에버), 세트 선택=2 SET (42% 할인)</t>
        </is>
      </c>
      <c r="H2597" s="20" t="n">
        <v>1</v>
      </c>
      <c r="I2597" s="20">
        <f>VLOOKUP(G2597,매칭테이블!D:E,2,0)</f>
        <v/>
      </c>
      <c r="J2597" s="20" t="n">
        <v>201210</v>
      </c>
      <c r="L2597" s="20">
        <f>VLOOKUP($O2597,매칭테이블!$G:$J,2,0)*H2597</f>
        <v/>
      </c>
      <c r="M2597" s="20">
        <f>L2597-L2597*VLOOKUP($O2597,매칭테이블!$G:$J,3,0)</f>
        <v/>
      </c>
      <c r="N2597" s="20">
        <f>VLOOKUP($O2597,매칭테이블!$G:$J,4,0)*H2597</f>
        <v/>
      </c>
      <c r="O2597" s="20">
        <f>F2597&amp;E2597&amp;G2597&amp;J2597</f>
        <v/>
      </c>
    </row>
    <row r="2598" ht="16.5" customHeight="1" s="17">
      <c r="B2598" s="16" t="n">
        <v>44195</v>
      </c>
      <c r="C2598" s="20">
        <f>TEXT(B2598,"aaa")</f>
        <v/>
      </c>
      <c r="E2598" s="20">
        <f>INDEX(매칭테이블!C:C,MATCH(RD!G2598,매칭테이블!D:D,0))</f>
        <v/>
      </c>
      <c r="F2598" s="20" t="inlineStr">
        <is>
          <t>카페24</t>
        </is>
      </c>
      <c r="G2598" s="20" t="inlineStr">
        <is>
          <t>유즈 스테이포에버 솔리드퍼퓸 002 (10차 재입고 완료)제품선택=스테이포에버 1개</t>
        </is>
      </c>
      <c r="H2598" s="20" t="n">
        <v>305</v>
      </c>
      <c r="I2598" s="20">
        <f>VLOOKUP(G2598,매칭테이블!D:E,2,0)</f>
        <v/>
      </c>
      <c r="J2598" s="20" t="n">
        <v>201210</v>
      </c>
      <c r="L2598" s="20">
        <f>VLOOKUP($O2598,매칭테이블!$G:$J,2,0)*H2598</f>
        <v/>
      </c>
      <c r="M2598" s="20">
        <f>L2598-L2598*VLOOKUP($O2598,매칭테이블!$G:$J,3,0)</f>
        <v/>
      </c>
      <c r="N2598" s="20">
        <f>VLOOKUP($O2598,매칭테이블!$G:$J,4,0)*H2598</f>
        <v/>
      </c>
      <c r="O2598" s="20">
        <f>F2598&amp;E2598&amp;G2598&amp;J2598</f>
        <v/>
      </c>
    </row>
    <row r="2599" ht="16.5" customHeight="1" s="17">
      <c r="B2599" s="16" t="n">
        <v>44195</v>
      </c>
      <c r="C2599" s="20">
        <f>TEXT(B2599,"aaa")</f>
        <v/>
      </c>
      <c r="E2599" s="20">
        <f>INDEX(매칭테이블!C:C,MATCH(RD!G2599,매칭테이블!D:D,0))</f>
        <v/>
      </c>
      <c r="F2599" s="20" t="inlineStr">
        <is>
          <t>카페24</t>
        </is>
      </c>
      <c r="G2599" s="20" t="inlineStr">
        <is>
          <t>유즈 스테이포에버 솔리드퍼퓸 002 (10차 재입고 완료)제품선택=best</t>
        </is>
      </c>
      <c r="H2599" s="20" t="n">
        <v>42</v>
      </c>
      <c r="I2599" s="20">
        <f>VLOOKUP(G2599,매칭테이블!D:E,2,0)</f>
        <v/>
      </c>
      <c r="J2599" s="20" t="n">
        <v>201210</v>
      </c>
      <c r="L2599" s="20">
        <f>VLOOKUP($O2599,매칭테이블!$G:$J,2,0)*H2599</f>
        <v/>
      </c>
      <c r="M2599" s="20">
        <f>L2599-L2599*VLOOKUP($O2599,매칭테이블!$G:$J,3,0)</f>
        <v/>
      </c>
      <c r="N2599" s="20">
        <f>VLOOKUP($O2599,매칭테이블!$G:$J,4,0)*H2599</f>
        <v/>
      </c>
      <c r="O2599" s="20">
        <f>F2599&amp;E2599&amp;G2599&amp;J2599</f>
        <v/>
      </c>
    </row>
    <row r="2600" ht="16.5" customHeight="1" s="17">
      <c r="B2600" s="16" t="n">
        <v>44195</v>
      </c>
      <c r="C2600" s="20">
        <f>TEXT(B2600,"aaa")</f>
        <v/>
      </c>
      <c r="E2600" s="20">
        <f>INDEX(매칭테이블!C:C,MATCH(RD!G2600,매칭테이블!D:D,0))</f>
        <v/>
      </c>
      <c r="F2600" s="20" t="inlineStr">
        <is>
          <t>카페24</t>
        </is>
      </c>
      <c r="G2600" s="20" t="inlineStr">
        <is>
          <t>유즈 스테이포에버 솔리드퍼퓸 002 (10차 재입고 완료)제품선택=best스테이포에버 2개[28% 할인]</t>
        </is>
      </c>
      <c r="H2600" s="20" t="n">
        <v>64</v>
      </c>
      <c r="I2600" s="20">
        <f>VLOOKUP(G2600,매칭테이블!D:E,2,0)</f>
        <v/>
      </c>
      <c r="J2600" s="20" t="n">
        <v>201210</v>
      </c>
      <c r="L2600" s="20">
        <f>VLOOKUP($O2600,매칭테이블!$G:$J,2,0)*H2600</f>
        <v/>
      </c>
      <c r="M2600" s="20">
        <f>L2600-L2600*VLOOKUP($O2600,매칭테이블!$G:$J,3,0)</f>
        <v/>
      </c>
      <c r="N2600" s="20">
        <f>VLOOKUP($O2600,매칭테이블!$G:$J,4,0)*H2600</f>
        <v/>
      </c>
      <c r="O2600" s="20">
        <f>F2600&amp;E2600&amp;G2600&amp;J2600</f>
        <v/>
      </c>
    </row>
    <row r="2601" ht="16.5" customHeight="1" s="17">
      <c r="B2601" s="16" t="n">
        <v>44195</v>
      </c>
      <c r="C2601" s="20">
        <f>TEXT(B2601,"aaa")</f>
        <v/>
      </c>
      <c r="E2601" s="20">
        <f>INDEX(매칭테이블!C:C,MATCH(RD!G2601,매칭테이블!D:D,0))</f>
        <v/>
      </c>
      <c r="F2601" s="20" t="inlineStr">
        <is>
          <t>카페24</t>
        </is>
      </c>
      <c r="G2601" s="20" t="inlineStr">
        <is>
          <t>유즈 스테이포에버 솔리드퍼퓸 002 (10차 재입고 완료)제품선택=커플추천</t>
        </is>
      </c>
      <c r="H2601" s="20" t="n">
        <v>10</v>
      </c>
      <c r="I2601" s="20">
        <f>VLOOKUP(G2601,매칭테이블!D:E,2,0)</f>
        <v/>
      </c>
      <c r="J2601" s="20" t="n">
        <v>201210</v>
      </c>
      <c r="L2601" s="20">
        <f>VLOOKUP($O2601,매칭테이블!$G:$J,2,0)*H2601</f>
        <v/>
      </c>
      <c r="M2601" s="20">
        <f>L2601-L2601*VLOOKUP($O2601,매칭테이블!$G:$J,3,0)</f>
        <v/>
      </c>
      <c r="N2601" s="20">
        <f>VLOOKUP($O2601,매칭테이블!$G:$J,4,0)*H2601</f>
        <v/>
      </c>
      <c r="O2601" s="20">
        <f>F2601&amp;E2601&amp;G2601&amp;J2601</f>
        <v/>
      </c>
    </row>
    <row r="2602" ht="16.5" customHeight="1" s="17">
      <c r="B2602" s="16" t="n">
        <v>44195</v>
      </c>
      <c r="C2602" s="20">
        <f>TEXT(B2602,"aaa")</f>
        <v/>
      </c>
      <c r="E2602" s="20">
        <f>INDEX(매칭테이블!C:C,MATCH(RD!G2602,매칭테이블!D:D,0))</f>
        <v/>
      </c>
      <c r="F2602" s="20" t="inlineStr">
        <is>
          <t>카페24</t>
        </is>
      </c>
      <c r="G2602" s="20" t="inlineStr">
        <is>
          <t>유즈 스테이포에버 솔리드퍼퓸 002 (10차 재입고 완료)제품선택=커플추천스테이포에버 + 이그나이트 세트</t>
        </is>
      </c>
      <c r="H2602" s="20" t="n">
        <v>13</v>
      </c>
      <c r="I2602" s="20">
        <f>VLOOKUP(G2602,매칭테이블!D:E,2,0)</f>
        <v/>
      </c>
      <c r="J2602" s="20" t="n">
        <v>201210</v>
      </c>
      <c r="L2602" s="20">
        <f>VLOOKUP($O2602,매칭테이블!$G:$J,2,0)*H2602</f>
        <v/>
      </c>
      <c r="M2602" s="20">
        <f>L2602-L2602*VLOOKUP($O2602,매칭테이블!$G:$J,3,0)</f>
        <v/>
      </c>
      <c r="N2602" s="20">
        <f>VLOOKUP($O2602,매칭테이블!$G:$J,4,0)*H2602</f>
        <v/>
      </c>
      <c r="O2602" s="20">
        <f>F2602&amp;E2602&amp;G2602&amp;J2602</f>
        <v/>
      </c>
    </row>
    <row r="2603" ht="16.5" customHeight="1" s="17">
      <c r="B2603" s="16" t="n">
        <v>44195</v>
      </c>
      <c r="C2603" s="20">
        <f>TEXT(B2603,"aaa")</f>
        <v/>
      </c>
      <c r="E2603" s="20">
        <f>INDEX(매칭테이블!C:C,MATCH(RD!G2603,매칭테이블!D:D,0))</f>
        <v/>
      </c>
      <c r="F2603" s="20" t="inlineStr">
        <is>
          <t>카페24</t>
        </is>
      </c>
      <c r="G2603" s="20" t="inlineStr">
        <is>
          <t>유즈 스테이포에버 솔리드퍼퓸 002 (10차 재입고 완료)쇼핑백=선물용 쇼핑백</t>
        </is>
      </c>
      <c r="H2603" s="20" t="n">
        <v>10</v>
      </c>
      <c r="I2603" s="20">
        <f>VLOOKUP(G2603,매칭테이블!D:E,2,0)</f>
        <v/>
      </c>
      <c r="J2603" s="20" t="n">
        <v>201210</v>
      </c>
      <c r="L2603" s="20">
        <f>VLOOKUP($O2603,매칭테이블!$G:$J,2,0)*H2603</f>
        <v/>
      </c>
      <c r="M2603" s="20">
        <f>L2603-L2603*VLOOKUP($O2603,매칭테이블!$G:$J,3,0)</f>
        <v/>
      </c>
      <c r="N2603" s="20">
        <f>VLOOKUP($O2603,매칭테이블!$G:$J,4,0)*H2603</f>
        <v/>
      </c>
      <c r="O2603" s="20">
        <f>F2603&amp;E2603&amp;G2603&amp;J2603</f>
        <v/>
      </c>
    </row>
    <row r="2604" ht="16.5" customHeight="1" s="17">
      <c r="B2604" s="16" t="n">
        <v>44195</v>
      </c>
      <c r="C2604" s="20">
        <f>TEXT(B2604,"aaa")</f>
        <v/>
      </c>
      <c r="E2604" s="20">
        <f>INDEX(매칭테이블!C:C,MATCH(RD!G2604,매칭테이블!D:D,0))</f>
        <v/>
      </c>
      <c r="F2604" s="20" t="inlineStr">
        <is>
          <t>카페24</t>
        </is>
      </c>
      <c r="G2604" s="20" t="inlineStr">
        <is>
          <t>유즈 이그나이트 솔리드퍼퓸 001제품선택=이그나이트 솔리드퍼퓸 - 30ml</t>
        </is>
      </c>
      <c r="H2604" s="20" t="n">
        <v>3</v>
      </c>
      <c r="I2604" s="20">
        <f>VLOOKUP(G2604,매칭테이블!D:E,2,0)</f>
        <v/>
      </c>
      <c r="J2604" s="20" t="n">
        <v>201210</v>
      </c>
      <c r="L2604" s="20">
        <f>VLOOKUP($O2604,매칭테이블!$G:$J,2,0)*H2604</f>
        <v/>
      </c>
      <c r="M2604" s="20">
        <f>L2604-L2604*VLOOKUP($O2604,매칭테이블!$G:$J,3,0)</f>
        <v/>
      </c>
      <c r="N2604" s="20">
        <f>VLOOKUP($O2604,매칭테이블!$G:$J,4,0)*H2604</f>
        <v/>
      </c>
      <c r="O2604" s="20">
        <f>F2604&amp;E2604&amp;G2604&amp;J2604</f>
        <v/>
      </c>
    </row>
    <row r="2605" ht="16.5" customHeight="1" s="17">
      <c r="B2605" s="16" t="n">
        <v>44195</v>
      </c>
      <c r="C2605" s="20">
        <f>TEXT(B2605,"aaa")</f>
        <v/>
      </c>
      <c r="E2605" s="20">
        <f>INDEX(매칭테이블!C:C,MATCH(RD!G2605,매칭테이블!D:D,0))</f>
        <v/>
      </c>
      <c r="F2605" s="20" t="inlineStr">
        <is>
          <t>카페24</t>
        </is>
      </c>
      <c r="G2605" s="20" t="inlineStr">
        <is>
          <t>유즈 이그나이트 솔리드퍼퓸 001제품선택=이그나이트 2개 세트</t>
        </is>
      </c>
      <c r="H2605" s="20" t="n">
        <v>1</v>
      </c>
      <c r="I2605" s="20">
        <f>VLOOKUP(G2605,매칭테이블!D:E,2,0)</f>
        <v/>
      </c>
      <c r="J2605" s="20" t="n">
        <v>201210</v>
      </c>
      <c r="L2605" s="20">
        <f>VLOOKUP($O2605,매칭테이블!$G:$J,2,0)*H2605</f>
        <v/>
      </c>
      <c r="M2605" s="20">
        <f>L2605-L2605*VLOOKUP($O2605,매칭테이블!$G:$J,3,0)</f>
        <v/>
      </c>
      <c r="N2605" s="20">
        <f>VLOOKUP($O2605,매칭테이블!$G:$J,4,0)*H2605</f>
        <v/>
      </c>
      <c r="O2605" s="20">
        <f>F2605&amp;E2605&amp;G2605&amp;J2605</f>
        <v/>
      </c>
    </row>
    <row r="2606" ht="16.5" customHeight="1" s="17">
      <c r="B2606" s="16" t="n">
        <v>44196</v>
      </c>
      <c r="C2606" s="20">
        <f>TEXT(B2606,"aaa")</f>
        <v/>
      </c>
      <c r="E2606" s="20">
        <f>INDEX(매칭테이블!C:C,MATCH(RD!G2606,매칭테이블!D:D,0))</f>
        <v/>
      </c>
      <c r="F2606" s="20" t="inlineStr">
        <is>
          <t>카페24</t>
        </is>
      </c>
      <c r="G2606" s="20" t="inlineStr">
        <is>
          <t>솔리드퍼퓸 스테이포에버 002 30ml</t>
        </is>
      </c>
      <c r="H2606" s="20" t="n">
        <v>2</v>
      </c>
      <c r="I2606" s="20">
        <f>VLOOKUP(G2606,매칭테이블!D:E,2,0)</f>
        <v/>
      </c>
      <c r="J2606" s="20" t="n">
        <v>201210</v>
      </c>
      <c r="L2606" s="20">
        <f>VLOOKUP($O2606,매칭테이블!$G:$J,2,0)*H2606</f>
        <v/>
      </c>
      <c r="M2606" s="20">
        <f>L2606-L2606*VLOOKUP($O2606,매칭테이블!$G:$J,3,0)</f>
        <v/>
      </c>
      <c r="N2606" s="20">
        <f>VLOOKUP($O2606,매칭테이블!$G:$J,4,0)*H2606</f>
        <v/>
      </c>
      <c r="O2606" s="20">
        <f>F2606&amp;E2606&amp;G2606&amp;J2606</f>
        <v/>
      </c>
    </row>
    <row r="2607" ht="16.5" customHeight="1" s="17">
      <c r="B2607" s="16" t="n">
        <v>44196</v>
      </c>
      <c r="C2607" s="20">
        <f>TEXT(B2607,"aaa")</f>
        <v/>
      </c>
      <c r="E2607" s="20">
        <f>INDEX(매칭테이블!C:C,MATCH(RD!G2607,매칭테이블!D:D,0))</f>
        <v/>
      </c>
      <c r="F2607" s="20" t="inlineStr">
        <is>
          <t>카페24</t>
        </is>
      </c>
      <c r="G2607" s="20" t="inlineStr">
        <is>
          <t>유즈 솔리드퍼퓸 - 30ml (10차 재입고 완료)향=스테이포에버 002 SOLID PERFUME, 세트 선택=1개</t>
        </is>
      </c>
      <c r="H2607" s="20" t="n">
        <v>3</v>
      </c>
      <c r="I2607" s="20">
        <f>VLOOKUP(G2607,매칭테이블!D:E,2,0)</f>
        <v/>
      </c>
      <c r="J2607" s="20" t="n">
        <v>201210</v>
      </c>
      <c r="L2607" s="20">
        <f>VLOOKUP($O2607,매칭테이블!$G:$J,2,0)*H2607</f>
        <v/>
      </c>
      <c r="M2607" s="20">
        <f>L2607-L2607*VLOOKUP($O2607,매칭테이블!$G:$J,3,0)</f>
        <v/>
      </c>
      <c r="N2607" s="20">
        <f>VLOOKUP($O2607,매칭테이블!$G:$J,4,0)*H2607</f>
        <v/>
      </c>
      <c r="O2607" s="20">
        <f>F2607&amp;E2607&amp;G2607&amp;J2607</f>
        <v/>
      </c>
    </row>
    <row r="2608" ht="16.5" customHeight="1" s="17">
      <c r="B2608" s="16" t="n">
        <v>44196</v>
      </c>
      <c r="C2608" s="20">
        <f>TEXT(B2608,"aaa")</f>
        <v/>
      </c>
      <c r="E2608" s="20">
        <f>INDEX(매칭테이블!C:C,MATCH(RD!G2608,매칭테이블!D:D,0))</f>
        <v/>
      </c>
      <c r="F2608" s="20" t="inlineStr">
        <is>
          <t>카페24</t>
        </is>
      </c>
      <c r="G2608" s="20" t="inlineStr">
        <is>
          <t>유즈 솔리드퍼퓸 - 30ml (10차 재입고 완료)향=스테이포에버 002 SOLID PERFUME, 세트 선택=best</t>
        </is>
      </c>
      <c r="H2608" s="20" t="n">
        <v>1</v>
      </c>
      <c r="I2608" s="20">
        <f>VLOOKUP(G2608,매칭테이블!D:E,2,0)</f>
        <v/>
      </c>
      <c r="J2608" s="20" t="n">
        <v>201210</v>
      </c>
      <c r="L2608" s="20">
        <f>VLOOKUP($O2608,매칭테이블!$G:$J,2,0)*H2608</f>
        <v/>
      </c>
      <c r="M2608" s="20">
        <f>L2608-L2608*VLOOKUP($O2608,매칭테이블!$G:$J,3,0)</f>
        <v/>
      </c>
      <c r="N2608" s="20">
        <f>VLOOKUP($O2608,매칭테이블!$G:$J,4,0)*H2608</f>
        <v/>
      </c>
      <c r="O2608" s="20">
        <f>F2608&amp;E2608&amp;G2608&amp;J2608</f>
        <v/>
      </c>
    </row>
    <row r="2609" ht="16.5" customHeight="1" s="17">
      <c r="B2609" s="16" t="n">
        <v>44196</v>
      </c>
      <c r="C2609" s="20">
        <f>TEXT(B2609,"aaa")</f>
        <v/>
      </c>
      <c r="E2609" s="20">
        <f>INDEX(매칭테이블!C:C,MATCH(RD!G2609,매칭테이블!D:D,0))</f>
        <v/>
      </c>
      <c r="F2609" s="20" t="inlineStr">
        <is>
          <t>카페24</t>
        </is>
      </c>
      <c r="G2609" s="20" t="inlineStr">
        <is>
          <t>유즈 솔리드퍼퓸 - 30ml (10차 재입고 완료)향=스테이포에버 002 SOLID PERFUME, 세트 선택=best 2개 (28% 할인)</t>
        </is>
      </c>
      <c r="H2609" s="20" t="n">
        <v>1</v>
      </c>
      <c r="I2609" s="20">
        <f>VLOOKUP(G2609,매칭테이블!D:E,2,0)</f>
        <v/>
      </c>
      <c r="J2609" s="20" t="n">
        <v>201210</v>
      </c>
      <c r="L2609" s="20">
        <f>VLOOKUP($O2609,매칭테이블!$G:$J,2,0)*H2609</f>
        <v/>
      </c>
      <c r="M2609" s="20">
        <f>L2609-L2609*VLOOKUP($O2609,매칭테이블!$G:$J,3,0)</f>
        <v/>
      </c>
      <c r="N2609" s="20">
        <f>VLOOKUP($O2609,매칭테이블!$G:$J,4,0)*H2609</f>
        <v/>
      </c>
      <c r="O2609" s="20">
        <f>F2609&amp;E2609&amp;G2609&amp;J2609</f>
        <v/>
      </c>
    </row>
    <row r="2610" ht="16.5" customHeight="1" s="17">
      <c r="B2610" s="16" t="n">
        <v>44196</v>
      </c>
      <c r="C2610" s="20">
        <f>TEXT(B2610,"aaa")</f>
        <v/>
      </c>
      <c r="E2610" s="20">
        <f>INDEX(매칭테이블!C:C,MATCH(RD!G2610,매칭테이블!D:D,0))</f>
        <v/>
      </c>
      <c r="F2610" s="20" t="inlineStr">
        <is>
          <t>카페24</t>
        </is>
      </c>
      <c r="G2610" s="20" t="inlineStr">
        <is>
          <t>유즈 솔리드퍼퓸 - 30ml (10차 재입고 완료)향=커플세트(이그나이트 + 스테이포에버), 세트 선택=1 SET</t>
        </is>
      </c>
      <c r="H2610" s="20" t="n">
        <v>5</v>
      </c>
      <c r="I2610" s="20">
        <f>VLOOKUP(G2610,매칭테이블!D:E,2,0)</f>
        <v/>
      </c>
      <c r="J2610" s="20" t="n">
        <v>201210</v>
      </c>
      <c r="L2610" s="20">
        <f>VLOOKUP($O2610,매칭테이블!$G:$J,2,0)*H2610</f>
        <v/>
      </c>
      <c r="M2610" s="20">
        <f>L2610-L2610*VLOOKUP($O2610,매칭테이블!$G:$J,3,0)</f>
        <v/>
      </c>
      <c r="N2610" s="20">
        <f>VLOOKUP($O2610,매칭테이블!$G:$J,4,0)*H2610</f>
        <v/>
      </c>
      <c r="O2610" s="20">
        <f>F2610&amp;E2610&amp;G2610&amp;J2610</f>
        <v/>
      </c>
    </row>
    <row r="2611" ht="16.5" customHeight="1" s="17">
      <c r="B2611" s="16" t="n">
        <v>44196</v>
      </c>
      <c r="C2611" s="20">
        <f>TEXT(B2611,"aaa")</f>
        <v/>
      </c>
      <c r="E2611" s="20">
        <f>INDEX(매칭테이블!C:C,MATCH(RD!G2611,매칭테이블!D:D,0))</f>
        <v/>
      </c>
      <c r="F2611" s="20" t="inlineStr">
        <is>
          <t>카페24</t>
        </is>
      </c>
      <c r="G2611" s="20" t="inlineStr">
        <is>
          <t>유즈 솔리드퍼퓸 - 30ml (10차 재입고 완료)향=커플세트</t>
        </is>
      </c>
      <c r="H2611" s="20" t="n">
        <v>1</v>
      </c>
      <c r="I2611" s="20">
        <f>VLOOKUP(G2611,매칭테이블!D:E,2,0)</f>
        <v/>
      </c>
      <c r="J2611" s="20" t="n">
        <v>201210</v>
      </c>
      <c r="L2611" s="20">
        <f>VLOOKUP($O2611,매칭테이블!$G:$J,2,0)*H2611</f>
        <v/>
      </c>
      <c r="M2611" s="20">
        <f>L2611-L2611*VLOOKUP($O2611,매칭테이블!$G:$J,3,0)</f>
        <v/>
      </c>
      <c r="N2611" s="20">
        <f>VLOOKUP($O2611,매칭테이블!$G:$J,4,0)*H2611</f>
        <v/>
      </c>
      <c r="O2611" s="20">
        <f>F2611&amp;E2611&amp;G2611&amp;J2611</f>
        <v/>
      </c>
    </row>
    <row r="2612" ht="16.5" customHeight="1" s="17">
      <c r="B2612" s="16" t="n">
        <v>44196</v>
      </c>
      <c r="C2612" s="20">
        <f>TEXT(B2612,"aaa")</f>
        <v/>
      </c>
      <c r="E2612" s="20">
        <f>INDEX(매칭테이블!C:C,MATCH(RD!G2612,매칭테이블!D:D,0))</f>
        <v/>
      </c>
      <c r="F2612" s="20" t="inlineStr">
        <is>
          <t>카페24</t>
        </is>
      </c>
      <c r="G2612" s="20" t="inlineStr">
        <is>
          <t>유즈 솔리드퍼퓸 - 30ml (11차 예약구매 진행중)향=스테이포에버 002 SOLID PERFUME, 세트 선택=1개</t>
        </is>
      </c>
      <c r="H2612" s="20" t="n">
        <v>2</v>
      </c>
      <c r="I2612" s="20">
        <f>VLOOKUP(G2612,매칭테이블!D:E,2,0)</f>
        <v/>
      </c>
      <c r="J2612" s="20" t="n">
        <v>201210</v>
      </c>
      <c r="L2612" s="20">
        <f>VLOOKUP($O2612,매칭테이블!$G:$J,2,0)*H2612</f>
        <v/>
      </c>
      <c r="M2612" s="20">
        <f>L2612-L2612*VLOOKUP($O2612,매칭테이블!$G:$J,3,0)</f>
        <v/>
      </c>
      <c r="N2612" s="20">
        <f>VLOOKUP($O2612,매칭테이블!$G:$J,4,0)*H2612</f>
        <v/>
      </c>
      <c r="O2612" s="20">
        <f>F2612&amp;E2612&amp;G2612&amp;J2612</f>
        <v/>
      </c>
    </row>
    <row r="2613" ht="16.5" customHeight="1" s="17">
      <c r="B2613" s="16" t="n">
        <v>44196</v>
      </c>
      <c r="C2613" s="20">
        <f>TEXT(B2613,"aaa")</f>
        <v/>
      </c>
      <c r="E2613" s="20">
        <f>INDEX(매칭테이블!C:C,MATCH(RD!G2613,매칭테이블!D:D,0))</f>
        <v/>
      </c>
      <c r="F2613" s="20" t="inlineStr">
        <is>
          <t>카페24</t>
        </is>
      </c>
      <c r="G2613" s="20" t="inlineStr">
        <is>
          <t>유즈 솔리드퍼퓸 - 30ml (11차 예약구매 진행중)향=스테이포에버 002 SOLID PERFUME, 세트 선택=best 2개 (28% 할인)</t>
        </is>
      </c>
      <c r="H2613" s="20" t="n">
        <v>1</v>
      </c>
      <c r="I2613" s="20">
        <f>VLOOKUP(G2613,매칭테이블!D:E,2,0)</f>
        <v/>
      </c>
      <c r="J2613" s="20" t="n">
        <v>201210</v>
      </c>
      <c r="L2613" s="20">
        <f>VLOOKUP($O2613,매칭테이블!$G:$J,2,0)*H2613</f>
        <v/>
      </c>
      <c r="M2613" s="20">
        <f>L2613-L2613*VLOOKUP($O2613,매칭테이블!$G:$J,3,0)</f>
        <v/>
      </c>
      <c r="N2613" s="20">
        <f>VLOOKUP($O2613,매칭테이블!$G:$J,4,0)*H2613</f>
        <v/>
      </c>
      <c r="O2613" s="20">
        <f>F2613&amp;E2613&amp;G2613&amp;J2613</f>
        <v/>
      </c>
    </row>
    <row r="2614" ht="16.5" customHeight="1" s="17">
      <c r="B2614" s="16" t="n">
        <v>44196</v>
      </c>
      <c r="C2614" s="20">
        <f>TEXT(B2614,"aaa")</f>
        <v/>
      </c>
      <c r="E2614" s="20">
        <f>INDEX(매칭테이블!C:C,MATCH(RD!G2614,매칭테이블!D:D,0))</f>
        <v/>
      </c>
      <c r="F2614" s="20" t="inlineStr">
        <is>
          <t>카페24</t>
        </is>
      </c>
      <c r="G2614" s="20" t="inlineStr">
        <is>
          <t>유즈 스테이포에버 솔리드퍼퓸 002 (10차 재입고 완료제품선택=스테이포에버 1개</t>
        </is>
      </c>
      <c r="H2614" s="20" t="n">
        <v>2</v>
      </c>
      <c r="I2614" s="20">
        <f>VLOOKUP(G2614,매칭테이블!D:E,2,0)</f>
        <v/>
      </c>
      <c r="J2614" s="20" t="n">
        <v>201210</v>
      </c>
      <c r="L2614" s="20">
        <f>VLOOKUP($O2614,매칭테이블!$G:$J,2,0)*H2614</f>
        <v/>
      </c>
      <c r="M2614" s="20">
        <f>L2614-L2614*VLOOKUP($O2614,매칭테이블!$G:$J,3,0)</f>
        <v/>
      </c>
      <c r="N2614" s="20">
        <f>VLOOKUP($O2614,매칭테이블!$G:$J,4,0)*H2614</f>
        <v/>
      </c>
      <c r="O2614" s="20">
        <f>F2614&amp;E2614&amp;G2614&amp;J2614</f>
        <v/>
      </c>
    </row>
    <row r="2615" ht="16.5" customHeight="1" s="17">
      <c r="B2615" s="16" t="n">
        <v>44196</v>
      </c>
      <c r="C2615" s="20">
        <f>TEXT(B2615,"aaa")</f>
        <v/>
      </c>
      <c r="E2615" s="20">
        <f>INDEX(매칭테이블!C:C,MATCH(RD!G2615,매칭테이블!D:D,0))</f>
        <v/>
      </c>
      <c r="F2615" s="20" t="inlineStr">
        <is>
          <t>카페24</t>
        </is>
      </c>
      <c r="G2615" s="20" t="inlineStr">
        <is>
          <t>유즈 스테이포에버 솔리드퍼퓸 002 (10차 재입고 완료쇼핑백=선물용 쇼핑백</t>
        </is>
      </c>
      <c r="H2615" s="20" t="n">
        <v>1</v>
      </c>
      <c r="I2615" s="20">
        <f>VLOOKUP(G2615,매칭테이블!D:E,2,0)</f>
        <v/>
      </c>
      <c r="J2615" s="20" t="n">
        <v>201210</v>
      </c>
      <c r="L2615" s="20">
        <f>VLOOKUP($O2615,매칭테이블!$G:$J,2,0)*H2615</f>
        <v/>
      </c>
      <c r="M2615" s="20">
        <f>L2615-L2615*VLOOKUP($O2615,매칭테이블!$G:$J,3,0)</f>
        <v/>
      </c>
      <c r="N2615" s="20">
        <f>VLOOKUP($O2615,매칭테이블!$G:$J,4,0)*H2615</f>
        <v/>
      </c>
      <c r="O2615" s="20">
        <f>F2615&amp;E2615&amp;G2615&amp;J2615</f>
        <v/>
      </c>
    </row>
    <row r="2616" ht="16.5" customHeight="1" s="17">
      <c r="B2616" s="16" t="n">
        <v>44196</v>
      </c>
      <c r="C2616" s="20">
        <f>TEXT(B2616,"aaa")</f>
        <v/>
      </c>
      <c r="E2616" s="20">
        <f>INDEX(매칭테이블!C:C,MATCH(RD!G2616,매칭테이블!D:D,0))</f>
        <v/>
      </c>
      <c r="F2616" s="20" t="inlineStr">
        <is>
          <t>카페24</t>
        </is>
      </c>
      <c r="G2616" s="20" t="inlineStr">
        <is>
          <t>유즈 스테이포에버 솔리드퍼퓸 002 (10차 재입고 완료)제품선택=스테이포에버 1개</t>
        </is>
      </c>
      <c r="H2616" s="20" t="n">
        <v>198</v>
      </c>
      <c r="I2616" s="20">
        <f>VLOOKUP(G2616,매칭테이블!D:E,2,0)</f>
        <v/>
      </c>
      <c r="J2616" s="20" t="n">
        <v>201210</v>
      </c>
      <c r="L2616" s="20">
        <f>VLOOKUP($O2616,매칭테이블!$G:$J,2,0)*H2616</f>
        <v/>
      </c>
      <c r="M2616" s="20">
        <f>L2616-L2616*VLOOKUP($O2616,매칭테이블!$G:$J,3,0)</f>
        <v/>
      </c>
      <c r="N2616" s="20">
        <f>VLOOKUP($O2616,매칭테이블!$G:$J,4,0)*H2616</f>
        <v/>
      </c>
      <c r="O2616" s="20">
        <f>F2616&amp;E2616&amp;G2616&amp;J2616</f>
        <v/>
      </c>
    </row>
    <row r="2617" ht="16.5" customHeight="1" s="17">
      <c r="B2617" s="16" t="n">
        <v>44196</v>
      </c>
      <c r="C2617" s="20">
        <f>TEXT(B2617,"aaa")</f>
        <v/>
      </c>
      <c r="E2617" s="20">
        <f>INDEX(매칭테이블!C:C,MATCH(RD!G2617,매칭테이블!D:D,0))</f>
        <v/>
      </c>
      <c r="F2617" s="20" t="inlineStr">
        <is>
          <t>카페24</t>
        </is>
      </c>
      <c r="G2617" s="20" t="inlineStr">
        <is>
          <t>유즈 스테이포에버 솔리드퍼퓸 002 (10차 재입고 완료)제품선택=best</t>
        </is>
      </c>
      <c r="H2617" s="20" t="n">
        <v>36</v>
      </c>
      <c r="I2617" s="20">
        <f>VLOOKUP(G2617,매칭테이블!D:E,2,0)</f>
        <v/>
      </c>
      <c r="J2617" s="20" t="n">
        <v>201210</v>
      </c>
      <c r="L2617" s="20">
        <f>VLOOKUP($O2617,매칭테이블!$G:$J,2,0)*H2617</f>
        <v/>
      </c>
      <c r="M2617" s="20">
        <f>L2617-L2617*VLOOKUP($O2617,매칭테이블!$G:$J,3,0)</f>
        <v/>
      </c>
      <c r="N2617" s="20">
        <f>VLOOKUP($O2617,매칭테이블!$G:$J,4,0)*H2617</f>
        <v/>
      </c>
      <c r="O2617" s="20">
        <f>F2617&amp;E2617&amp;G2617&amp;J2617</f>
        <v/>
      </c>
    </row>
    <row r="2618" ht="16.5" customHeight="1" s="17">
      <c r="B2618" s="16" t="n">
        <v>44196</v>
      </c>
      <c r="C2618" s="20">
        <f>TEXT(B2618,"aaa")</f>
        <v/>
      </c>
      <c r="E2618" s="20">
        <f>INDEX(매칭테이블!C:C,MATCH(RD!G2618,매칭테이블!D:D,0))</f>
        <v/>
      </c>
      <c r="F2618" s="20" t="inlineStr">
        <is>
          <t>카페24</t>
        </is>
      </c>
      <c r="G2618" s="20" t="inlineStr">
        <is>
          <t>유즈 스테이포에버 솔리드퍼퓸 002 (10차 재입고 완료)제품선택=best스테이포에버 2개[28% 할인]</t>
        </is>
      </c>
      <c r="H2618" s="20" t="n">
        <v>45</v>
      </c>
      <c r="I2618" s="20">
        <f>VLOOKUP(G2618,매칭테이블!D:E,2,0)</f>
        <v/>
      </c>
      <c r="J2618" s="20" t="n">
        <v>201210</v>
      </c>
      <c r="L2618" s="20">
        <f>VLOOKUP($O2618,매칭테이블!$G:$J,2,0)*H2618</f>
        <v/>
      </c>
      <c r="M2618" s="20">
        <f>L2618-L2618*VLOOKUP($O2618,매칭테이블!$G:$J,3,0)</f>
        <v/>
      </c>
      <c r="N2618" s="20">
        <f>VLOOKUP($O2618,매칭테이블!$G:$J,4,0)*H2618</f>
        <v/>
      </c>
      <c r="O2618" s="20">
        <f>F2618&amp;E2618&amp;G2618&amp;J2618</f>
        <v/>
      </c>
    </row>
    <row r="2619" ht="16.5" customHeight="1" s="17">
      <c r="B2619" s="16" t="n">
        <v>44196</v>
      </c>
      <c r="C2619" s="20">
        <f>TEXT(B2619,"aaa")</f>
        <v/>
      </c>
      <c r="E2619" s="20">
        <f>INDEX(매칭테이블!C:C,MATCH(RD!G2619,매칭테이블!D:D,0))</f>
        <v/>
      </c>
      <c r="F2619" s="20" t="inlineStr">
        <is>
          <t>카페24</t>
        </is>
      </c>
      <c r="G2619" s="20" t="inlineStr">
        <is>
          <t>유즈 스테이포에버 솔리드퍼퓸 002 (10차 재입고 완료)제품선택=커플추천</t>
        </is>
      </c>
      <c r="H2619" s="20" t="n">
        <v>6</v>
      </c>
      <c r="I2619" s="20">
        <f>VLOOKUP(G2619,매칭테이블!D:E,2,0)</f>
        <v/>
      </c>
      <c r="J2619" s="20" t="n">
        <v>201210</v>
      </c>
      <c r="L2619" s="20">
        <f>VLOOKUP($O2619,매칭테이블!$G:$J,2,0)*H2619</f>
        <v/>
      </c>
      <c r="M2619" s="20">
        <f>L2619-L2619*VLOOKUP($O2619,매칭테이블!$G:$J,3,0)</f>
        <v/>
      </c>
      <c r="N2619" s="20">
        <f>VLOOKUP($O2619,매칭테이블!$G:$J,4,0)*H2619</f>
        <v/>
      </c>
      <c r="O2619" s="20">
        <f>F2619&amp;E2619&amp;G2619&amp;J2619</f>
        <v/>
      </c>
    </row>
    <row r="2620" ht="16.5" customHeight="1" s="17">
      <c r="B2620" s="16" t="n">
        <v>44196</v>
      </c>
      <c r="C2620" s="20">
        <f>TEXT(B2620,"aaa")</f>
        <v/>
      </c>
      <c r="E2620" s="20">
        <f>INDEX(매칭테이블!C:C,MATCH(RD!G2620,매칭테이블!D:D,0))</f>
        <v/>
      </c>
      <c r="F2620" s="20" t="inlineStr">
        <is>
          <t>카페24</t>
        </is>
      </c>
      <c r="G2620" s="20" t="inlineStr">
        <is>
          <t>유즈 스테이포에버 솔리드퍼퓸 002 (10차 재입고 완료)제품선택=커플추천스테이포에버 + 이그나이트 세트</t>
        </is>
      </c>
      <c r="H2620" s="20" t="n">
        <v>13</v>
      </c>
      <c r="I2620" s="20">
        <f>VLOOKUP(G2620,매칭테이블!D:E,2,0)</f>
        <v/>
      </c>
      <c r="J2620" s="20" t="n">
        <v>201210</v>
      </c>
      <c r="L2620" s="20">
        <f>VLOOKUP($O2620,매칭테이블!$G:$J,2,0)*H2620</f>
        <v/>
      </c>
      <c r="M2620" s="20">
        <f>L2620-L2620*VLOOKUP($O2620,매칭테이블!$G:$J,3,0)</f>
        <v/>
      </c>
      <c r="N2620" s="20">
        <f>VLOOKUP($O2620,매칭테이블!$G:$J,4,0)*H2620</f>
        <v/>
      </c>
      <c r="O2620" s="20">
        <f>F2620&amp;E2620&amp;G2620&amp;J2620</f>
        <v/>
      </c>
    </row>
    <row r="2621" ht="16.5" customHeight="1" s="17">
      <c r="B2621" s="16" t="n">
        <v>44196</v>
      </c>
      <c r="C2621" s="20">
        <f>TEXT(B2621,"aaa")</f>
        <v/>
      </c>
      <c r="E2621" s="20">
        <f>INDEX(매칭테이블!C:C,MATCH(RD!G2621,매칭테이블!D:D,0))</f>
        <v/>
      </c>
      <c r="F2621" s="20" t="inlineStr">
        <is>
          <t>카페24</t>
        </is>
      </c>
      <c r="G2621" s="20" t="inlineStr">
        <is>
          <t>유즈 스테이포에버 솔리드퍼퓸 002 (10차 재입고 완료)쇼핑백=선물용 쇼핑백</t>
        </is>
      </c>
      <c r="H2621" s="20" t="n">
        <v>7</v>
      </c>
      <c r="I2621" s="20">
        <f>VLOOKUP(G2621,매칭테이블!D:E,2,0)</f>
        <v/>
      </c>
      <c r="J2621" s="20" t="n">
        <v>201210</v>
      </c>
      <c r="L2621" s="20">
        <f>VLOOKUP($O2621,매칭테이블!$G:$J,2,0)*H2621</f>
        <v/>
      </c>
      <c r="M2621" s="20">
        <f>L2621-L2621*VLOOKUP($O2621,매칭테이블!$G:$J,3,0)</f>
        <v/>
      </c>
      <c r="N2621" s="20">
        <f>VLOOKUP($O2621,매칭테이블!$G:$J,4,0)*H2621</f>
        <v/>
      </c>
      <c r="O2621" s="20">
        <f>F2621&amp;E2621&amp;G2621&amp;J2621</f>
        <v/>
      </c>
    </row>
    <row r="2622" ht="16.5" customHeight="1" s="17">
      <c r="B2622" s="16" t="n">
        <v>44196</v>
      </c>
      <c r="C2622" s="20">
        <f>TEXT(B2622,"aaa")</f>
        <v/>
      </c>
      <c r="E2622" s="20">
        <f>INDEX(매칭테이블!C:C,MATCH(RD!G2622,매칭테이블!D:D,0))</f>
        <v/>
      </c>
      <c r="F2622" s="20" t="inlineStr">
        <is>
          <t>카페24</t>
        </is>
      </c>
      <c r="G2622" s="20" t="inlineStr">
        <is>
          <t>유즈 스테이포에버 솔리드퍼퓸 002 (11차 예약구매 진행중)제품선택=스테이포에버 1개</t>
        </is>
      </c>
      <c r="H2622" s="20" t="n">
        <v>70</v>
      </c>
      <c r="I2622" s="20">
        <f>VLOOKUP(G2622,매칭테이블!D:E,2,0)</f>
        <v/>
      </c>
      <c r="J2622" s="20" t="n">
        <v>201210</v>
      </c>
      <c r="L2622" s="20">
        <f>VLOOKUP($O2622,매칭테이블!$G:$J,2,0)*H2622</f>
        <v/>
      </c>
      <c r="M2622" s="20">
        <f>L2622-L2622*VLOOKUP($O2622,매칭테이블!$G:$J,3,0)</f>
        <v/>
      </c>
      <c r="N2622" s="20">
        <f>VLOOKUP($O2622,매칭테이블!$G:$J,4,0)*H2622</f>
        <v/>
      </c>
      <c r="O2622" s="20">
        <f>F2622&amp;E2622&amp;G2622&amp;J2622</f>
        <v/>
      </c>
    </row>
    <row r="2623" ht="16.5" customHeight="1" s="17">
      <c r="B2623" s="16" t="n">
        <v>44196</v>
      </c>
      <c r="C2623" s="20">
        <f>TEXT(B2623,"aaa")</f>
        <v/>
      </c>
      <c r="E2623" s="20">
        <f>INDEX(매칭테이블!C:C,MATCH(RD!G2623,매칭테이블!D:D,0))</f>
        <v/>
      </c>
      <c r="F2623" s="20" t="inlineStr">
        <is>
          <t>카페24</t>
        </is>
      </c>
      <c r="G2623" s="20" t="inlineStr">
        <is>
          <t>유즈 스테이포에버 솔리드퍼퓸 002 (11차 예약구매 진행중)제품선택=best</t>
        </is>
      </c>
      <c r="H2623" s="20" t="n">
        <v>21</v>
      </c>
      <c r="I2623" s="20">
        <f>VLOOKUP(G2623,매칭테이블!D:E,2,0)</f>
        <v/>
      </c>
      <c r="J2623" s="20" t="n">
        <v>201210</v>
      </c>
      <c r="L2623" s="20">
        <f>VLOOKUP($O2623,매칭테이블!$G:$J,2,0)*H2623</f>
        <v/>
      </c>
      <c r="M2623" s="20">
        <f>L2623-L2623*VLOOKUP($O2623,매칭테이블!$G:$J,3,0)</f>
        <v/>
      </c>
      <c r="N2623" s="20">
        <f>VLOOKUP($O2623,매칭테이블!$G:$J,4,0)*H2623</f>
        <v/>
      </c>
      <c r="O2623" s="20">
        <f>F2623&amp;E2623&amp;G2623&amp;J2623</f>
        <v/>
      </c>
    </row>
    <row r="2624" ht="16.5" customHeight="1" s="17">
      <c r="B2624" s="16" t="n">
        <v>44196</v>
      </c>
      <c r="C2624" s="20">
        <f>TEXT(B2624,"aaa")</f>
        <v/>
      </c>
      <c r="E2624" s="20">
        <f>INDEX(매칭테이블!C:C,MATCH(RD!G2624,매칭테이블!D:D,0))</f>
        <v/>
      </c>
      <c r="F2624" s="20" t="inlineStr">
        <is>
          <t>카페24</t>
        </is>
      </c>
      <c r="G2624" s="20" t="inlineStr">
        <is>
          <t>유즈 스테이포에버 솔리드퍼퓸 002 (11차 예약구매 진행중)제품선택=best스테이포에버 2개[28% 할인]</t>
        </is>
      </c>
      <c r="H2624" s="20" t="n">
        <v>24</v>
      </c>
      <c r="I2624" s="20">
        <f>VLOOKUP(G2624,매칭테이블!D:E,2,0)</f>
        <v/>
      </c>
      <c r="J2624" s="20" t="n">
        <v>201210</v>
      </c>
      <c r="L2624" s="20">
        <f>VLOOKUP($O2624,매칭테이블!$G:$J,2,0)*H2624</f>
        <v/>
      </c>
      <c r="M2624" s="20">
        <f>L2624-L2624*VLOOKUP($O2624,매칭테이블!$G:$J,3,0)</f>
        <v/>
      </c>
      <c r="N2624" s="20">
        <f>VLOOKUP($O2624,매칭테이블!$G:$J,4,0)*H2624</f>
        <v/>
      </c>
      <c r="O2624" s="20">
        <f>F2624&amp;E2624&amp;G2624&amp;J2624</f>
        <v/>
      </c>
    </row>
    <row r="2625" ht="16.5" customHeight="1" s="17">
      <c r="B2625" s="16" t="n">
        <v>44196</v>
      </c>
      <c r="C2625" s="20">
        <f>TEXT(B2625,"aaa")</f>
        <v/>
      </c>
      <c r="E2625" s="20">
        <f>INDEX(매칭테이블!C:C,MATCH(RD!G2625,매칭테이블!D:D,0))</f>
        <v/>
      </c>
      <c r="F2625" s="20" t="inlineStr">
        <is>
          <t>카페24</t>
        </is>
      </c>
      <c r="G2625" s="20" t="inlineStr">
        <is>
          <t>유즈 스테이포에버 솔리드퍼퓸 002 (11차 예약구매 진행중)제품선택=커플추천</t>
        </is>
      </c>
      <c r="H2625" s="20" t="n">
        <v>1</v>
      </c>
      <c r="I2625" s="20">
        <f>VLOOKUP(G2625,매칭테이블!D:E,2,0)</f>
        <v/>
      </c>
      <c r="J2625" s="20" t="n">
        <v>201210</v>
      </c>
      <c r="L2625" s="20">
        <f>VLOOKUP($O2625,매칭테이블!$G:$J,2,0)*H2625</f>
        <v/>
      </c>
      <c r="M2625" s="20">
        <f>L2625-L2625*VLOOKUP($O2625,매칭테이블!$G:$J,3,0)</f>
        <v/>
      </c>
      <c r="N2625" s="20">
        <f>VLOOKUP($O2625,매칭테이블!$G:$J,4,0)*H2625</f>
        <v/>
      </c>
      <c r="O2625" s="20">
        <f>F2625&amp;E2625&amp;G2625&amp;J2625</f>
        <v/>
      </c>
    </row>
    <row r="2626" ht="16.5" customHeight="1" s="17">
      <c r="B2626" s="16" t="n">
        <v>44196</v>
      </c>
      <c r="C2626" s="20">
        <f>TEXT(B2626,"aaa")</f>
        <v/>
      </c>
      <c r="E2626" s="20">
        <f>INDEX(매칭테이블!C:C,MATCH(RD!G2626,매칭테이블!D:D,0))</f>
        <v/>
      </c>
      <c r="F2626" s="20" t="inlineStr">
        <is>
          <t>카페24</t>
        </is>
      </c>
      <c r="G2626" s="20" t="inlineStr">
        <is>
          <t>유즈 스테이포에버 솔리드퍼퓸 002 (11차 예약구매 진행중)제품선택=커플추천스테이포에버 + 이그나이트 세트</t>
        </is>
      </c>
      <c r="H2626" s="20" t="n">
        <v>1</v>
      </c>
      <c r="I2626" s="20">
        <f>VLOOKUP(G2626,매칭테이블!D:E,2,0)</f>
        <v/>
      </c>
      <c r="J2626" s="20" t="n">
        <v>201210</v>
      </c>
      <c r="L2626" s="20">
        <f>VLOOKUP($O2626,매칭테이블!$G:$J,2,0)*H2626</f>
        <v/>
      </c>
      <c r="M2626" s="20">
        <f>L2626-L2626*VLOOKUP($O2626,매칭테이블!$G:$J,3,0)</f>
        <v/>
      </c>
      <c r="N2626" s="20">
        <f>VLOOKUP($O2626,매칭테이블!$G:$J,4,0)*H2626</f>
        <v/>
      </c>
      <c r="O2626" s="20">
        <f>F2626&amp;E2626&amp;G2626&amp;J2626</f>
        <v/>
      </c>
    </row>
    <row r="2627" ht="16.5" customHeight="1" s="17">
      <c r="B2627" s="16" t="n">
        <v>44196</v>
      </c>
      <c r="C2627" s="20">
        <f>TEXT(B2627,"aaa")</f>
        <v/>
      </c>
      <c r="E2627" s="20">
        <f>INDEX(매칭테이블!C:C,MATCH(RD!G2627,매칭테이블!D:D,0))</f>
        <v/>
      </c>
      <c r="F2627" s="20" t="inlineStr">
        <is>
          <t>카페24</t>
        </is>
      </c>
      <c r="G2627" s="20" t="inlineStr">
        <is>
          <t>유즈 스테이포에버 솔리드퍼퓸 002 (11차 예약구매 진행중)쇼핑백=선물용 쇼핑백</t>
        </is>
      </c>
      <c r="H2627" s="20" t="n">
        <v>4</v>
      </c>
      <c r="I2627" s="20">
        <f>VLOOKUP(G2627,매칭테이블!D:E,2,0)</f>
        <v/>
      </c>
      <c r="J2627" s="20" t="n">
        <v>201210</v>
      </c>
      <c r="L2627" s="20">
        <f>VLOOKUP($O2627,매칭테이블!$G:$J,2,0)*H2627</f>
        <v/>
      </c>
      <c r="M2627" s="20">
        <f>L2627-L2627*VLOOKUP($O2627,매칭테이블!$G:$J,3,0)</f>
        <v/>
      </c>
      <c r="N2627" s="20">
        <f>VLOOKUP($O2627,매칭테이블!$G:$J,4,0)*H2627</f>
        <v/>
      </c>
      <c r="O2627" s="20">
        <f>F2627&amp;E2627&amp;G2627&amp;J2627</f>
        <v/>
      </c>
    </row>
    <row r="2628" ht="16.5" customHeight="1" s="17">
      <c r="B2628" s="16" t="n">
        <v>44196</v>
      </c>
      <c r="C2628" s="20">
        <f>TEXT(B2628,"aaa")</f>
        <v/>
      </c>
      <c r="E2628" s="20">
        <f>INDEX(매칭테이블!C:C,MATCH(RD!G2628,매칭테이블!D:D,0))</f>
        <v/>
      </c>
      <c r="F2628" s="20" t="inlineStr">
        <is>
          <t>카페24</t>
        </is>
      </c>
      <c r="G2628" s="20" t="inlineStr">
        <is>
          <t>유즈 이그나이트 솔리드퍼퓸 001제품선택=이그나이트 솔리드퍼퓸 - 30ml</t>
        </is>
      </c>
      <c r="H2628" s="20" t="n">
        <v>5</v>
      </c>
      <c r="I2628" s="20">
        <f>VLOOKUP(G2628,매칭테이블!D:E,2,0)</f>
        <v/>
      </c>
      <c r="J2628" s="20" t="n">
        <v>201210</v>
      </c>
      <c r="L2628" s="20">
        <f>VLOOKUP($O2628,매칭테이블!$G:$J,2,0)*H2628</f>
        <v/>
      </c>
      <c r="M2628" s="20">
        <f>L2628-L2628*VLOOKUP($O2628,매칭테이블!$G:$J,3,0)</f>
        <v/>
      </c>
      <c r="N2628" s="20">
        <f>VLOOKUP($O2628,매칭테이블!$G:$J,4,0)*H2628</f>
        <v/>
      </c>
      <c r="O2628" s="20">
        <f>F2628&amp;E2628&amp;G2628&amp;J2628</f>
        <v/>
      </c>
    </row>
    <row r="2629" ht="16.5" customHeight="1" s="17">
      <c r="B2629" s="16" t="n">
        <v>44196</v>
      </c>
      <c r="C2629" s="20">
        <f>TEXT(B2629,"aaa")</f>
        <v/>
      </c>
      <c r="E2629" s="20">
        <f>INDEX(매칭테이블!C:C,MATCH(RD!G2629,매칭테이블!D:D,0))</f>
        <v/>
      </c>
      <c r="F2629" s="20" t="inlineStr">
        <is>
          <t>카페24</t>
        </is>
      </c>
      <c r="G2629" s="20" t="inlineStr">
        <is>
          <t>유즈 이그나이트 솔리드퍼퓸 001제품선택=이그나이트 2개 세트</t>
        </is>
      </c>
      <c r="H2629" s="20" t="n">
        <v>1</v>
      </c>
      <c r="I2629" s="20">
        <f>VLOOKUP(G2629,매칭테이블!D:E,2,0)</f>
        <v/>
      </c>
      <c r="J2629" s="20" t="n">
        <v>201210</v>
      </c>
      <c r="L2629" s="20">
        <f>VLOOKUP($O2629,매칭테이블!$G:$J,2,0)*H2629</f>
        <v/>
      </c>
      <c r="M2629" s="20">
        <f>L2629-L2629*VLOOKUP($O2629,매칭테이블!$G:$J,3,0)</f>
        <v/>
      </c>
      <c r="N2629" s="20">
        <f>VLOOKUP($O2629,매칭테이블!$G:$J,4,0)*H2629</f>
        <v/>
      </c>
      <c r="O2629" s="20">
        <f>F2629&amp;E2629&amp;G2629&amp;J2629</f>
        <v/>
      </c>
    </row>
    <row r="2630" ht="16.5" customHeight="1" s="17">
      <c r="B2630" s="16" t="n">
        <v>44196</v>
      </c>
      <c r="C2630" s="20">
        <f>TEXT(B2630,"aaa")</f>
        <v/>
      </c>
      <c r="E2630" s="20">
        <f>INDEX(매칭테이블!C:C,MATCH(RD!G2630,매칭테이블!D:D,0))</f>
        <v/>
      </c>
      <c r="F2630" s="20" t="inlineStr">
        <is>
          <t>카페24</t>
        </is>
      </c>
      <c r="G2630" s="20" t="inlineStr">
        <is>
          <t>유즈 이그나이트 솔리드퍼퓸 001쇼핑백=선물용 쇼핑백</t>
        </is>
      </c>
      <c r="H2630" s="20" t="n">
        <v>1</v>
      </c>
      <c r="I2630" s="20">
        <f>VLOOKUP(G2630,매칭테이블!D:E,2,0)</f>
        <v/>
      </c>
      <c r="J2630" s="20" t="n">
        <v>201210</v>
      </c>
      <c r="L2630" s="20">
        <f>VLOOKUP($O2630,매칭테이블!$G:$J,2,0)*H2630</f>
        <v/>
      </c>
      <c r="M2630" s="20">
        <f>L2630-L2630*VLOOKUP($O2630,매칭테이블!$G:$J,3,0)</f>
        <v/>
      </c>
      <c r="N2630" s="20">
        <f>VLOOKUP($O2630,매칭테이블!$G:$J,4,0)*H2630</f>
        <v/>
      </c>
      <c r="O2630" s="20">
        <f>F2630&amp;E2630&amp;G2630&amp;J2630</f>
        <v/>
      </c>
    </row>
    <row r="2631" ht="16.5" customHeight="1" s="17">
      <c r="B2631" s="16" t="n">
        <v>44197</v>
      </c>
      <c r="C2631" s="20">
        <f>TEXT(B2631,"aaa")</f>
        <v/>
      </c>
      <c r="E2631" s="20">
        <f>INDEX(매칭테이블!C:C,MATCH(RD!G2631,매칭테이블!D:D,0))</f>
        <v/>
      </c>
      <c r="F2631" s="20" t="inlineStr">
        <is>
          <t>카페24</t>
        </is>
      </c>
      <c r="G2631" s="20" t="inlineStr">
        <is>
          <t>SHOPPING BAG</t>
        </is>
      </c>
      <c r="H2631" s="20" t="n">
        <v>1</v>
      </c>
      <c r="I2631" s="20">
        <f>VLOOKUP(G2631,매칭테이블!D:E,2,0)</f>
        <v/>
      </c>
      <c r="J2631" s="20" t="n">
        <v>210101</v>
      </c>
      <c r="L2631" s="20">
        <f>VLOOKUP($O2631,매칭테이블!$G:$J,2,0)*H2631</f>
        <v/>
      </c>
      <c r="M2631" s="20">
        <f>L2631-L2631*VLOOKUP($O2631,매칭테이블!$G:$J,3,0)</f>
        <v/>
      </c>
      <c r="N2631" s="20">
        <f>VLOOKUP($O2631,매칭테이블!$G:$J,4,0)*H2631</f>
        <v/>
      </c>
      <c r="O2631" s="20">
        <f>F2631&amp;E2631&amp;G2631&amp;J2631</f>
        <v/>
      </c>
    </row>
    <row r="2632" ht="16.5" customHeight="1" s="17">
      <c r="B2632" s="16" t="n">
        <v>44197</v>
      </c>
      <c r="C2632" s="20">
        <f>TEXT(B2632,"aaa")</f>
        <v/>
      </c>
      <c r="E2632" s="20">
        <f>INDEX(매칭테이블!C:C,MATCH(RD!G2632,매칭테이블!D:D,0))</f>
        <v/>
      </c>
      <c r="F2632" s="20" t="inlineStr">
        <is>
          <t>카페24</t>
        </is>
      </c>
      <c r="G2632" s="20" t="inlineStr">
        <is>
          <t>유즈 솔리드퍼퓸 - 30ml (11차 예약구매 진행중)향=이그나이트 001 SOLID PERFUME, 세트 선택=1개</t>
        </is>
      </c>
      <c r="H2632" s="20" t="n">
        <v>2</v>
      </c>
      <c r="I2632" s="20">
        <f>VLOOKUP(G2632,매칭테이블!D:E,2,0)</f>
        <v/>
      </c>
      <c r="J2632" s="20" t="n">
        <v>210101</v>
      </c>
      <c r="L2632" s="20">
        <f>VLOOKUP($O2632,매칭테이블!$G:$J,2,0)*H2632</f>
        <v/>
      </c>
      <c r="M2632" s="20">
        <f>L2632-L2632*VLOOKUP($O2632,매칭테이블!$G:$J,3,0)</f>
        <v/>
      </c>
      <c r="N2632" s="20">
        <f>VLOOKUP($O2632,매칭테이블!$G:$J,4,0)*H2632</f>
        <v/>
      </c>
      <c r="O2632" s="20">
        <f>F2632&amp;E2632&amp;G2632&amp;J2632</f>
        <v/>
      </c>
    </row>
    <row r="2633" ht="16.5" customHeight="1" s="17">
      <c r="B2633" s="16" t="n">
        <v>44197</v>
      </c>
      <c r="C2633" s="20">
        <f>TEXT(B2633,"aaa")</f>
        <v/>
      </c>
      <c r="E2633" s="20">
        <f>INDEX(매칭테이블!C:C,MATCH(RD!G2633,매칭테이블!D:D,0))</f>
        <v/>
      </c>
      <c r="F2633" s="20" t="inlineStr">
        <is>
          <t>카페24</t>
        </is>
      </c>
      <c r="G2633" s="20" t="inlineStr">
        <is>
          <t>유즈 솔리드퍼퓸 - 30ml (11차 예약구매 진행중)향=스테이포에버 002 SOLID PERFUME, 세트 선택=1개</t>
        </is>
      </c>
      <c r="H2633" s="20" t="n">
        <v>24</v>
      </c>
      <c r="I2633" s="20">
        <f>VLOOKUP(G2633,매칭테이블!D:E,2,0)</f>
        <v/>
      </c>
      <c r="J2633" s="20" t="n">
        <v>210101</v>
      </c>
      <c r="L2633" s="20">
        <f>VLOOKUP($O2633,매칭테이블!$G:$J,2,0)*H2633</f>
        <v/>
      </c>
      <c r="M2633" s="20">
        <f>L2633-L2633*VLOOKUP($O2633,매칭테이블!$G:$J,3,0)</f>
        <v/>
      </c>
      <c r="N2633" s="20">
        <f>VLOOKUP($O2633,매칭테이블!$G:$J,4,0)*H2633</f>
        <v/>
      </c>
      <c r="O2633" s="20">
        <f>F2633&amp;E2633&amp;G2633&amp;J2633</f>
        <v/>
      </c>
    </row>
    <row r="2634" ht="16.5" customHeight="1" s="17">
      <c r="B2634" s="16" t="n">
        <v>44197</v>
      </c>
      <c r="C2634" s="20">
        <f>TEXT(B2634,"aaa")</f>
        <v/>
      </c>
      <c r="E2634" s="20">
        <f>INDEX(매칭테이블!C:C,MATCH(RD!G2634,매칭테이블!D:D,0))</f>
        <v/>
      </c>
      <c r="F2634" s="20" t="inlineStr">
        <is>
          <t>카페24</t>
        </is>
      </c>
      <c r="G2634" s="20" t="inlineStr">
        <is>
          <t>유즈 솔리드퍼퓸 - 30ml (11차 예약구매 진행중)향=스테이포에버 002 SOLID PERFUME, 세트 선택=best</t>
        </is>
      </c>
      <c r="H2634" s="20" t="n">
        <v>3</v>
      </c>
      <c r="I2634" s="20">
        <f>VLOOKUP(G2634,매칭테이블!D:E,2,0)</f>
        <v/>
      </c>
      <c r="J2634" s="20" t="n">
        <v>210101</v>
      </c>
      <c r="L2634" s="20">
        <f>VLOOKUP($O2634,매칭테이블!$G:$J,2,0)*H2634</f>
        <v/>
      </c>
      <c r="M2634" s="20">
        <f>L2634-L2634*VLOOKUP($O2634,매칭테이블!$G:$J,3,0)</f>
        <v/>
      </c>
      <c r="N2634" s="20">
        <f>VLOOKUP($O2634,매칭테이블!$G:$J,4,0)*H2634</f>
        <v/>
      </c>
      <c r="O2634" s="20">
        <f>F2634&amp;E2634&amp;G2634&amp;J2634</f>
        <v/>
      </c>
    </row>
    <row r="2635" ht="16.5" customHeight="1" s="17">
      <c r="B2635" s="16" t="n">
        <v>44197</v>
      </c>
      <c r="C2635" s="20">
        <f>TEXT(B2635,"aaa")</f>
        <v/>
      </c>
      <c r="E2635" s="20">
        <f>INDEX(매칭테이블!C:C,MATCH(RD!G2635,매칭테이블!D:D,0))</f>
        <v/>
      </c>
      <c r="F2635" s="20" t="inlineStr">
        <is>
          <t>카페24</t>
        </is>
      </c>
      <c r="G2635" s="20" t="inlineStr">
        <is>
          <t>유즈 솔리드퍼퓸 - 30ml (11차 예약구매 진행중)향=스테이포에버 002 SOLID PERFUME, 세트 선택=best 2개 (28% 할인)</t>
        </is>
      </c>
      <c r="H2635" s="20" t="n">
        <v>2</v>
      </c>
      <c r="I2635" s="20">
        <f>VLOOKUP(G2635,매칭테이블!D:E,2,0)</f>
        <v/>
      </c>
      <c r="J2635" s="20" t="n">
        <v>210101</v>
      </c>
      <c r="L2635" s="20">
        <f>VLOOKUP($O2635,매칭테이블!$G:$J,2,0)*H2635</f>
        <v/>
      </c>
      <c r="M2635" s="20">
        <f>L2635-L2635*VLOOKUP($O2635,매칭테이블!$G:$J,3,0)</f>
        <v/>
      </c>
      <c r="N2635" s="20">
        <f>VLOOKUP($O2635,매칭테이블!$G:$J,4,0)*H2635</f>
        <v/>
      </c>
      <c r="O2635" s="20">
        <f>F2635&amp;E2635&amp;G2635&amp;J2635</f>
        <v/>
      </c>
    </row>
    <row r="2636" ht="16.5" customHeight="1" s="17">
      <c r="B2636" s="16" t="n">
        <v>44197</v>
      </c>
      <c r="C2636" s="20">
        <f>TEXT(B2636,"aaa")</f>
        <v/>
      </c>
      <c r="E2636" s="20">
        <f>INDEX(매칭테이블!C:C,MATCH(RD!G2636,매칭테이블!D:D,0))</f>
        <v/>
      </c>
      <c r="F2636" s="20" t="inlineStr">
        <is>
          <t>카페24</t>
        </is>
      </c>
      <c r="G2636" s="20" t="inlineStr">
        <is>
          <t>유즈 솔리드퍼퓸 - 30ml (11차 예약구매 진행중)향=커플세트</t>
        </is>
      </c>
      <c r="H2636" s="20" t="n">
        <v>6</v>
      </c>
      <c r="I2636" s="20">
        <f>VLOOKUP(G2636,매칭테이블!D:E,2,0)</f>
        <v/>
      </c>
      <c r="J2636" s="20" t="n">
        <v>210101</v>
      </c>
      <c r="L2636" s="20">
        <f>VLOOKUP($O2636,매칭테이블!$G:$J,2,0)*H2636</f>
        <v/>
      </c>
      <c r="M2636" s="20">
        <f>L2636-L2636*VLOOKUP($O2636,매칭테이블!$G:$J,3,0)</f>
        <v/>
      </c>
      <c r="N2636" s="20">
        <f>VLOOKUP($O2636,매칭테이블!$G:$J,4,0)*H2636</f>
        <v/>
      </c>
      <c r="O2636" s="20">
        <f>F2636&amp;E2636&amp;G2636&amp;J2636</f>
        <v/>
      </c>
    </row>
    <row r="2637" ht="16.5" customHeight="1" s="17">
      <c r="B2637" s="16" t="n">
        <v>44197</v>
      </c>
      <c r="C2637" s="20">
        <f>TEXT(B2637,"aaa")</f>
        <v/>
      </c>
      <c r="E2637" s="20">
        <f>INDEX(매칭테이블!C:C,MATCH(RD!G2637,매칭테이블!D:D,0))</f>
        <v/>
      </c>
      <c r="F2637" s="20" t="inlineStr">
        <is>
          <t>카페24</t>
        </is>
      </c>
      <c r="G2637" s="20" t="inlineStr">
        <is>
          <t>유즈 솔리드퍼퓸 - 30ml (11차 예약구매 진행중)향=커플세트(이그나이트 + 스테이포에버), 세트 선택=1 SET</t>
        </is>
      </c>
      <c r="H2637" s="20" t="n">
        <v>7</v>
      </c>
      <c r="I2637" s="20">
        <f>VLOOKUP(G2637,매칭테이블!D:E,2,0)</f>
        <v/>
      </c>
      <c r="J2637" s="20" t="n">
        <v>210101</v>
      </c>
      <c r="L2637" s="20">
        <f>VLOOKUP($O2637,매칭테이블!$G:$J,2,0)*H2637</f>
        <v/>
      </c>
      <c r="M2637" s="20">
        <f>L2637-L2637*VLOOKUP($O2637,매칭테이블!$G:$J,3,0)</f>
        <v/>
      </c>
      <c r="N2637" s="20">
        <f>VLOOKUP($O2637,매칭테이블!$G:$J,4,0)*H2637</f>
        <v/>
      </c>
      <c r="O2637" s="20">
        <f>F2637&amp;E2637&amp;G2637&amp;J2637</f>
        <v/>
      </c>
    </row>
    <row r="2638" ht="16.5" customHeight="1" s="17">
      <c r="B2638" s="16" t="n">
        <v>44197</v>
      </c>
      <c r="C2638" s="20">
        <f>TEXT(B2638,"aaa")</f>
        <v/>
      </c>
      <c r="E2638" s="20">
        <f>INDEX(매칭테이블!C:C,MATCH(RD!G2638,매칭테이블!D:D,0))</f>
        <v/>
      </c>
      <c r="F2638" s="20" t="inlineStr">
        <is>
          <t>카페24</t>
        </is>
      </c>
      <c r="G2638" s="20" t="inlineStr">
        <is>
          <t>유즈 스테이포에버 솔리드퍼퓸 002 (10차 재입고 완료)제품선택=스테이포에버 1개</t>
        </is>
      </c>
      <c r="H2638" s="20" t="n">
        <v>2</v>
      </c>
      <c r="I2638" s="20">
        <f>VLOOKUP(G2638,매칭테이블!D:E,2,0)</f>
        <v/>
      </c>
      <c r="J2638" s="20" t="n">
        <v>210101</v>
      </c>
      <c r="L2638" s="20">
        <f>VLOOKUP($O2638,매칭테이블!$G:$J,2,0)*H2638</f>
        <v/>
      </c>
      <c r="M2638" s="20">
        <f>L2638-L2638*VLOOKUP($O2638,매칭테이블!$G:$J,3,0)</f>
        <v/>
      </c>
      <c r="N2638" s="20">
        <f>VLOOKUP($O2638,매칭테이블!$G:$J,4,0)*H2638</f>
        <v/>
      </c>
      <c r="O2638" s="20">
        <f>F2638&amp;E2638&amp;G2638&amp;J2638</f>
        <v/>
      </c>
    </row>
    <row r="2639" ht="16.5" customHeight="1" s="17">
      <c r="B2639" s="16" t="n">
        <v>44197</v>
      </c>
      <c r="C2639" s="20">
        <f>TEXT(B2639,"aaa")</f>
        <v/>
      </c>
      <c r="E2639" s="20">
        <f>INDEX(매칭테이블!C:C,MATCH(RD!G2639,매칭테이블!D:D,0))</f>
        <v/>
      </c>
      <c r="F2639" s="20" t="inlineStr">
        <is>
          <t>카페24</t>
        </is>
      </c>
      <c r="G2639" s="20" t="inlineStr">
        <is>
          <t>유즈 스테이포에버 솔리드퍼퓸 002 (11차 예약구매 진행중)제품선택=스테이포에버 1개</t>
        </is>
      </c>
      <c r="H2639" s="20" t="n">
        <v>512</v>
      </c>
      <c r="I2639" s="20">
        <f>VLOOKUP(G2639,매칭테이블!D:E,2,0)</f>
        <v/>
      </c>
      <c r="J2639" s="20" t="n">
        <v>210101</v>
      </c>
      <c r="L2639" s="20">
        <f>VLOOKUP($O2639,매칭테이블!$G:$J,2,0)*H2639</f>
        <v/>
      </c>
      <c r="M2639" s="20">
        <f>L2639-L2639*VLOOKUP($O2639,매칭테이블!$G:$J,3,0)</f>
        <v/>
      </c>
      <c r="N2639" s="20">
        <f>VLOOKUP($O2639,매칭테이블!$G:$J,4,0)*H2639</f>
        <v/>
      </c>
      <c r="O2639" s="20">
        <f>F2639&amp;E2639&amp;G2639&amp;J2639</f>
        <v/>
      </c>
    </row>
    <row r="2640" ht="16.5" customHeight="1" s="17">
      <c r="B2640" s="16" t="n">
        <v>44197</v>
      </c>
      <c r="C2640" s="20">
        <f>TEXT(B2640,"aaa")</f>
        <v/>
      </c>
      <c r="E2640" s="20">
        <f>INDEX(매칭테이블!C:C,MATCH(RD!G2640,매칭테이블!D:D,0))</f>
        <v/>
      </c>
      <c r="F2640" s="20" t="inlineStr">
        <is>
          <t>카페24</t>
        </is>
      </c>
      <c r="G2640" s="20" t="inlineStr">
        <is>
          <t>유즈 스테이포에버 솔리드퍼퓸 002 (11차 예약구매 진행중)제품선택=best</t>
        </is>
      </c>
      <c r="H2640" s="20" t="n">
        <v>105</v>
      </c>
      <c r="I2640" s="20">
        <f>VLOOKUP(G2640,매칭테이블!D:E,2,0)</f>
        <v/>
      </c>
      <c r="J2640" s="20" t="n">
        <v>210101</v>
      </c>
      <c r="L2640" s="20">
        <f>VLOOKUP($O2640,매칭테이블!$G:$J,2,0)*H2640</f>
        <v/>
      </c>
      <c r="M2640" s="20">
        <f>L2640-L2640*VLOOKUP($O2640,매칭테이블!$G:$J,3,0)</f>
        <v/>
      </c>
      <c r="N2640" s="20">
        <f>VLOOKUP($O2640,매칭테이블!$G:$J,4,0)*H2640</f>
        <v/>
      </c>
      <c r="O2640" s="20">
        <f>F2640&amp;E2640&amp;G2640&amp;J2640</f>
        <v/>
      </c>
    </row>
    <row r="2641" ht="16.5" customHeight="1" s="17">
      <c r="B2641" s="16" t="n">
        <v>44197</v>
      </c>
      <c r="C2641" s="20">
        <f>TEXT(B2641,"aaa")</f>
        <v/>
      </c>
      <c r="E2641" s="20">
        <f>INDEX(매칭테이블!C:C,MATCH(RD!G2641,매칭테이블!D:D,0))</f>
        <v/>
      </c>
      <c r="F2641" s="20" t="inlineStr">
        <is>
          <t>카페24</t>
        </is>
      </c>
      <c r="G2641" s="20" t="inlineStr">
        <is>
          <t>유즈 스테이포에버 솔리드퍼퓸 002 (11차 예약구매 진행중)제품선택=best스테이포에버 2개[28% 할인]</t>
        </is>
      </c>
      <c r="H2641" s="20" t="n">
        <v>152</v>
      </c>
      <c r="I2641" s="20">
        <f>VLOOKUP(G2641,매칭테이블!D:E,2,0)</f>
        <v/>
      </c>
      <c r="J2641" s="20" t="n">
        <v>210101</v>
      </c>
      <c r="L2641" s="20">
        <f>VLOOKUP($O2641,매칭테이블!$G:$J,2,0)*H2641</f>
        <v/>
      </c>
      <c r="M2641" s="20">
        <f>L2641-L2641*VLOOKUP($O2641,매칭테이블!$G:$J,3,0)</f>
        <v/>
      </c>
      <c r="N2641" s="20">
        <f>VLOOKUP($O2641,매칭테이블!$G:$J,4,0)*H2641</f>
        <v/>
      </c>
      <c r="O2641" s="20">
        <f>F2641&amp;E2641&amp;G2641&amp;J2641</f>
        <v/>
      </c>
    </row>
    <row r="2642" ht="16.5" customHeight="1" s="17">
      <c r="B2642" s="16" t="n">
        <v>44197</v>
      </c>
      <c r="C2642" s="20">
        <f>TEXT(B2642,"aaa")</f>
        <v/>
      </c>
      <c r="E2642" s="20">
        <f>INDEX(매칭테이블!C:C,MATCH(RD!G2642,매칭테이블!D:D,0))</f>
        <v/>
      </c>
      <c r="F2642" s="20" t="inlineStr">
        <is>
          <t>카페24</t>
        </is>
      </c>
      <c r="G2642" s="20" t="inlineStr">
        <is>
          <t>유즈 스테이포에버 솔리드퍼퓸 002 (11차 예약구매 진행중)제품선택=커플추천</t>
        </is>
      </c>
      <c r="H2642" s="20" t="n">
        <v>16</v>
      </c>
      <c r="I2642" s="20">
        <f>VLOOKUP(G2642,매칭테이블!D:E,2,0)</f>
        <v/>
      </c>
      <c r="J2642" s="20" t="n">
        <v>210101</v>
      </c>
      <c r="L2642" s="20">
        <f>VLOOKUP($O2642,매칭테이블!$G:$J,2,0)*H2642</f>
        <v/>
      </c>
      <c r="M2642" s="20">
        <f>L2642-L2642*VLOOKUP($O2642,매칭테이블!$G:$J,3,0)</f>
        <v/>
      </c>
      <c r="N2642" s="20">
        <f>VLOOKUP($O2642,매칭테이블!$G:$J,4,0)*H2642</f>
        <v/>
      </c>
      <c r="O2642" s="20">
        <f>F2642&amp;E2642&amp;G2642&amp;J2642</f>
        <v/>
      </c>
    </row>
    <row r="2643" ht="16.5" customHeight="1" s="17">
      <c r="B2643" s="16" t="n">
        <v>44197</v>
      </c>
      <c r="C2643" s="20">
        <f>TEXT(B2643,"aaa")</f>
        <v/>
      </c>
      <c r="E2643" s="20">
        <f>INDEX(매칭테이블!C:C,MATCH(RD!G2643,매칭테이블!D:D,0))</f>
        <v/>
      </c>
      <c r="F2643" s="20" t="inlineStr">
        <is>
          <t>카페24</t>
        </is>
      </c>
      <c r="G2643" s="20" t="inlineStr">
        <is>
          <t>유즈 스테이포에버 솔리드퍼퓸 002 (11차 예약구매 진행중)제품선택=커플추천스테이포에버 + 이그나이트 세트</t>
        </is>
      </c>
      <c r="H2643" s="20" t="n">
        <v>15</v>
      </c>
      <c r="I2643" s="20">
        <f>VLOOKUP(G2643,매칭테이블!D:E,2,0)</f>
        <v/>
      </c>
      <c r="J2643" s="20" t="n">
        <v>210101</v>
      </c>
      <c r="L2643" s="20">
        <f>VLOOKUP($O2643,매칭테이블!$G:$J,2,0)*H2643</f>
        <v/>
      </c>
      <c r="M2643" s="20">
        <f>L2643-L2643*VLOOKUP($O2643,매칭테이블!$G:$J,3,0)</f>
        <v/>
      </c>
      <c r="N2643" s="20">
        <f>VLOOKUP($O2643,매칭테이블!$G:$J,4,0)*H2643</f>
        <v/>
      </c>
      <c r="O2643" s="20">
        <f>F2643&amp;E2643&amp;G2643&amp;J2643</f>
        <v/>
      </c>
    </row>
    <row r="2644" ht="16.5" customHeight="1" s="17">
      <c r="B2644" s="16" t="n">
        <v>44197</v>
      </c>
      <c r="C2644" s="20">
        <f>TEXT(B2644,"aaa")</f>
        <v/>
      </c>
      <c r="E2644" s="20">
        <f>INDEX(매칭테이블!C:C,MATCH(RD!G2644,매칭테이블!D:D,0))</f>
        <v/>
      </c>
      <c r="F2644" s="20" t="inlineStr">
        <is>
          <t>카페24</t>
        </is>
      </c>
      <c r="G2644" s="20" t="inlineStr">
        <is>
          <t>유즈 스테이포에버 솔리드퍼퓸 002 (11차 예약구매 진행중)쇼핑백=선물용 쇼핑백</t>
        </is>
      </c>
      <c r="H2644" s="20" t="n">
        <v>17</v>
      </c>
      <c r="I2644" s="20">
        <f>VLOOKUP(G2644,매칭테이블!D:E,2,0)</f>
        <v/>
      </c>
      <c r="J2644" s="20" t="n">
        <v>210101</v>
      </c>
      <c r="L2644" s="20">
        <f>VLOOKUP($O2644,매칭테이블!$G:$J,2,0)*H2644</f>
        <v/>
      </c>
      <c r="M2644" s="20">
        <f>L2644-L2644*VLOOKUP($O2644,매칭테이블!$G:$J,3,0)</f>
        <v/>
      </c>
      <c r="N2644" s="20">
        <f>VLOOKUP($O2644,매칭테이블!$G:$J,4,0)*H2644</f>
        <v/>
      </c>
      <c r="O2644" s="20">
        <f>F2644&amp;E2644&amp;G2644&amp;J2644</f>
        <v/>
      </c>
    </row>
    <row r="2645" ht="16.5" customHeight="1" s="17">
      <c r="B2645" s="16" t="n">
        <v>44197</v>
      </c>
      <c r="C2645" s="20">
        <f>TEXT(B2645,"aaa")</f>
        <v/>
      </c>
      <c r="E2645" s="20">
        <f>INDEX(매칭테이블!C:C,MATCH(RD!G2645,매칭테이블!D:D,0))</f>
        <v/>
      </c>
      <c r="F2645" s="20" t="inlineStr">
        <is>
          <t>카페24</t>
        </is>
      </c>
      <c r="G2645" s="20" t="inlineStr">
        <is>
          <t>유즈 이그나이트 솔리드퍼퓸 001제품선택=이그나이트 솔리드퍼퓸 - 30ml</t>
        </is>
      </c>
      <c r="H2645" s="20" t="n">
        <v>6</v>
      </c>
      <c r="I2645" s="20">
        <f>VLOOKUP(G2645,매칭테이블!D:E,2,0)</f>
        <v/>
      </c>
      <c r="J2645" s="20" t="n">
        <v>210101</v>
      </c>
      <c r="L2645" s="20">
        <f>VLOOKUP($O2645,매칭테이블!$G:$J,2,0)*H2645</f>
        <v/>
      </c>
      <c r="M2645" s="20">
        <f>L2645-L2645*VLOOKUP($O2645,매칭테이블!$G:$J,3,0)</f>
        <v/>
      </c>
      <c r="N2645" s="20">
        <f>VLOOKUP($O2645,매칭테이블!$G:$J,4,0)*H2645</f>
        <v/>
      </c>
      <c r="O2645" s="20">
        <f>F2645&amp;E2645&amp;G2645&amp;J2645</f>
        <v/>
      </c>
    </row>
    <row r="2646" ht="16.5" customHeight="1" s="17">
      <c r="B2646" s="16" t="n">
        <v>44197</v>
      </c>
      <c r="C2646" s="20">
        <f>TEXT(B2646,"aaa")</f>
        <v/>
      </c>
      <c r="E2646" s="20">
        <f>INDEX(매칭테이블!C:C,MATCH(RD!G2646,매칭테이블!D:D,0))</f>
        <v/>
      </c>
      <c r="F2646" s="20" t="inlineStr">
        <is>
          <t>카페24</t>
        </is>
      </c>
      <c r="G2646" s="20" t="inlineStr">
        <is>
          <t>유즈 이그나이트 솔리드퍼퓸 001제품선택=이그나이트 2개 세트</t>
        </is>
      </c>
      <c r="H2646" s="20" t="n">
        <v>5</v>
      </c>
      <c r="I2646" s="20">
        <f>VLOOKUP(G2646,매칭테이블!D:E,2,0)</f>
        <v/>
      </c>
      <c r="J2646" s="20" t="n">
        <v>210101</v>
      </c>
      <c r="L2646" s="20">
        <f>VLOOKUP($O2646,매칭테이블!$G:$J,2,0)*H2646</f>
        <v/>
      </c>
      <c r="M2646" s="20">
        <f>L2646-L2646*VLOOKUP($O2646,매칭테이블!$G:$J,3,0)</f>
        <v/>
      </c>
      <c r="N2646" s="20">
        <f>VLOOKUP($O2646,매칭테이블!$G:$J,4,0)*H2646</f>
        <v/>
      </c>
      <c r="O2646" s="20">
        <f>F2646&amp;E2646&amp;G2646&amp;J2646</f>
        <v/>
      </c>
    </row>
    <row r="2647" ht="16.5" customHeight="1" s="17">
      <c r="B2647" s="16" t="n">
        <v>44198</v>
      </c>
      <c r="C2647" s="20">
        <f>TEXT(B2647,"aaa")</f>
        <v/>
      </c>
      <c r="E2647" s="20">
        <f>INDEX(매칭테이블!C:C,MATCH(RD!G2647,매칭테이블!D:D,0))</f>
        <v/>
      </c>
      <c r="F2647" s="20" t="inlineStr">
        <is>
          <t>카페24</t>
        </is>
      </c>
      <c r="G2647" s="20" t="inlineStr">
        <is>
          <t>유즈 솔리드퍼퓸 - 30ml (11차 예약구매 진행중)향=이그나이트 001 SOLID PERFUME, 세트 선택=1개</t>
        </is>
      </c>
      <c r="H2647" s="20" t="n">
        <v>2</v>
      </c>
      <c r="I2647" s="20">
        <f>VLOOKUP(G2647,매칭테이블!D:E,2,0)</f>
        <v/>
      </c>
      <c r="J2647" s="20" t="n">
        <v>210101</v>
      </c>
      <c r="L2647" s="20">
        <f>VLOOKUP($O2647,매칭테이블!$G:$J,2,0)*H2647</f>
        <v/>
      </c>
      <c r="M2647" s="20">
        <f>L2647-L2647*VLOOKUP($O2647,매칭테이블!$G:$J,3,0)</f>
        <v/>
      </c>
      <c r="N2647" s="20">
        <f>VLOOKUP($O2647,매칭테이블!$G:$J,4,0)*H2647</f>
        <v/>
      </c>
      <c r="O2647" s="20">
        <f>F2647&amp;E2647&amp;G2647&amp;J2647</f>
        <v/>
      </c>
    </row>
    <row r="2648" ht="16.5" customHeight="1" s="17">
      <c r="B2648" s="16" t="n">
        <v>44198</v>
      </c>
      <c r="C2648" s="20">
        <f>TEXT(B2648,"aaa")</f>
        <v/>
      </c>
      <c r="E2648" s="20">
        <f>INDEX(매칭테이블!C:C,MATCH(RD!G2648,매칭테이블!D:D,0))</f>
        <v/>
      </c>
      <c r="F2648" s="20" t="inlineStr">
        <is>
          <t>카페24</t>
        </is>
      </c>
      <c r="G2648" s="20" t="inlineStr">
        <is>
          <t>유즈 솔리드퍼퓸 - 30ml (11차 예약구매 진행중)향=스테이포에버 002 SOLID PERFUME, 세트 선택=1개</t>
        </is>
      </c>
      <c r="H2648" s="20" t="n">
        <v>18</v>
      </c>
      <c r="I2648" s="20">
        <f>VLOOKUP(G2648,매칭테이블!D:E,2,0)</f>
        <v/>
      </c>
      <c r="J2648" s="20" t="n">
        <v>210101</v>
      </c>
      <c r="L2648" s="20">
        <f>VLOOKUP($O2648,매칭테이블!$G:$J,2,0)*H2648</f>
        <v/>
      </c>
      <c r="M2648" s="20">
        <f>L2648-L2648*VLOOKUP($O2648,매칭테이블!$G:$J,3,0)</f>
        <v/>
      </c>
      <c r="N2648" s="20">
        <f>VLOOKUP($O2648,매칭테이블!$G:$J,4,0)*H2648</f>
        <v/>
      </c>
      <c r="O2648" s="20">
        <f>F2648&amp;E2648&amp;G2648&amp;J2648</f>
        <v/>
      </c>
    </row>
    <row r="2649" ht="16.5" customHeight="1" s="17">
      <c r="B2649" s="16" t="n">
        <v>44198</v>
      </c>
      <c r="C2649" s="20">
        <f>TEXT(B2649,"aaa")</f>
        <v/>
      </c>
      <c r="E2649" s="20">
        <f>INDEX(매칭테이블!C:C,MATCH(RD!G2649,매칭테이블!D:D,0))</f>
        <v/>
      </c>
      <c r="F2649" s="20" t="inlineStr">
        <is>
          <t>카페24</t>
        </is>
      </c>
      <c r="G2649" s="20" t="inlineStr">
        <is>
          <t>유즈 솔리드퍼퓸 - 30ml (11차 예약구매 진행중)향=스테이포에버 002 SOLID PERFUME, 세트 선택=best</t>
        </is>
      </c>
      <c r="H2649" s="20" t="n">
        <v>2</v>
      </c>
      <c r="I2649" s="20">
        <f>VLOOKUP(G2649,매칭테이블!D:E,2,0)</f>
        <v/>
      </c>
      <c r="J2649" s="20" t="n">
        <v>210101</v>
      </c>
      <c r="L2649" s="20">
        <f>VLOOKUP($O2649,매칭테이블!$G:$J,2,0)*H2649</f>
        <v/>
      </c>
      <c r="M2649" s="20">
        <f>L2649-L2649*VLOOKUP($O2649,매칭테이블!$G:$J,3,0)</f>
        <v/>
      </c>
      <c r="N2649" s="20">
        <f>VLOOKUP($O2649,매칭테이블!$G:$J,4,0)*H2649</f>
        <v/>
      </c>
      <c r="O2649" s="20">
        <f>F2649&amp;E2649&amp;G2649&amp;J2649</f>
        <v/>
      </c>
    </row>
    <row r="2650" ht="16.5" customHeight="1" s="17">
      <c r="B2650" s="16" t="n">
        <v>44198</v>
      </c>
      <c r="C2650" s="20">
        <f>TEXT(B2650,"aaa")</f>
        <v/>
      </c>
      <c r="E2650" s="20">
        <f>INDEX(매칭테이블!C:C,MATCH(RD!G2650,매칭테이블!D:D,0))</f>
        <v/>
      </c>
      <c r="F2650" s="20" t="inlineStr">
        <is>
          <t>카페24</t>
        </is>
      </c>
      <c r="G2650" s="20" t="inlineStr">
        <is>
          <t>유즈 솔리드퍼퓸 - 30ml (11차 예약구매 진행중)향=스테이포에버 002 SOLID PERFUME, 세트 선택=best 2개 (28% 할인)</t>
        </is>
      </c>
      <c r="H2650" s="20" t="n">
        <v>4</v>
      </c>
      <c r="I2650" s="20">
        <f>VLOOKUP(G2650,매칭테이블!D:E,2,0)</f>
        <v/>
      </c>
      <c r="J2650" s="20" t="n">
        <v>210101</v>
      </c>
      <c r="L2650" s="20">
        <f>VLOOKUP($O2650,매칭테이블!$G:$J,2,0)*H2650</f>
        <v/>
      </c>
      <c r="M2650" s="20">
        <f>L2650-L2650*VLOOKUP($O2650,매칭테이블!$G:$J,3,0)</f>
        <v/>
      </c>
      <c r="N2650" s="20">
        <f>VLOOKUP($O2650,매칭테이블!$G:$J,4,0)*H2650</f>
        <v/>
      </c>
      <c r="O2650" s="20">
        <f>F2650&amp;E2650&amp;G2650&amp;J2650</f>
        <v/>
      </c>
    </row>
    <row r="2651" ht="16.5" customHeight="1" s="17">
      <c r="B2651" s="16" t="n">
        <v>44198</v>
      </c>
      <c r="C2651" s="20">
        <f>TEXT(B2651,"aaa")</f>
        <v/>
      </c>
      <c r="E2651" s="20">
        <f>INDEX(매칭테이블!C:C,MATCH(RD!G2651,매칭테이블!D:D,0))</f>
        <v/>
      </c>
      <c r="F2651" s="20" t="inlineStr">
        <is>
          <t>카페24</t>
        </is>
      </c>
      <c r="G2651" s="20" t="inlineStr">
        <is>
          <t>유즈 솔리드퍼퓸 - 30ml (11차 예약구매 진행중)향=커플세트</t>
        </is>
      </c>
      <c r="H2651" s="20" t="n">
        <v>5</v>
      </c>
      <c r="I2651" s="20">
        <f>VLOOKUP(G2651,매칭테이블!D:E,2,0)</f>
        <v/>
      </c>
      <c r="J2651" s="20" t="n">
        <v>210101</v>
      </c>
      <c r="L2651" s="20">
        <f>VLOOKUP($O2651,매칭테이블!$G:$J,2,0)*H2651</f>
        <v/>
      </c>
      <c r="M2651" s="20">
        <f>L2651-L2651*VLOOKUP($O2651,매칭테이블!$G:$J,3,0)</f>
        <v/>
      </c>
      <c r="N2651" s="20">
        <f>VLOOKUP($O2651,매칭테이블!$G:$J,4,0)*H2651</f>
        <v/>
      </c>
      <c r="O2651" s="20">
        <f>F2651&amp;E2651&amp;G2651&amp;J2651</f>
        <v/>
      </c>
    </row>
    <row r="2652" ht="16.5" customHeight="1" s="17">
      <c r="B2652" s="16" t="n">
        <v>44198</v>
      </c>
      <c r="C2652" s="20">
        <f>TEXT(B2652,"aaa")</f>
        <v/>
      </c>
      <c r="E2652" s="20">
        <f>INDEX(매칭테이블!C:C,MATCH(RD!G2652,매칭테이블!D:D,0))</f>
        <v/>
      </c>
      <c r="F2652" s="20" t="inlineStr">
        <is>
          <t>카페24</t>
        </is>
      </c>
      <c r="G2652" s="20" t="inlineStr">
        <is>
          <t>유즈 솔리드퍼퓸 - 30ml (11차 예약구매 진행중)향=커플세트(이그나이트 + 스테이포에버), 세트 선택=1 SET</t>
        </is>
      </c>
      <c r="H2652" s="20" t="n">
        <v>7</v>
      </c>
      <c r="I2652" s="20">
        <f>VLOOKUP(G2652,매칭테이블!D:E,2,0)</f>
        <v/>
      </c>
      <c r="J2652" s="20" t="n">
        <v>210101</v>
      </c>
      <c r="L2652" s="20">
        <f>VLOOKUP($O2652,매칭테이블!$G:$J,2,0)*H2652</f>
        <v/>
      </c>
      <c r="M2652" s="20">
        <f>L2652-L2652*VLOOKUP($O2652,매칭테이블!$G:$J,3,0)</f>
        <v/>
      </c>
      <c r="N2652" s="20">
        <f>VLOOKUP($O2652,매칭테이블!$G:$J,4,0)*H2652</f>
        <v/>
      </c>
      <c r="O2652" s="20">
        <f>F2652&amp;E2652&amp;G2652&amp;J2652</f>
        <v/>
      </c>
    </row>
    <row r="2653" ht="16.5" customHeight="1" s="17">
      <c r="B2653" s="16" t="n">
        <v>44198</v>
      </c>
      <c r="C2653" s="20">
        <f>TEXT(B2653,"aaa")</f>
        <v/>
      </c>
      <c r="E2653" s="20">
        <f>INDEX(매칭테이블!C:C,MATCH(RD!G2653,매칭테이블!D:D,0))</f>
        <v/>
      </c>
      <c r="F2653" s="20" t="inlineStr">
        <is>
          <t>카페24</t>
        </is>
      </c>
      <c r="G2653" s="20" t="inlineStr">
        <is>
          <t>유즈 솔리드퍼퓸 - 30ml (11차 예약구매 진행중)향=커플세트</t>
        </is>
      </c>
      <c r="H2653" s="20" t="n">
        <v>2</v>
      </c>
      <c r="I2653" s="20">
        <f>VLOOKUP(G2653,매칭테이블!D:E,2,0)</f>
        <v/>
      </c>
      <c r="J2653" s="20" t="n">
        <v>210101</v>
      </c>
      <c r="L2653" s="20">
        <f>VLOOKUP($O2653,매칭테이블!$G:$J,2,0)*H2653</f>
        <v/>
      </c>
      <c r="M2653" s="20">
        <f>L2653-L2653*VLOOKUP($O2653,매칭테이블!$G:$J,3,0)</f>
        <v/>
      </c>
      <c r="N2653" s="20">
        <f>VLOOKUP($O2653,매칭테이블!$G:$J,4,0)*H2653</f>
        <v/>
      </c>
      <c r="O2653" s="20">
        <f>F2653&amp;E2653&amp;G2653&amp;J2653</f>
        <v/>
      </c>
    </row>
    <row r="2654" ht="16.5" customHeight="1" s="17">
      <c r="B2654" s="16" t="n">
        <v>44198</v>
      </c>
      <c r="C2654" s="20">
        <f>TEXT(B2654,"aaa")</f>
        <v/>
      </c>
      <c r="E2654" s="20">
        <f>INDEX(매칭테이블!C:C,MATCH(RD!G2654,매칭테이블!D:D,0))</f>
        <v/>
      </c>
      <c r="F2654" s="20" t="inlineStr">
        <is>
          <t>카페24</t>
        </is>
      </c>
      <c r="G2654" s="20" t="inlineStr">
        <is>
          <t>유즈 솔리드퍼퓸 - 30ml (11차 예약구매 진행중)향=커플세트(이그나이트 + 스테이포에버), 세트 선택=2 SET (42% 할인)</t>
        </is>
      </c>
      <c r="H2654" s="20" t="n">
        <v>1</v>
      </c>
      <c r="I2654" s="20">
        <f>VLOOKUP(G2654,매칭테이블!D:E,2,0)</f>
        <v/>
      </c>
      <c r="J2654" s="20" t="n">
        <v>210101</v>
      </c>
      <c r="L2654" s="20">
        <f>VLOOKUP($O2654,매칭테이블!$G:$J,2,0)*H2654</f>
        <v/>
      </c>
      <c r="M2654" s="20">
        <f>L2654-L2654*VLOOKUP($O2654,매칭테이블!$G:$J,3,0)</f>
        <v/>
      </c>
      <c r="N2654" s="20">
        <f>VLOOKUP($O2654,매칭테이블!$G:$J,4,0)*H2654</f>
        <v/>
      </c>
      <c r="O2654" s="20">
        <f>F2654&amp;E2654&amp;G2654&amp;J2654</f>
        <v/>
      </c>
    </row>
    <row r="2655" ht="16.5" customHeight="1" s="17">
      <c r="B2655" s="16" t="n">
        <v>44198</v>
      </c>
      <c r="C2655" s="20">
        <f>TEXT(B2655,"aaa")</f>
        <v/>
      </c>
      <c r="E2655" s="20">
        <f>INDEX(매칭테이블!C:C,MATCH(RD!G2655,매칭테이블!D:D,0))</f>
        <v/>
      </c>
      <c r="F2655" s="20" t="inlineStr">
        <is>
          <t>카페24</t>
        </is>
      </c>
      <c r="G2655" s="20" t="inlineStr">
        <is>
          <t>유즈 스테이포에버 솔리드퍼퓸 002 (10차 재입고 완료)제품선택=best</t>
        </is>
      </c>
      <c r="H2655" s="20" t="n">
        <v>1</v>
      </c>
      <c r="I2655" s="20">
        <f>VLOOKUP(G2655,매칭테이블!D:E,2,0)</f>
        <v/>
      </c>
      <c r="J2655" s="20" t="n">
        <v>210101</v>
      </c>
      <c r="L2655" s="20">
        <f>VLOOKUP($O2655,매칭테이블!$G:$J,2,0)*H2655</f>
        <v/>
      </c>
      <c r="M2655" s="20">
        <f>L2655-L2655*VLOOKUP($O2655,매칭테이블!$G:$J,3,0)</f>
        <v/>
      </c>
      <c r="N2655" s="20">
        <f>VLOOKUP($O2655,매칭테이블!$G:$J,4,0)*H2655</f>
        <v/>
      </c>
      <c r="O2655" s="20">
        <f>F2655&amp;E2655&amp;G2655&amp;J2655</f>
        <v/>
      </c>
    </row>
    <row r="2656" ht="16.5" customHeight="1" s="17">
      <c r="B2656" s="16" t="n">
        <v>44198</v>
      </c>
      <c r="C2656" s="20">
        <f>TEXT(B2656,"aaa")</f>
        <v/>
      </c>
      <c r="E2656" s="20">
        <f>INDEX(매칭테이블!C:C,MATCH(RD!G2656,매칭테이블!D:D,0))</f>
        <v/>
      </c>
      <c r="F2656" s="20" t="inlineStr">
        <is>
          <t>카페24</t>
        </is>
      </c>
      <c r="G2656" s="20" t="inlineStr">
        <is>
          <t>유즈 스테이포에버 솔리드퍼퓸 002 (11차 예약구매 진행중)제품선택=스테이포에버 1개</t>
        </is>
      </c>
      <c r="H2656" s="20" t="n">
        <v>426</v>
      </c>
      <c r="I2656" s="20">
        <f>VLOOKUP(G2656,매칭테이블!D:E,2,0)</f>
        <v/>
      </c>
      <c r="J2656" s="20" t="n">
        <v>210101</v>
      </c>
      <c r="L2656" s="20">
        <f>VLOOKUP($O2656,매칭테이블!$G:$J,2,0)*H2656</f>
        <v/>
      </c>
      <c r="M2656" s="20">
        <f>L2656-L2656*VLOOKUP($O2656,매칭테이블!$G:$J,3,0)</f>
        <v/>
      </c>
      <c r="N2656" s="20">
        <f>VLOOKUP($O2656,매칭테이블!$G:$J,4,0)*H2656</f>
        <v/>
      </c>
      <c r="O2656" s="20">
        <f>F2656&amp;E2656&amp;G2656&amp;J2656</f>
        <v/>
      </c>
    </row>
    <row r="2657" ht="16.5" customHeight="1" s="17">
      <c r="B2657" s="16" t="n">
        <v>44198</v>
      </c>
      <c r="C2657" s="20">
        <f>TEXT(B2657,"aaa")</f>
        <v/>
      </c>
      <c r="E2657" s="20">
        <f>INDEX(매칭테이블!C:C,MATCH(RD!G2657,매칭테이블!D:D,0))</f>
        <v/>
      </c>
      <c r="F2657" s="20" t="inlineStr">
        <is>
          <t>카페24</t>
        </is>
      </c>
      <c r="G2657" s="20" t="inlineStr">
        <is>
          <t>유즈 스테이포에버 솔리드퍼퓸 002 (11차 예약구매 진행중)제품선택=best</t>
        </is>
      </c>
      <c r="H2657" s="20" t="n">
        <v>78</v>
      </c>
      <c r="I2657" s="20">
        <f>VLOOKUP(G2657,매칭테이블!D:E,2,0)</f>
        <v/>
      </c>
      <c r="J2657" s="20" t="n">
        <v>210101</v>
      </c>
      <c r="L2657" s="20">
        <f>VLOOKUP($O2657,매칭테이블!$G:$J,2,0)*H2657</f>
        <v/>
      </c>
      <c r="M2657" s="20">
        <f>L2657-L2657*VLOOKUP($O2657,매칭테이블!$G:$J,3,0)</f>
        <v/>
      </c>
      <c r="N2657" s="20">
        <f>VLOOKUP($O2657,매칭테이블!$G:$J,4,0)*H2657</f>
        <v/>
      </c>
      <c r="O2657" s="20">
        <f>F2657&amp;E2657&amp;G2657&amp;J2657</f>
        <v/>
      </c>
    </row>
    <row r="2658" ht="16.5" customHeight="1" s="17">
      <c r="B2658" s="16" t="n">
        <v>44198</v>
      </c>
      <c r="C2658" s="20">
        <f>TEXT(B2658,"aaa")</f>
        <v/>
      </c>
      <c r="E2658" s="20">
        <f>INDEX(매칭테이블!C:C,MATCH(RD!G2658,매칭테이블!D:D,0))</f>
        <v/>
      </c>
      <c r="F2658" s="20" t="inlineStr">
        <is>
          <t>카페24</t>
        </is>
      </c>
      <c r="G2658" s="20" t="inlineStr">
        <is>
          <t>유즈 스테이포에버 솔리드퍼퓸 002 (11차 예약구매 진행중)제품선택=best스테이포에버 2개[28% 할인]</t>
        </is>
      </c>
      <c r="H2658" s="20" t="n">
        <v>137</v>
      </c>
      <c r="I2658" s="20">
        <f>VLOOKUP(G2658,매칭테이블!D:E,2,0)</f>
        <v/>
      </c>
      <c r="J2658" s="20" t="n">
        <v>210101</v>
      </c>
      <c r="L2658" s="20">
        <f>VLOOKUP($O2658,매칭테이블!$G:$J,2,0)*H2658</f>
        <v/>
      </c>
      <c r="M2658" s="20">
        <f>L2658-L2658*VLOOKUP($O2658,매칭테이블!$G:$J,3,0)</f>
        <v/>
      </c>
      <c r="N2658" s="20">
        <f>VLOOKUP($O2658,매칭테이블!$G:$J,4,0)*H2658</f>
        <v/>
      </c>
      <c r="O2658" s="20">
        <f>F2658&amp;E2658&amp;G2658&amp;J2658</f>
        <v/>
      </c>
    </row>
    <row r="2659" ht="16.5" customHeight="1" s="17">
      <c r="B2659" s="16" t="n">
        <v>44198</v>
      </c>
      <c r="C2659" s="20">
        <f>TEXT(B2659,"aaa")</f>
        <v/>
      </c>
      <c r="E2659" s="20">
        <f>INDEX(매칭테이블!C:C,MATCH(RD!G2659,매칭테이블!D:D,0))</f>
        <v/>
      </c>
      <c r="F2659" s="20" t="inlineStr">
        <is>
          <t>카페24</t>
        </is>
      </c>
      <c r="G2659" s="20" t="inlineStr">
        <is>
          <t>유즈 스테이포에버 솔리드퍼퓸 002 (11차 예약구매 진행중)제품선택=커플추천</t>
        </is>
      </c>
      <c r="H2659" s="20" t="n">
        <v>11</v>
      </c>
      <c r="I2659" s="20">
        <f>VLOOKUP(G2659,매칭테이블!D:E,2,0)</f>
        <v/>
      </c>
      <c r="J2659" s="20" t="n">
        <v>210101</v>
      </c>
      <c r="L2659" s="20">
        <f>VLOOKUP($O2659,매칭테이블!$G:$J,2,0)*H2659</f>
        <v/>
      </c>
      <c r="M2659" s="20">
        <f>L2659-L2659*VLOOKUP($O2659,매칭테이블!$G:$J,3,0)</f>
        <v/>
      </c>
      <c r="N2659" s="20">
        <f>VLOOKUP($O2659,매칭테이블!$G:$J,4,0)*H2659</f>
        <v/>
      </c>
      <c r="O2659" s="20">
        <f>F2659&amp;E2659&amp;G2659&amp;J2659</f>
        <v/>
      </c>
    </row>
    <row r="2660" ht="16.5" customHeight="1" s="17">
      <c r="B2660" s="16" t="n">
        <v>44198</v>
      </c>
      <c r="C2660" s="20">
        <f>TEXT(B2660,"aaa")</f>
        <v/>
      </c>
      <c r="E2660" s="20">
        <f>INDEX(매칭테이블!C:C,MATCH(RD!G2660,매칭테이블!D:D,0))</f>
        <v/>
      </c>
      <c r="F2660" s="20" t="inlineStr">
        <is>
          <t>카페24</t>
        </is>
      </c>
      <c r="G2660" s="20" t="inlineStr">
        <is>
          <t>유즈 스테이포에버 솔리드퍼퓸 002 (11차 예약구매 진행중)제품선택=커플추천스테이포에버 + 이그나이트 세트</t>
        </is>
      </c>
      <c r="H2660" s="20" t="n">
        <v>19</v>
      </c>
      <c r="I2660" s="20">
        <f>VLOOKUP(G2660,매칭테이블!D:E,2,0)</f>
        <v/>
      </c>
      <c r="J2660" s="20" t="n">
        <v>210101</v>
      </c>
      <c r="L2660" s="20">
        <f>VLOOKUP($O2660,매칭테이블!$G:$J,2,0)*H2660</f>
        <v/>
      </c>
      <c r="M2660" s="20">
        <f>L2660-L2660*VLOOKUP($O2660,매칭테이블!$G:$J,3,0)</f>
        <v/>
      </c>
      <c r="N2660" s="20">
        <f>VLOOKUP($O2660,매칭테이블!$G:$J,4,0)*H2660</f>
        <v/>
      </c>
      <c r="O2660" s="20">
        <f>F2660&amp;E2660&amp;G2660&amp;J2660</f>
        <v/>
      </c>
    </row>
    <row r="2661" ht="16.5" customHeight="1" s="17">
      <c r="B2661" s="16" t="n">
        <v>44198</v>
      </c>
      <c r="C2661" s="20">
        <f>TEXT(B2661,"aaa")</f>
        <v/>
      </c>
      <c r="E2661" s="20">
        <f>INDEX(매칭테이블!C:C,MATCH(RD!G2661,매칭테이블!D:D,0))</f>
        <v/>
      </c>
      <c r="F2661" s="20" t="inlineStr">
        <is>
          <t>카페24</t>
        </is>
      </c>
      <c r="G2661" s="20" t="inlineStr">
        <is>
          <t>유즈 스테이포에버 솔리드퍼퓸 002 (11차 예약구매 진행중)쇼핑백=선물용 쇼핑백</t>
        </is>
      </c>
      <c r="H2661" s="20" t="n">
        <v>17</v>
      </c>
      <c r="I2661" s="20">
        <f>VLOOKUP(G2661,매칭테이블!D:E,2,0)</f>
        <v/>
      </c>
      <c r="J2661" s="20" t="n">
        <v>210101</v>
      </c>
      <c r="L2661" s="20">
        <f>VLOOKUP($O2661,매칭테이블!$G:$J,2,0)*H2661</f>
        <v/>
      </c>
      <c r="M2661" s="20">
        <f>L2661-L2661*VLOOKUP($O2661,매칭테이블!$G:$J,3,0)</f>
        <v/>
      </c>
      <c r="N2661" s="20">
        <f>VLOOKUP($O2661,매칭테이블!$G:$J,4,0)*H2661</f>
        <v/>
      </c>
      <c r="O2661" s="20">
        <f>F2661&amp;E2661&amp;G2661&amp;J2661</f>
        <v/>
      </c>
    </row>
    <row r="2662" ht="16.5" customHeight="1" s="17">
      <c r="B2662" s="16" t="n">
        <v>44198</v>
      </c>
      <c r="C2662" s="20">
        <f>TEXT(B2662,"aaa")</f>
        <v/>
      </c>
      <c r="E2662" s="20">
        <f>INDEX(매칭테이블!C:C,MATCH(RD!G2662,매칭테이블!D:D,0))</f>
        <v/>
      </c>
      <c r="F2662" s="20" t="inlineStr">
        <is>
          <t>카페24</t>
        </is>
      </c>
      <c r="G2662" s="20" t="inlineStr">
        <is>
          <t>유즈 이그나이트 솔리드퍼퓸 001제품선택=이그나이트 솔리드퍼퓸 - 30ml</t>
        </is>
      </c>
      <c r="H2662" s="20" t="n">
        <v>9</v>
      </c>
      <c r="I2662" s="20">
        <f>VLOOKUP(G2662,매칭테이블!D:E,2,0)</f>
        <v/>
      </c>
      <c r="J2662" s="20" t="n">
        <v>210101</v>
      </c>
      <c r="L2662" s="20">
        <f>VLOOKUP($O2662,매칭테이블!$G:$J,2,0)*H2662</f>
        <v/>
      </c>
      <c r="M2662" s="20">
        <f>L2662-L2662*VLOOKUP($O2662,매칭테이블!$G:$J,3,0)</f>
        <v/>
      </c>
      <c r="N2662" s="20">
        <f>VLOOKUP($O2662,매칭테이블!$G:$J,4,0)*H2662</f>
        <v/>
      </c>
      <c r="O2662" s="20">
        <f>F2662&amp;E2662&amp;G2662&amp;J2662</f>
        <v/>
      </c>
    </row>
    <row r="2663" ht="16.5" customHeight="1" s="17">
      <c r="B2663" s="16" t="n">
        <v>44198</v>
      </c>
      <c r="C2663" s="20">
        <f>TEXT(B2663,"aaa")</f>
        <v/>
      </c>
      <c r="E2663" s="20">
        <f>INDEX(매칭테이블!C:C,MATCH(RD!G2663,매칭테이블!D:D,0))</f>
        <v/>
      </c>
      <c r="F2663" s="20" t="inlineStr">
        <is>
          <t>카페24</t>
        </is>
      </c>
      <c r="G2663" s="20" t="inlineStr">
        <is>
          <t>유즈 이그나이트 솔리드퍼퓸 001제품선택=이그나이트 2개 세트</t>
        </is>
      </c>
      <c r="H2663" s="20" t="n">
        <v>1</v>
      </c>
      <c r="I2663" s="20">
        <f>VLOOKUP(G2663,매칭테이블!D:E,2,0)</f>
        <v/>
      </c>
      <c r="J2663" s="20" t="n">
        <v>210101</v>
      </c>
      <c r="L2663" s="20">
        <f>VLOOKUP($O2663,매칭테이블!$G:$J,2,0)*H2663</f>
        <v/>
      </c>
      <c r="M2663" s="20">
        <f>L2663-L2663*VLOOKUP($O2663,매칭테이블!$G:$J,3,0)</f>
        <v/>
      </c>
      <c r="N2663" s="20">
        <f>VLOOKUP($O2663,매칭테이블!$G:$J,4,0)*H2663</f>
        <v/>
      </c>
      <c r="O2663" s="20">
        <f>F2663&amp;E2663&amp;G2663&amp;J2663</f>
        <v/>
      </c>
    </row>
    <row r="2664" ht="16.5" customHeight="1" s="17">
      <c r="B2664" s="16" t="n">
        <v>44199</v>
      </c>
      <c r="C2664" s="20">
        <f>TEXT(B2664,"aaa")</f>
        <v/>
      </c>
      <c r="E2664" s="20">
        <f>INDEX(매칭테이블!C:C,MATCH(RD!G2664,매칭테이블!D:D,0))</f>
        <v/>
      </c>
      <c r="F2664" s="20" t="inlineStr">
        <is>
          <t>카페24</t>
        </is>
      </c>
      <c r="G2664" s="20" t="inlineStr">
        <is>
          <t>유즈 솔리드퍼퓸 - 30ml (11차 예약구매 진행중)향=이그나이트 001 SOLID PERFUME, 세트 선택=1개</t>
        </is>
      </c>
      <c r="H2664" s="20" t="n">
        <v>1</v>
      </c>
      <c r="I2664" s="20">
        <f>VLOOKUP(G2664,매칭테이블!D:E,2,0)</f>
        <v/>
      </c>
      <c r="J2664" s="20" t="n">
        <v>210101</v>
      </c>
      <c r="L2664" s="20">
        <f>VLOOKUP($O2664,매칭테이블!$G:$J,2,0)*H2664</f>
        <v/>
      </c>
      <c r="M2664" s="20">
        <f>L2664-L2664*VLOOKUP($O2664,매칭테이블!$G:$J,3,0)</f>
        <v/>
      </c>
      <c r="N2664" s="20">
        <f>VLOOKUP($O2664,매칭테이블!$G:$J,4,0)*H2664</f>
        <v/>
      </c>
      <c r="O2664" s="20">
        <f>F2664&amp;E2664&amp;G2664&amp;J2664</f>
        <v/>
      </c>
    </row>
    <row r="2665" ht="16.5" customHeight="1" s="17">
      <c r="B2665" s="16" t="n">
        <v>44199</v>
      </c>
      <c r="C2665" s="20">
        <f>TEXT(B2665,"aaa")</f>
        <v/>
      </c>
      <c r="E2665" s="20">
        <f>INDEX(매칭테이블!C:C,MATCH(RD!G2665,매칭테이블!D:D,0))</f>
        <v/>
      </c>
      <c r="F2665" s="20" t="inlineStr">
        <is>
          <t>카페24</t>
        </is>
      </c>
      <c r="G2665" s="20" t="inlineStr">
        <is>
          <t>유즈 솔리드퍼퓸 - 30ml (11차 예약구매 진행중)향=스테이포에버 002 SOLID PERFUME, 세트 선택=1개</t>
        </is>
      </c>
      <c r="H2665" s="20" t="n">
        <v>18</v>
      </c>
      <c r="I2665" s="20">
        <f>VLOOKUP(G2665,매칭테이블!D:E,2,0)</f>
        <v/>
      </c>
      <c r="J2665" s="20" t="n">
        <v>210101</v>
      </c>
      <c r="L2665" s="20">
        <f>VLOOKUP($O2665,매칭테이블!$G:$J,2,0)*H2665</f>
        <v/>
      </c>
      <c r="M2665" s="20">
        <f>L2665-L2665*VLOOKUP($O2665,매칭테이블!$G:$J,3,0)</f>
        <v/>
      </c>
      <c r="N2665" s="20">
        <f>VLOOKUP($O2665,매칭테이블!$G:$J,4,0)*H2665</f>
        <v/>
      </c>
      <c r="O2665" s="20">
        <f>F2665&amp;E2665&amp;G2665&amp;J2665</f>
        <v/>
      </c>
    </row>
    <row r="2666" ht="16.5" customHeight="1" s="17">
      <c r="B2666" s="16" t="n">
        <v>44199</v>
      </c>
      <c r="C2666" s="20">
        <f>TEXT(B2666,"aaa")</f>
        <v/>
      </c>
      <c r="E2666" s="20">
        <f>INDEX(매칭테이블!C:C,MATCH(RD!G2666,매칭테이블!D:D,0))</f>
        <v/>
      </c>
      <c r="F2666" s="20" t="inlineStr">
        <is>
          <t>카페24</t>
        </is>
      </c>
      <c r="G2666" s="20" t="inlineStr">
        <is>
          <t>유즈 솔리드퍼퓸 - 30ml (11차 예약구매 진행중)향=스테이포에버 002 SOLID PERFUME, 세트 선택=best</t>
        </is>
      </c>
      <c r="H2666" s="20" t="n">
        <v>7</v>
      </c>
      <c r="I2666" s="20">
        <f>VLOOKUP(G2666,매칭테이블!D:E,2,0)</f>
        <v/>
      </c>
      <c r="J2666" s="20" t="n">
        <v>210101</v>
      </c>
      <c r="L2666" s="20">
        <f>VLOOKUP($O2666,매칭테이블!$G:$J,2,0)*H2666</f>
        <v/>
      </c>
      <c r="M2666" s="20">
        <f>L2666-L2666*VLOOKUP($O2666,매칭테이블!$G:$J,3,0)</f>
        <v/>
      </c>
      <c r="N2666" s="20">
        <f>VLOOKUP($O2666,매칭테이블!$G:$J,4,0)*H2666</f>
        <v/>
      </c>
      <c r="O2666" s="20">
        <f>F2666&amp;E2666&amp;G2666&amp;J2666</f>
        <v/>
      </c>
    </row>
    <row r="2667" ht="16.5" customHeight="1" s="17">
      <c r="B2667" s="16" t="n">
        <v>44199</v>
      </c>
      <c r="C2667" s="20">
        <f>TEXT(B2667,"aaa")</f>
        <v/>
      </c>
      <c r="E2667" s="20">
        <f>INDEX(매칭테이블!C:C,MATCH(RD!G2667,매칭테이블!D:D,0))</f>
        <v/>
      </c>
      <c r="F2667" s="20" t="inlineStr">
        <is>
          <t>카페24</t>
        </is>
      </c>
      <c r="G2667" s="20" t="inlineStr">
        <is>
          <t>유즈 솔리드퍼퓸 - 30ml (11차 예약구매 진행중)향=커플세트</t>
        </is>
      </c>
      <c r="H2667" s="20" t="n">
        <v>7</v>
      </c>
      <c r="I2667" s="20">
        <f>VLOOKUP(G2667,매칭테이블!D:E,2,0)</f>
        <v/>
      </c>
      <c r="J2667" s="20" t="n">
        <v>210101</v>
      </c>
      <c r="L2667" s="20">
        <f>VLOOKUP($O2667,매칭테이블!$G:$J,2,0)*H2667</f>
        <v/>
      </c>
      <c r="M2667" s="20">
        <f>L2667-L2667*VLOOKUP($O2667,매칭테이블!$G:$J,3,0)</f>
        <v/>
      </c>
      <c r="N2667" s="20">
        <f>VLOOKUP($O2667,매칭테이블!$G:$J,4,0)*H2667</f>
        <v/>
      </c>
      <c r="O2667" s="20">
        <f>F2667&amp;E2667&amp;G2667&amp;J2667</f>
        <v/>
      </c>
    </row>
    <row r="2668" ht="16.5" customHeight="1" s="17">
      <c r="B2668" s="16" t="n">
        <v>44199</v>
      </c>
      <c r="C2668" s="20">
        <f>TEXT(B2668,"aaa")</f>
        <v/>
      </c>
      <c r="E2668" s="20">
        <f>INDEX(매칭테이블!C:C,MATCH(RD!G2668,매칭테이블!D:D,0))</f>
        <v/>
      </c>
      <c r="F2668" s="20" t="inlineStr">
        <is>
          <t>카페24</t>
        </is>
      </c>
      <c r="G2668" s="20" t="inlineStr">
        <is>
          <t>유즈 솔리드퍼퓸 - 30ml (11차 예약구매 진행중)향=커플세트(이그나이트 + 스테이포에버), 세트 선택=1 SET</t>
        </is>
      </c>
      <c r="H2668" s="20" t="n">
        <v>5</v>
      </c>
      <c r="I2668" s="20">
        <f>VLOOKUP(G2668,매칭테이블!D:E,2,0)</f>
        <v/>
      </c>
      <c r="J2668" s="20" t="n">
        <v>210101</v>
      </c>
      <c r="L2668" s="20">
        <f>VLOOKUP($O2668,매칭테이블!$G:$J,2,0)*H2668</f>
        <v/>
      </c>
      <c r="M2668" s="20">
        <f>L2668-L2668*VLOOKUP($O2668,매칭테이블!$G:$J,3,0)</f>
        <v/>
      </c>
      <c r="N2668" s="20">
        <f>VLOOKUP($O2668,매칭테이블!$G:$J,4,0)*H2668</f>
        <v/>
      </c>
      <c r="O2668" s="20">
        <f>F2668&amp;E2668&amp;G2668&amp;J2668</f>
        <v/>
      </c>
    </row>
    <row r="2669" ht="16.5" customHeight="1" s="17">
      <c r="B2669" s="16" t="n">
        <v>44199</v>
      </c>
      <c r="C2669" s="20">
        <f>TEXT(B2669,"aaa")</f>
        <v/>
      </c>
      <c r="E2669" s="20">
        <f>INDEX(매칭테이블!C:C,MATCH(RD!G2669,매칭테이블!D:D,0))</f>
        <v/>
      </c>
      <c r="F2669" s="20" t="inlineStr">
        <is>
          <t>카페24</t>
        </is>
      </c>
      <c r="G2669" s="20" t="inlineStr">
        <is>
          <t>유즈 솔리드퍼퓸 - 30ml (11차 예약구매 진행중)향=커플세트</t>
        </is>
      </c>
      <c r="H2669" s="20" t="n">
        <v>1</v>
      </c>
      <c r="I2669" s="20">
        <f>VLOOKUP(G2669,매칭테이블!D:E,2,0)</f>
        <v/>
      </c>
      <c r="J2669" s="20" t="n">
        <v>210101</v>
      </c>
      <c r="L2669" s="20">
        <f>VLOOKUP($O2669,매칭테이블!$G:$J,2,0)*H2669</f>
        <v/>
      </c>
      <c r="M2669" s="20">
        <f>L2669-L2669*VLOOKUP($O2669,매칭테이블!$G:$J,3,0)</f>
        <v/>
      </c>
      <c r="N2669" s="20">
        <f>VLOOKUP($O2669,매칭테이블!$G:$J,4,0)*H2669</f>
        <v/>
      </c>
      <c r="O2669" s="20">
        <f>F2669&amp;E2669&amp;G2669&amp;J2669</f>
        <v/>
      </c>
    </row>
    <row r="2670" ht="16.5" customHeight="1" s="17">
      <c r="B2670" s="16" t="n">
        <v>44199</v>
      </c>
      <c r="C2670" s="20">
        <f>TEXT(B2670,"aaa")</f>
        <v/>
      </c>
      <c r="E2670" s="20">
        <f>INDEX(매칭테이블!C:C,MATCH(RD!G2670,매칭테이블!D:D,0))</f>
        <v/>
      </c>
      <c r="F2670" s="20" t="inlineStr">
        <is>
          <t>카페24</t>
        </is>
      </c>
      <c r="G2670" s="20" t="inlineStr">
        <is>
          <t>유즈 솔리드퍼퓸 - 30ml (11차 예약구매 진행중)향=커플세트(이그나이트 + 스테이포에버), 세트 선택=2 SET (42% 할인)</t>
        </is>
      </c>
      <c r="H2670" s="20" t="n">
        <v>1</v>
      </c>
      <c r="I2670" s="20">
        <f>VLOOKUP(G2670,매칭테이블!D:E,2,0)</f>
        <v/>
      </c>
      <c r="J2670" s="20" t="n">
        <v>210101</v>
      </c>
      <c r="L2670" s="20">
        <f>VLOOKUP($O2670,매칭테이블!$G:$J,2,0)*H2670</f>
        <v/>
      </c>
      <c r="M2670" s="20">
        <f>L2670-L2670*VLOOKUP($O2670,매칭테이블!$G:$J,3,0)</f>
        <v/>
      </c>
      <c r="N2670" s="20">
        <f>VLOOKUP($O2670,매칭테이블!$G:$J,4,0)*H2670</f>
        <v/>
      </c>
      <c r="O2670" s="20">
        <f>F2670&amp;E2670&amp;G2670&amp;J2670</f>
        <v/>
      </c>
    </row>
    <row r="2671" ht="16.5" customHeight="1" s="17">
      <c r="B2671" s="16" t="n">
        <v>44199</v>
      </c>
      <c r="C2671" s="20">
        <f>TEXT(B2671,"aaa")</f>
        <v/>
      </c>
      <c r="E2671" s="20">
        <f>INDEX(매칭테이블!C:C,MATCH(RD!G2671,매칭테이블!D:D,0))</f>
        <v/>
      </c>
      <c r="F2671" s="20" t="inlineStr">
        <is>
          <t>카페24</t>
        </is>
      </c>
      <c r="G2671" s="20" t="inlineStr">
        <is>
          <t>유즈 스테이포에버 솔리드퍼퓸 002 (10차 재입고 완료)제품선택=스테이포에버 1개</t>
        </is>
      </c>
      <c r="H2671" s="20" t="n">
        <v>1</v>
      </c>
      <c r="I2671" s="20">
        <f>VLOOKUP(G2671,매칭테이블!D:E,2,0)</f>
        <v/>
      </c>
      <c r="J2671" s="20" t="n">
        <v>210101</v>
      </c>
      <c r="L2671" s="20">
        <f>VLOOKUP($O2671,매칭테이블!$G:$J,2,0)*H2671</f>
        <v/>
      </c>
      <c r="M2671" s="20">
        <f>L2671-L2671*VLOOKUP($O2671,매칭테이블!$G:$J,3,0)</f>
        <v/>
      </c>
      <c r="N2671" s="20">
        <f>VLOOKUP($O2671,매칭테이블!$G:$J,4,0)*H2671</f>
        <v/>
      </c>
      <c r="O2671" s="20">
        <f>F2671&amp;E2671&amp;G2671&amp;J2671</f>
        <v/>
      </c>
    </row>
    <row r="2672" ht="16.5" customHeight="1" s="17">
      <c r="B2672" s="16" t="n">
        <v>44199</v>
      </c>
      <c r="C2672" s="20">
        <f>TEXT(B2672,"aaa")</f>
        <v/>
      </c>
      <c r="E2672" s="20">
        <f>INDEX(매칭테이블!C:C,MATCH(RD!G2672,매칭테이블!D:D,0))</f>
        <v/>
      </c>
      <c r="F2672" s="20" t="inlineStr">
        <is>
          <t>카페24</t>
        </is>
      </c>
      <c r="G2672" s="20" t="inlineStr">
        <is>
          <t>유즈 스테이포에버 솔리드퍼퓸 002 (10차 재입고 완료)제품선택=best스테이포에버 2개[28% 할인]</t>
        </is>
      </c>
      <c r="H2672" s="20" t="n">
        <v>1</v>
      </c>
      <c r="I2672" s="20">
        <f>VLOOKUP(G2672,매칭테이블!D:E,2,0)</f>
        <v/>
      </c>
      <c r="J2672" s="20" t="n">
        <v>210101</v>
      </c>
      <c r="L2672" s="20">
        <f>VLOOKUP($O2672,매칭테이블!$G:$J,2,0)*H2672</f>
        <v/>
      </c>
      <c r="M2672" s="20">
        <f>L2672-L2672*VLOOKUP($O2672,매칭테이블!$G:$J,3,0)</f>
        <v/>
      </c>
      <c r="N2672" s="20">
        <f>VLOOKUP($O2672,매칭테이블!$G:$J,4,0)*H2672</f>
        <v/>
      </c>
      <c r="O2672" s="20">
        <f>F2672&amp;E2672&amp;G2672&amp;J2672</f>
        <v/>
      </c>
    </row>
    <row r="2673" ht="16.5" customHeight="1" s="17">
      <c r="B2673" s="16" t="n">
        <v>44199</v>
      </c>
      <c r="C2673" s="20">
        <f>TEXT(B2673,"aaa")</f>
        <v/>
      </c>
      <c r="E2673" s="20">
        <f>INDEX(매칭테이블!C:C,MATCH(RD!G2673,매칭테이블!D:D,0))</f>
        <v/>
      </c>
      <c r="F2673" s="20" t="inlineStr">
        <is>
          <t>카페24</t>
        </is>
      </c>
      <c r="G2673" s="20" t="inlineStr">
        <is>
          <t>유즈 스테이포에버 솔리드퍼퓸 002 (11차 예약구매 진행중)제품선택=스테이포에버 1개</t>
        </is>
      </c>
      <c r="H2673" s="20" t="n">
        <v>404</v>
      </c>
      <c r="I2673" s="20">
        <f>VLOOKUP(G2673,매칭테이블!D:E,2,0)</f>
        <v/>
      </c>
      <c r="J2673" s="20" t="n">
        <v>210101</v>
      </c>
      <c r="L2673" s="20">
        <f>VLOOKUP($O2673,매칭테이블!$G:$J,2,0)*H2673</f>
        <v/>
      </c>
      <c r="M2673" s="20">
        <f>L2673-L2673*VLOOKUP($O2673,매칭테이블!$G:$J,3,0)</f>
        <v/>
      </c>
      <c r="N2673" s="20">
        <f>VLOOKUP($O2673,매칭테이블!$G:$J,4,0)*H2673</f>
        <v/>
      </c>
      <c r="O2673" s="20">
        <f>F2673&amp;E2673&amp;G2673&amp;J2673</f>
        <v/>
      </c>
    </row>
    <row r="2674" ht="16.5" customHeight="1" s="17">
      <c r="B2674" s="16" t="n">
        <v>44199</v>
      </c>
      <c r="C2674" s="20">
        <f>TEXT(B2674,"aaa")</f>
        <v/>
      </c>
      <c r="E2674" s="20">
        <f>INDEX(매칭테이블!C:C,MATCH(RD!G2674,매칭테이블!D:D,0))</f>
        <v/>
      </c>
      <c r="F2674" s="20" t="inlineStr">
        <is>
          <t>카페24</t>
        </is>
      </c>
      <c r="G2674" s="20" t="inlineStr">
        <is>
          <t>유즈 스테이포에버 솔리드퍼퓸 002 (11차 예약구매 진행중)제품선택=best</t>
        </is>
      </c>
      <c r="H2674" s="20" t="n">
        <v>81</v>
      </c>
      <c r="I2674" s="20">
        <f>VLOOKUP(G2674,매칭테이블!D:E,2,0)</f>
        <v/>
      </c>
      <c r="J2674" s="20" t="n">
        <v>210101</v>
      </c>
      <c r="L2674" s="20">
        <f>VLOOKUP($O2674,매칭테이블!$G:$J,2,0)*H2674</f>
        <v/>
      </c>
      <c r="M2674" s="20">
        <f>L2674-L2674*VLOOKUP($O2674,매칭테이블!$G:$J,3,0)</f>
        <v/>
      </c>
      <c r="N2674" s="20">
        <f>VLOOKUP($O2674,매칭테이블!$G:$J,4,0)*H2674</f>
        <v/>
      </c>
      <c r="O2674" s="20">
        <f>F2674&amp;E2674&amp;G2674&amp;J2674</f>
        <v/>
      </c>
    </row>
    <row r="2675" ht="16.5" customHeight="1" s="17">
      <c r="B2675" s="16" t="n">
        <v>44199</v>
      </c>
      <c r="C2675" s="20">
        <f>TEXT(B2675,"aaa")</f>
        <v/>
      </c>
      <c r="E2675" s="20">
        <f>INDEX(매칭테이블!C:C,MATCH(RD!G2675,매칭테이블!D:D,0))</f>
        <v/>
      </c>
      <c r="F2675" s="20" t="inlineStr">
        <is>
          <t>카페24</t>
        </is>
      </c>
      <c r="G2675" s="20" t="inlineStr">
        <is>
          <t>유즈 스테이포에버 솔리드퍼퓸 002 (11차 예약구매 진행중)제품선택=best스테이포에버 2개[28% 할인]</t>
        </is>
      </c>
      <c r="H2675" s="20" t="n">
        <v>129</v>
      </c>
      <c r="I2675" s="20">
        <f>VLOOKUP(G2675,매칭테이블!D:E,2,0)</f>
        <v/>
      </c>
      <c r="J2675" s="20" t="n">
        <v>210101</v>
      </c>
      <c r="L2675" s="20">
        <f>VLOOKUP($O2675,매칭테이블!$G:$J,2,0)*H2675</f>
        <v/>
      </c>
      <c r="M2675" s="20">
        <f>L2675-L2675*VLOOKUP($O2675,매칭테이블!$G:$J,3,0)</f>
        <v/>
      </c>
      <c r="N2675" s="20">
        <f>VLOOKUP($O2675,매칭테이블!$G:$J,4,0)*H2675</f>
        <v/>
      </c>
      <c r="O2675" s="20">
        <f>F2675&amp;E2675&amp;G2675&amp;J2675</f>
        <v/>
      </c>
    </row>
    <row r="2676" ht="16.5" customHeight="1" s="17">
      <c r="B2676" s="16" t="n">
        <v>44199</v>
      </c>
      <c r="C2676" s="20">
        <f>TEXT(B2676,"aaa")</f>
        <v/>
      </c>
      <c r="E2676" s="20">
        <f>INDEX(매칭테이블!C:C,MATCH(RD!G2676,매칭테이블!D:D,0))</f>
        <v/>
      </c>
      <c r="F2676" s="20" t="inlineStr">
        <is>
          <t>카페24</t>
        </is>
      </c>
      <c r="G2676" s="20" t="inlineStr">
        <is>
          <t>유즈 스테이포에버 솔리드퍼퓸 002 (11차 예약구매 진행중)제품선택=커플추천</t>
        </is>
      </c>
      <c r="H2676" s="20" t="n">
        <v>7</v>
      </c>
      <c r="I2676" s="20">
        <f>VLOOKUP(G2676,매칭테이블!D:E,2,0)</f>
        <v/>
      </c>
      <c r="J2676" s="20" t="n">
        <v>210101</v>
      </c>
      <c r="L2676" s="20">
        <f>VLOOKUP($O2676,매칭테이블!$G:$J,2,0)*H2676</f>
        <v/>
      </c>
      <c r="M2676" s="20">
        <f>L2676-L2676*VLOOKUP($O2676,매칭테이블!$G:$J,3,0)</f>
        <v/>
      </c>
      <c r="N2676" s="20">
        <f>VLOOKUP($O2676,매칭테이블!$G:$J,4,0)*H2676</f>
        <v/>
      </c>
      <c r="O2676" s="20">
        <f>F2676&amp;E2676&amp;G2676&amp;J2676</f>
        <v/>
      </c>
    </row>
    <row r="2677" ht="16.5" customHeight="1" s="17">
      <c r="B2677" s="16" t="n">
        <v>44199</v>
      </c>
      <c r="C2677" s="20">
        <f>TEXT(B2677,"aaa")</f>
        <v/>
      </c>
      <c r="E2677" s="20">
        <f>INDEX(매칭테이블!C:C,MATCH(RD!G2677,매칭테이블!D:D,0))</f>
        <v/>
      </c>
      <c r="F2677" s="20" t="inlineStr">
        <is>
          <t>카페24</t>
        </is>
      </c>
      <c r="G2677" s="20" t="inlineStr">
        <is>
          <t>유즈 스테이포에버 솔리드퍼퓸 002 (11차 예약구매 진행중)제품선택=커플추천스테이포에버 + 이그나이트 세트</t>
        </is>
      </c>
      <c r="H2677" s="20" t="n">
        <v>17</v>
      </c>
      <c r="I2677" s="20">
        <f>VLOOKUP(G2677,매칭테이블!D:E,2,0)</f>
        <v/>
      </c>
      <c r="J2677" s="20" t="n">
        <v>210101</v>
      </c>
      <c r="L2677" s="20">
        <f>VLOOKUP($O2677,매칭테이블!$G:$J,2,0)*H2677</f>
        <v/>
      </c>
      <c r="M2677" s="20">
        <f>L2677-L2677*VLOOKUP($O2677,매칭테이블!$G:$J,3,0)</f>
        <v/>
      </c>
      <c r="N2677" s="20">
        <f>VLOOKUP($O2677,매칭테이블!$G:$J,4,0)*H2677</f>
        <v/>
      </c>
      <c r="O2677" s="20">
        <f>F2677&amp;E2677&amp;G2677&amp;J2677</f>
        <v/>
      </c>
    </row>
    <row r="2678" ht="16.5" customHeight="1" s="17">
      <c r="B2678" s="16" t="n">
        <v>44199</v>
      </c>
      <c r="C2678" s="20">
        <f>TEXT(B2678,"aaa")</f>
        <v/>
      </c>
      <c r="E2678" s="20">
        <f>INDEX(매칭테이블!C:C,MATCH(RD!G2678,매칭테이블!D:D,0))</f>
        <v/>
      </c>
      <c r="F2678" s="20" t="inlineStr">
        <is>
          <t>카페24</t>
        </is>
      </c>
      <c r="G2678" s="20" t="inlineStr">
        <is>
          <t>유즈 스테이포에버 솔리드퍼퓸 002 (11차 예약구매 진행중)쇼핑백=선물용 쇼핑백</t>
        </is>
      </c>
      <c r="H2678" s="20" t="n">
        <v>21</v>
      </c>
      <c r="I2678" s="20">
        <f>VLOOKUP(G2678,매칭테이블!D:E,2,0)</f>
        <v/>
      </c>
      <c r="J2678" s="20" t="n">
        <v>210101</v>
      </c>
      <c r="L2678" s="20">
        <f>VLOOKUP($O2678,매칭테이블!$G:$J,2,0)*H2678</f>
        <v/>
      </c>
      <c r="M2678" s="20">
        <f>L2678-L2678*VLOOKUP($O2678,매칭테이블!$G:$J,3,0)</f>
        <v/>
      </c>
      <c r="N2678" s="20">
        <f>VLOOKUP($O2678,매칭테이블!$G:$J,4,0)*H2678</f>
        <v/>
      </c>
      <c r="O2678" s="20">
        <f>F2678&amp;E2678&amp;G2678&amp;J2678</f>
        <v/>
      </c>
    </row>
    <row r="2679" ht="16.5" customHeight="1" s="17">
      <c r="B2679" s="16" t="n">
        <v>44199</v>
      </c>
      <c r="C2679" s="20">
        <f>TEXT(B2679,"aaa")</f>
        <v/>
      </c>
      <c r="E2679" s="20">
        <f>INDEX(매칭테이블!C:C,MATCH(RD!G2679,매칭테이블!D:D,0))</f>
        <v/>
      </c>
      <c r="F2679" s="20" t="inlineStr">
        <is>
          <t>카페24</t>
        </is>
      </c>
      <c r="G2679" s="20" t="inlineStr">
        <is>
          <t>유즈 이그나이트 솔리드퍼퓸 001제품선택=이그나이트 솔리드퍼퓸 - 30ml</t>
        </is>
      </c>
      <c r="H2679" s="20" t="n">
        <v>1</v>
      </c>
      <c r="I2679" s="20">
        <f>VLOOKUP(G2679,매칭테이블!D:E,2,0)</f>
        <v/>
      </c>
      <c r="J2679" s="20" t="n">
        <v>210101</v>
      </c>
      <c r="L2679" s="20">
        <f>VLOOKUP($O2679,매칭테이블!$G:$J,2,0)*H2679</f>
        <v/>
      </c>
      <c r="M2679" s="20">
        <f>L2679-L2679*VLOOKUP($O2679,매칭테이블!$G:$J,3,0)</f>
        <v/>
      </c>
      <c r="N2679" s="20">
        <f>VLOOKUP($O2679,매칭테이블!$G:$J,4,0)*H2679</f>
        <v/>
      </c>
      <c r="O2679" s="20">
        <f>F2679&amp;E2679&amp;G2679&amp;J2679</f>
        <v/>
      </c>
    </row>
    <row r="2680" ht="16.5" customHeight="1" s="17">
      <c r="B2680" s="16" t="n">
        <v>44199</v>
      </c>
      <c r="C2680" s="20">
        <f>TEXT(B2680,"aaa")</f>
        <v/>
      </c>
      <c r="E2680" s="20">
        <f>INDEX(매칭테이블!C:C,MATCH(RD!G2680,매칭테이블!D:D,0))</f>
        <v/>
      </c>
      <c r="F2680" s="20" t="inlineStr">
        <is>
          <t>카페24</t>
        </is>
      </c>
      <c r="G2680" s="20" t="inlineStr">
        <is>
          <t>유즈 이그나이트 솔리드퍼퓸 001쇼핑백=선물용 쇼핑백</t>
        </is>
      </c>
      <c r="H2680" s="20" t="n">
        <v>1</v>
      </c>
      <c r="I2680" s="20">
        <f>VLOOKUP(G2680,매칭테이블!D:E,2,0)</f>
        <v/>
      </c>
      <c r="J2680" s="20" t="n">
        <v>210101</v>
      </c>
      <c r="L2680" s="20">
        <f>VLOOKUP($O2680,매칭테이블!$G:$J,2,0)*H2680</f>
        <v/>
      </c>
      <c r="M2680" s="20">
        <f>L2680-L2680*VLOOKUP($O2680,매칭테이블!$G:$J,3,0)</f>
        <v/>
      </c>
      <c r="N2680" s="20">
        <f>VLOOKUP($O2680,매칭테이블!$G:$J,4,0)*H2680</f>
        <v/>
      </c>
      <c r="O2680" s="20">
        <f>F2680&amp;E2680&amp;G2680&amp;J2680</f>
        <v/>
      </c>
    </row>
    <row r="2681" ht="16.5" customHeight="1" s="17">
      <c r="B2681" s="16" t="n">
        <v>44200</v>
      </c>
      <c r="C2681" s="20">
        <f>TEXT(B2681,"aaa")</f>
        <v/>
      </c>
      <c r="E2681" s="20">
        <f>INDEX(매칭테이블!C:C,MATCH(RD!G2681,매칭테이블!D:D,0))</f>
        <v/>
      </c>
      <c r="F2681" s="20" t="inlineStr">
        <is>
          <t>카페24</t>
        </is>
      </c>
      <c r="G2681" s="20" t="inlineStr">
        <is>
          <t>유즈 솔리드퍼퓸 - 30ml (11차 예약구매 진행중)향=이그나이트 001 SOLID PERFUME, 세트 선택=1개</t>
        </is>
      </c>
      <c r="H2681" s="20" t="n">
        <v>1</v>
      </c>
      <c r="I2681" s="20">
        <f>VLOOKUP(G2681,매칭테이블!D:E,2,0)</f>
        <v/>
      </c>
      <c r="J2681" s="20" t="n">
        <v>210101</v>
      </c>
      <c r="L2681" s="20">
        <f>VLOOKUP($O2681,매칭테이블!$G:$J,2,0)*H2681</f>
        <v/>
      </c>
      <c r="M2681" s="20">
        <f>L2681-L2681*VLOOKUP($O2681,매칭테이블!$G:$J,3,0)</f>
        <v/>
      </c>
      <c r="N2681" s="20">
        <f>VLOOKUP($O2681,매칭테이블!$G:$J,4,0)*H2681</f>
        <v/>
      </c>
      <c r="O2681" s="20">
        <f>F2681&amp;E2681&amp;G2681&amp;J2681</f>
        <v/>
      </c>
    </row>
    <row r="2682" ht="16.5" customHeight="1" s="17">
      <c r="B2682" s="16" t="n">
        <v>44200</v>
      </c>
      <c r="C2682" s="20">
        <f>TEXT(B2682,"aaa")</f>
        <v/>
      </c>
      <c r="E2682" s="20">
        <f>INDEX(매칭테이블!C:C,MATCH(RD!G2682,매칭테이블!D:D,0))</f>
        <v/>
      </c>
      <c r="F2682" s="20" t="inlineStr">
        <is>
          <t>카페24</t>
        </is>
      </c>
      <c r="G2682" s="20" t="inlineStr">
        <is>
          <t>유즈 솔리드퍼퓸 - 30ml (11차 예약구매 진행중)향=이그나이트 001 SOLID PERFUME, 세트 선택=best</t>
        </is>
      </c>
      <c r="H2682" s="20" t="n">
        <v>1</v>
      </c>
      <c r="I2682" s="20">
        <f>VLOOKUP(G2682,매칭테이블!D:E,2,0)</f>
        <v/>
      </c>
      <c r="J2682" s="20" t="n">
        <v>210101</v>
      </c>
      <c r="L2682" s="20">
        <f>VLOOKUP($O2682,매칭테이블!$G:$J,2,0)*H2682</f>
        <v/>
      </c>
      <c r="M2682" s="20">
        <f>L2682-L2682*VLOOKUP($O2682,매칭테이블!$G:$J,3,0)</f>
        <v/>
      </c>
      <c r="N2682" s="20">
        <f>VLOOKUP($O2682,매칭테이블!$G:$J,4,0)*H2682</f>
        <v/>
      </c>
      <c r="O2682" s="20">
        <f>F2682&amp;E2682&amp;G2682&amp;J2682</f>
        <v/>
      </c>
    </row>
    <row r="2683" ht="16.5" customHeight="1" s="17">
      <c r="B2683" s="16" t="n">
        <v>44200</v>
      </c>
      <c r="C2683" s="20">
        <f>TEXT(B2683,"aaa")</f>
        <v/>
      </c>
      <c r="E2683" s="20">
        <f>INDEX(매칭테이블!C:C,MATCH(RD!G2683,매칭테이블!D:D,0))</f>
        <v/>
      </c>
      <c r="F2683" s="20" t="inlineStr">
        <is>
          <t>카페24</t>
        </is>
      </c>
      <c r="G2683" s="20" t="inlineStr">
        <is>
          <t>유즈 솔리드퍼퓸 - 30ml (11차 예약구매 진행중)향=스테이포에버 002 SOLID PERFUME, 세트 선택=1개</t>
        </is>
      </c>
      <c r="H2683" s="20" t="n">
        <v>10</v>
      </c>
      <c r="I2683" s="20">
        <f>VLOOKUP(G2683,매칭테이블!D:E,2,0)</f>
        <v/>
      </c>
      <c r="J2683" s="20" t="n">
        <v>210101</v>
      </c>
      <c r="L2683" s="20">
        <f>VLOOKUP($O2683,매칭테이블!$G:$J,2,0)*H2683</f>
        <v/>
      </c>
      <c r="M2683" s="20">
        <f>L2683-L2683*VLOOKUP($O2683,매칭테이블!$G:$J,3,0)</f>
        <v/>
      </c>
      <c r="N2683" s="20">
        <f>VLOOKUP($O2683,매칭테이블!$G:$J,4,0)*H2683</f>
        <v/>
      </c>
      <c r="O2683" s="20">
        <f>F2683&amp;E2683&amp;G2683&amp;J2683</f>
        <v/>
      </c>
    </row>
    <row r="2684" ht="16.5" customHeight="1" s="17">
      <c r="B2684" s="16" t="n">
        <v>44200</v>
      </c>
      <c r="C2684" s="20">
        <f>TEXT(B2684,"aaa")</f>
        <v/>
      </c>
      <c r="E2684" s="20">
        <f>INDEX(매칭테이블!C:C,MATCH(RD!G2684,매칭테이블!D:D,0))</f>
        <v/>
      </c>
      <c r="F2684" s="20" t="inlineStr">
        <is>
          <t>카페24</t>
        </is>
      </c>
      <c r="G2684" s="20" t="inlineStr">
        <is>
          <t>유즈 솔리드퍼퓸 - 30ml (11차 예약구매 진행중)향=스테이포에버 002 SOLID PERFUME, 세트 선택=best</t>
        </is>
      </c>
      <c r="H2684" s="20" t="n">
        <v>4</v>
      </c>
      <c r="I2684" s="20">
        <f>VLOOKUP(G2684,매칭테이블!D:E,2,0)</f>
        <v/>
      </c>
      <c r="J2684" s="20" t="n">
        <v>210101</v>
      </c>
      <c r="L2684" s="20">
        <f>VLOOKUP($O2684,매칭테이블!$G:$J,2,0)*H2684</f>
        <v/>
      </c>
      <c r="M2684" s="20">
        <f>L2684-L2684*VLOOKUP($O2684,매칭테이블!$G:$J,3,0)</f>
        <v/>
      </c>
      <c r="N2684" s="20">
        <f>VLOOKUP($O2684,매칭테이블!$G:$J,4,0)*H2684</f>
        <v/>
      </c>
      <c r="O2684" s="20">
        <f>F2684&amp;E2684&amp;G2684&amp;J2684</f>
        <v/>
      </c>
    </row>
    <row r="2685" ht="16.5" customHeight="1" s="17">
      <c r="B2685" s="16" t="n">
        <v>44200</v>
      </c>
      <c r="C2685" s="20">
        <f>TEXT(B2685,"aaa")</f>
        <v/>
      </c>
      <c r="E2685" s="20">
        <f>INDEX(매칭테이블!C:C,MATCH(RD!G2685,매칭테이블!D:D,0))</f>
        <v/>
      </c>
      <c r="F2685" s="20" t="inlineStr">
        <is>
          <t>카페24</t>
        </is>
      </c>
      <c r="G2685" s="20" t="inlineStr">
        <is>
          <t>유즈 솔리드퍼퓸 - 30ml (11차 예약구매 진행중)향=스테이포에버 002 SOLID PERFUME, 세트 선택=best 2개 (28% 할인)</t>
        </is>
      </c>
      <c r="H2685" s="20" t="n">
        <v>4</v>
      </c>
      <c r="I2685" s="20">
        <f>VLOOKUP(G2685,매칭테이블!D:E,2,0)</f>
        <v/>
      </c>
      <c r="J2685" s="20" t="n">
        <v>210101</v>
      </c>
      <c r="L2685" s="20">
        <f>VLOOKUP($O2685,매칭테이블!$G:$J,2,0)*H2685</f>
        <v/>
      </c>
      <c r="M2685" s="20">
        <f>L2685-L2685*VLOOKUP($O2685,매칭테이블!$G:$J,3,0)</f>
        <v/>
      </c>
      <c r="N2685" s="20">
        <f>VLOOKUP($O2685,매칭테이블!$G:$J,4,0)*H2685</f>
        <v/>
      </c>
      <c r="O2685" s="20">
        <f>F2685&amp;E2685&amp;G2685&amp;J2685</f>
        <v/>
      </c>
    </row>
    <row r="2686" ht="16.5" customHeight="1" s="17">
      <c r="B2686" s="16" t="n">
        <v>44200</v>
      </c>
      <c r="C2686" s="20">
        <f>TEXT(B2686,"aaa")</f>
        <v/>
      </c>
      <c r="E2686" s="20">
        <f>INDEX(매칭테이블!C:C,MATCH(RD!G2686,매칭테이블!D:D,0))</f>
        <v/>
      </c>
      <c r="F2686" s="20" t="inlineStr">
        <is>
          <t>카페24</t>
        </is>
      </c>
      <c r="G2686" s="20" t="inlineStr">
        <is>
          <t>유즈 솔리드퍼퓸 - 30ml (11차 예약구매 진행중)향=커플세트</t>
        </is>
      </c>
      <c r="H2686" s="20" t="n">
        <v>7</v>
      </c>
      <c r="I2686" s="20">
        <f>VLOOKUP(G2686,매칭테이블!D:E,2,0)</f>
        <v/>
      </c>
      <c r="J2686" s="20" t="n">
        <v>210101</v>
      </c>
      <c r="L2686" s="20">
        <f>VLOOKUP($O2686,매칭테이블!$G:$J,2,0)*H2686</f>
        <v/>
      </c>
      <c r="M2686" s="20">
        <f>L2686-L2686*VLOOKUP($O2686,매칭테이블!$G:$J,3,0)</f>
        <v/>
      </c>
      <c r="N2686" s="20">
        <f>VLOOKUP($O2686,매칭테이블!$G:$J,4,0)*H2686</f>
        <v/>
      </c>
      <c r="O2686" s="20">
        <f>F2686&amp;E2686&amp;G2686&amp;J2686</f>
        <v/>
      </c>
    </row>
    <row r="2687" ht="16.5" customHeight="1" s="17">
      <c r="B2687" s="16" t="n">
        <v>44200</v>
      </c>
      <c r="C2687" s="20">
        <f>TEXT(B2687,"aaa")</f>
        <v/>
      </c>
      <c r="E2687" s="20">
        <f>INDEX(매칭테이블!C:C,MATCH(RD!G2687,매칭테이블!D:D,0))</f>
        <v/>
      </c>
      <c r="F2687" s="20" t="inlineStr">
        <is>
          <t>카페24</t>
        </is>
      </c>
      <c r="G2687" s="20" t="inlineStr">
        <is>
          <t>유즈 솔리드퍼퓸 - 30ml (11차 예약구매 진행중)향=커플세트(이그나이트 + 스테이포에버), 세트 선택=1 SET</t>
        </is>
      </c>
      <c r="H2687" s="20" t="n">
        <v>4</v>
      </c>
      <c r="I2687" s="20">
        <f>VLOOKUP(G2687,매칭테이블!D:E,2,0)</f>
        <v/>
      </c>
      <c r="J2687" s="20" t="n">
        <v>210101</v>
      </c>
      <c r="L2687" s="20">
        <f>VLOOKUP($O2687,매칭테이블!$G:$J,2,0)*H2687</f>
        <v/>
      </c>
      <c r="M2687" s="20">
        <f>L2687-L2687*VLOOKUP($O2687,매칭테이블!$G:$J,3,0)</f>
        <v/>
      </c>
      <c r="N2687" s="20">
        <f>VLOOKUP($O2687,매칭테이블!$G:$J,4,0)*H2687</f>
        <v/>
      </c>
      <c r="O2687" s="20">
        <f>F2687&amp;E2687&amp;G2687&amp;J2687</f>
        <v/>
      </c>
    </row>
    <row r="2688" ht="16.5" customHeight="1" s="17">
      <c r="B2688" s="16" t="n">
        <v>44200</v>
      </c>
      <c r="C2688" s="20">
        <f>TEXT(B2688,"aaa")</f>
        <v/>
      </c>
      <c r="E2688" s="20">
        <f>INDEX(매칭테이블!C:C,MATCH(RD!G2688,매칭테이블!D:D,0))</f>
        <v/>
      </c>
      <c r="F2688" s="20" t="inlineStr">
        <is>
          <t>카페24</t>
        </is>
      </c>
      <c r="G2688" s="20" t="inlineStr">
        <is>
          <t>유즈 솔리드퍼퓸 - 30ml (11차 예약구매 진행중)향=커플세트</t>
        </is>
      </c>
      <c r="H2688" s="20" t="n">
        <v>1</v>
      </c>
      <c r="I2688" s="20">
        <f>VLOOKUP(G2688,매칭테이블!D:E,2,0)</f>
        <v/>
      </c>
      <c r="J2688" s="20" t="n">
        <v>210101</v>
      </c>
      <c r="L2688" s="20">
        <f>VLOOKUP($O2688,매칭테이블!$G:$J,2,0)*H2688</f>
        <v/>
      </c>
      <c r="M2688" s="20">
        <f>L2688-L2688*VLOOKUP($O2688,매칭테이블!$G:$J,3,0)</f>
        <v/>
      </c>
      <c r="N2688" s="20">
        <f>VLOOKUP($O2688,매칭테이블!$G:$J,4,0)*H2688</f>
        <v/>
      </c>
      <c r="O2688" s="20">
        <f>F2688&amp;E2688&amp;G2688&amp;J2688</f>
        <v/>
      </c>
    </row>
    <row r="2689" ht="16.5" customHeight="1" s="17">
      <c r="B2689" s="16" t="n">
        <v>44200</v>
      </c>
      <c r="C2689" s="20">
        <f>TEXT(B2689,"aaa")</f>
        <v/>
      </c>
      <c r="E2689" s="20">
        <f>INDEX(매칭테이블!C:C,MATCH(RD!G2689,매칭테이블!D:D,0))</f>
        <v/>
      </c>
      <c r="F2689" s="20" t="inlineStr">
        <is>
          <t>카페24</t>
        </is>
      </c>
      <c r="G2689" s="20" t="inlineStr">
        <is>
          <t>유즈 스테이포에버 솔리드퍼퓸 002 (10차 재입고 완료제품선택=스테이포에버 1개</t>
        </is>
      </c>
      <c r="H2689" s="20" t="n">
        <v>1</v>
      </c>
      <c r="I2689" s="20">
        <f>VLOOKUP(G2689,매칭테이블!D:E,2,0)</f>
        <v/>
      </c>
      <c r="J2689" s="20" t="n">
        <v>210101</v>
      </c>
      <c r="L2689" s="20">
        <f>VLOOKUP($O2689,매칭테이블!$G:$J,2,0)*H2689</f>
        <v/>
      </c>
      <c r="M2689" s="20">
        <f>L2689-L2689*VLOOKUP($O2689,매칭테이블!$G:$J,3,0)</f>
        <v/>
      </c>
      <c r="N2689" s="20">
        <f>VLOOKUP($O2689,매칭테이블!$G:$J,4,0)*H2689</f>
        <v/>
      </c>
      <c r="O2689" s="20">
        <f>F2689&amp;E2689&amp;G2689&amp;J2689</f>
        <v/>
      </c>
    </row>
    <row r="2690" ht="16.5" customHeight="1" s="17">
      <c r="B2690" s="16" t="n">
        <v>44200</v>
      </c>
      <c r="C2690" s="20">
        <f>TEXT(B2690,"aaa")</f>
        <v/>
      </c>
      <c r="E2690" s="20">
        <f>INDEX(매칭테이블!C:C,MATCH(RD!G2690,매칭테이블!D:D,0))</f>
        <v/>
      </c>
      <c r="F2690" s="20" t="inlineStr">
        <is>
          <t>카페24</t>
        </is>
      </c>
      <c r="G2690" s="20" t="inlineStr">
        <is>
          <t>유즈 스테이포에버 솔리드퍼퓸 002 (10차 재입고 완료)제품선택=스테이포에버 1개</t>
        </is>
      </c>
      <c r="H2690" s="20" t="n">
        <v>1</v>
      </c>
      <c r="I2690" s="20">
        <f>VLOOKUP(G2690,매칭테이블!D:E,2,0)</f>
        <v/>
      </c>
      <c r="J2690" s="20" t="n">
        <v>210101</v>
      </c>
      <c r="L2690" s="20">
        <f>VLOOKUP($O2690,매칭테이블!$G:$J,2,0)*H2690</f>
        <v/>
      </c>
      <c r="M2690" s="20">
        <f>L2690-L2690*VLOOKUP($O2690,매칭테이블!$G:$J,3,0)</f>
        <v/>
      </c>
      <c r="N2690" s="20">
        <f>VLOOKUP($O2690,매칭테이블!$G:$J,4,0)*H2690</f>
        <v/>
      </c>
      <c r="O2690" s="20">
        <f>F2690&amp;E2690&amp;G2690&amp;J2690</f>
        <v/>
      </c>
    </row>
    <row r="2691" ht="16.5" customHeight="1" s="17">
      <c r="B2691" s="16" t="n">
        <v>44200</v>
      </c>
      <c r="C2691" s="20">
        <f>TEXT(B2691,"aaa")</f>
        <v/>
      </c>
      <c r="E2691" s="20">
        <f>INDEX(매칭테이블!C:C,MATCH(RD!G2691,매칭테이블!D:D,0))</f>
        <v/>
      </c>
      <c r="F2691" s="20" t="inlineStr">
        <is>
          <t>카페24</t>
        </is>
      </c>
      <c r="G2691" s="20" t="inlineStr">
        <is>
          <t>유즈 스테이포에버 솔리드퍼퓸 002 (10차 재입고 완료)제품선택=best</t>
        </is>
      </c>
      <c r="H2691" s="20" t="n">
        <v>1</v>
      </c>
      <c r="I2691" s="20">
        <f>VLOOKUP(G2691,매칭테이블!D:E,2,0)</f>
        <v/>
      </c>
      <c r="J2691" s="20" t="n">
        <v>210101</v>
      </c>
      <c r="L2691" s="20">
        <f>VLOOKUP($O2691,매칭테이블!$G:$J,2,0)*H2691</f>
        <v/>
      </c>
      <c r="M2691" s="20">
        <f>L2691-L2691*VLOOKUP($O2691,매칭테이블!$G:$J,3,0)</f>
        <v/>
      </c>
      <c r="N2691" s="20">
        <f>VLOOKUP($O2691,매칭테이블!$G:$J,4,0)*H2691</f>
        <v/>
      </c>
      <c r="O2691" s="20">
        <f>F2691&amp;E2691&amp;G2691&amp;J2691</f>
        <v/>
      </c>
    </row>
    <row r="2692" ht="16.5" customHeight="1" s="17">
      <c r="B2692" s="16" t="n">
        <v>44200</v>
      </c>
      <c r="C2692" s="20">
        <f>TEXT(B2692,"aaa")</f>
        <v/>
      </c>
      <c r="E2692" s="20">
        <f>INDEX(매칭테이블!C:C,MATCH(RD!G2692,매칭테이블!D:D,0))</f>
        <v/>
      </c>
      <c r="F2692" s="20" t="inlineStr">
        <is>
          <t>카페24</t>
        </is>
      </c>
      <c r="G2692" s="20" t="inlineStr">
        <is>
          <t>유즈 스테이포에버 솔리드퍼퓸 002 (11차 예약구매 진행중)제품선택=스테이포에버 1개</t>
        </is>
      </c>
      <c r="H2692" s="20" t="n">
        <v>410</v>
      </c>
      <c r="I2692" s="20">
        <f>VLOOKUP(G2692,매칭테이블!D:E,2,0)</f>
        <v/>
      </c>
      <c r="J2692" s="20" t="n">
        <v>210101</v>
      </c>
      <c r="L2692" s="20">
        <f>VLOOKUP($O2692,매칭테이블!$G:$J,2,0)*H2692</f>
        <v/>
      </c>
      <c r="M2692" s="20">
        <f>L2692-L2692*VLOOKUP($O2692,매칭테이블!$G:$J,3,0)</f>
        <v/>
      </c>
      <c r="N2692" s="20">
        <f>VLOOKUP($O2692,매칭테이블!$G:$J,4,0)*H2692</f>
        <v/>
      </c>
      <c r="O2692" s="20">
        <f>F2692&amp;E2692&amp;G2692&amp;J2692</f>
        <v/>
      </c>
    </row>
    <row r="2693" ht="16.5" customHeight="1" s="17">
      <c r="B2693" s="16" t="n">
        <v>44200</v>
      </c>
      <c r="C2693" s="20">
        <f>TEXT(B2693,"aaa")</f>
        <v/>
      </c>
      <c r="E2693" s="20">
        <f>INDEX(매칭테이블!C:C,MATCH(RD!G2693,매칭테이블!D:D,0))</f>
        <v/>
      </c>
      <c r="F2693" s="20" t="inlineStr">
        <is>
          <t>카페24</t>
        </is>
      </c>
      <c r="G2693" s="20" t="inlineStr">
        <is>
          <t>유즈 스테이포에버 솔리드퍼퓸 002 (11차 예약구매 진행중)제품선택=best</t>
        </is>
      </c>
      <c r="H2693" s="20" t="n">
        <v>75</v>
      </c>
      <c r="I2693" s="20">
        <f>VLOOKUP(G2693,매칭테이블!D:E,2,0)</f>
        <v/>
      </c>
      <c r="J2693" s="20" t="n">
        <v>210101</v>
      </c>
      <c r="L2693" s="20">
        <f>VLOOKUP($O2693,매칭테이블!$G:$J,2,0)*H2693</f>
        <v/>
      </c>
      <c r="M2693" s="20">
        <f>L2693-L2693*VLOOKUP($O2693,매칭테이블!$G:$J,3,0)</f>
        <v/>
      </c>
      <c r="N2693" s="20">
        <f>VLOOKUP($O2693,매칭테이블!$G:$J,4,0)*H2693</f>
        <v/>
      </c>
      <c r="O2693" s="20">
        <f>F2693&amp;E2693&amp;G2693&amp;J2693</f>
        <v/>
      </c>
    </row>
    <row r="2694" ht="16.5" customHeight="1" s="17">
      <c r="B2694" s="16" t="n">
        <v>44200</v>
      </c>
      <c r="C2694" s="20">
        <f>TEXT(B2694,"aaa")</f>
        <v/>
      </c>
      <c r="E2694" s="20">
        <f>INDEX(매칭테이블!C:C,MATCH(RD!G2694,매칭테이블!D:D,0))</f>
        <v/>
      </c>
      <c r="F2694" s="20" t="inlineStr">
        <is>
          <t>카페24</t>
        </is>
      </c>
      <c r="G2694" s="20" t="inlineStr">
        <is>
          <t>유즈 스테이포에버 솔리드퍼퓸 002 (11차 예약구매 진행중)제품선택=best스테이포에버 2개[28% 할인]</t>
        </is>
      </c>
      <c r="H2694" s="20" t="n">
        <v>119</v>
      </c>
      <c r="I2694" s="20">
        <f>VLOOKUP(G2694,매칭테이블!D:E,2,0)</f>
        <v/>
      </c>
      <c r="J2694" s="20" t="n">
        <v>210101</v>
      </c>
      <c r="L2694" s="20">
        <f>VLOOKUP($O2694,매칭테이블!$G:$J,2,0)*H2694</f>
        <v/>
      </c>
      <c r="M2694" s="20">
        <f>L2694-L2694*VLOOKUP($O2694,매칭테이블!$G:$J,3,0)</f>
        <v/>
      </c>
      <c r="N2694" s="20">
        <f>VLOOKUP($O2694,매칭테이블!$G:$J,4,0)*H2694</f>
        <v/>
      </c>
      <c r="O2694" s="20">
        <f>F2694&amp;E2694&amp;G2694&amp;J2694</f>
        <v/>
      </c>
    </row>
    <row r="2695" ht="16.5" customHeight="1" s="17">
      <c r="B2695" s="16" t="n">
        <v>44200</v>
      </c>
      <c r="C2695" s="20">
        <f>TEXT(B2695,"aaa")</f>
        <v/>
      </c>
      <c r="E2695" s="20">
        <f>INDEX(매칭테이블!C:C,MATCH(RD!G2695,매칭테이블!D:D,0))</f>
        <v/>
      </c>
      <c r="F2695" s="20" t="inlineStr">
        <is>
          <t>카페24</t>
        </is>
      </c>
      <c r="G2695" s="20" t="inlineStr">
        <is>
          <t>유즈 스테이포에버 솔리드퍼퓸 002 (11차 예약구매 진행중)제품선택=커플추천</t>
        </is>
      </c>
      <c r="H2695" s="20" t="n">
        <v>15</v>
      </c>
      <c r="I2695" s="20">
        <f>VLOOKUP(G2695,매칭테이블!D:E,2,0)</f>
        <v/>
      </c>
      <c r="J2695" s="20" t="n">
        <v>210101</v>
      </c>
      <c r="L2695" s="20">
        <f>VLOOKUP($O2695,매칭테이블!$G:$J,2,0)*H2695</f>
        <v/>
      </c>
      <c r="M2695" s="20">
        <f>L2695-L2695*VLOOKUP($O2695,매칭테이블!$G:$J,3,0)</f>
        <v/>
      </c>
      <c r="N2695" s="20">
        <f>VLOOKUP($O2695,매칭테이블!$G:$J,4,0)*H2695</f>
        <v/>
      </c>
      <c r="O2695" s="20">
        <f>F2695&amp;E2695&amp;G2695&amp;J2695</f>
        <v/>
      </c>
    </row>
    <row r="2696" ht="16.5" customHeight="1" s="17">
      <c r="B2696" s="16" t="n">
        <v>44200</v>
      </c>
      <c r="C2696" s="20">
        <f>TEXT(B2696,"aaa")</f>
        <v/>
      </c>
      <c r="E2696" s="20">
        <f>INDEX(매칭테이블!C:C,MATCH(RD!G2696,매칭테이블!D:D,0))</f>
        <v/>
      </c>
      <c r="F2696" s="20" t="inlineStr">
        <is>
          <t>카페24</t>
        </is>
      </c>
      <c r="G2696" s="20" t="inlineStr">
        <is>
          <t>유즈 스테이포에버 솔리드퍼퓸 002 (11차 예약구매 진행중)제품선택=커플추천스테이포에버 + 이그나이트 세트</t>
        </is>
      </c>
      <c r="H2696" s="20" t="n">
        <v>12</v>
      </c>
      <c r="I2696" s="20">
        <f>VLOOKUP(G2696,매칭테이블!D:E,2,0)</f>
        <v/>
      </c>
      <c r="J2696" s="20" t="n">
        <v>210101</v>
      </c>
      <c r="L2696" s="20">
        <f>VLOOKUP($O2696,매칭테이블!$G:$J,2,0)*H2696</f>
        <v/>
      </c>
      <c r="M2696" s="20">
        <f>L2696-L2696*VLOOKUP($O2696,매칭테이블!$G:$J,3,0)</f>
        <v/>
      </c>
      <c r="N2696" s="20">
        <f>VLOOKUP($O2696,매칭테이블!$G:$J,4,0)*H2696</f>
        <v/>
      </c>
      <c r="O2696" s="20">
        <f>F2696&amp;E2696&amp;G2696&amp;J2696</f>
        <v/>
      </c>
    </row>
    <row r="2697" ht="16.5" customHeight="1" s="17">
      <c r="B2697" s="16" t="n">
        <v>44200</v>
      </c>
      <c r="C2697" s="20">
        <f>TEXT(B2697,"aaa")</f>
        <v/>
      </c>
      <c r="E2697" s="20">
        <f>INDEX(매칭테이블!C:C,MATCH(RD!G2697,매칭테이블!D:D,0))</f>
        <v/>
      </c>
      <c r="F2697" s="20" t="inlineStr">
        <is>
          <t>카페24</t>
        </is>
      </c>
      <c r="G2697" s="20" t="inlineStr">
        <is>
          <t>유즈 스테이포에버 솔리드퍼퓸 002 (11차 예약구매 진행중)쇼핑백=선물용 쇼핑백</t>
        </is>
      </c>
      <c r="H2697" s="20" t="n">
        <v>16</v>
      </c>
      <c r="I2697" s="20">
        <f>VLOOKUP(G2697,매칭테이블!D:E,2,0)</f>
        <v/>
      </c>
      <c r="J2697" s="20" t="n">
        <v>210101</v>
      </c>
      <c r="L2697" s="20">
        <f>VLOOKUP($O2697,매칭테이블!$G:$J,2,0)*H2697</f>
        <v/>
      </c>
      <c r="M2697" s="20">
        <f>L2697-L2697*VLOOKUP($O2697,매칭테이블!$G:$J,3,0)</f>
        <v/>
      </c>
      <c r="N2697" s="20">
        <f>VLOOKUP($O2697,매칭테이블!$G:$J,4,0)*H2697</f>
        <v/>
      </c>
      <c r="O2697" s="20">
        <f>F2697&amp;E2697&amp;G2697&amp;J2697</f>
        <v/>
      </c>
    </row>
    <row r="2698" ht="16.5" customHeight="1" s="17">
      <c r="B2698" s="16" t="n">
        <v>44200</v>
      </c>
      <c r="C2698" s="20">
        <f>TEXT(B2698,"aaa")</f>
        <v/>
      </c>
      <c r="E2698" s="20">
        <f>INDEX(매칭테이블!C:C,MATCH(RD!G2698,매칭테이블!D:D,0))</f>
        <v/>
      </c>
      <c r="F2698" s="20" t="inlineStr">
        <is>
          <t>카페24</t>
        </is>
      </c>
      <c r="G2698" s="20" t="inlineStr">
        <is>
          <t>유즈 이그나이트 솔리드퍼퓸 001제품선택=이그나이트 솔리드퍼퓸 - 30ml</t>
        </is>
      </c>
      <c r="H2698" s="20" t="n">
        <v>7</v>
      </c>
      <c r="I2698" s="20">
        <f>VLOOKUP(G2698,매칭테이블!D:E,2,0)</f>
        <v/>
      </c>
      <c r="J2698" s="20" t="n">
        <v>210101</v>
      </c>
      <c r="L2698" s="20">
        <f>VLOOKUP($O2698,매칭테이블!$G:$J,2,0)*H2698</f>
        <v/>
      </c>
      <c r="M2698" s="20">
        <f>L2698-L2698*VLOOKUP($O2698,매칭테이블!$G:$J,3,0)</f>
        <v/>
      </c>
      <c r="N2698" s="20">
        <f>VLOOKUP($O2698,매칭테이블!$G:$J,4,0)*H2698</f>
        <v/>
      </c>
      <c r="O2698" s="20">
        <f>F2698&amp;E2698&amp;G2698&amp;J2698</f>
        <v/>
      </c>
    </row>
    <row r="2699" ht="16.5" customHeight="1" s="17">
      <c r="B2699" s="16" t="n">
        <v>44201</v>
      </c>
      <c r="C2699" s="20">
        <f>TEXT(B2699,"aaa")</f>
        <v/>
      </c>
      <c r="E2699" s="20">
        <f>INDEX(매칭테이블!C:C,MATCH(RD!G2699,매칭테이블!D:D,0))</f>
        <v/>
      </c>
      <c r="F2699" s="20" t="inlineStr">
        <is>
          <t>카페24</t>
        </is>
      </c>
      <c r="G2699" s="20" t="inlineStr">
        <is>
          <t>유즈 솔리드퍼퓸 - 30ml (11차 예약구매 진행중)향=이그나이트 001 SOLID PERFUME, 세트 선택=1개</t>
        </is>
      </c>
      <c r="H2699" s="20" t="n">
        <v>1</v>
      </c>
      <c r="I2699" s="20">
        <f>VLOOKUP(G2699,매칭테이블!D:E,2,0)</f>
        <v/>
      </c>
      <c r="J2699" s="20" t="n">
        <v>210101</v>
      </c>
      <c r="L2699" s="20">
        <f>VLOOKUP($O2699,매칭테이블!$G:$J,2,0)*H2699</f>
        <v/>
      </c>
      <c r="M2699" s="20">
        <f>L2699-L2699*VLOOKUP($O2699,매칭테이블!$G:$J,3,0)</f>
        <v/>
      </c>
      <c r="N2699" s="20">
        <f>VLOOKUP($O2699,매칭테이블!$G:$J,4,0)*H2699</f>
        <v/>
      </c>
      <c r="O2699" s="20">
        <f>F2699&amp;E2699&amp;G2699&amp;J2699</f>
        <v/>
      </c>
    </row>
    <row r="2700" ht="16.5" customHeight="1" s="17">
      <c r="B2700" s="16" t="n">
        <v>44201</v>
      </c>
      <c r="C2700" s="20">
        <f>TEXT(B2700,"aaa")</f>
        <v/>
      </c>
      <c r="E2700" s="20">
        <f>INDEX(매칭테이블!C:C,MATCH(RD!G2700,매칭테이블!D:D,0))</f>
        <v/>
      </c>
      <c r="F2700" s="20" t="inlineStr">
        <is>
          <t>카페24</t>
        </is>
      </c>
      <c r="G2700" s="20" t="inlineStr">
        <is>
          <t>유즈 솔리드퍼퓸 - 30ml (11차 예약구매 진행중)향=스테이포에버 002 SOLID PERFUME, 세트 선택=1개</t>
        </is>
      </c>
      <c r="H2700" s="20" t="n">
        <v>12</v>
      </c>
      <c r="I2700" s="20">
        <f>VLOOKUP(G2700,매칭테이블!D:E,2,0)</f>
        <v/>
      </c>
      <c r="J2700" s="20" t="n">
        <v>210101</v>
      </c>
      <c r="L2700" s="20">
        <f>VLOOKUP($O2700,매칭테이블!$G:$J,2,0)*H2700</f>
        <v/>
      </c>
      <c r="M2700" s="20">
        <f>L2700-L2700*VLOOKUP($O2700,매칭테이블!$G:$J,3,0)</f>
        <v/>
      </c>
      <c r="N2700" s="20">
        <f>VLOOKUP($O2700,매칭테이블!$G:$J,4,0)*H2700</f>
        <v/>
      </c>
      <c r="O2700" s="20">
        <f>F2700&amp;E2700&amp;G2700&amp;J2700</f>
        <v/>
      </c>
    </row>
    <row r="2701" ht="16.5" customHeight="1" s="17">
      <c r="B2701" s="16" t="n">
        <v>44201</v>
      </c>
      <c r="C2701" s="20">
        <f>TEXT(B2701,"aaa")</f>
        <v/>
      </c>
      <c r="E2701" s="20">
        <f>INDEX(매칭테이블!C:C,MATCH(RD!G2701,매칭테이블!D:D,0))</f>
        <v/>
      </c>
      <c r="F2701" s="20" t="inlineStr">
        <is>
          <t>카페24</t>
        </is>
      </c>
      <c r="G2701" s="20" t="inlineStr">
        <is>
          <t>유즈 솔리드퍼퓸 - 30ml (11차 예약구매 진행중)향=스테이포에버 002 SOLID PERFUME, 세트 선택=best</t>
        </is>
      </c>
      <c r="H2701" s="20" t="n">
        <v>6</v>
      </c>
      <c r="I2701" s="20">
        <f>VLOOKUP(G2701,매칭테이블!D:E,2,0)</f>
        <v/>
      </c>
      <c r="J2701" s="20" t="n">
        <v>210101</v>
      </c>
      <c r="L2701" s="20">
        <f>VLOOKUP($O2701,매칭테이블!$G:$J,2,0)*H2701</f>
        <v/>
      </c>
      <c r="M2701" s="20">
        <f>L2701-L2701*VLOOKUP($O2701,매칭테이블!$G:$J,3,0)</f>
        <v/>
      </c>
      <c r="N2701" s="20">
        <f>VLOOKUP($O2701,매칭테이블!$G:$J,4,0)*H2701</f>
        <v/>
      </c>
      <c r="O2701" s="20">
        <f>F2701&amp;E2701&amp;G2701&amp;J2701</f>
        <v/>
      </c>
    </row>
    <row r="2702" ht="16.5" customHeight="1" s="17">
      <c r="B2702" s="16" t="n">
        <v>44201</v>
      </c>
      <c r="C2702" s="20">
        <f>TEXT(B2702,"aaa")</f>
        <v/>
      </c>
      <c r="E2702" s="20">
        <f>INDEX(매칭테이블!C:C,MATCH(RD!G2702,매칭테이블!D:D,0))</f>
        <v/>
      </c>
      <c r="F2702" s="20" t="inlineStr">
        <is>
          <t>카페24</t>
        </is>
      </c>
      <c r="G2702" s="20" t="inlineStr">
        <is>
          <t>유즈 솔리드퍼퓸 - 30ml (11차 예약구매 진행중)향=스테이포에버 002 SOLID PERFUME, 세트 선택=best 2개 (28% 할인)</t>
        </is>
      </c>
      <c r="H2702" s="20" t="n">
        <v>4</v>
      </c>
      <c r="I2702" s="20">
        <f>VLOOKUP(G2702,매칭테이블!D:E,2,0)</f>
        <v/>
      </c>
      <c r="J2702" s="20" t="n">
        <v>210101</v>
      </c>
      <c r="L2702" s="20">
        <f>VLOOKUP($O2702,매칭테이블!$G:$J,2,0)*H2702</f>
        <v/>
      </c>
      <c r="M2702" s="20">
        <f>L2702-L2702*VLOOKUP($O2702,매칭테이블!$G:$J,3,0)</f>
        <v/>
      </c>
      <c r="N2702" s="20">
        <f>VLOOKUP($O2702,매칭테이블!$G:$J,4,0)*H2702</f>
        <v/>
      </c>
      <c r="O2702" s="20">
        <f>F2702&amp;E2702&amp;G2702&amp;J2702</f>
        <v/>
      </c>
    </row>
    <row r="2703" ht="16.5" customHeight="1" s="17">
      <c r="B2703" s="16" t="n">
        <v>44201</v>
      </c>
      <c r="C2703" s="20">
        <f>TEXT(B2703,"aaa")</f>
        <v/>
      </c>
      <c r="E2703" s="20">
        <f>INDEX(매칭테이블!C:C,MATCH(RD!G2703,매칭테이블!D:D,0))</f>
        <v/>
      </c>
      <c r="F2703" s="20" t="inlineStr">
        <is>
          <t>카페24</t>
        </is>
      </c>
      <c r="G2703" s="20" t="inlineStr">
        <is>
          <t>유즈 솔리드퍼퓸 - 30ml (11차 예약구매 진행중)향=커플세트</t>
        </is>
      </c>
      <c r="H2703" s="20" t="n">
        <v>4</v>
      </c>
      <c r="I2703" s="20">
        <f>VLOOKUP(G2703,매칭테이블!D:E,2,0)</f>
        <v/>
      </c>
      <c r="J2703" s="20" t="n">
        <v>210101</v>
      </c>
      <c r="L2703" s="20">
        <f>VLOOKUP($O2703,매칭테이블!$G:$J,2,0)*H2703</f>
        <v/>
      </c>
      <c r="M2703" s="20">
        <f>L2703-L2703*VLOOKUP($O2703,매칭테이블!$G:$J,3,0)</f>
        <v/>
      </c>
      <c r="N2703" s="20">
        <f>VLOOKUP($O2703,매칭테이블!$G:$J,4,0)*H2703</f>
        <v/>
      </c>
      <c r="O2703" s="20">
        <f>F2703&amp;E2703&amp;G2703&amp;J2703</f>
        <v/>
      </c>
    </row>
    <row r="2704" ht="16.5" customHeight="1" s="17">
      <c r="B2704" s="16" t="n">
        <v>44201</v>
      </c>
      <c r="C2704" s="20">
        <f>TEXT(B2704,"aaa")</f>
        <v/>
      </c>
      <c r="E2704" s="20">
        <f>INDEX(매칭테이블!C:C,MATCH(RD!G2704,매칭테이블!D:D,0))</f>
        <v/>
      </c>
      <c r="F2704" s="20" t="inlineStr">
        <is>
          <t>카페24</t>
        </is>
      </c>
      <c r="G2704" s="20" t="inlineStr">
        <is>
          <t>유즈 솔리드퍼퓸 - 30ml (11차 예약구매 진행중)향=커플세트(이그나이트 + 스테이포에버), 세트 선택=1 SET</t>
        </is>
      </c>
      <c r="H2704" s="20" t="n">
        <v>4</v>
      </c>
      <c r="I2704" s="20">
        <f>VLOOKUP(G2704,매칭테이블!D:E,2,0)</f>
        <v/>
      </c>
      <c r="J2704" s="20" t="n">
        <v>210101</v>
      </c>
      <c r="L2704" s="20">
        <f>VLOOKUP($O2704,매칭테이블!$G:$J,2,0)*H2704</f>
        <v/>
      </c>
      <c r="M2704" s="20">
        <f>L2704-L2704*VLOOKUP($O2704,매칭테이블!$G:$J,3,0)</f>
        <v/>
      </c>
      <c r="N2704" s="20">
        <f>VLOOKUP($O2704,매칭테이블!$G:$J,4,0)*H2704</f>
        <v/>
      </c>
      <c r="O2704" s="20">
        <f>F2704&amp;E2704&amp;G2704&amp;J2704</f>
        <v/>
      </c>
    </row>
    <row r="2705" ht="16.5" customHeight="1" s="17">
      <c r="B2705" s="16" t="n">
        <v>44201</v>
      </c>
      <c r="C2705" s="20">
        <f>TEXT(B2705,"aaa")</f>
        <v/>
      </c>
      <c r="E2705" s="20">
        <f>INDEX(매칭테이블!C:C,MATCH(RD!G2705,매칭테이블!D:D,0))</f>
        <v/>
      </c>
      <c r="F2705" s="20" t="inlineStr">
        <is>
          <t>카페24</t>
        </is>
      </c>
      <c r="G2705" s="20" t="inlineStr">
        <is>
          <t>유즈 솔리드퍼퓸 - 30ml (11차 예약구매 진행중)향=커플세트</t>
        </is>
      </c>
      <c r="H2705" s="20" t="n">
        <v>1</v>
      </c>
      <c r="I2705" s="20">
        <f>VLOOKUP(G2705,매칭테이블!D:E,2,0)</f>
        <v/>
      </c>
      <c r="J2705" s="20" t="n">
        <v>210101</v>
      </c>
      <c r="L2705" s="20">
        <f>VLOOKUP($O2705,매칭테이블!$G:$J,2,0)*H2705</f>
        <v/>
      </c>
      <c r="M2705" s="20">
        <f>L2705-L2705*VLOOKUP($O2705,매칭테이블!$G:$J,3,0)</f>
        <v/>
      </c>
      <c r="N2705" s="20">
        <f>VLOOKUP($O2705,매칭테이블!$G:$J,4,0)*H2705</f>
        <v/>
      </c>
      <c r="O2705" s="20">
        <f>F2705&amp;E2705&amp;G2705&amp;J2705</f>
        <v/>
      </c>
    </row>
    <row r="2706" ht="16.5" customHeight="1" s="17">
      <c r="B2706" s="16" t="n">
        <v>44201</v>
      </c>
      <c r="C2706" s="20">
        <f>TEXT(B2706,"aaa")</f>
        <v/>
      </c>
      <c r="E2706" s="20">
        <f>INDEX(매칭테이블!C:C,MATCH(RD!G2706,매칭테이블!D:D,0))</f>
        <v/>
      </c>
      <c r="F2706" s="20" t="inlineStr">
        <is>
          <t>카페24</t>
        </is>
      </c>
      <c r="G2706" s="20" t="inlineStr">
        <is>
          <t>유즈 스테이포에버 솔리드퍼퓸 002 (10차 재입고 완료제품선택=스테이포에버 1개</t>
        </is>
      </c>
      <c r="H2706" s="20" t="n">
        <v>1</v>
      </c>
      <c r="I2706" s="20">
        <f>VLOOKUP(G2706,매칭테이블!D:E,2,0)</f>
        <v/>
      </c>
      <c r="J2706" s="20" t="n">
        <v>210101</v>
      </c>
      <c r="L2706" s="20">
        <f>VLOOKUP($O2706,매칭테이블!$G:$J,2,0)*H2706</f>
        <v/>
      </c>
      <c r="M2706" s="20">
        <f>L2706-L2706*VLOOKUP($O2706,매칭테이블!$G:$J,3,0)</f>
        <v/>
      </c>
      <c r="N2706" s="20">
        <f>VLOOKUP($O2706,매칭테이블!$G:$J,4,0)*H2706</f>
        <v/>
      </c>
      <c r="O2706" s="20">
        <f>F2706&amp;E2706&amp;G2706&amp;J2706</f>
        <v/>
      </c>
    </row>
    <row r="2707" ht="16.5" customHeight="1" s="17">
      <c r="B2707" s="16" t="n">
        <v>44201</v>
      </c>
      <c r="C2707" s="20">
        <f>TEXT(B2707,"aaa")</f>
        <v/>
      </c>
      <c r="E2707" s="20">
        <f>INDEX(매칭테이블!C:C,MATCH(RD!G2707,매칭테이블!D:D,0))</f>
        <v/>
      </c>
      <c r="F2707" s="20" t="inlineStr">
        <is>
          <t>카페24</t>
        </is>
      </c>
      <c r="G2707" s="20" t="inlineStr">
        <is>
          <t>유즈 스테이포에버 솔리드퍼퓸 002 (10차 재입고 완료제품선택=best</t>
        </is>
      </c>
      <c r="H2707" s="20" t="n">
        <v>1</v>
      </c>
      <c r="I2707" s="20">
        <f>VLOOKUP(G2707,매칭테이블!D:E,2,0)</f>
        <v/>
      </c>
      <c r="J2707" s="20" t="n">
        <v>210101</v>
      </c>
      <c r="L2707" s="20">
        <f>VLOOKUP($O2707,매칭테이블!$G:$J,2,0)*H2707</f>
        <v/>
      </c>
      <c r="M2707" s="20">
        <f>L2707-L2707*VLOOKUP($O2707,매칭테이블!$G:$J,3,0)</f>
        <v/>
      </c>
      <c r="N2707" s="20">
        <f>VLOOKUP($O2707,매칭테이블!$G:$J,4,0)*H2707</f>
        <v/>
      </c>
      <c r="O2707" s="20">
        <f>F2707&amp;E2707&amp;G2707&amp;J2707</f>
        <v/>
      </c>
    </row>
    <row r="2708" ht="16.5" customHeight="1" s="17">
      <c r="B2708" s="16" t="n">
        <v>44201</v>
      </c>
      <c r="C2708" s="20">
        <f>TEXT(B2708,"aaa")</f>
        <v/>
      </c>
      <c r="E2708" s="20">
        <f>INDEX(매칭테이블!C:C,MATCH(RD!G2708,매칭테이블!D:D,0))</f>
        <v/>
      </c>
      <c r="F2708" s="20" t="inlineStr">
        <is>
          <t>카페24</t>
        </is>
      </c>
      <c r="G2708" s="20" t="inlineStr">
        <is>
          <t>유즈 스테이포에버 솔리드퍼퓸 002 (10차 재입고 완료)제품선택=스테이포에버 1개</t>
        </is>
      </c>
      <c r="H2708" s="20" t="n">
        <v>1</v>
      </c>
      <c r="I2708" s="20">
        <f>VLOOKUP(G2708,매칭테이블!D:E,2,0)</f>
        <v/>
      </c>
      <c r="J2708" s="20" t="n">
        <v>210101</v>
      </c>
      <c r="L2708" s="20">
        <f>VLOOKUP($O2708,매칭테이블!$G:$J,2,0)*H2708</f>
        <v/>
      </c>
      <c r="M2708" s="20">
        <f>L2708-L2708*VLOOKUP($O2708,매칭테이블!$G:$J,3,0)</f>
        <v/>
      </c>
      <c r="N2708" s="20">
        <f>VLOOKUP($O2708,매칭테이블!$G:$J,4,0)*H2708</f>
        <v/>
      </c>
      <c r="O2708" s="20">
        <f>F2708&amp;E2708&amp;G2708&amp;J2708</f>
        <v/>
      </c>
    </row>
    <row r="2709" ht="16.5" customHeight="1" s="17">
      <c r="B2709" s="16" t="n">
        <v>44201</v>
      </c>
      <c r="C2709" s="20">
        <f>TEXT(B2709,"aaa")</f>
        <v/>
      </c>
      <c r="E2709" s="20">
        <f>INDEX(매칭테이블!C:C,MATCH(RD!G2709,매칭테이블!D:D,0))</f>
        <v/>
      </c>
      <c r="F2709" s="20" t="inlineStr">
        <is>
          <t>카페24</t>
        </is>
      </c>
      <c r="G2709" s="20" t="inlineStr">
        <is>
          <t>유즈 스테이포에버 솔리드퍼퓸 002 (10차 재입고 완료)제품선택=best</t>
        </is>
      </c>
      <c r="H2709" s="20" t="n">
        <v>2</v>
      </c>
      <c r="I2709" s="20">
        <f>VLOOKUP(G2709,매칭테이블!D:E,2,0)</f>
        <v/>
      </c>
      <c r="J2709" s="20" t="n">
        <v>210101</v>
      </c>
      <c r="L2709" s="20">
        <f>VLOOKUP($O2709,매칭테이블!$G:$J,2,0)*H2709</f>
        <v/>
      </c>
      <c r="M2709" s="20">
        <f>L2709-L2709*VLOOKUP($O2709,매칭테이블!$G:$J,3,0)</f>
        <v/>
      </c>
      <c r="N2709" s="20">
        <f>VLOOKUP($O2709,매칭테이블!$G:$J,4,0)*H2709</f>
        <v/>
      </c>
      <c r="O2709" s="20">
        <f>F2709&amp;E2709&amp;G2709&amp;J2709</f>
        <v/>
      </c>
    </row>
    <row r="2710" ht="16.5" customHeight="1" s="17">
      <c r="B2710" s="16" t="n">
        <v>44201</v>
      </c>
      <c r="C2710" s="20">
        <f>TEXT(B2710,"aaa")</f>
        <v/>
      </c>
      <c r="E2710" s="20">
        <f>INDEX(매칭테이블!C:C,MATCH(RD!G2710,매칭테이블!D:D,0))</f>
        <v/>
      </c>
      <c r="F2710" s="20" t="inlineStr">
        <is>
          <t>카페24</t>
        </is>
      </c>
      <c r="G2710" s="20" t="inlineStr">
        <is>
          <t>유즈 스테이포에버 솔리드퍼퓸 002 (11차 예약구매 진행중)제품선택=스테이포에버 1개</t>
        </is>
      </c>
      <c r="H2710" s="20" t="n">
        <v>419</v>
      </c>
      <c r="I2710" s="20">
        <f>VLOOKUP(G2710,매칭테이블!D:E,2,0)</f>
        <v/>
      </c>
      <c r="J2710" s="20" t="n">
        <v>210101</v>
      </c>
      <c r="L2710" s="20">
        <f>VLOOKUP($O2710,매칭테이블!$G:$J,2,0)*H2710</f>
        <v/>
      </c>
      <c r="M2710" s="20">
        <f>L2710-L2710*VLOOKUP($O2710,매칭테이블!$G:$J,3,0)</f>
        <v/>
      </c>
      <c r="N2710" s="20">
        <f>VLOOKUP($O2710,매칭테이블!$G:$J,4,0)*H2710</f>
        <v/>
      </c>
      <c r="O2710" s="20">
        <f>F2710&amp;E2710&amp;G2710&amp;J2710</f>
        <v/>
      </c>
    </row>
    <row r="2711" ht="16.5" customHeight="1" s="17">
      <c r="B2711" s="16" t="n">
        <v>44201</v>
      </c>
      <c r="C2711" s="20">
        <f>TEXT(B2711,"aaa")</f>
        <v/>
      </c>
      <c r="E2711" s="20">
        <f>INDEX(매칭테이블!C:C,MATCH(RD!G2711,매칭테이블!D:D,0))</f>
        <v/>
      </c>
      <c r="F2711" s="20" t="inlineStr">
        <is>
          <t>카페24</t>
        </is>
      </c>
      <c r="G2711" s="20" t="inlineStr">
        <is>
          <t>유즈 스테이포에버 솔리드퍼퓸 002 (11차 예약구매 진행중)제품선택=best</t>
        </is>
      </c>
      <c r="H2711" s="20" t="n">
        <v>77</v>
      </c>
      <c r="I2711" s="20">
        <f>VLOOKUP(G2711,매칭테이블!D:E,2,0)</f>
        <v/>
      </c>
      <c r="J2711" s="20" t="n">
        <v>210101</v>
      </c>
      <c r="L2711" s="20">
        <f>VLOOKUP($O2711,매칭테이블!$G:$J,2,0)*H2711</f>
        <v/>
      </c>
      <c r="M2711" s="20">
        <f>L2711-L2711*VLOOKUP($O2711,매칭테이블!$G:$J,3,0)</f>
        <v/>
      </c>
      <c r="N2711" s="20">
        <f>VLOOKUP($O2711,매칭테이블!$G:$J,4,0)*H2711</f>
        <v/>
      </c>
      <c r="O2711" s="20">
        <f>F2711&amp;E2711&amp;G2711&amp;J2711</f>
        <v/>
      </c>
    </row>
    <row r="2712" ht="16.5" customHeight="1" s="17">
      <c r="B2712" s="16" t="n">
        <v>44201</v>
      </c>
      <c r="C2712" s="20">
        <f>TEXT(B2712,"aaa")</f>
        <v/>
      </c>
      <c r="E2712" s="20">
        <f>INDEX(매칭테이블!C:C,MATCH(RD!G2712,매칭테이블!D:D,0))</f>
        <v/>
      </c>
      <c r="F2712" s="20" t="inlineStr">
        <is>
          <t>카페24</t>
        </is>
      </c>
      <c r="G2712" s="20" t="inlineStr">
        <is>
          <t>유즈 스테이포에버 솔리드퍼퓸 002 (11차 예약구매 진행중)제품선택=best스테이포에버 2개[28% 할인]</t>
        </is>
      </c>
      <c r="H2712" s="20" t="n">
        <v>122</v>
      </c>
      <c r="I2712" s="20">
        <f>VLOOKUP(G2712,매칭테이블!D:E,2,0)</f>
        <v/>
      </c>
      <c r="J2712" s="20" t="n">
        <v>210101</v>
      </c>
      <c r="L2712" s="20">
        <f>VLOOKUP($O2712,매칭테이블!$G:$J,2,0)*H2712</f>
        <v/>
      </c>
      <c r="M2712" s="20">
        <f>L2712-L2712*VLOOKUP($O2712,매칭테이블!$G:$J,3,0)</f>
        <v/>
      </c>
      <c r="N2712" s="20">
        <f>VLOOKUP($O2712,매칭테이블!$G:$J,4,0)*H2712</f>
        <v/>
      </c>
      <c r="O2712" s="20">
        <f>F2712&amp;E2712&amp;G2712&amp;J2712</f>
        <v/>
      </c>
    </row>
    <row r="2713" ht="16.5" customHeight="1" s="17">
      <c r="B2713" s="16" t="n">
        <v>44201</v>
      </c>
      <c r="C2713" s="20">
        <f>TEXT(B2713,"aaa")</f>
        <v/>
      </c>
      <c r="E2713" s="20">
        <f>INDEX(매칭테이블!C:C,MATCH(RD!G2713,매칭테이블!D:D,0))</f>
        <v/>
      </c>
      <c r="F2713" s="20" t="inlineStr">
        <is>
          <t>카페24</t>
        </is>
      </c>
      <c r="G2713" s="20" t="inlineStr">
        <is>
          <t>유즈 스테이포에버 솔리드퍼퓸 002 (11차 예약구매 진행중)제품선택=커플추천</t>
        </is>
      </c>
      <c r="H2713" s="20" t="n">
        <v>9</v>
      </c>
      <c r="I2713" s="20">
        <f>VLOOKUP(G2713,매칭테이블!D:E,2,0)</f>
        <v/>
      </c>
      <c r="J2713" s="20" t="n">
        <v>210101</v>
      </c>
      <c r="L2713" s="20">
        <f>VLOOKUP($O2713,매칭테이블!$G:$J,2,0)*H2713</f>
        <v/>
      </c>
      <c r="M2713" s="20">
        <f>L2713-L2713*VLOOKUP($O2713,매칭테이블!$G:$J,3,0)</f>
        <v/>
      </c>
      <c r="N2713" s="20">
        <f>VLOOKUP($O2713,매칭테이블!$G:$J,4,0)*H2713</f>
        <v/>
      </c>
      <c r="O2713" s="20">
        <f>F2713&amp;E2713&amp;G2713&amp;J2713</f>
        <v/>
      </c>
    </row>
    <row r="2714" ht="16.5" customHeight="1" s="17">
      <c r="B2714" s="16" t="n">
        <v>44201</v>
      </c>
      <c r="C2714" s="20">
        <f>TEXT(B2714,"aaa")</f>
        <v/>
      </c>
      <c r="E2714" s="20">
        <f>INDEX(매칭테이블!C:C,MATCH(RD!G2714,매칭테이블!D:D,0))</f>
        <v/>
      </c>
      <c r="F2714" s="20" t="inlineStr">
        <is>
          <t>카페24</t>
        </is>
      </c>
      <c r="G2714" s="20" t="inlineStr">
        <is>
          <t>유즈 스테이포에버 솔리드퍼퓸 002 (11차 예약구매 진행중)제품선택=커플추천스테이포에버 + 이그나이트 세트</t>
        </is>
      </c>
      <c r="H2714" s="20" t="n">
        <v>17</v>
      </c>
      <c r="I2714" s="20">
        <f>VLOOKUP(G2714,매칭테이블!D:E,2,0)</f>
        <v/>
      </c>
      <c r="J2714" s="20" t="n">
        <v>210101</v>
      </c>
      <c r="L2714" s="20">
        <f>VLOOKUP($O2714,매칭테이블!$G:$J,2,0)*H2714</f>
        <v/>
      </c>
      <c r="M2714" s="20">
        <f>L2714-L2714*VLOOKUP($O2714,매칭테이블!$G:$J,3,0)</f>
        <v/>
      </c>
      <c r="N2714" s="20">
        <f>VLOOKUP($O2714,매칭테이블!$G:$J,4,0)*H2714</f>
        <v/>
      </c>
      <c r="O2714" s="20">
        <f>F2714&amp;E2714&amp;G2714&amp;J2714</f>
        <v/>
      </c>
    </row>
    <row r="2715" ht="16.5" customHeight="1" s="17">
      <c r="B2715" s="16" t="n">
        <v>44201</v>
      </c>
      <c r="C2715" s="20">
        <f>TEXT(B2715,"aaa")</f>
        <v/>
      </c>
      <c r="E2715" s="20">
        <f>INDEX(매칭테이블!C:C,MATCH(RD!G2715,매칭테이블!D:D,0))</f>
        <v/>
      </c>
      <c r="F2715" s="20" t="inlineStr">
        <is>
          <t>카페24</t>
        </is>
      </c>
      <c r="G2715" s="20" t="inlineStr">
        <is>
          <t>유즈 스테이포에버 솔리드퍼퓸 002 (11차 예약구매 진행중)쇼핑백=선물용 쇼핑백</t>
        </is>
      </c>
      <c r="H2715" s="20" t="n">
        <v>8</v>
      </c>
      <c r="I2715" s="20">
        <f>VLOOKUP(G2715,매칭테이블!D:E,2,0)</f>
        <v/>
      </c>
      <c r="J2715" s="20" t="n">
        <v>210101</v>
      </c>
      <c r="L2715" s="20">
        <f>VLOOKUP($O2715,매칭테이블!$G:$J,2,0)*H2715</f>
        <v/>
      </c>
      <c r="M2715" s="20">
        <f>L2715-L2715*VLOOKUP($O2715,매칭테이블!$G:$J,3,0)</f>
        <v/>
      </c>
      <c r="N2715" s="20">
        <f>VLOOKUP($O2715,매칭테이블!$G:$J,4,0)*H2715</f>
        <v/>
      </c>
      <c r="O2715" s="20">
        <f>F2715&amp;E2715&amp;G2715&amp;J2715</f>
        <v/>
      </c>
    </row>
    <row r="2716" ht="16.5" customHeight="1" s="17">
      <c r="B2716" s="16" t="n">
        <v>44201</v>
      </c>
      <c r="C2716" s="20">
        <f>TEXT(B2716,"aaa")</f>
        <v/>
      </c>
      <c r="E2716" s="20">
        <f>INDEX(매칭테이블!C:C,MATCH(RD!G2716,매칭테이블!D:D,0))</f>
        <v/>
      </c>
      <c r="F2716" s="20" t="inlineStr">
        <is>
          <t>카페24</t>
        </is>
      </c>
      <c r="G2716" s="20" t="inlineStr">
        <is>
          <t>유즈 이그나이트 솔리드퍼퓸 001제품선택=이그나이트 솔리드퍼퓸 - 30ml</t>
        </is>
      </c>
      <c r="H2716" s="20" t="n">
        <v>2</v>
      </c>
      <c r="I2716" s="20">
        <f>VLOOKUP(G2716,매칭테이블!D:E,2,0)</f>
        <v/>
      </c>
      <c r="J2716" s="20" t="n">
        <v>210101</v>
      </c>
      <c r="L2716" s="20">
        <f>VLOOKUP($O2716,매칭테이블!$G:$J,2,0)*H2716</f>
        <v/>
      </c>
      <c r="M2716" s="20">
        <f>L2716-L2716*VLOOKUP($O2716,매칭테이블!$G:$J,3,0)</f>
        <v/>
      </c>
      <c r="N2716" s="20">
        <f>VLOOKUP($O2716,매칭테이블!$G:$J,4,0)*H2716</f>
        <v/>
      </c>
      <c r="O2716" s="20">
        <f>F2716&amp;E2716&amp;G2716&amp;J2716</f>
        <v/>
      </c>
    </row>
    <row r="2717" ht="16.5" customHeight="1" s="17">
      <c r="B2717" s="16" t="n">
        <v>44201</v>
      </c>
      <c r="C2717" s="20">
        <f>TEXT(B2717,"aaa")</f>
        <v/>
      </c>
      <c r="E2717" s="20">
        <f>INDEX(매칭테이블!C:C,MATCH(RD!G2717,매칭테이블!D:D,0))</f>
        <v/>
      </c>
      <c r="F2717" s="20" t="inlineStr">
        <is>
          <t>카페24</t>
        </is>
      </c>
      <c r="G2717" s="20" t="inlineStr">
        <is>
          <t>유즈 이그나이트 솔리드퍼퓸 001제품선택=이그나이트 2개 세트</t>
        </is>
      </c>
      <c r="H2717" s="20" t="n">
        <v>2</v>
      </c>
      <c r="I2717" s="20">
        <f>VLOOKUP(G2717,매칭테이블!D:E,2,0)</f>
        <v/>
      </c>
      <c r="J2717" s="20" t="n">
        <v>210101</v>
      </c>
      <c r="L2717" s="20">
        <f>VLOOKUP($O2717,매칭테이블!$G:$J,2,0)*H2717</f>
        <v/>
      </c>
      <c r="M2717" s="20">
        <f>L2717-L2717*VLOOKUP($O2717,매칭테이블!$G:$J,3,0)</f>
        <v/>
      </c>
      <c r="N2717" s="20">
        <f>VLOOKUP($O2717,매칭테이블!$G:$J,4,0)*H2717</f>
        <v/>
      </c>
      <c r="O2717" s="20">
        <f>F2717&amp;E2717&amp;G2717&amp;J2717</f>
        <v/>
      </c>
    </row>
    <row r="2718" ht="16.5" customHeight="1" s="17">
      <c r="B2718" s="16" t="n">
        <v>44201</v>
      </c>
      <c r="C2718" s="20">
        <f>TEXT(B2718,"aaa")</f>
        <v/>
      </c>
      <c r="E2718" s="20">
        <f>INDEX(매칭테이블!C:C,MATCH(RD!G2718,매칭테이블!D:D,0))</f>
        <v/>
      </c>
      <c r="F2718" s="20" t="inlineStr">
        <is>
          <t>카페24</t>
        </is>
      </c>
      <c r="G2718" s="20" t="inlineStr">
        <is>
          <t>유즈 이그나이트 솔리드퍼퓸 001쇼핑백=선물용 쇼핑백</t>
        </is>
      </c>
      <c r="H2718" s="20" t="n">
        <v>1</v>
      </c>
      <c r="I2718" s="20">
        <f>VLOOKUP(G2718,매칭테이블!D:E,2,0)</f>
        <v/>
      </c>
      <c r="J2718" s="20" t="n">
        <v>210101</v>
      </c>
      <c r="L2718" s="20">
        <f>VLOOKUP($O2718,매칭테이블!$G:$J,2,0)*H2718</f>
        <v/>
      </c>
      <c r="M2718" s="20">
        <f>L2718-L2718*VLOOKUP($O2718,매칭테이블!$G:$J,3,0)</f>
        <v/>
      </c>
      <c r="N2718" s="20">
        <f>VLOOKUP($O2718,매칭테이블!$G:$J,4,0)*H2718</f>
        <v/>
      </c>
      <c r="O2718" s="20">
        <f>F2718&amp;E2718&amp;G2718&amp;J2718</f>
        <v/>
      </c>
    </row>
    <row r="2719" ht="16.5" customHeight="1" s="17">
      <c r="B2719" s="16" t="n">
        <v>44202</v>
      </c>
      <c r="C2719" s="20">
        <f>TEXT(B2719,"aaa")</f>
        <v/>
      </c>
      <c r="E2719" s="20">
        <f>INDEX(매칭테이블!C:C,MATCH(RD!G2719,매칭테이블!D:D,0))</f>
        <v/>
      </c>
      <c r="F2719" s="20" t="inlineStr">
        <is>
          <t>카페24</t>
        </is>
      </c>
      <c r="G2719" s="20" t="inlineStr">
        <is>
          <t>솔리드퍼퓸 스테이포에버 002 30ml</t>
        </is>
      </c>
      <c r="H2719" s="20" t="n">
        <v>3</v>
      </c>
      <c r="I2719" s="20">
        <f>VLOOKUP(G2719,매칭테이블!D:E,2,0)</f>
        <v/>
      </c>
      <c r="J2719" s="20" t="n">
        <v>210101</v>
      </c>
      <c r="L2719" s="20">
        <f>VLOOKUP($O2719,매칭테이블!$G:$J,2,0)*H2719</f>
        <v/>
      </c>
      <c r="M2719" s="20">
        <f>L2719-L2719*VLOOKUP($O2719,매칭테이블!$G:$J,3,0)</f>
        <v/>
      </c>
      <c r="N2719" s="20">
        <f>VLOOKUP($O2719,매칭테이블!$G:$J,4,0)*H2719</f>
        <v/>
      </c>
      <c r="O2719" s="20">
        <f>F2719&amp;E2719&amp;G2719&amp;J2719</f>
        <v/>
      </c>
    </row>
    <row r="2720" ht="16.5" customHeight="1" s="17">
      <c r="B2720" s="16" t="n">
        <v>44202</v>
      </c>
      <c r="C2720" s="20">
        <f>TEXT(B2720,"aaa")</f>
        <v/>
      </c>
      <c r="E2720" s="20">
        <f>INDEX(매칭테이블!C:C,MATCH(RD!G2720,매칭테이블!D:D,0))</f>
        <v/>
      </c>
      <c r="F2720" s="20" t="inlineStr">
        <is>
          <t>카페24</t>
        </is>
      </c>
      <c r="G2720" s="20" t="inlineStr">
        <is>
          <t>유즈 솔리드퍼퓸 - 30ml (11차 예약구매 진행중)향=이그나이트 001 SOLID PERFUME, 세트 선택=1개</t>
        </is>
      </c>
      <c r="H2720" s="20" t="n">
        <v>2</v>
      </c>
      <c r="I2720" s="20">
        <f>VLOOKUP(G2720,매칭테이블!D:E,2,0)</f>
        <v/>
      </c>
      <c r="J2720" s="20" t="n">
        <v>210101</v>
      </c>
      <c r="L2720" s="20">
        <f>VLOOKUP($O2720,매칭테이블!$G:$J,2,0)*H2720</f>
        <v/>
      </c>
      <c r="M2720" s="20">
        <f>L2720-L2720*VLOOKUP($O2720,매칭테이블!$G:$J,3,0)</f>
        <v/>
      </c>
      <c r="N2720" s="20">
        <f>VLOOKUP($O2720,매칭테이블!$G:$J,4,0)*H2720</f>
        <v/>
      </c>
      <c r="O2720" s="20">
        <f>F2720&amp;E2720&amp;G2720&amp;J2720</f>
        <v/>
      </c>
    </row>
    <row r="2721" ht="16.5" customHeight="1" s="17">
      <c r="B2721" s="16" t="n">
        <v>44202</v>
      </c>
      <c r="C2721" s="20">
        <f>TEXT(B2721,"aaa")</f>
        <v/>
      </c>
      <c r="E2721" s="20">
        <f>INDEX(매칭테이블!C:C,MATCH(RD!G2721,매칭테이블!D:D,0))</f>
        <v/>
      </c>
      <c r="F2721" s="20" t="inlineStr">
        <is>
          <t>카페24</t>
        </is>
      </c>
      <c r="G2721" s="20" t="inlineStr">
        <is>
          <t>유즈 솔리드퍼퓸 - 30ml (11차 예약구매 진행중)향=스테이포에버 002 SOLID PERFUME, 세트 선택=1개</t>
        </is>
      </c>
      <c r="H2721" s="20" t="n">
        <v>12</v>
      </c>
      <c r="I2721" s="20">
        <f>VLOOKUP(G2721,매칭테이블!D:E,2,0)</f>
        <v/>
      </c>
      <c r="J2721" s="20" t="n">
        <v>210101</v>
      </c>
      <c r="L2721" s="20">
        <f>VLOOKUP($O2721,매칭테이블!$G:$J,2,0)*H2721</f>
        <v/>
      </c>
      <c r="M2721" s="20">
        <f>L2721-L2721*VLOOKUP($O2721,매칭테이블!$G:$J,3,0)</f>
        <v/>
      </c>
      <c r="N2721" s="20">
        <f>VLOOKUP($O2721,매칭테이블!$G:$J,4,0)*H2721</f>
        <v/>
      </c>
      <c r="O2721" s="20">
        <f>F2721&amp;E2721&amp;G2721&amp;J2721</f>
        <v/>
      </c>
    </row>
    <row r="2722" ht="16.5" customHeight="1" s="17">
      <c r="B2722" s="16" t="n">
        <v>44202</v>
      </c>
      <c r="C2722" s="20">
        <f>TEXT(B2722,"aaa")</f>
        <v/>
      </c>
      <c r="E2722" s="20">
        <f>INDEX(매칭테이블!C:C,MATCH(RD!G2722,매칭테이블!D:D,0))</f>
        <v/>
      </c>
      <c r="F2722" s="20" t="inlineStr">
        <is>
          <t>카페24</t>
        </is>
      </c>
      <c r="G2722" s="20" t="inlineStr">
        <is>
          <t>유즈 솔리드퍼퓸 - 30ml (11차 예약구매 진행중)향=스테이포에버 002 SOLID PERFUME, 세트 선택=best</t>
        </is>
      </c>
      <c r="H2722" s="20" t="n">
        <v>6</v>
      </c>
      <c r="I2722" s="20">
        <f>VLOOKUP(G2722,매칭테이블!D:E,2,0)</f>
        <v/>
      </c>
      <c r="J2722" s="20" t="n">
        <v>210101</v>
      </c>
      <c r="L2722" s="20">
        <f>VLOOKUP($O2722,매칭테이블!$G:$J,2,0)*H2722</f>
        <v/>
      </c>
      <c r="M2722" s="20">
        <f>L2722-L2722*VLOOKUP($O2722,매칭테이블!$G:$J,3,0)</f>
        <v/>
      </c>
      <c r="N2722" s="20">
        <f>VLOOKUP($O2722,매칭테이블!$G:$J,4,0)*H2722</f>
        <v/>
      </c>
      <c r="O2722" s="20">
        <f>F2722&amp;E2722&amp;G2722&amp;J2722</f>
        <v/>
      </c>
    </row>
    <row r="2723" ht="16.5" customHeight="1" s="17">
      <c r="B2723" s="16" t="n">
        <v>44202</v>
      </c>
      <c r="C2723" s="20">
        <f>TEXT(B2723,"aaa")</f>
        <v/>
      </c>
      <c r="E2723" s="20">
        <f>INDEX(매칭테이블!C:C,MATCH(RD!G2723,매칭테이블!D:D,0))</f>
        <v/>
      </c>
      <c r="F2723" s="20" t="inlineStr">
        <is>
          <t>카페24</t>
        </is>
      </c>
      <c r="G2723" s="20" t="inlineStr">
        <is>
          <t>유즈 솔리드퍼퓸 - 30ml (11차 예약구매 진행중)향=스테이포에버 002 SOLID PERFUME, 세트 선택=best 2개 (28% 할인)</t>
        </is>
      </c>
      <c r="H2723" s="20" t="n">
        <v>2</v>
      </c>
      <c r="I2723" s="20">
        <f>VLOOKUP(G2723,매칭테이블!D:E,2,0)</f>
        <v/>
      </c>
      <c r="J2723" s="20" t="n">
        <v>210101</v>
      </c>
      <c r="L2723" s="20">
        <f>VLOOKUP($O2723,매칭테이블!$G:$J,2,0)*H2723</f>
        <v/>
      </c>
      <c r="M2723" s="20">
        <f>L2723-L2723*VLOOKUP($O2723,매칭테이블!$G:$J,3,0)</f>
        <v/>
      </c>
      <c r="N2723" s="20">
        <f>VLOOKUP($O2723,매칭테이블!$G:$J,4,0)*H2723</f>
        <v/>
      </c>
      <c r="O2723" s="20">
        <f>F2723&amp;E2723&amp;G2723&amp;J2723</f>
        <v/>
      </c>
    </row>
    <row r="2724" ht="16.5" customHeight="1" s="17">
      <c r="B2724" s="16" t="n">
        <v>44202</v>
      </c>
      <c r="C2724" s="20">
        <f>TEXT(B2724,"aaa")</f>
        <v/>
      </c>
      <c r="E2724" s="20">
        <f>INDEX(매칭테이블!C:C,MATCH(RD!G2724,매칭테이블!D:D,0))</f>
        <v/>
      </c>
      <c r="F2724" s="20" t="inlineStr">
        <is>
          <t>카페24</t>
        </is>
      </c>
      <c r="G2724" s="20" t="inlineStr">
        <is>
          <t>유즈 솔리드퍼퓸 - 30ml (11차 예약구매 진행중)향=커플세트</t>
        </is>
      </c>
      <c r="H2724" s="20" t="n">
        <v>4</v>
      </c>
      <c r="I2724" s="20">
        <f>VLOOKUP(G2724,매칭테이블!D:E,2,0)</f>
        <v/>
      </c>
      <c r="J2724" s="20" t="n">
        <v>210101</v>
      </c>
      <c r="L2724" s="20">
        <f>VLOOKUP($O2724,매칭테이블!$G:$J,2,0)*H2724</f>
        <v/>
      </c>
      <c r="M2724" s="20">
        <f>L2724-L2724*VLOOKUP($O2724,매칭테이블!$G:$J,3,0)</f>
        <v/>
      </c>
      <c r="N2724" s="20">
        <f>VLOOKUP($O2724,매칭테이블!$G:$J,4,0)*H2724</f>
        <v/>
      </c>
      <c r="O2724" s="20">
        <f>F2724&amp;E2724&amp;G2724&amp;J2724</f>
        <v/>
      </c>
    </row>
    <row r="2725" ht="16.5" customHeight="1" s="17">
      <c r="B2725" s="16" t="n">
        <v>44202</v>
      </c>
      <c r="C2725" s="20">
        <f>TEXT(B2725,"aaa")</f>
        <v/>
      </c>
      <c r="E2725" s="20">
        <f>INDEX(매칭테이블!C:C,MATCH(RD!G2725,매칭테이블!D:D,0))</f>
        <v/>
      </c>
      <c r="F2725" s="20" t="inlineStr">
        <is>
          <t>카페24</t>
        </is>
      </c>
      <c r="G2725" s="20" t="inlineStr">
        <is>
          <t>유즈 솔리드퍼퓸 - 30ml (11차 예약구매 진행중)향=커플세트(이그나이트 + 스테이포에버), 세트 선택=1 SET</t>
        </is>
      </c>
      <c r="H2725" s="20" t="n">
        <v>7</v>
      </c>
      <c r="I2725" s="20">
        <f>VLOOKUP(G2725,매칭테이블!D:E,2,0)</f>
        <v/>
      </c>
      <c r="J2725" s="20" t="n">
        <v>210101</v>
      </c>
      <c r="L2725" s="20">
        <f>VLOOKUP($O2725,매칭테이블!$G:$J,2,0)*H2725</f>
        <v/>
      </c>
      <c r="M2725" s="20">
        <f>L2725-L2725*VLOOKUP($O2725,매칭테이블!$G:$J,3,0)</f>
        <v/>
      </c>
      <c r="N2725" s="20">
        <f>VLOOKUP($O2725,매칭테이블!$G:$J,4,0)*H2725</f>
        <v/>
      </c>
      <c r="O2725" s="20">
        <f>F2725&amp;E2725&amp;G2725&amp;J2725</f>
        <v/>
      </c>
    </row>
    <row r="2726" ht="16.5" customHeight="1" s="17">
      <c r="B2726" s="16" t="n">
        <v>44202</v>
      </c>
      <c r="C2726" s="20">
        <f>TEXT(B2726,"aaa")</f>
        <v/>
      </c>
      <c r="E2726" s="20">
        <f>INDEX(매칭테이블!C:C,MATCH(RD!G2726,매칭테이블!D:D,0))</f>
        <v/>
      </c>
      <c r="F2726" s="20" t="inlineStr">
        <is>
          <t>카페24</t>
        </is>
      </c>
      <c r="G2726" s="20" t="inlineStr">
        <is>
          <t>유즈 스테이포에버 솔리드퍼퓸 002 (11차 예약구매 진행중)제품선택=스테이포에버 1개</t>
        </is>
      </c>
      <c r="H2726" s="20" t="n">
        <v>355</v>
      </c>
      <c r="I2726" s="20">
        <f>VLOOKUP(G2726,매칭테이블!D:E,2,0)</f>
        <v/>
      </c>
      <c r="J2726" s="20" t="n">
        <v>210101</v>
      </c>
      <c r="L2726" s="20">
        <f>VLOOKUP($O2726,매칭테이블!$G:$J,2,0)*H2726</f>
        <v/>
      </c>
      <c r="M2726" s="20">
        <f>L2726-L2726*VLOOKUP($O2726,매칭테이블!$G:$J,3,0)</f>
        <v/>
      </c>
      <c r="N2726" s="20">
        <f>VLOOKUP($O2726,매칭테이블!$G:$J,4,0)*H2726</f>
        <v/>
      </c>
      <c r="O2726" s="20">
        <f>F2726&amp;E2726&amp;G2726&amp;J2726</f>
        <v/>
      </c>
    </row>
    <row r="2727" ht="16.5" customHeight="1" s="17">
      <c r="B2727" s="16" t="n">
        <v>44202</v>
      </c>
      <c r="C2727" s="20">
        <f>TEXT(B2727,"aaa")</f>
        <v/>
      </c>
      <c r="E2727" s="20">
        <f>INDEX(매칭테이블!C:C,MATCH(RD!G2727,매칭테이블!D:D,0))</f>
        <v/>
      </c>
      <c r="F2727" s="20" t="inlineStr">
        <is>
          <t>카페24</t>
        </is>
      </c>
      <c r="G2727" s="20" t="inlineStr">
        <is>
          <t>유즈 스테이포에버 솔리드퍼퓸 002 (11차 예약구매 진행중)제품선택=best</t>
        </is>
      </c>
      <c r="H2727" s="20" t="n">
        <v>70</v>
      </c>
      <c r="I2727" s="20">
        <f>VLOOKUP(G2727,매칭테이블!D:E,2,0)</f>
        <v/>
      </c>
      <c r="J2727" s="20" t="n">
        <v>210101</v>
      </c>
      <c r="L2727" s="20">
        <f>VLOOKUP($O2727,매칭테이블!$G:$J,2,0)*H2727</f>
        <v/>
      </c>
      <c r="M2727" s="20">
        <f>L2727-L2727*VLOOKUP($O2727,매칭테이블!$G:$J,3,0)</f>
        <v/>
      </c>
      <c r="N2727" s="20">
        <f>VLOOKUP($O2727,매칭테이블!$G:$J,4,0)*H2727</f>
        <v/>
      </c>
      <c r="O2727" s="20">
        <f>F2727&amp;E2727&amp;G2727&amp;J2727</f>
        <v/>
      </c>
    </row>
    <row r="2728" ht="16.5" customHeight="1" s="17">
      <c r="B2728" s="16" t="n">
        <v>44202</v>
      </c>
      <c r="C2728" s="20">
        <f>TEXT(B2728,"aaa")</f>
        <v/>
      </c>
      <c r="E2728" s="20">
        <f>INDEX(매칭테이블!C:C,MATCH(RD!G2728,매칭테이블!D:D,0))</f>
        <v/>
      </c>
      <c r="F2728" s="20" t="inlineStr">
        <is>
          <t>카페24</t>
        </is>
      </c>
      <c r="G2728" s="20" t="inlineStr">
        <is>
          <t>유즈 스테이포에버 솔리드퍼퓸 002 (11차 예약구매 진행중)제품선택=best스테이포에버 2개[28% 할인]</t>
        </is>
      </c>
      <c r="H2728" s="20" t="n">
        <v>116</v>
      </c>
      <c r="I2728" s="20">
        <f>VLOOKUP(G2728,매칭테이블!D:E,2,0)</f>
        <v/>
      </c>
      <c r="J2728" s="20" t="n">
        <v>210101</v>
      </c>
      <c r="L2728" s="20">
        <f>VLOOKUP($O2728,매칭테이블!$G:$J,2,0)*H2728</f>
        <v/>
      </c>
      <c r="M2728" s="20">
        <f>L2728-L2728*VLOOKUP($O2728,매칭테이블!$G:$J,3,0)</f>
        <v/>
      </c>
      <c r="N2728" s="20">
        <f>VLOOKUP($O2728,매칭테이블!$G:$J,4,0)*H2728</f>
        <v/>
      </c>
      <c r="O2728" s="20">
        <f>F2728&amp;E2728&amp;G2728&amp;J2728</f>
        <v/>
      </c>
    </row>
    <row r="2729" ht="16.5" customHeight="1" s="17">
      <c r="B2729" s="16" t="n">
        <v>44202</v>
      </c>
      <c r="C2729" s="20">
        <f>TEXT(B2729,"aaa")</f>
        <v/>
      </c>
      <c r="E2729" s="20">
        <f>INDEX(매칭테이블!C:C,MATCH(RD!G2729,매칭테이블!D:D,0))</f>
        <v/>
      </c>
      <c r="F2729" s="20" t="inlineStr">
        <is>
          <t>카페24</t>
        </is>
      </c>
      <c r="G2729" s="20" t="inlineStr">
        <is>
          <t>유즈 스테이포에버 솔리드퍼퓸 002 (11차 예약구매 진행중)제품선택=커플추천</t>
        </is>
      </c>
      <c r="H2729" s="20" t="n">
        <v>13</v>
      </c>
      <c r="I2729" s="20">
        <f>VLOOKUP(G2729,매칭테이블!D:E,2,0)</f>
        <v/>
      </c>
      <c r="J2729" s="20" t="n">
        <v>210101</v>
      </c>
      <c r="L2729" s="20">
        <f>VLOOKUP($O2729,매칭테이블!$G:$J,2,0)*H2729</f>
        <v/>
      </c>
      <c r="M2729" s="20">
        <f>L2729-L2729*VLOOKUP($O2729,매칭테이블!$G:$J,3,0)</f>
        <v/>
      </c>
      <c r="N2729" s="20">
        <f>VLOOKUP($O2729,매칭테이블!$G:$J,4,0)*H2729</f>
        <v/>
      </c>
      <c r="O2729" s="20">
        <f>F2729&amp;E2729&amp;G2729&amp;J2729</f>
        <v/>
      </c>
    </row>
    <row r="2730" ht="16.5" customHeight="1" s="17">
      <c r="B2730" s="16" t="n">
        <v>44202</v>
      </c>
      <c r="C2730" s="20">
        <f>TEXT(B2730,"aaa")</f>
        <v/>
      </c>
      <c r="E2730" s="20">
        <f>INDEX(매칭테이블!C:C,MATCH(RD!G2730,매칭테이블!D:D,0))</f>
        <v/>
      </c>
      <c r="F2730" s="20" t="inlineStr">
        <is>
          <t>카페24</t>
        </is>
      </c>
      <c r="G2730" s="20" t="inlineStr">
        <is>
          <t>유즈 스테이포에버 솔리드퍼퓸 002 (11차 예약구매 진행중)제품선택=커플추천스테이포에버 + 이그나이트 세트</t>
        </is>
      </c>
      <c r="H2730" s="20" t="n">
        <v>18</v>
      </c>
      <c r="I2730" s="20">
        <f>VLOOKUP(G2730,매칭테이블!D:E,2,0)</f>
        <v/>
      </c>
      <c r="J2730" s="20" t="n">
        <v>210101</v>
      </c>
      <c r="L2730" s="20">
        <f>VLOOKUP($O2730,매칭테이블!$G:$J,2,0)*H2730</f>
        <v/>
      </c>
      <c r="M2730" s="20">
        <f>L2730-L2730*VLOOKUP($O2730,매칭테이블!$G:$J,3,0)</f>
        <v/>
      </c>
      <c r="N2730" s="20">
        <f>VLOOKUP($O2730,매칭테이블!$G:$J,4,0)*H2730</f>
        <v/>
      </c>
      <c r="O2730" s="20">
        <f>F2730&amp;E2730&amp;G2730&amp;J2730</f>
        <v/>
      </c>
    </row>
    <row r="2731" ht="16.5" customHeight="1" s="17">
      <c r="B2731" s="16" t="n">
        <v>44202</v>
      </c>
      <c r="C2731" s="20">
        <f>TEXT(B2731,"aaa")</f>
        <v/>
      </c>
      <c r="E2731" s="20">
        <f>INDEX(매칭테이블!C:C,MATCH(RD!G2731,매칭테이블!D:D,0))</f>
        <v/>
      </c>
      <c r="F2731" s="20" t="inlineStr">
        <is>
          <t>카페24</t>
        </is>
      </c>
      <c r="G2731" s="20" t="inlineStr">
        <is>
          <t>유즈 스테이포에버 솔리드퍼퓸 002 (11차 예약구매 진행중)쇼핑백=선물용 쇼핑백</t>
        </is>
      </c>
      <c r="H2731" s="20" t="n">
        <v>15</v>
      </c>
      <c r="I2731" s="20">
        <f>VLOOKUP(G2731,매칭테이블!D:E,2,0)</f>
        <v/>
      </c>
      <c r="J2731" s="20" t="n">
        <v>210101</v>
      </c>
      <c r="L2731" s="20">
        <f>VLOOKUP($O2731,매칭테이블!$G:$J,2,0)*H2731</f>
        <v/>
      </c>
      <c r="M2731" s="20">
        <f>L2731-L2731*VLOOKUP($O2731,매칭테이블!$G:$J,3,0)</f>
        <v/>
      </c>
      <c r="N2731" s="20">
        <f>VLOOKUP($O2731,매칭테이블!$G:$J,4,0)*H2731</f>
        <v/>
      </c>
      <c r="O2731" s="20">
        <f>F2731&amp;E2731&amp;G2731&amp;J2731</f>
        <v/>
      </c>
    </row>
    <row r="2732" ht="16.5" customHeight="1" s="17">
      <c r="B2732" s="16" t="n">
        <v>44202</v>
      </c>
      <c r="C2732" s="20">
        <f>TEXT(B2732,"aaa")</f>
        <v/>
      </c>
      <c r="E2732" s="20">
        <f>INDEX(매칭테이블!C:C,MATCH(RD!G2732,매칭테이블!D:D,0))</f>
        <v/>
      </c>
      <c r="F2732" s="20" t="inlineStr">
        <is>
          <t>카페24</t>
        </is>
      </c>
      <c r="G2732" s="20" t="inlineStr">
        <is>
          <t>유즈 이그나이트 솔리드퍼퓸 001제품선택=이그나이트 솔리드퍼퓸 - 30ml</t>
        </is>
      </c>
      <c r="H2732" s="20" t="n">
        <v>6</v>
      </c>
      <c r="I2732" s="20">
        <f>VLOOKUP(G2732,매칭테이블!D:E,2,0)</f>
        <v/>
      </c>
      <c r="J2732" s="20" t="n">
        <v>210101</v>
      </c>
      <c r="L2732" s="20">
        <f>VLOOKUP($O2732,매칭테이블!$G:$J,2,0)*H2732</f>
        <v/>
      </c>
      <c r="M2732" s="20">
        <f>L2732-L2732*VLOOKUP($O2732,매칭테이블!$G:$J,3,0)</f>
        <v/>
      </c>
      <c r="N2732" s="20">
        <f>VLOOKUP($O2732,매칭테이블!$G:$J,4,0)*H2732</f>
        <v/>
      </c>
      <c r="O2732" s="20">
        <f>F2732&amp;E2732&amp;G2732&amp;J2732</f>
        <v/>
      </c>
    </row>
    <row r="2733" ht="16.5" customHeight="1" s="17">
      <c r="B2733" s="16" t="n">
        <v>44202</v>
      </c>
      <c r="C2733" s="20">
        <f>TEXT(B2733,"aaa")</f>
        <v/>
      </c>
      <c r="E2733" s="20">
        <f>INDEX(매칭테이블!C:C,MATCH(RD!G2733,매칭테이블!D:D,0))</f>
        <v/>
      </c>
      <c r="F2733" s="20" t="inlineStr">
        <is>
          <t>카페24</t>
        </is>
      </c>
      <c r="G2733" s="20" t="inlineStr">
        <is>
          <t>유즈 이그나이트 솔리드퍼퓸 001제품선택=이그나이트 2개 세트</t>
        </is>
      </c>
      <c r="H2733" s="20" t="n">
        <v>1</v>
      </c>
      <c r="I2733" s="20">
        <f>VLOOKUP(G2733,매칭테이블!D:E,2,0)</f>
        <v/>
      </c>
      <c r="J2733" s="20" t="n">
        <v>210101</v>
      </c>
      <c r="L2733" s="20">
        <f>VLOOKUP($O2733,매칭테이블!$G:$J,2,0)*H2733</f>
        <v/>
      </c>
      <c r="M2733" s="20">
        <f>L2733-L2733*VLOOKUP($O2733,매칭테이블!$G:$J,3,0)</f>
        <v/>
      </c>
      <c r="N2733" s="20">
        <f>VLOOKUP($O2733,매칭테이블!$G:$J,4,0)*H2733</f>
        <v/>
      </c>
      <c r="O2733" s="20">
        <f>F2733&amp;E2733&amp;G2733&amp;J2733</f>
        <v/>
      </c>
    </row>
    <row r="2734" ht="16.5" customHeight="1" s="17">
      <c r="B2734" s="16" t="n">
        <v>44202</v>
      </c>
      <c r="C2734" s="20">
        <f>TEXT(B2734,"aaa")</f>
        <v/>
      </c>
      <c r="E2734" s="20">
        <f>INDEX(매칭테이블!C:C,MATCH(RD!G2734,매칭테이블!D:D,0))</f>
        <v/>
      </c>
      <c r="F2734" s="20" t="inlineStr">
        <is>
          <t>카페24</t>
        </is>
      </c>
      <c r="G2734" s="20" t="inlineStr">
        <is>
          <t>유즈 이그나이트 솔리드퍼퓸 001쇼핑백=선물용 쇼핑백</t>
        </is>
      </c>
      <c r="H2734" s="20" t="n">
        <v>1</v>
      </c>
      <c r="I2734" s="20">
        <f>VLOOKUP(G2734,매칭테이블!D:E,2,0)</f>
        <v/>
      </c>
      <c r="J2734" s="20" t="n">
        <v>210101</v>
      </c>
      <c r="L2734" s="20">
        <f>VLOOKUP($O2734,매칭테이블!$G:$J,2,0)*H2734</f>
        <v/>
      </c>
      <c r="M2734" s="20">
        <f>L2734-L2734*VLOOKUP($O2734,매칭테이블!$G:$J,3,0)</f>
        <v/>
      </c>
      <c r="N2734" s="20">
        <f>VLOOKUP($O2734,매칭테이블!$G:$J,4,0)*H2734</f>
        <v/>
      </c>
      <c r="O2734" s="20">
        <f>F2734&amp;E2734&amp;G2734&amp;J2734</f>
        <v/>
      </c>
    </row>
    <row r="2735" ht="16.5" customHeight="1" s="17">
      <c r="B2735" s="16" t="n">
        <v>44203</v>
      </c>
      <c r="C2735" s="20">
        <f>TEXT(B2735,"aaa")</f>
        <v/>
      </c>
      <c r="E2735" s="20">
        <f>INDEX(매칭테이블!C:C,MATCH(RD!G2735,매칭테이블!D:D,0))</f>
        <v/>
      </c>
      <c r="F2735" s="20" t="inlineStr">
        <is>
          <t>유즈 CS</t>
        </is>
      </c>
      <c r="G2735" s="20" t="inlineStr">
        <is>
          <t>솔리드퍼퓸 스테이포에버 002 30ml</t>
        </is>
      </c>
      <c r="H2735" s="20" t="n">
        <v>2</v>
      </c>
      <c r="I2735" s="20">
        <f>VLOOKUP(G2735,매칭테이블!D:E,2,0)</f>
        <v/>
      </c>
      <c r="J2735" s="20" t="n">
        <v>210101</v>
      </c>
      <c r="L2735" s="20">
        <f>VLOOKUP($O2735,매칭테이블!$G:$J,2,0)*H2735</f>
        <v/>
      </c>
      <c r="M2735" s="20">
        <f>L2735-L2735*VLOOKUP($O2735,매칭테이블!$G:$J,3,0)</f>
        <v/>
      </c>
      <c r="N2735" s="20">
        <f>VLOOKUP($O2735,매칭테이블!$G:$J,4,0)*H2735</f>
        <v/>
      </c>
      <c r="O2735" s="20">
        <f>F2735&amp;E2735&amp;G2735&amp;J2735</f>
        <v/>
      </c>
    </row>
    <row r="2736" ht="16.5" customHeight="1" s="17">
      <c r="B2736" s="16" t="n">
        <v>44203</v>
      </c>
      <c r="C2736" s="20">
        <f>TEXT(B2736,"aaa")</f>
        <v/>
      </c>
      <c r="E2736" s="20">
        <f>INDEX(매칭테이블!C:C,MATCH(RD!G2736,매칭테이블!D:D,0))</f>
        <v/>
      </c>
      <c r="F2736" s="20" t="inlineStr">
        <is>
          <t>카페24</t>
        </is>
      </c>
      <c r="G2736" s="20" t="inlineStr">
        <is>
          <t>유즈 솔리드퍼퓸 - 30ml (11차 예약구매 진행중)향=이그나이트 001 SOLID PERFUME, 세트 선택=best</t>
        </is>
      </c>
      <c r="H2736" s="20" t="n">
        <v>1</v>
      </c>
      <c r="I2736" s="20">
        <f>VLOOKUP(G2736,매칭테이블!D:E,2,0)</f>
        <v/>
      </c>
      <c r="J2736" s="20" t="n">
        <v>210101</v>
      </c>
      <c r="L2736" s="20">
        <f>VLOOKUP($O2736,매칭테이블!$G:$J,2,0)*H2736</f>
        <v/>
      </c>
      <c r="M2736" s="20">
        <f>L2736-L2736*VLOOKUP($O2736,매칭테이블!$G:$J,3,0)</f>
        <v/>
      </c>
      <c r="N2736" s="20">
        <f>VLOOKUP($O2736,매칭테이블!$G:$J,4,0)*H2736</f>
        <v/>
      </c>
      <c r="O2736" s="20">
        <f>F2736&amp;E2736&amp;G2736&amp;J2736</f>
        <v/>
      </c>
    </row>
    <row r="2737" ht="16.5" customHeight="1" s="17">
      <c r="B2737" s="16" t="n">
        <v>44203</v>
      </c>
      <c r="C2737" s="20">
        <f>TEXT(B2737,"aaa")</f>
        <v/>
      </c>
      <c r="E2737" s="20">
        <f>INDEX(매칭테이블!C:C,MATCH(RD!G2737,매칭테이블!D:D,0))</f>
        <v/>
      </c>
      <c r="F2737" s="20" t="inlineStr">
        <is>
          <t>카페24</t>
        </is>
      </c>
      <c r="G2737" s="20" t="inlineStr">
        <is>
          <t>유즈 솔리드퍼퓸 - 30ml (11차 예약구매 진행중)향=스테이포에버 002 SOLID PERFUME, 세트 선택=1개</t>
        </is>
      </c>
      <c r="H2737" s="20" t="n">
        <v>10</v>
      </c>
      <c r="I2737" s="20">
        <f>VLOOKUP(G2737,매칭테이블!D:E,2,0)</f>
        <v/>
      </c>
      <c r="J2737" s="20" t="n">
        <v>210101</v>
      </c>
      <c r="L2737" s="20">
        <f>VLOOKUP($O2737,매칭테이블!$G:$J,2,0)*H2737</f>
        <v/>
      </c>
      <c r="M2737" s="20">
        <f>L2737-L2737*VLOOKUP($O2737,매칭테이블!$G:$J,3,0)</f>
        <v/>
      </c>
      <c r="N2737" s="20">
        <f>VLOOKUP($O2737,매칭테이블!$G:$J,4,0)*H2737</f>
        <v/>
      </c>
      <c r="O2737" s="20">
        <f>F2737&amp;E2737&amp;G2737&amp;J2737</f>
        <v/>
      </c>
    </row>
    <row r="2738" ht="16.5" customHeight="1" s="17">
      <c r="B2738" s="16" t="n">
        <v>44203</v>
      </c>
      <c r="C2738" s="20">
        <f>TEXT(B2738,"aaa")</f>
        <v/>
      </c>
      <c r="E2738" s="20">
        <f>INDEX(매칭테이블!C:C,MATCH(RD!G2738,매칭테이블!D:D,0))</f>
        <v/>
      </c>
      <c r="F2738" s="20" t="inlineStr">
        <is>
          <t>카페24</t>
        </is>
      </c>
      <c r="G2738" s="20" t="inlineStr">
        <is>
          <t>유즈 솔리드퍼퓸 - 30ml (11차 예약구매 진행중)향=스테이포에버 002 SOLID PERFUME, 세트 선택=best</t>
        </is>
      </c>
      <c r="H2738" s="20" t="n">
        <v>4</v>
      </c>
      <c r="I2738" s="20">
        <f>VLOOKUP(G2738,매칭테이블!D:E,2,0)</f>
        <v/>
      </c>
      <c r="J2738" s="20" t="n">
        <v>210101</v>
      </c>
      <c r="L2738" s="20">
        <f>VLOOKUP($O2738,매칭테이블!$G:$J,2,0)*H2738</f>
        <v/>
      </c>
      <c r="M2738" s="20">
        <f>L2738-L2738*VLOOKUP($O2738,매칭테이블!$G:$J,3,0)</f>
        <v/>
      </c>
      <c r="N2738" s="20">
        <f>VLOOKUP($O2738,매칭테이블!$G:$J,4,0)*H2738</f>
        <v/>
      </c>
      <c r="O2738" s="20">
        <f>F2738&amp;E2738&amp;G2738&amp;J2738</f>
        <v/>
      </c>
    </row>
    <row r="2739" ht="16.5" customHeight="1" s="17">
      <c r="B2739" s="16" t="n">
        <v>44203</v>
      </c>
      <c r="C2739" s="20">
        <f>TEXT(B2739,"aaa")</f>
        <v/>
      </c>
      <c r="E2739" s="20">
        <f>INDEX(매칭테이블!C:C,MATCH(RD!G2739,매칭테이블!D:D,0))</f>
        <v/>
      </c>
      <c r="F2739" s="20" t="inlineStr">
        <is>
          <t>카페24</t>
        </is>
      </c>
      <c r="G2739" s="20" t="inlineStr">
        <is>
          <t>유즈 솔리드퍼퓸 - 30ml (11차 예약구매 진행중)향=스테이포에버 002 SOLID PERFUME, 세트 선택=best 2개 (28% 할인)</t>
        </is>
      </c>
      <c r="H2739" s="20" t="n">
        <v>1</v>
      </c>
      <c r="I2739" s="20">
        <f>VLOOKUP(G2739,매칭테이블!D:E,2,0)</f>
        <v/>
      </c>
      <c r="J2739" s="20" t="n">
        <v>210101</v>
      </c>
      <c r="L2739" s="20">
        <f>VLOOKUP($O2739,매칭테이블!$G:$J,2,0)*H2739</f>
        <v/>
      </c>
      <c r="M2739" s="20">
        <f>L2739-L2739*VLOOKUP($O2739,매칭테이블!$G:$J,3,0)</f>
        <v/>
      </c>
      <c r="N2739" s="20">
        <f>VLOOKUP($O2739,매칭테이블!$G:$J,4,0)*H2739</f>
        <v/>
      </c>
      <c r="O2739" s="20">
        <f>F2739&amp;E2739&amp;G2739&amp;J2739</f>
        <v/>
      </c>
    </row>
    <row r="2740" ht="16.5" customHeight="1" s="17">
      <c r="B2740" s="16" t="n">
        <v>44203</v>
      </c>
      <c r="C2740" s="20">
        <f>TEXT(B2740,"aaa")</f>
        <v/>
      </c>
      <c r="E2740" s="20">
        <f>INDEX(매칭테이블!C:C,MATCH(RD!G2740,매칭테이블!D:D,0))</f>
        <v/>
      </c>
      <c r="F2740" s="20" t="inlineStr">
        <is>
          <t>카페24</t>
        </is>
      </c>
      <c r="G2740" s="20" t="inlineStr">
        <is>
          <t>유즈 솔리드퍼퓸 - 30ml (11차 예약구매 진행중)향=커플세트</t>
        </is>
      </c>
      <c r="H2740" s="20" t="n">
        <v>3</v>
      </c>
      <c r="I2740" s="20">
        <f>VLOOKUP(G2740,매칭테이블!D:E,2,0)</f>
        <v/>
      </c>
      <c r="J2740" s="20" t="n">
        <v>210101</v>
      </c>
      <c r="L2740" s="20">
        <f>VLOOKUP($O2740,매칭테이블!$G:$J,2,0)*H2740</f>
        <v/>
      </c>
      <c r="M2740" s="20">
        <f>L2740-L2740*VLOOKUP($O2740,매칭테이블!$G:$J,3,0)</f>
        <v/>
      </c>
      <c r="N2740" s="20">
        <f>VLOOKUP($O2740,매칭테이블!$G:$J,4,0)*H2740</f>
        <v/>
      </c>
      <c r="O2740" s="20">
        <f>F2740&amp;E2740&amp;G2740&amp;J2740</f>
        <v/>
      </c>
    </row>
    <row r="2741" ht="16.5" customHeight="1" s="17">
      <c r="B2741" s="16" t="n">
        <v>44203</v>
      </c>
      <c r="C2741" s="20">
        <f>TEXT(B2741,"aaa")</f>
        <v/>
      </c>
      <c r="E2741" s="20">
        <f>INDEX(매칭테이블!C:C,MATCH(RD!G2741,매칭테이블!D:D,0))</f>
        <v/>
      </c>
      <c r="F2741" s="20" t="inlineStr">
        <is>
          <t>카페24</t>
        </is>
      </c>
      <c r="G2741" s="20" t="inlineStr">
        <is>
          <t>유즈 솔리드퍼퓸 - 30ml (11차 예약구매 진행중)향=커플세트(이그나이트 + 스테이포에버), 세트 선택=1 SET</t>
        </is>
      </c>
      <c r="H2741" s="20" t="n">
        <v>4</v>
      </c>
      <c r="I2741" s="20">
        <f>VLOOKUP(G2741,매칭테이블!D:E,2,0)</f>
        <v/>
      </c>
      <c r="J2741" s="20" t="n">
        <v>210101</v>
      </c>
      <c r="L2741" s="20">
        <f>VLOOKUP($O2741,매칭테이블!$G:$J,2,0)*H2741</f>
        <v/>
      </c>
      <c r="M2741" s="20">
        <f>L2741-L2741*VLOOKUP($O2741,매칭테이블!$G:$J,3,0)</f>
        <v/>
      </c>
      <c r="N2741" s="20">
        <f>VLOOKUP($O2741,매칭테이블!$G:$J,4,0)*H2741</f>
        <v/>
      </c>
      <c r="O2741" s="20">
        <f>F2741&amp;E2741&amp;G2741&amp;J2741</f>
        <v/>
      </c>
    </row>
    <row r="2742" ht="16.5" customHeight="1" s="17">
      <c r="B2742" s="16" t="n">
        <v>44203</v>
      </c>
      <c r="C2742" s="20">
        <f>TEXT(B2742,"aaa")</f>
        <v/>
      </c>
      <c r="E2742" s="20">
        <f>INDEX(매칭테이블!C:C,MATCH(RD!G2742,매칭테이블!D:D,0))</f>
        <v/>
      </c>
      <c r="F2742" s="20" t="inlineStr">
        <is>
          <t>카페24</t>
        </is>
      </c>
      <c r="G2742" s="20" t="inlineStr">
        <is>
          <t>유즈 스테이포에버 솔리드퍼퓸 002 (11차 예약구매 진행중)제품선택=스테이포에버 1개</t>
        </is>
      </c>
      <c r="H2742" s="20" t="n">
        <v>351</v>
      </c>
      <c r="I2742" s="20">
        <f>VLOOKUP(G2742,매칭테이블!D:E,2,0)</f>
        <v/>
      </c>
      <c r="J2742" s="20" t="n">
        <v>210101</v>
      </c>
      <c r="L2742" s="20">
        <f>VLOOKUP($O2742,매칭테이블!$G:$J,2,0)*H2742</f>
        <v/>
      </c>
      <c r="M2742" s="20">
        <f>L2742-L2742*VLOOKUP($O2742,매칭테이블!$G:$J,3,0)</f>
        <v/>
      </c>
      <c r="N2742" s="20">
        <f>VLOOKUP($O2742,매칭테이블!$G:$J,4,0)*H2742</f>
        <v/>
      </c>
      <c r="O2742" s="20">
        <f>F2742&amp;E2742&amp;G2742&amp;J2742</f>
        <v/>
      </c>
    </row>
    <row r="2743" ht="16.5" customHeight="1" s="17">
      <c r="B2743" s="16" t="n">
        <v>44203</v>
      </c>
      <c r="C2743" s="20">
        <f>TEXT(B2743,"aaa")</f>
        <v/>
      </c>
      <c r="E2743" s="20">
        <f>INDEX(매칭테이블!C:C,MATCH(RD!G2743,매칭테이블!D:D,0))</f>
        <v/>
      </c>
      <c r="F2743" s="20" t="inlineStr">
        <is>
          <t>카페24</t>
        </is>
      </c>
      <c r="G2743" s="20" t="inlineStr">
        <is>
          <t>유즈 스테이포에버 솔리드퍼퓸 002 (11차 예약구매 진행중)제품선택=best</t>
        </is>
      </c>
      <c r="H2743" s="20" t="n">
        <v>82</v>
      </c>
      <c r="I2743" s="20">
        <f>VLOOKUP(G2743,매칭테이블!D:E,2,0)</f>
        <v/>
      </c>
      <c r="J2743" s="20" t="n">
        <v>210101</v>
      </c>
      <c r="L2743" s="20">
        <f>VLOOKUP($O2743,매칭테이블!$G:$J,2,0)*H2743</f>
        <v/>
      </c>
      <c r="M2743" s="20">
        <f>L2743-L2743*VLOOKUP($O2743,매칭테이블!$G:$J,3,0)</f>
        <v/>
      </c>
      <c r="N2743" s="20">
        <f>VLOOKUP($O2743,매칭테이블!$G:$J,4,0)*H2743</f>
        <v/>
      </c>
      <c r="O2743" s="20">
        <f>F2743&amp;E2743&amp;G2743&amp;J2743</f>
        <v/>
      </c>
    </row>
    <row r="2744" ht="16.5" customHeight="1" s="17">
      <c r="B2744" s="16" t="n">
        <v>44203</v>
      </c>
      <c r="C2744" s="20">
        <f>TEXT(B2744,"aaa")</f>
        <v/>
      </c>
      <c r="E2744" s="20">
        <f>INDEX(매칭테이블!C:C,MATCH(RD!G2744,매칭테이블!D:D,0))</f>
        <v/>
      </c>
      <c r="F2744" s="20" t="inlineStr">
        <is>
          <t>카페24</t>
        </is>
      </c>
      <c r="G2744" s="20" t="inlineStr">
        <is>
          <t>유즈 스테이포에버 솔리드퍼퓸 002 (11차 예약구매 진행중)제품선택=best스테이포에버 2개[28% 할인]</t>
        </is>
      </c>
      <c r="H2744" s="20" t="n">
        <v>115</v>
      </c>
      <c r="I2744" s="20">
        <f>VLOOKUP(G2744,매칭테이블!D:E,2,0)</f>
        <v/>
      </c>
      <c r="J2744" s="20" t="n">
        <v>210101</v>
      </c>
      <c r="L2744" s="20">
        <f>VLOOKUP($O2744,매칭테이블!$G:$J,2,0)*H2744</f>
        <v/>
      </c>
      <c r="M2744" s="20">
        <f>L2744-L2744*VLOOKUP($O2744,매칭테이블!$G:$J,3,0)</f>
        <v/>
      </c>
      <c r="N2744" s="20">
        <f>VLOOKUP($O2744,매칭테이블!$G:$J,4,0)*H2744</f>
        <v/>
      </c>
      <c r="O2744" s="20">
        <f>F2744&amp;E2744&amp;G2744&amp;J2744</f>
        <v/>
      </c>
    </row>
    <row r="2745" ht="16.5" customHeight="1" s="17">
      <c r="B2745" s="16" t="n">
        <v>44203</v>
      </c>
      <c r="C2745" s="20">
        <f>TEXT(B2745,"aaa")</f>
        <v/>
      </c>
      <c r="E2745" s="20">
        <f>INDEX(매칭테이블!C:C,MATCH(RD!G2745,매칭테이블!D:D,0))</f>
        <v/>
      </c>
      <c r="F2745" s="20" t="inlineStr">
        <is>
          <t>카페24</t>
        </is>
      </c>
      <c r="G2745" s="20" t="inlineStr">
        <is>
          <t>유즈 스테이포에버 솔리드퍼퓸 002 (11차 예약구매 진행중)제품선택=커플추천</t>
        </is>
      </c>
      <c r="H2745" s="20" t="n">
        <v>7</v>
      </c>
      <c r="I2745" s="20">
        <f>VLOOKUP(G2745,매칭테이블!D:E,2,0)</f>
        <v/>
      </c>
      <c r="J2745" s="20" t="n">
        <v>210101</v>
      </c>
      <c r="L2745" s="20">
        <f>VLOOKUP($O2745,매칭테이블!$G:$J,2,0)*H2745</f>
        <v/>
      </c>
      <c r="M2745" s="20">
        <f>L2745-L2745*VLOOKUP($O2745,매칭테이블!$G:$J,3,0)</f>
        <v/>
      </c>
      <c r="N2745" s="20">
        <f>VLOOKUP($O2745,매칭테이블!$G:$J,4,0)*H2745</f>
        <v/>
      </c>
      <c r="O2745" s="20">
        <f>F2745&amp;E2745&amp;G2745&amp;J2745</f>
        <v/>
      </c>
    </row>
    <row r="2746" ht="16.5" customHeight="1" s="17">
      <c r="B2746" s="16" t="n">
        <v>44203</v>
      </c>
      <c r="C2746" s="20">
        <f>TEXT(B2746,"aaa")</f>
        <v/>
      </c>
      <c r="E2746" s="20">
        <f>INDEX(매칭테이블!C:C,MATCH(RD!G2746,매칭테이블!D:D,0))</f>
        <v/>
      </c>
      <c r="F2746" s="20" t="inlineStr">
        <is>
          <t>카페24</t>
        </is>
      </c>
      <c r="G2746" s="20" t="inlineStr">
        <is>
          <t>유즈 스테이포에버 솔리드퍼퓸 002 (11차 예약구매 진행중)제품선택=커플추천스테이포에버 + 이그나이트 세트</t>
        </is>
      </c>
      <c r="H2746" s="20" t="n">
        <v>17</v>
      </c>
      <c r="I2746" s="20">
        <f>VLOOKUP(G2746,매칭테이블!D:E,2,0)</f>
        <v/>
      </c>
      <c r="J2746" s="20" t="n">
        <v>210101</v>
      </c>
      <c r="L2746" s="20">
        <f>VLOOKUP($O2746,매칭테이블!$G:$J,2,0)*H2746</f>
        <v/>
      </c>
      <c r="M2746" s="20">
        <f>L2746-L2746*VLOOKUP($O2746,매칭테이블!$G:$J,3,0)</f>
        <v/>
      </c>
      <c r="N2746" s="20">
        <f>VLOOKUP($O2746,매칭테이블!$G:$J,4,0)*H2746</f>
        <v/>
      </c>
      <c r="O2746" s="20">
        <f>F2746&amp;E2746&amp;G2746&amp;J2746</f>
        <v/>
      </c>
    </row>
    <row r="2747" ht="16.5" customHeight="1" s="17">
      <c r="B2747" s="16" t="n">
        <v>44203</v>
      </c>
      <c r="C2747" s="20">
        <f>TEXT(B2747,"aaa")</f>
        <v/>
      </c>
      <c r="E2747" s="20">
        <f>INDEX(매칭테이블!C:C,MATCH(RD!G2747,매칭테이블!D:D,0))</f>
        <v/>
      </c>
      <c r="F2747" s="20" t="inlineStr">
        <is>
          <t>카페24</t>
        </is>
      </c>
      <c r="G2747" s="20" t="inlineStr">
        <is>
          <t>유즈 스테이포에버 솔리드퍼퓸 002 (11차 예약구매 진행중)쇼핑백=선물용 쇼핑백</t>
        </is>
      </c>
      <c r="H2747" s="20" t="n">
        <v>9</v>
      </c>
      <c r="I2747" s="20">
        <f>VLOOKUP(G2747,매칭테이블!D:E,2,0)</f>
        <v/>
      </c>
      <c r="J2747" s="20" t="n">
        <v>210101</v>
      </c>
      <c r="L2747" s="20">
        <f>VLOOKUP($O2747,매칭테이블!$G:$J,2,0)*H2747</f>
        <v/>
      </c>
      <c r="M2747" s="20">
        <f>L2747-L2747*VLOOKUP($O2747,매칭테이블!$G:$J,3,0)</f>
        <v/>
      </c>
      <c r="N2747" s="20">
        <f>VLOOKUP($O2747,매칭테이블!$G:$J,4,0)*H2747</f>
        <v/>
      </c>
      <c r="O2747" s="20">
        <f>F2747&amp;E2747&amp;G2747&amp;J2747</f>
        <v/>
      </c>
    </row>
    <row r="2748" ht="16.5" customHeight="1" s="17">
      <c r="B2748" s="16" t="n">
        <v>44203</v>
      </c>
      <c r="C2748" s="20">
        <f>TEXT(B2748,"aaa")</f>
        <v/>
      </c>
      <c r="E2748" s="20">
        <f>INDEX(매칭테이블!C:C,MATCH(RD!G2748,매칭테이블!D:D,0))</f>
        <v/>
      </c>
      <c r="F2748" s="20" t="inlineStr">
        <is>
          <t>카페24</t>
        </is>
      </c>
      <c r="G2748" s="20" t="inlineStr">
        <is>
          <t>유즈 이그나이트 솔리드퍼퓸 001제품선택=이그나이트 솔리드퍼퓸 - 30ml</t>
        </is>
      </c>
      <c r="H2748" s="20" t="n">
        <v>5</v>
      </c>
      <c r="I2748" s="20">
        <f>VLOOKUP(G2748,매칭테이블!D:E,2,0)</f>
        <v/>
      </c>
      <c r="J2748" s="20" t="n">
        <v>210101</v>
      </c>
      <c r="L2748" s="20">
        <f>VLOOKUP($O2748,매칭테이블!$G:$J,2,0)*H2748</f>
        <v/>
      </c>
      <c r="M2748" s="20">
        <f>L2748-L2748*VLOOKUP($O2748,매칭테이블!$G:$J,3,0)</f>
        <v/>
      </c>
      <c r="N2748" s="20">
        <f>VLOOKUP($O2748,매칭테이블!$G:$J,4,0)*H2748</f>
        <v/>
      </c>
      <c r="O2748" s="20">
        <f>F2748&amp;E2748&amp;G2748&amp;J2748</f>
        <v/>
      </c>
    </row>
    <row r="2749" ht="16.5" customHeight="1" s="17">
      <c r="B2749" s="16" t="n">
        <v>44204</v>
      </c>
      <c r="C2749" s="20">
        <f>TEXT(B2749,"aaa")</f>
        <v/>
      </c>
      <c r="E2749" s="20">
        <f>INDEX(매칭테이블!C:C,MATCH(RD!G2749,매칭테이블!D:D,0))</f>
        <v/>
      </c>
      <c r="F2749" s="20" t="inlineStr">
        <is>
          <t>카페24</t>
        </is>
      </c>
      <c r="G2749" s="20" t="inlineStr">
        <is>
          <t>유즈 솔리드퍼퓸 - 30ml (11차 예약구매 진행중)향=이그나이트 001 SOLID PERFUME, 세트 선택=1개</t>
        </is>
      </c>
      <c r="H2749" s="20" t="n">
        <v>2</v>
      </c>
      <c r="I2749" s="20">
        <f>VLOOKUP(G2749,매칭테이블!D:E,2,0)</f>
        <v/>
      </c>
      <c r="J2749" s="20" t="n">
        <v>210101</v>
      </c>
      <c r="L2749" s="20">
        <f>VLOOKUP($O2749,매칭테이블!$G:$J,2,0)*H2749</f>
        <v/>
      </c>
      <c r="M2749" s="20">
        <f>L2749-L2749*VLOOKUP($O2749,매칭테이블!$G:$J,3,0)</f>
        <v/>
      </c>
      <c r="N2749" s="20">
        <f>VLOOKUP($O2749,매칭테이블!$G:$J,4,0)*H2749</f>
        <v/>
      </c>
      <c r="O2749" s="20">
        <f>F2749&amp;E2749&amp;G2749&amp;J2749</f>
        <v/>
      </c>
    </row>
    <row r="2750" ht="16.5" customHeight="1" s="17">
      <c r="B2750" s="16" t="n">
        <v>44204</v>
      </c>
      <c r="C2750" s="20">
        <f>TEXT(B2750,"aaa")</f>
        <v/>
      </c>
      <c r="E2750" s="20">
        <f>INDEX(매칭테이블!C:C,MATCH(RD!G2750,매칭테이블!D:D,0))</f>
        <v/>
      </c>
      <c r="F2750" s="20" t="inlineStr">
        <is>
          <t>카페24</t>
        </is>
      </c>
      <c r="G2750" s="20" t="inlineStr">
        <is>
          <t>유즈 솔리드퍼퓸 - 30ml (11차 예약구매 진행중)향=스테이포에버 002 SOLID PERFUME, 세트 선택=1개</t>
        </is>
      </c>
      <c r="H2750" s="20" t="n">
        <v>16</v>
      </c>
      <c r="I2750" s="20">
        <f>VLOOKUP(G2750,매칭테이블!D:E,2,0)</f>
        <v/>
      </c>
      <c r="J2750" s="20" t="n">
        <v>210101</v>
      </c>
      <c r="L2750" s="20">
        <f>VLOOKUP($O2750,매칭테이블!$G:$J,2,0)*H2750</f>
        <v/>
      </c>
      <c r="M2750" s="20">
        <f>L2750-L2750*VLOOKUP($O2750,매칭테이블!$G:$J,3,0)</f>
        <v/>
      </c>
      <c r="N2750" s="20">
        <f>VLOOKUP($O2750,매칭테이블!$G:$J,4,0)*H2750</f>
        <v/>
      </c>
      <c r="O2750" s="20">
        <f>F2750&amp;E2750&amp;G2750&amp;J2750</f>
        <v/>
      </c>
    </row>
    <row r="2751" ht="16.5" customHeight="1" s="17">
      <c r="B2751" s="16" t="n">
        <v>44204</v>
      </c>
      <c r="C2751" s="20">
        <f>TEXT(B2751,"aaa")</f>
        <v/>
      </c>
      <c r="E2751" s="20">
        <f>INDEX(매칭테이블!C:C,MATCH(RD!G2751,매칭테이블!D:D,0))</f>
        <v/>
      </c>
      <c r="F2751" s="20" t="inlineStr">
        <is>
          <t>카페24</t>
        </is>
      </c>
      <c r="G2751" s="20" t="inlineStr">
        <is>
          <t>유즈 솔리드퍼퓸 - 30ml (11차 예약구매 진행중)향=스테이포에버 002 SOLID PERFUME, 세트 선택=best</t>
        </is>
      </c>
      <c r="H2751" s="20" t="n">
        <v>5</v>
      </c>
      <c r="I2751" s="20">
        <f>VLOOKUP(G2751,매칭테이블!D:E,2,0)</f>
        <v/>
      </c>
      <c r="J2751" s="20" t="n">
        <v>210101</v>
      </c>
      <c r="L2751" s="20">
        <f>VLOOKUP($O2751,매칭테이블!$G:$J,2,0)*H2751</f>
        <v/>
      </c>
      <c r="M2751" s="20">
        <f>L2751-L2751*VLOOKUP($O2751,매칭테이블!$G:$J,3,0)</f>
        <v/>
      </c>
      <c r="N2751" s="20">
        <f>VLOOKUP($O2751,매칭테이블!$G:$J,4,0)*H2751</f>
        <v/>
      </c>
      <c r="O2751" s="20">
        <f>F2751&amp;E2751&amp;G2751&amp;J2751</f>
        <v/>
      </c>
    </row>
    <row r="2752" ht="16.5" customHeight="1" s="17">
      <c r="B2752" s="16" t="n">
        <v>44204</v>
      </c>
      <c r="C2752" s="20">
        <f>TEXT(B2752,"aaa")</f>
        <v/>
      </c>
      <c r="E2752" s="20">
        <f>INDEX(매칭테이블!C:C,MATCH(RD!G2752,매칭테이블!D:D,0))</f>
        <v/>
      </c>
      <c r="F2752" s="20" t="inlineStr">
        <is>
          <t>카페24</t>
        </is>
      </c>
      <c r="G2752" s="20" t="inlineStr">
        <is>
          <t>유즈 솔리드퍼퓸 - 30ml (11차 예약구매 진행중)향=스테이포에버 002 SOLID PERFUME, 세트 선택=best 2개 (28% 할인)</t>
        </is>
      </c>
      <c r="H2752" s="20" t="n">
        <v>4</v>
      </c>
      <c r="I2752" s="20">
        <f>VLOOKUP(G2752,매칭테이블!D:E,2,0)</f>
        <v/>
      </c>
      <c r="J2752" s="20" t="n">
        <v>210101</v>
      </c>
      <c r="L2752" s="20">
        <f>VLOOKUP($O2752,매칭테이블!$G:$J,2,0)*H2752</f>
        <v/>
      </c>
      <c r="M2752" s="20">
        <f>L2752-L2752*VLOOKUP($O2752,매칭테이블!$G:$J,3,0)</f>
        <v/>
      </c>
      <c r="N2752" s="20">
        <f>VLOOKUP($O2752,매칭테이블!$G:$J,4,0)*H2752</f>
        <v/>
      </c>
      <c r="O2752" s="20">
        <f>F2752&amp;E2752&amp;G2752&amp;J2752</f>
        <v/>
      </c>
    </row>
    <row r="2753" ht="16.5" customHeight="1" s="17">
      <c r="B2753" s="16" t="n">
        <v>44204</v>
      </c>
      <c r="C2753" s="20">
        <f>TEXT(B2753,"aaa")</f>
        <v/>
      </c>
      <c r="E2753" s="20">
        <f>INDEX(매칭테이블!C:C,MATCH(RD!G2753,매칭테이블!D:D,0))</f>
        <v/>
      </c>
      <c r="F2753" s="20" t="inlineStr">
        <is>
          <t>카페24</t>
        </is>
      </c>
      <c r="G2753" s="20" t="inlineStr">
        <is>
          <t>유즈 솔리드퍼퓸 - 30ml (11차 예약구매 진행중)향=커플세트</t>
        </is>
      </c>
      <c r="H2753" s="20" t="n">
        <v>8</v>
      </c>
      <c r="I2753" s="20">
        <f>VLOOKUP(G2753,매칭테이블!D:E,2,0)</f>
        <v/>
      </c>
      <c r="J2753" s="20" t="n">
        <v>210101</v>
      </c>
      <c r="L2753" s="20">
        <f>VLOOKUP($O2753,매칭테이블!$G:$J,2,0)*H2753</f>
        <v/>
      </c>
      <c r="M2753" s="20">
        <f>L2753-L2753*VLOOKUP($O2753,매칭테이블!$G:$J,3,0)</f>
        <v/>
      </c>
      <c r="N2753" s="20">
        <f>VLOOKUP($O2753,매칭테이블!$G:$J,4,0)*H2753</f>
        <v/>
      </c>
      <c r="O2753" s="20">
        <f>F2753&amp;E2753&amp;G2753&amp;J2753</f>
        <v/>
      </c>
    </row>
    <row r="2754" ht="16.5" customHeight="1" s="17">
      <c r="B2754" s="16" t="n">
        <v>44204</v>
      </c>
      <c r="C2754" s="20">
        <f>TEXT(B2754,"aaa")</f>
        <v/>
      </c>
      <c r="E2754" s="20">
        <f>INDEX(매칭테이블!C:C,MATCH(RD!G2754,매칭테이블!D:D,0))</f>
        <v/>
      </c>
      <c r="F2754" s="20" t="inlineStr">
        <is>
          <t>카페24</t>
        </is>
      </c>
      <c r="G2754" s="20" t="inlineStr">
        <is>
          <t>유즈 솔리드퍼퓸 - 30ml (11차 예약구매 진행중)향=커플세트(이그나이트 + 스테이포에버), 세트 선택=1 SET</t>
        </is>
      </c>
      <c r="H2754" s="20" t="n">
        <v>5</v>
      </c>
      <c r="I2754" s="20">
        <f>VLOOKUP(G2754,매칭테이블!D:E,2,0)</f>
        <v/>
      </c>
      <c r="J2754" s="20" t="n">
        <v>210101</v>
      </c>
      <c r="L2754" s="20">
        <f>VLOOKUP($O2754,매칭테이블!$G:$J,2,0)*H2754</f>
        <v/>
      </c>
      <c r="M2754" s="20">
        <f>L2754-L2754*VLOOKUP($O2754,매칭테이블!$G:$J,3,0)</f>
        <v/>
      </c>
      <c r="N2754" s="20">
        <f>VLOOKUP($O2754,매칭테이블!$G:$J,4,0)*H2754</f>
        <v/>
      </c>
      <c r="O2754" s="20">
        <f>F2754&amp;E2754&amp;G2754&amp;J2754</f>
        <v/>
      </c>
    </row>
    <row r="2755" ht="16.5" customHeight="1" s="17">
      <c r="B2755" s="16" t="n">
        <v>44204</v>
      </c>
      <c r="C2755" s="20">
        <f>TEXT(B2755,"aaa")</f>
        <v/>
      </c>
      <c r="E2755" s="20">
        <f>INDEX(매칭테이블!C:C,MATCH(RD!G2755,매칭테이블!D:D,0))</f>
        <v/>
      </c>
      <c r="F2755" s="20" t="inlineStr">
        <is>
          <t>카페24</t>
        </is>
      </c>
      <c r="G2755" s="20" t="inlineStr">
        <is>
          <t>유즈 스테이포에버 솔리드퍼퓸 002 (11차 예약구매 진행중)제품선택=스테이포에버 1개</t>
        </is>
      </c>
      <c r="H2755" s="20" t="n">
        <v>294</v>
      </c>
      <c r="I2755" s="20">
        <f>VLOOKUP(G2755,매칭테이블!D:E,2,0)</f>
        <v/>
      </c>
      <c r="J2755" s="20" t="n">
        <v>210101</v>
      </c>
      <c r="L2755" s="20">
        <f>VLOOKUP($O2755,매칭테이블!$G:$J,2,0)*H2755</f>
        <v/>
      </c>
      <c r="M2755" s="20">
        <f>L2755-L2755*VLOOKUP($O2755,매칭테이블!$G:$J,3,0)</f>
        <v/>
      </c>
      <c r="N2755" s="20">
        <f>VLOOKUP($O2755,매칭테이블!$G:$J,4,0)*H2755</f>
        <v/>
      </c>
      <c r="O2755" s="20">
        <f>F2755&amp;E2755&amp;G2755&amp;J2755</f>
        <v/>
      </c>
    </row>
    <row r="2756" ht="16.5" customHeight="1" s="17">
      <c r="B2756" s="16" t="n">
        <v>44204</v>
      </c>
      <c r="C2756" s="20">
        <f>TEXT(B2756,"aaa")</f>
        <v/>
      </c>
      <c r="E2756" s="20">
        <f>INDEX(매칭테이블!C:C,MATCH(RD!G2756,매칭테이블!D:D,0))</f>
        <v/>
      </c>
      <c r="F2756" s="20" t="inlineStr">
        <is>
          <t>카페24</t>
        </is>
      </c>
      <c r="G2756" s="20" t="inlineStr">
        <is>
          <t>유즈 스테이포에버 솔리드퍼퓸 002 (11차 예약구매 진행중)제품선택=best</t>
        </is>
      </c>
      <c r="H2756" s="20" t="n">
        <v>68</v>
      </c>
      <c r="I2756" s="20">
        <f>VLOOKUP(G2756,매칭테이블!D:E,2,0)</f>
        <v/>
      </c>
      <c r="J2756" s="20" t="n">
        <v>210101</v>
      </c>
      <c r="L2756" s="20">
        <f>VLOOKUP($O2756,매칭테이블!$G:$J,2,0)*H2756</f>
        <v/>
      </c>
      <c r="M2756" s="20">
        <f>L2756-L2756*VLOOKUP($O2756,매칭테이블!$G:$J,3,0)</f>
        <v/>
      </c>
      <c r="N2756" s="20">
        <f>VLOOKUP($O2756,매칭테이블!$G:$J,4,0)*H2756</f>
        <v/>
      </c>
      <c r="O2756" s="20">
        <f>F2756&amp;E2756&amp;G2756&amp;J2756</f>
        <v/>
      </c>
    </row>
    <row r="2757" ht="16.5" customHeight="1" s="17">
      <c r="B2757" s="16" t="n">
        <v>44204</v>
      </c>
      <c r="C2757" s="20">
        <f>TEXT(B2757,"aaa")</f>
        <v/>
      </c>
      <c r="E2757" s="20">
        <f>INDEX(매칭테이블!C:C,MATCH(RD!G2757,매칭테이블!D:D,0))</f>
        <v/>
      </c>
      <c r="F2757" s="20" t="inlineStr">
        <is>
          <t>카페24</t>
        </is>
      </c>
      <c r="G2757" s="20" t="inlineStr">
        <is>
          <t>유즈 스테이포에버 솔리드퍼퓸 002 (11차 예약구매 진행중)제품선택=best스테이포에버 2개[28% 할인]</t>
        </is>
      </c>
      <c r="H2757" s="20" t="n">
        <v>92</v>
      </c>
      <c r="I2757" s="20">
        <f>VLOOKUP(G2757,매칭테이블!D:E,2,0)</f>
        <v/>
      </c>
      <c r="J2757" s="20" t="n">
        <v>210101</v>
      </c>
      <c r="L2757" s="20">
        <f>VLOOKUP($O2757,매칭테이블!$G:$J,2,0)*H2757</f>
        <v/>
      </c>
      <c r="M2757" s="20">
        <f>L2757-L2757*VLOOKUP($O2757,매칭테이블!$G:$J,3,0)</f>
        <v/>
      </c>
      <c r="N2757" s="20">
        <f>VLOOKUP($O2757,매칭테이블!$G:$J,4,0)*H2757</f>
        <v/>
      </c>
      <c r="O2757" s="20">
        <f>F2757&amp;E2757&amp;G2757&amp;J2757</f>
        <v/>
      </c>
    </row>
    <row r="2758" ht="16.5" customHeight="1" s="17">
      <c r="B2758" s="16" t="n">
        <v>44204</v>
      </c>
      <c r="C2758" s="20">
        <f>TEXT(B2758,"aaa")</f>
        <v/>
      </c>
      <c r="E2758" s="20">
        <f>INDEX(매칭테이블!C:C,MATCH(RD!G2758,매칭테이블!D:D,0))</f>
        <v/>
      </c>
      <c r="F2758" s="20" t="inlineStr">
        <is>
          <t>카페24</t>
        </is>
      </c>
      <c r="G2758" s="20" t="inlineStr">
        <is>
          <t>유즈 스테이포에버 솔리드퍼퓸 002 (11차 예약구매 진행중)제품선택=커플추천</t>
        </is>
      </c>
      <c r="H2758" s="20" t="n">
        <v>6</v>
      </c>
      <c r="I2758" s="20">
        <f>VLOOKUP(G2758,매칭테이블!D:E,2,0)</f>
        <v/>
      </c>
      <c r="J2758" s="20" t="n">
        <v>210101</v>
      </c>
      <c r="L2758" s="20">
        <f>VLOOKUP($O2758,매칭테이블!$G:$J,2,0)*H2758</f>
        <v/>
      </c>
      <c r="M2758" s="20">
        <f>L2758-L2758*VLOOKUP($O2758,매칭테이블!$G:$J,3,0)</f>
        <v/>
      </c>
      <c r="N2758" s="20">
        <f>VLOOKUP($O2758,매칭테이블!$G:$J,4,0)*H2758</f>
        <v/>
      </c>
      <c r="O2758" s="20">
        <f>F2758&amp;E2758&amp;G2758&amp;J2758</f>
        <v/>
      </c>
    </row>
    <row r="2759" ht="16.5" customHeight="1" s="17">
      <c r="B2759" s="16" t="n">
        <v>44204</v>
      </c>
      <c r="C2759" s="20">
        <f>TEXT(B2759,"aaa")</f>
        <v/>
      </c>
      <c r="E2759" s="20">
        <f>INDEX(매칭테이블!C:C,MATCH(RD!G2759,매칭테이블!D:D,0))</f>
        <v/>
      </c>
      <c r="F2759" s="20" t="inlineStr">
        <is>
          <t>카페24</t>
        </is>
      </c>
      <c r="G2759" s="20" t="inlineStr">
        <is>
          <t>유즈 스테이포에버 솔리드퍼퓸 002 (11차 예약구매 진행중)제품선택=커플추천스테이포에버 + 이그나이트 세트</t>
        </is>
      </c>
      <c r="H2759" s="20" t="n">
        <v>10</v>
      </c>
      <c r="I2759" s="20">
        <f>VLOOKUP(G2759,매칭테이블!D:E,2,0)</f>
        <v/>
      </c>
      <c r="J2759" s="20" t="n">
        <v>210101</v>
      </c>
      <c r="L2759" s="20">
        <f>VLOOKUP($O2759,매칭테이블!$G:$J,2,0)*H2759</f>
        <v/>
      </c>
      <c r="M2759" s="20">
        <f>L2759-L2759*VLOOKUP($O2759,매칭테이블!$G:$J,3,0)</f>
        <v/>
      </c>
      <c r="N2759" s="20">
        <f>VLOOKUP($O2759,매칭테이블!$G:$J,4,0)*H2759</f>
        <v/>
      </c>
      <c r="O2759" s="20">
        <f>F2759&amp;E2759&amp;G2759&amp;J2759</f>
        <v/>
      </c>
    </row>
    <row r="2760" ht="16.5" customHeight="1" s="17">
      <c r="B2760" s="16" t="n">
        <v>44204</v>
      </c>
      <c r="C2760" s="20">
        <f>TEXT(B2760,"aaa")</f>
        <v/>
      </c>
      <c r="E2760" s="20">
        <f>INDEX(매칭테이블!C:C,MATCH(RD!G2760,매칭테이블!D:D,0))</f>
        <v/>
      </c>
      <c r="F2760" s="20" t="inlineStr">
        <is>
          <t>카페24</t>
        </is>
      </c>
      <c r="G2760" s="20" t="inlineStr">
        <is>
          <t>유즈 스테이포에버 솔리드퍼퓸 002 (11차 예약구매 진행중)쇼핑백=선물용 쇼핑백</t>
        </is>
      </c>
      <c r="H2760" s="20" t="n">
        <v>11</v>
      </c>
      <c r="I2760" s="20">
        <f>VLOOKUP(G2760,매칭테이블!D:E,2,0)</f>
        <v/>
      </c>
      <c r="J2760" s="20" t="n">
        <v>210101</v>
      </c>
      <c r="L2760" s="20">
        <f>VLOOKUP($O2760,매칭테이블!$G:$J,2,0)*H2760</f>
        <v/>
      </c>
      <c r="M2760" s="20">
        <f>L2760-L2760*VLOOKUP($O2760,매칭테이블!$G:$J,3,0)</f>
        <v/>
      </c>
      <c r="N2760" s="20">
        <f>VLOOKUP($O2760,매칭테이블!$G:$J,4,0)*H2760</f>
        <v/>
      </c>
      <c r="O2760" s="20">
        <f>F2760&amp;E2760&amp;G2760&amp;J2760</f>
        <v/>
      </c>
    </row>
    <row r="2761" ht="16.5" customHeight="1" s="17">
      <c r="B2761" s="16" t="n">
        <v>44204</v>
      </c>
      <c r="C2761" s="20">
        <f>TEXT(B2761,"aaa")</f>
        <v/>
      </c>
      <c r="E2761" s="20">
        <f>INDEX(매칭테이블!C:C,MATCH(RD!G2761,매칭테이블!D:D,0))</f>
        <v/>
      </c>
      <c r="F2761" s="20" t="inlineStr">
        <is>
          <t>카페24</t>
        </is>
      </c>
      <c r="G2761" s="20" t="inlineStr">
        <is>
          <t>유즈 이그나이트 솔리드퍼퓸 001제품선택=이그나이트 솔리드퍼퓸 - 30ml</t>
        </is>
      </c>
      <c r="H2761" s="20" t="n">
        <v>6</v>
      </c>
      <c r="I2761" s="20">
        <f>VLOOKUP(G2761,매칭테이블!D:E,2,0)</f>
        <v/>
      </c>
      <c r="J2761" s="20" t="n">
        <v>210101</v>
      </c>
      <c r="L2761" s="20">
        <f>VLOOKUP($O2761,매칭테이블!$G:$J,2,0)*H2761</f>
        <v/>
      </c>
      <c r="M2761" s="20">
        <f>L2761-L2761*VLOOKUP($O2761,매칭테이블!$G:$J,3,0)</f>
        <v/>
      </c>
      <c r="N2761" s="20">
        <f>VLOOKUP($O2761,매칭테이블!$G:$J,4,0)*H2761</f>
        <v/>
      </c>
      <c r="O2761" s="20">
        <f>F2761&amp;E2761&amp;G2761&amp;J2761</f>
        <v/>
      </c>
    </row>
    <row r="2762" ht="16.5" customHeight="1" s="17">
      <c r="B2762" s="16" t="n">
        <v>44204</v>
      </c>
      <c r="C2762" s="20">
        <f>TEXT(B2762,"aaa")</f>
        <v/>
      </c>
      <c r="E2762" s="20">
        <f>INDEX(매칭테이블!C:C,MATCH(RD!G2762,매칭테이블!D:D,0))</f>
        <v/>
      </c>
      <c r="F2762" s="20" t="inlineStr">
        <is>
          <t>카페24</t>
        </is>
      </c>
      <c r="G2762" s="20" t="inlineStr">
        <is>
          <t>유즈 이그나이트 솔리드퍼퓸 001제품선택=이그나이트 2개 세트</t>
        </is>
      </c>
      <c r="H2762" s="20" t="n">
        <v>1</v>
      </c>
      <c r="I2762" s="20">
        <f>VLOOKUP(G2762,매칭테이블!D:E,2,0)</f>
        <v/>
      </c>
      <c r="J2762" s="20" t="n">
        <v>210101</v>
      </c>
      <c r="L2762" s="20">
        <f>VLOOKUP($O2762,매칭테이블!$G:$J,2,0)*H2762</f>
        <v/>
      </c>
      <c r="M2762" s="20">
        <f>L2762-L2762*VLOOKUP($O2762,매칭테이블!$G:$J,3,0)</f>
        <v/>
      </c>
      <c r="N2762" s="20">
        <f>VLOOKUP($O2762,매칭테이블!$G:$J,4,0)*H2762</f>
        <v/>
      </c>
      <c r="O2762" s="20">
        <f>F2762&amp;E2762&amp;G2762&amp;J2762</f>
        <v/>
      </c>
    </row>
    <row r="2763" ht="16.5" customHeight="1" s="17">
      <c r="B2763" s="16" t="n">
        <v>44204</v>
      </c>
      <c r="C2763" s="20">
        <f>TEXT(B2763,"aaa")</f>
        <v/>
      </c>
      <c r="E2763" s="20">
        <f>INDEX(매칭테이블!C:C,MATCH(RD!G2763,매칭테이블!D:D,0))</f>
        <v/>
      </c>
      <c r="F2763" s="20" t="inlineStr">
        <is>
          <t>카페24</t>
        </is>
      </c>
      <c r="G2763" s="20" t="inlineStr">
        <is>
          <t>유즈 이그나이트 솔리드퍼퓸 001쇼핑백=선물용 쇼핑백</t>
        </is>
      </c>
      <c r="H2763" s="20" t="n">
        <v>1</v>
      </c>
      <c r="I2763" s="20">
        <f>VLOOKUP(G2763,매칭테이블!D:E,2,0)</f>
        <v/>
      </c>
      <c r="J2763" s="20" t="n">
        <v>210101</v>
      </c>
      <c r="L2763" s="20">
        <f>VLOOKUP($O2763,매칭테이블!$G:$J,2,0)*H2763</f>
        <v/>
      </c>
      <c r="M2763" s="20">
        <f>L2763-L2763*VLOOKUP($O2763,매칭테이블!$G:$J,3,0)</f>
        <v/>
      </c>
      <c r="N2763" s="20">
        <f>VLOOKUP($O2763,매칭테이블!$G:$J,4,0)*H2763</f>
        <v/>
      </c>
      <c r="O2763" s="20">
        <f>F2763&amp;E2763&amp;G2763&amp;J2763</f>
        <v/>
      </c>
    </row>
    <row r="2764" ht="16.5" customHeight="1" s="17">
      <c r="B2764" s="16" t="n">
        <v>44205</v>
      </c>
      <c r="C2764" s="20">
        <f>TEXT(B2764,"aaa")</f>
        <v/>
      </c>
      <c r="E2764" s="20">
        <f>INDEX(매칭테이블!C:C,MATCH(RD!G2764,매칭테이블!D:D,0))</f>
        <v/>
      </c>
      <c r="F2764" s="20" t="inlineStr">
        <is>
          <t>카페24</t>
        </is>
      </c>
      <c r="G2764" s="20" t="inlineStr">
        <is>
          <t>유즈 솔리드퍼퓸 - 30ml (11차 예약구매 진행중)향=이그나이트 001 SOLID PERFUME, 세트 선택=1개</t>
        </is>
      </c>
      <c r="H2764" s="20" t="n">
        <v>1</v>
      </c>
      <c r="I2764" s="20">
        <f>VLOOKUP(G2764,매칭테이블!D:E,2,0)</f>
        <v/>
      </c>
      <c r="J2764" s="20" t="n">
        <v>210101</v>
      </c>
      <c r="L2764" s="20">
        <f>VLOOKUP($O2764,매칭테이블!$G:$J,2,0)*H2764</f>
        <v/>
      </c>
      <c r="M2764" s="20">
        <f>L2764-L2764*VLOOKUP($O2764,매칭테이블!$G:$J,3,0)</f>
        <v/>
      </c>
      <c r="N2764" s="20">
        <f>VLOOKUP($O2764,매칭테이블!$G:$J,4,0)*H2764</f>
        <v/>
      </c>
      <c r="O2764" s="20">
        <f>F2764&amp;E2764&amp;G2764&amp;J2764</f>
        <v/>
      </c>
    </row>
    <row r="2765" ht="16.5" customHeight="1" s="17">
      <c r="B2765" s="16" t="n">
        <v>44205</v>
      </c>
      <c r="C2765" s="20">
        <f>TEXT(B2765,"aaa")</f>
        <v/>
      </c>
      <c r="E2765" s="20">
        <f>INDEX(매칭테이블!C:C,MATCH(RD!G2765,매칭테이블!D:D,0))</f>
        <v/>
      </c>
      <c r="F2765" s="20" t="inlineStr">
        <is>
          <t>카페24</t>
        </is>
      </c>
      <c r="G2765" s="20" t="inlineStr">
        <is>
          <t>유즈 솔리드퍼퓸 - 30ml (11차 예약구매 진행중)향=스테이포에버 002 SOLID PERFUME, 세트 선택=1개</t>
        </is>
      </c>
      <c r="H2765" s="20" t="n">
        <v>20</v>
      </c>
      <c r="I2765" s="20">
        <f>VLOOKUP(G2765,매칭테이블!D:E,2,0)</f>
        <v/>
      </c>
      <c r="J2765" s="20" t="n">
        <v>210101</v>
      </c>
      <c r="L2765" s="20">
        <f>VLOOKUP($O2765,매칭테이블!$G:$J,2,0)*H2765</f>
        <v/>
      </c>
      <c r="M2765" s="20">
        <f>L2765-L2765*VLOOKUP($O2765,매칭테이블!$G:$J,3,0)</f>
        <v/>
      </c>
      <c r="N2765" s="20">
        <f>VLOOKUP($O2765,매칭테이블!$G:$J,4,0)*H2765</f>
        <v/>
      </c>
      <c r="O2765" s="20">
        <f>F2765&amp;E2765&amp;G2765&amp;J2765</f>
        <v/>
      </c>
    </row>
    <row r="2766" ht="16.5" customHeight="1" s="17">
      <c r="B2766" s="16" t="n">
        <v>44205</v>
      </c>
      <c r="C2766" s="20">
        <f>TEXT(B2766,"aaa")</f>
        <v/>
      </c>
      <c r="E2766" s="20">
        <f>INDEX(매칭테이블!C:C,MATCH(RD!G2766,매칭테이블!D:D,0))</f>
        <v/>
      </c>
      <c r="F2766" s="20" t="inlineStr">
        <is>
          <t>카페24</t>
        </is>
      </c>
      <c r="G2766" s="20" t="inlineStr">
        <is>
          <t>유즈 솔리드퍼퓸 - 30ml (11차 예약구매 진행중)향=스테이포에버 002 SOLID PERFUME, 세트 선택=best</t>
        </is>
      </c>
      <c r="H2766" s="20" t="n">
        <v>4</v>
      </c>
      <c r="I2766" s="20">
        <f>VLOOKUP(G2766,매칭테이블!D:E,2,0)</f>
        <v/>
      </c>
      <c r="J2766" s="20" t="n">
        <v>210101</v>
      </c>
      <c r="L2766" s="20">
        <f>VLOOKUP($O2766,매칭테이블!$G:$J,2,0)*H2766</f>
        <v/>
      </c>
      <c r="M2766" s="20">
        <f>L2766-L2766*VLOOKUP($O2766,매칭테이블!$G:$J,3,0)</f>
        <v/>
      </c>
      <c r="N2766" s="20">
        <f>VLOOKUP($O2766,매칭테이블!$G:$J,4,0)*H2766</f>
        <v/>
      </c>
      <c r="O2766" s="20">
        <f>F2766&amp;E2766&amp;G2766&amp;J2766</f>
        <v/>
      </c>
    </row>
    <row r="2767" ht="16.5" customHeight="1" s="17">
      <c r="B2767" s="16" t="n">
        <v>44205</v>
      </c>
      <c r="C2767" s="20">
        <f>TEXT(B2767,"aaa")</f>
        <v/>
      </c>
      <c r="E2767" s="20">
        <f>INDEX(매칭테이블!C:C,MATCH(RD!G2767,매칭테이블!D:D,0))</f>
        <v/>
      </c>
      <c r="F2767" s="20" t="inlineStr">
        <is>
          <t>카페24</t>
        </is>
      </c>
      <c r="G2767" s="20" t="inlineStr">
        <is>
          <t>유즈 솔리드퍼퓸 - 30ml (11차 예약구매 진행중)향=스테이포에버 002 SOLID PERFUME, 세트 선택=best 2개 (28% 할인)</t>
        </is>
      </c>
      <c r="H2767" s="20" t="n">
        <v>3</v>
      </c>
      <c r="I2767" s="20">
        <f>VLOOKUP(G2767,매칭테이블!D:E,2,0)</f>
        <v/>
      </c>
      <c r="J2767" s="20" t="n">
        <v>210101</v>
      </c>
      <c r="L2767" s="20">
        <f>VLOOKUP($O2767,매칭테이블!$G:$J,2,0)*H2767</f>
        <v/>
      </c>
      <c r="M2767" s="20">
        <f>L2767-L2767*VLOOKUP($O2767,매칭테이블!$G:$J,3,0)</f>
        <v/>
      </c>
      <c r="N2767" s="20">
        <f>VLOOKUP($O2767,매칭테이블!$G:$J,4,0)*H2767</f>
        <v/>
      </c>
      <c r="O2767" s="20">
        <f>F2767&amp;E2767&amp;G2767&amp;J2767</f>
        <v/>
      </c>
    </row>
    <row r="2768" ht="16.5" customHeight="1" s="17">
      <c r="B2768" s="16" t="n">
        <v>44205</v>
      </c>
      <c r="C2768" s="20">
        <f>TEXT(B2768,"aaa")</f>
        <v/>
      </c>
      <c r="E2768" s="20">
        <f>INDEX(매칭테이블!C:C,MATCH(RD!G2768,매칭테이블!D:D,0))</f>
        <v/>
      </c>
      <c r="F2768" s="20" t="inlineStr">
        <is>
          <t>카페24</t>
        </is>
      </c>
      <c r="G2768" s="20" t="inlineStr">
        <is>
          <t>유즈 솔리드퍼퓸 - 30ml (11차 예약구매 진행중)향=커플세트</t>
        </is>
      </c>
      <c r="H2768" s="20" t="n">
        <v>5</v>
      </c>
      <c r="I2768" s="20">
        <f>VLOOKUP(G2768,매칭테이블!D:E,2,0)</f>
        <v/>
      </c>
      <c r="J2768" s="20" t="n">
        <v>210101</v>
      </c>
      <c r="L2768" s="20">
        <f>VLOOKUP($O2768,매칭테이블!$G:$J,2,0)*H2768</f>
        <v/>
      </c>
      <c r="M2768" s="20">
        <f>L2768-L2768*VLOOKUP($O2768,매칭테이블!$G:$J,3,0)</f>
        <v/>
      </c>
      <c r="N2768" s="20">
        <f>VLOOKUP($O2768,매칭테이블!$G:$J,4,0)*H2768</f>
        <v/>
      </c>
      <c r="O2768" s="20">
        <f>F2768&amp;E2768&amp;G2768&amp;J2768</f>
        <v/>
      </c>
    </row>
    <row r="2769" ht="16.5" customHeight="1" s="17">
      <c r="B2769" s="16" t="n">
        <v>44205</v>
      </c>
      <c r="C2769" s="20">
        <f>TEXT(B2769,"aaa")</f>
        <v/>
      </c>
      <c r="E2769" s="20">
        <f>INDEX(매칭테이블!C:C,MATCH(RD!G2769,매칭테이블!D:D,0))</f>
        <v/>
      </c>
      <c r="F2769" s="20" t="inlineStr">
        <is>
          <t>카페24</t>
        </is>
      </c>
      <c r="G2769" s="20" t="inlineStr">
        <is>
          <t>유즈 솔리드퍼퓸 - 30ml (11차 예약구매 진행중)향=커플세트(이그나이트 + 스테이포에버), 세트 선택=1 SET</t>
        </is>
      </c>
      <c r="H2769" s="20" t="n">
        <v>2</v>
      </c>
      <c r="I2769" s="20">
        <f>VLOOKUP(G2769,매칭테이블!D:E,2,0)</f>
        <v/>
      </c>
      <c r="J2769" s="20" t="n">
        <v>210101</v>
      </c>
      <c r="L2769" s="20">
        <f>VLOOKUP($O2769,매칭테이블!$G:$J,2,0)*H2769</f>
        <v/>
      </c>
      <c r="M2769" s="20">
        <f>L2769-L2769*VLOOKUP($O2769,매칭테이블!$G:$J,3,0)</f>
        <v/>
      </c>
      <c r="N2769" s="20">
        <f>VLOOKUP($O2769,매칭테이블!$G:$J,4,0)*H2769</f>
        <v/>
      </c>
      <c r="O2769" s="20">
        <f>F2769&amp;E2769&amp;G2769&amp;J2769</f>
        <v/>
      </c>
    </row>
    <row r="2770" ht="16.5" customHeight="1" s="17">
      <c r="B2770" s="16" t="n">
        <v>44205</v>
      </c>
      <c r="C2770" s="20">
        <f>TEXT(B2770,"aaa")</f>
        <v/>
      </c>
      <c r="E2770" s="20">
        <f>INDEX(매칭테이블!C:C,MATCH(RD!G2770,매칭테이블!D:D,0))</f>
        <v/>
      </c>
      <c r="F2770" s="20" t="inlineStr">
        <is>
          <t>카페24</t>
        </is>
      </c>
      <c r="G2770" s="20" t="inlineStr">
        <is>
          <t>유즈 스테이포에버 솔리드퍼퓸 002 (11차 예약구매 진행중)제품선택=스테이포에버 1개</t>
        </is>
      </c>
      <c r="H2770" s="20" t="n">
        <v>406</v>
      </c>
      <c r="I2770" s="20">
        <f>VLOOKUP(G2770,매칭테이블!D:E,2,0)</f>
        <v/>
      </c>
      <c r="J2770" s="20" t="n">
        <v>210101</v>
      </c>
      <c r="L2770" s="20">
        <f>VLOOKUP($O2770,매칭테이블!$G:$J,2,0)*H2770</f>
        <v/>
      </c>
      <c r="M2770" s="20">
        <f>L2770-L2770*VLOOKUP($O2770,매칭테이블!$G:$J,3,0)</f>
        <v/>
      </c>
      <c r="N2770" s="20">
        <f>VLOOKUP($O2770,매칭테이블!$G:$J,4,0)*H2770</f>
        <v/>
      </c>
      <c r="O2770" s="20">
        <f>F2770&amp;E2770&amp;G2770&amp;J2770</f>
        <v/>
      </c>
    </row>
    <row r="2771" ht="16.5" customHeight="1" s="17">
      <c r="B2771" s="16" t="n">
        <v>44205</v>
      </c>
      <c r="C2771" s="20">
        <f>TEXT(B2771,"aaa")</f>
        <v/>
      </c>
      <c r="E2771" s="20">
        <f>INDEX(매칭테이블!C:C,MATCH(RD!G2771,매칭테이블!D:D,0))</f>
        <v/>
      </c>
      <c r="F2771" s="20" t="inlineStr">
        <is>
          <t>카페24</t>
        </is>
      </c>
      <c r="G2771" s="20" t="inlineStr">
        <is>
          <t>유즈 스테이포에버 솔리드퍼퓸 002 (11차 예약구매 진행중)제품선택=best</t>
        </is>
      </c>
      <c r="H2771" s="20" t="n">
        <v>97</v>
      </c>
      <c r="I2771" s="20">
        <f>VLOOKUP(G2771,매칭테이블!D:E,2,0)</f>
        <v/>
      </c>
      <c r="J2771" s="20" t="n">
        <v>210101</v>
      </c>
      <c r="L2771" s="20">
        <f>VLOOKUP($O2771,매칭테이블!$G:$J,2,0)*H2771</f>
        <v/>
      </c>
      <c r="M2771" s="20">
        <f>L2771-L2771*VLOOKUP($O2771,매칭테이블!$G:$J,3,0)</f>
        <v/>
      </c>
      <c r="N2771" s="20">
        <f>VLOOKUP($O2771,매칭테이블!$G:$J,4,0)*H2771</f>
        <v/>
      </c>
      <c r="O2771" s="20">
        <f>F2771&amp;E2771&amp;G2771&amp;J2771</f>
        <v/>
      </c>
    </row>
    <row r="2772" ht="16.5" customHeight="1" s="17">
      <c r="B2772" s="16" t="n">
        <v>44205</v>
      </c>
      <c r="C2772" s="20">
        <f>TEXT(B2772,"aaa")</f>
        <v/>
      </c>
      <c r="E2772" s="20">
        <f>INDEX(매칭테이블!C:C,MATCH(RD!G2772,매칭테이블!D:D,0))</f>
        <v/>
      </c>
      <c r="F2772" s="20" t="inlineStr">
        <is>
          <t>카페24</t>
        </is>
      </c>
      <c r="G2772" s="20" t="inlineStr">
        <is>
          <t>유즈 스테이포에버 솔리드퍼퓸 002 (11차 예약구매 진행중)제품선택=best스테이포에버 2개[28% 할인]</t>
        </is>
      </c>
      <c r="H2772" s="20" t="n">
        <v>129</v>
      </c>
      <c r="I2772" s="20">
        <f>VLOOKUP(G2772,매칭테이블!D:E,2,0)</f>
        <v/>
      </c>
      <c r="J2772" s="20" t="n">
        <v>210101</v>
      </c>
      <c r="L2772" s="20">
        <f>VLOOKUP($O2772,매칭테이블!$G:$J,2,0)*H2772</f>
        <v/>
      </c>
      <c r="M2772" s="20">
        <f>L2772-L2772*VLOOKUP($O2772,매칭테이블!$G:$J,3,0)</f>
        <v/>
      </c>
      <c r="N2772" s="20">
        <f>VLOOKUP($O2772,매칭테이블!$G:$J,4,0)*H2772</f>
        <v/>
      </c>
      <c r="O2772" s="20">
        <f>F2772&amp;E2772&amp;G2772&amp;J2772</f>
        <v/>
      </c>
    </row>
    <row r="2773" ht="16.5" customHeight="1" s="17">
      <c r="B2773" s="16" t="n">
        <v>44205</v>
      </c>
      <c r="C2773" s="20">
        <f>TEXT(B2773,"aaa")</f>
        <v/>
      </c>
      <c r="E2773" s="20">
        <f>INDEX(매칭테이블!C:C,MATCH(RD!G2773,매칭테이블!D:D,0))</f>
        <v/>
      </c>
      <c r="F2773" s="20" t="inlineStr">
        <is>
          <t>카페24</t>
        </is>
      </c>
      <c r="G2773" s="20" t="inlineStr">
        <is>
          <t>유즈 스테이포에버 솔리드퍼퓸 002 (11차 예약구매 진행중)제품선택=커플추천</t>
        </is>
      </c>
      <c r="H2773" s="20" t="n">
        <v>10</v>
      </c>
      <c r="I2773" s="20">
        <f>VLOOKUP(G2773,매칭테이블!D:E,2,0)</f>
        <v/>
      </c>
      <c r="J2773" s="20" t="n">
        <v>210101</v>
      </c>
      <c r="L2773" s="20">
        <f>VLOOKUP($O2773,매칭테이블!$G:$J,2,0)*H2773</f>
        <v/>
      </c>
      <c r="M2773" s="20">
        <f>L2773-L2773*VLOOKUP($O2773,매칭테이블!$G:$J,3,0)</f>
        <v/>
      </c>
      <c r="N2773" s="20">
        <f>VLOOKUP($O2773,매칭테이블!$G:$J,4,0)*H2773</f>
        <v/>
      </c>
      <c r="O2773" s="20">
        <f>F2773&amp;E2773&amp;G2773&amp;J2773</f>
        <v/>
      </c>
    </row>
    <row r="2774" ht="16.5" customHeight="1" s="17">
      <c r="B2774" s="16" t="n">
        <v>44205</v>
      </c>
      <c r="C2774" s="20">
        <f>TEXT(B2774,"aaa")</f>
        <v/>
      </c>
      <c r="E2774" s="20">
        <f>INDEX(매칭테이블!C:C,MATCH(RD!G2774,매칭테이블!D:D,0))</f>
        <v/>
      </c>
      <c r="F2774" s="20" t="inlineStr">
        <is>
          <t>카페24</t>
        </is>
      </c>
      <c r="G2774" s="20" t="inlineStr">
        <is>
          <t>유즈 스테이포에버 솔리드퍼퓸 002 (11차 예약구매 진행중)제품선택=커플추천스테이포에버 + 이그나이트 세트</t>
        </is>
      </c>
      <c r="H2774" s="20" t="n">
        <v>16</v>
      </c>
      <c r="I2774" s="20">
        <f>VLOOKUP(G2774,매칭테이블!D:E,2,0)</f>
        <v/>
      </c>
      <c r="J2774" s="20" t="n">
        <v>210101</v>
      </c>
      <c r="L2774" s="20">
        <f>VLOOKUP($O2774,매칭테이블!$G:$J,2,0)*H2774</f>
        <v/>
      </c>
      <c r="M2774" s="20">
        <f>L2774-L2774*VLOOKUP($O2774,매칭테이블!$G:$J,3,0)</f>
        <v/>
      </c>
      <c r="N2774" s="20">
        <f>VLOOKUP($O2774,매칭테이블!$G:$J,4,0)*H2774</f>
        <v/>
      </c>
      <c r="O2774" s="20">
        <f>F2774&amp;E2774&amp;G2774&amp;J2774</f>
        <v/>
      </c>
    </row>
    <row r="2775" ht="16.5" customHeight="1" s="17">
      <c r="B2775" s="16" t="n">
        <v>44205</v>
      </c>
      <c r="C2775" s="20">
        <f>TEXT(B2775,"aaa")</f>
        <v/>
      </c>
      <c r="E2775" s="20">
        <f>INDEX(매칭테이블!C:C,MATCH(RD!G2775,매칭테이블!D:D,0))</f>
        <v/>
      </c>
      <c r="F2775" s="20" t="inlineStr">
        <is>
          <t>카페24</t>
        </is>
      </c>
      <c r="G2775" s="20" t="inlineStr">
        <is>
          <t>유즈 스테이포에버 솔리드퍼퓸 002 (11차 예약구매 진행중)쇼핑백=선물용 쇼핑백</t>
        </is>
      </c>
      <c r="H2775" s="20" t="n">
        <v>23</v>
      </c>
      <c r="I2775" s="20">
        <f>VLOOKUP(G2775,매칭테이블!D:E,2,0)</f>
        <v/>
      </c>
      <c r="J2775" s="20" t="n">
        <v>210101</v>
      </c>
      <c r="L2775" s="20">
        <f>VLOOKUP($O2775,매칭테이블!$G:$J,2,0)*H2775</f>
        <v/>
      </c>
      <c r="M2775" s="20">
        <f>L2775-L2775*VLOOKUP($O2775,매칭테이블!$G:$J,3,0)</f>
        <v/>
      </c>
      <c r="N2775" s="20">
        <f>VLOOKUP($O2775,매칭테이블!$G:$J,4,0)*H2775</f>
        <v/>
      </c>
      <c r="O2775" s="20">
        <f>F2775&amp;E2775&amp;G2775&amp;J2775</f>
        <v/>
      </c>
    </row>
    <row r="2776" ht="16.5" customHeight="1" s="17">
      <c r="B2776" s="16" t="n">
        <v>44205</v>
      </c>
      <c r="C2776" s="20">
        <f>TEXT(B2776,"aaa")</f>
        <v/>
      </c>
      <c r="E2776" s="20">
        <f>INDEX(매칭테이블!C:C,MATCH(RD!G2776,매칭테이블!D:D,0))</f>
        <v/>
      </c>
      <c r="F2776" s="20" t="inlineStr">
        <is>
          <t>카페24</t>
        </is>
      </c>
      <c r="G2776" s="20" t="inlineStr">
        <is>
          <t>유즈 이그나이트 솔리드퍼퓸 001제품선택=이그나이트 솔리드퍼퓸 - 30ml</t>
        </is>
      </c>
      <c r="H2776" s="20" t="n">
        <v>4</v>
      </c>
      <c r="I2776" s="20">
        <f>VLOOKUP(G2776,매칭테이블!D:E,2,0)</f>
        <v/>
      </c>
      <c r="J2776" s="20" t="n">
        <v>210101</v>
      </c>
      <c r="L2776" s="20">
        <f>VLOOKUP($O2776,매칭테이블!$G:$J,2,0)*H2776</f>
        <v/>
      </c>
      <c r="M2776" s="20">
        <f>L2776-L2776*VLOOKUP($O2776,매칭테이블!$G:$J,3,0)</f>
        <v/>
      </c>
      <c r="N2776" s="20">
        <f>VLOOKUP($O2776,매칭테이블!$G:$J,4,0)*H2776</f>
        <v/>
      </c>
      <c r="O2776" s="20">
        <f>F2776&amp;E2776&amp;G2776&amp;J2776</f>
        <v/>
      </c>
    </row>
    <row r="2777" ht="16.5" customHeight="1" s="17">
      <c r="B2777" s="16" t="n">
        <v>44205</v>
      </c>
      <c r="C2777" s="20">
        <f>TEXT(B2777,"aaa")</f>
        <v/>
      </c>
      <c r="E2777" s="20">
        <f>INDEX(매칭테이블!C:C,MATCH(RD!G2777,매칭테이블!D:D,0))</f>
        <v/>
      </c>
      <c r="F2777" s="20" t="inlineStr">
        <is>
          <t>카페24</t>
        </is>
      </c>
      <c r="G2777" s="20" t="inlineStr">
        <is>
          <t>유즈 이그나이트 솔리드퍼퓸 001제품선택=이그나이트 2개 세트</t>
        </is>
      </c>
      <c r="H2777" s="20" t="n">
        <v>2</v>
      </c>
      <c r="I2777" s="20">
        <f>VLOOKUP(G2777,매칭테이블!D:E,2,0)</f>
        <v/>
      </c>
      <c r="J2777" s="20" t="n">
        <v>210101</v>
      </c>
      <c r="L2777" s="20">
        <f>VLOOKUP($O2777,매칭테이블!$G:$J,2,0)*H2777</f>
        <v/>
      </c>
      <c r="M2777" s="20">
        <f>L2777-L2777*VLOOKUP($O2777,매칭테이블!$G:$J,3,0)</f>
        <v/>
      </c>
      <c r="N2777" s="20">
        <f>VLOOKUP($O2777,매칭테이블!$G:$J,4,0)*H2777</f>
        <v/>
      </c>
      <c r="O2777" s="20">
        <f>F2777&amp;E2777&amp;G2777&amp;J2777</f>
        <v/>
      </c>
    </row>
    <row r="2778" ht="16.5" customHeight="1" s="17">
      <c r="B2778" s="16" t="n">
        <v>44206</v>
      </c>
      <c r="C2778" s="20">
        <f>TEXT(B2778,"aaa")</f>
        <v/>
      </c>
      <c r="E2778" s="20">
        <f>INDEX(매칭테이블!C:C,MATCH(RD!G2778,매칭테이블!D:D,0))</f>
        <v/>
      </c>
      <c r="F2778" s="20" t="inlineStr">
        <is>
          <t>카페24</t>
        </is>
      </c>
      <c r="G2778" s="20" t="inlineStr">
        <is>
          <t>SHOPPING BAG</t>
        </is>
      </c>
      <c r="H2778" s="20" t="n">
        <v>2</v>
      </c>
      <c r="I2778" s="20">
        <f>VLOOKUP(G2778,매칭테이블!D:E,2,0)</f>
        <v/>
      </c>
      <c r="J2778" s="20" t="n">
        <v>210101</v>
      </c>
      <c r="L2778" s="20">
        <f>VLOOKUP($O2778,매칭테이블!$G:$J,2,0)*H2778</f>
        <v/>
      </c>
      <c r="M2778" s="20">
        <f>L2778-L2778*VLOOKUP($O2778,매칭테이블!$G:$J,3,0)</f>
        <v/>
      </c>
      <c r="N2778" s="20">
        <f>VLOOKUP($O2778,매칭테이블!$G:$J,4,0)*H2778</f>
        <v/>
      </c>
      <c r="O2778" s="20">
        <f>F2778&amp;E2778&amp;G2778&amp;J2778</f>
        <v/>
      </c>
    </row>
    <row r="2779" ht="16.5" customHeight="1" s="17">
      <c r="B2779" s="16" t="n">
        <v>44206</v>
      </c>
      <c r="C2779" s="20">
        <f>TEXT(B2779,"aaa")</f>
        <v/>
      </c>
      <c r="E2779" s="20">
        <f>INDEX(매칭테이블!C:C,MATCH(RD!G2779,매칭테이블!D:D,0))</f>
        <v/>
      </c>
      <c r="F2779" s="20" t="inlineStr">
        <is>
          <t>카페24</t>
        </is>
      </c>
      <c r="G2779" s="20" t="inlineStr">
        <is>
          <t>유즈 솔리드퍼퓸 - 30ml (11차 예약구매 진행중)향=이그나이트 001 SOLID PERFUME, 세트 선택=1개</t>
        </is>
      </c>
      <c r="H2779" s="20" t="n">
        <v>2</v>
      </c>
      <c r="I2779" s="20">
        <f>VLOOKUP(G2779,매칭테이블!D:E,2,0)</f>
        <v/>
      </c>
      <c r="J2779" s="20" t="n">
        <v>210101</v>
      </c>
      <c r="L2779" s="20">
        <f>VLOOKUP($O2779,매칭테이블!$G:$J,2,0)*H2779</f>
        <v/>
      </c>
      <c r="M2779" s="20">
        <f>L2779-L2779*VLOOKUP($O2779,매칭테이블!$G:$J,3,0)</f>
        <v/>
      </c>
      <c r="N2779" s="20">
        <f>VLOOKUP($O2779,매칭테이블!$G:$J,4,0)*H2779</f>
        <v/>
      </c>
      <c r="O2779" s="20">
        <f>F2779&amp;E2779&amp;G2779&amp;J2779</f>
        <v/>
      </c>
    </row>
    <row r="2780" ht="16.5" customHeight="1" s="17">
      <c r="B2780" s="16" t="n">
        <v>44206</v>
      </c>
      <c r="C2780" s="20">
        <f>TEXT(B2780,"aaa")</f>
        <v/>
      </c>
      <c r="E2780" s="20">
        <f>INDEX(매칭테이블!C:C,MATCH(RD!G2780,매칭테이블!D:D,0))</f>
        <v/>
      </c>
      <c r="F2780" s="20" t="inlineStr">
        <is>
          <t>카페24</t>
        </is>
      </c>
      <c r="G2780" s="20" t="inlineStr">
        <is>
          <t>유즈 솔리드퍼퓸 - 30ml (11차 예약구매 진행중)향=스테이포에버 002 SOLID PERFUME, 세트 선택=1개</t>
        </is>
      </c>
      <c r="H2780" s="20" t="n">
        <v>10</v>
      </c>
      <c r="I2780" s="20">
        <f>VLOOKUP(G2780,매칭테이블!D:E,2,0)</f>
        <v/>
      </c>
      <c r="J2780" s="20" t="n">
        <v>210101</v>
      </c>
      <c r="L2780" s="20">
        <f>VLOOKUP($O2780,매칭테이블!$G:$J,2,0)*H2780</f>
        <v/>
      </c>
      <c r="M2780" s="20">
        <f>L2780-L2780*VLOOKUP($O2780,매칭테이블!$G:$J,3,0)</f>
        <v/>
      </c>
      <c r="N2780" s="20">
        <f>VLOOKUP($O2780,매칭테이블!$G:$J,4,0)*H2780</f>
        <v/>
      </c>
      <c r="O2780" s="20">
        <f>F2780&amp;E2780&amp;G2780&amp;J2780</f>
        <v/>
      </c>
    </row>
    <row r="2781" ht="16.5" customHeight="1" s="17">
      <c r="B2781" s="16" t="n">
        <v>44206</v>
      </c>
      <c r="C2781" s="20">
        <f>TEXT(B2781,"aaa")</f>
        <v/>
      </c>
      <c r="E2781" s="20">
        <f>INDEX(매칭테이블!C:C,MATCH(RD!G2781,매칭테이블!D:D,0))</f>
        <v/>
      </c>
      <c r="F2781" s="20" t="inlineStr">
        <is>
          <t>카페24</t>
        </is>
      </c>
      <c r="G2781" s="20" t="inlineStr">
        <is>
          <t>유즈 솔리드퍼퓸 - 30ml (11차 예약구매 진행중)향=스테이포에버 002 SOLID PERFUME, 세트 선택=best</t>
        </is>
      </c>
      <c r="H2781" s="20" t="n">
        <v>7</v>
      </c>
      <c r="I2781" s="20">
        <f>VLOOKUP(G2781,매칭테이블!D:E,2,0)</f>
        <v/>
      </c>
      <c r="J2781" s="20" t="n">
        <v>210101</v>
      </c>
      <c r="L2781" s="20">
        <f>VLOOKUP($O2781,매칭테이블!$G:$J,2,0)*H2781</f>
        <v/>
      </c>
      <c r="M2781" s="20">
        <f>L2781-L2781*VLOOKUP($O2781,매칭테이블!$G:$J,3,0)</f>
        <v/>
      </c>
      <c r="N2781" s="20">
        <f>VLOOKUP($O2781,매칭테이블!$G:$J,4,0)*H2781</f>
        <v/>
      </c>
      <c r="O2781" s="20">
        <f>F2781&amp;E2781&amp;G2781&amp;J2781</f>
        <v/>
      </c>
    </row>
    <row r="2782" ht="16.5" customHeight="1" s="17">
      <c r="B2782" s="16" t="n">
        <v>44206</v>
      </c>
      <c r="C2782" s="20">
        <f>TEXT(B2782,"aaa")</f>
        <v/>
      </c>
      <c r="E2782" s="20">
        <f>INDEX(매칭테이블!C:C,MATCH(RD!G2782,매칭테이블!D:D,0))</f>
        <v/>
      </c>
      <c r="F2782" s="20" t="inlineStr">
        <is>
          <t>카페24</t>
        </is>
      </c>
      <c r="G2782" s="20" t="inlineStr">
        <is>
          <t>유즈 솔리드퍼퓸 - 30ml (11차 예약구매 진행중)향=스테이포에버 002 SOLID PERFUME, 세트 선택=best 2개 (28% 할인)</t>
        </is>
      </c>
      <c r="H2782" s="20" t="n">
        <v>5</v>
      </c>
      <c r="I2782" s="20">
        <f>VLOOKUP(G2782,매칭테이블!D:E,2,0)</f>
        <v/>
      </c>
      <c r="J2782" s="20" t="n">
        <v>210101</v>
      </c>
      <c r="L2782" s="20">
        <f>VLOOKUP($O2782,매칭테이블!$G:$J,2,0)*H2782</f>
        <v/>
      </c>
      <c r="M2782" s="20">
        <f>L2782-L2782*VLOOKUP($O2782,매칭테이블!$G:$J,3,0)</f>
        <v/>
      </c>
      <c r="N2782" s="20">
        <f>VLOOKUP($O2782,매칭테이블!$G:$J,4,0)*H2782</f>
        <v/>
      </c>
      <c r="O2782" s="20">
        <f>F2782&amp;E2782&amp;G2782&amp;J2782</f>
        <v/>
      </c>
    </row>
    <row r="2783" ht="16.5" customHeight="1" s="17">
      <c r="B2783" s="16" t="n">
        <v>44206</v>
      </c>
      <c r="C2783" s="20">
        <f>TEXT(B2783,"aaa")</f>
        <v/>
      </c>
      <c r="E2783" s="20">
        <f>INDEX(매칭테이블!C:C,MATCH(RD!G2783,매칭테이블!D:D,0))</f>
        <v/>
      </c>
      <c r="F2783" s="20" t="inlineStr">
        <is>
          <t>카페24</t>
        </is>
      </c>
      <c r="G2783" s="20" t="inlineStr">
        <is>
          <t>유즈 솔리드퍼퓸 - 30ml (11차 예약구매 진행중)향=커플세트</t>
        </is>
      </c>
      <c r="H2783" s="20" t="n">
        <v>6</v>
      </c>
      <c r="I2783" s="20">
        <f>VLOOKUP(G2783,매칭테이블!D:E,2,0)</f>
        <v/>
      </c>
      <c r="J2783" s="20" t="n">
        <v>210101</v>
      </c>
      <c r="L2783" s="20">
        <f>VLOOKUP($O2783,매칭테이블!$G:$J,2,0)*H2783</f>
        <v/>
      </c>
      <c r="M2783" s="20">
        <f>L2783-L2783*VLOOKUP($O2783,매칭테이블!$G:$J,3,0)</f>
        <v/>
      </c>
      <c r="N2783" s="20">
        <f>VLOOKUP($O2783,매칭테이블!$G:$J,4,0)*H2783</f>
        <v/>
      </c>
      <c r="O2783" s="20">
        <f>F2783&amp;E2783&amp;G2783&amp;J2783</f>
        <v/>
      </c>
    </row>
    <row r="2784" ht="16.5" customHeight="1" s="17">
      <c r="B2784" s="16" t="n">
        <v>44206</v>
      </c>
      <c r="C2784" s="20">
        <f>TEXT(B2784,"aaa")</f>
        <v/>
      </c>
      <c r="E2784" s="20">
        <f>INDEX(매칭테이블!C:C,MATCH(RD!G2784,매칭테이블!D:D,0))</f>
        <v/>
      </c>
      <c r="F2784" s="20" t="inlineStr">
        <is>
          <t>카페24</t>
        </is>
      </c>
      <c r="G2784" s="20" t="inlineStr">
        <is>
          <t>유즈 솔리드퍼퓸 - 30ml (11차 예약구매 진행중)향=커플세트(이그나이트 + 스테이포에버), 세트 선택=1 SET</t>
        </is>
      </c>
      <c r="H2784" s="20" t="n">
        <v>3</v>
      </c>
      <c r="I2784" s="20">
        <f>VLOOKUP(G2784,매칭테이블!D:E,2,0)</f>
        <v/>
      </c>
      <c r="J2784" s="20" t="n">
        <v>210101</v>
      </c>
      <c r="L2784" s="20">
        <f>VLOOKUP($O2784,매칭테이블!$G:$J,2,0)*H2784</f>
        <v/>
      </c>
      <c r="M2784" s="20">
        <f>L2784-L2784*VLOOKUP($O2784,매칭테이블!$G:$J,3,0)</f>
        <v/>
      </c>
      <c r="N2784" s="20">
        <f>VLOOKUP($O2784,매칭테이블!$G:$J,4,0)*H2784</f>
        <v/>
      </c>
      <c r="O2784" s="20">
        <f>F2784&amp;E2784&amp;G2784&amp;J2784</f>
        <v/>
      </c>
    </row>
    <row r="2785" ht="16.5" customHeight="1" s="17">
      <c r="B2785" s="16" t="n">
        <v>44206</v>
      </c>
      <c r="C2785" s="20">
        <f>TEXT(B2785,"aaa")</f>
        <v/>
      </c>
      <c r="E2785" s="20">
        <f>INDEX(매칭테이블!C:C,MATCH(RD!G2785,매칭테이블!D:D,0))</f>
        <v/>
      </c>
      <c r="F2785" s="20" t="inlineStr">
        <is>
          <t>카페24</t>
        </is>
      </c>
      <c r="G2785" s="20" t="inlineStr">
        <is>
          <t>유즈 솔리드퍼퓸 - 30ml (11차 예약구매 진행중)향=커플세트</t>
        </is>
      </c>
      <c r="H2785" s="20" t="n">
        <v>3</v>
      </c>
      <c r="I2785" s="20">
        <f>VLOOKUP(G2785,매칭테이블!D:E,2,0)</f>
        <v/>
      </c>
      <c r="J2785" s="20" t="n">
        <v>210101</v>
      </c>
      <c r="L2785" s="20">
        <f>VLOOKUP($O2785,매칭테이블!$G:$J,2,0)*H2785</f>
        <v/>
      </c>
      <c r="M2785" s="20">
        <f>L2785-L2785*VLOOKUP($O2785,매칭테이블!$G:$J,3,0)</f>
        <v/>
      </c>
      <c r="N2785" s="20">
        <f>VLOOKUP($O2785,매칭테이블!$G:$J,4,0)*H2785</f>
        <v/>
      </c>
      <c r="O2785" s="20">
        <f>F2785&amp;E2785&amp;G2785&amp;J2785</f>
        <v/>
      </c>
    </row>
    <row r="2786" ht="16.5" customHeight="1" s="17">
      <c r="B2786" s="16" t="n">
        <v>44206</v>
      </c>
      <c r="C2786" s="20">
        <f>TEXT(B2786,"aaa")</f>
        <v/>
      </c>
      <c r="E2786" s="20">
        <f>INDEX(매칭테이블!C:C,MATCH(RD!G2786,매칭테이블!D:D,0))</f>
        <v/>
      </c>
      <c r="F2786" s="20" t="inlineStr">
        <is>
          <t>카페24</t>
        </is>
      </c>
      <c r="G2786" s="20" t="inlineStr">
        <is>
          <t>유즈 솔리드퍼퓸 - 30ml (11차 예약구매 진행중)향=커플세트(이그나이트 + 스테이포에버), 세트 선택=2 SET (42% 할인)</t>
        </is>
      </c>
      <c r="H2786" s="20" t="n">
        <v>1</v>
      </c>
      <c r="I2786" s="20">
        <f>VLOOKUP(G2786,매칭테이블!D:E,2,0)</f>
        <v/>
      </c>
      <c r="J2786" s="20" t="n">
        <v>210101</v>
      </c>
      <c r="L2786" s="20">
        <f>VLOOKUP($O2786,매칭테이블!$G:$J,2,0)*H2786</f>
        <v/>
      </c>
      <c r="M2786" s="20">
        <f>L2786-L2786*VLOOKUP($O2786,매칭테이블!$G:$J,3,0)</f>
        <v/>
      </c>
      <c r="N2786" s="20">
        <f>VLOOKUP($O2786,매칭테이블!$G:$J,4,0)*H2786</f>
        <v/>
      </c>
      <c r="O2786" s="20">
        <f>F2786&amp;E2786&amp;G2786&amp;J2786</f>
        <v/>
      </c>
    </row>
    <row r="2787" ht="16.5" customHeight="1" s="17">
      <c r="B2787" s="16" t="n">
        <v>44206</v>
      </c>
      <c r="C2787" s="20">
        <f>TEXT(B2787,"aaa")</f>
        <v/>
      </c>
      <c r="E2787" s="20">
        <f>INDEX(매칭테이블!C:C,MATCH(RD!G2787,매칭테이블!D:D,0))</f>
        <v/>
      </c>
      <c r="F2787" s="20" t="inlineStr">
        <is>
          <t>카페24</t>
        </is>
      </c>
      <c r="G2787" s="20" t="inlineStr">
        <is>
          <t>유즈 스테이포에버 솔리드퍼퓸 002 (11차 예약구매 진행중)제품선택=스테이포에버 1개</t>
        </is>
      </c>
      <c r="H2787" s="20" t="n">
        <v>474</v>
      </c>
      <c r="I2787" s="20">
        <f>VLOOKUP(G2787,매칭테이블!D:E,2,0)</f>
        <v/>
      </c>
      <c r="J2787" s="20" t="n">
        <v>210101</v>
      </c>
      <c r="L2787" s="20">
        <f>VLOOKUP($O2787,매칭테이블!$G:$J,2,0)*H2787</f>
        <v/>
      </c>
      <c r="M2787" s="20">
        <f>L2787-L2787*VLOOKUP($O2787,매칭테이블!$G:$J,3,0)</f>
        <v/>
      </c>
      <c r="N2787" s="20">
        <f>VLOOKUP($O2787,매칭테이블!$G:$J,4,0)*H2787</f>
        <v/>
      </c>
      <c r="O2787" s="20">
        <f>F2787&amp;E2787&amp;G2787&amp;J2787</f>
        <v/>
      </c>
    </row>
    <row r="2788" ht="16.5" customHeight="1" s="17">
      <c r="B2788" s="16" t="n">
        <v>44206</v>
      </c>
      <c r="C2788" s="20">
        <f>TEXT(B2788,"aaa")</f>
        <v/>
      </c>
      <c r="E2788" s="20">
        <f>INDEX(매칭테이블!C:C,MATCH(RD!G2788,매칭테이블!D:D,0))</f>
        <v/>
      </c>
      <c r="F2788" s="20" t="inlineStr">
        <is>
          <t>카페24</t>
        </is>
      </c>
      <c r="G2788" s="20" t="inlineStr">
        <is>
          <t>유즈 스테이포에버 솔리드퍼퓸 002 (11차 예약구매 진행중)제품선택=best</t>
        </is>
      </c>
      <c r="H2788" s="20" t="n">
        <v>102</v>
      </c>
      <c r="I2788" s="20">
        <f>VLOOKUP(G2788,매칭테이블!D:E,2,0)</f>
        <v/>
      </c>
      <c r="J2788" s="20" t="n">
        <v>210101</v>
      </c>
      <c r="L2788" s="20">
        <f>VLOOKUP($O2788,매칭테이블!$G:$J,2,0)*H2788</f>
        <v/>
      </c>
      <c r="M2788" s="20">
        <f>L2788-L2788*VLOOKUP($O2788,매칭테이블!$G:$J,3,0)</f>
        <v/>
      </c>
      <c r="N2788" s="20">
        <f>VLOOKUP($O2788,매칭테이블!$G:$J,4,0)*H2788</f>
        <v/>
      </c>
      <c r="O2788" s="20">
        <f>F2788&amp;E2788&amp;G2788&amp;J2788</f>
        <v/>
      </c>
    </row>
    <row r="2789" ht="16.5" customHeight="1" s="17">
      <c r="B2789" s="16" t="n">
        <v>44206</v>
      </c>
      <c r="C2789" s="20">
        <f>TEXT(B2789,"aaa")</f>
        <v/>
      </c>
      <c r="E2789" s="20">
        <f>INDEX(매칭테이블!C:C,MATCH(RD!G2789,매칭테이블!D:D,0))</f>
        <v/>
      </c>
      <c r="F2789" s="20" t="inlineStr">
        <is>
          <t>카페24</t>
        </is>
      </c>
      <c r="G2789" s="20" t="inlineStr">
        <is>
          <t>유즈 스테이포에버 솔리드퍼퓸 002 (11차 예약구매 진행중)제품선택=best스테이포에버 2개[28% 할인]</t>
        </is>
      </c>
      <c r="H2789" s="20" t="n">
        <v>133</v>
      </c>
      <c r="I2789" s="20">
        <f>VLOOKUP(G2789,매칭테이블!D:E,2,0)</f>
        <v/>
      </c>
      <c r="J2789" s="20" t="n">
        <v>210101</v>
      </c>
      <c r="L2789" s="20">
        <f>VLOOKUP($O2789,매칭테이블!$G:$J,2,0)*H2789</f>
        <v/>
      </c>
      <c r="M2789" s="20">
        <f>L2789-L2789*VLOOKUP($O2789,매칭테이블!$G:$J,3,0)</f>
        <v/>
      </c>
      <c r="N2789" s="20">
        <f>VLOOKUP($O2789,매칭테이블!$G:$J,4,0)*H2789</f>
        <v/>
      </c>
      <c r="O2789" s="20">
        <f>F2789&amp;E2789&amp;G2789&amp;J2789</f>
        <v/>
      </c>
    </row>
    <row r="2790" ht="16.5" customHeight="1" s="17">
      <c r="B2790" s="16" t="n">
        <v>44206</v>
      </c>
      <c r="C2790" s="20">
        <f>TEXT(B2790,"aaa")</f>
        <v/>
      </c>
      <c r="E2790" s="20">
        <f>INDEX(매칭테이블!C:C,MATCH(RD!G2790,매칭테이블!D:D,0))</f>
        <v/>
      </c>
      <c r="F2790" s="20" t="inlineStr">
        <is>
          <t>카페24</t>
        </is>
      </c>
      <c r="G2790" s="20" t="inlineStr">
        <is>
          <t>유즈 스테이포에버 솔리드퍼퓸 002 (11차 예약구매 진행중)제품선택=커플추천</t>
        </is>
      </c>
      <c r="H2790" s="20" t="n">
        <v>15</v>
      </c>
      <c r="I2790" s="20">
        <f>VLOOKUP(G2790,매칭테이블!D:E,2,0)</f>
        <v/>
      </c>
      <c r="J2790" s="20" t="n">
        <v>210101</v>
      </c>
      <c r="L2790" s="20">
        <f>VLOOKUP($O2790,매칭테이블!$G:$J,2,0)*H2790</f>
        <v/>
      </c>
      <c r="M2790" s="20">
        <f>L2790-L2790*VLOOKUP($O2790,매칭테이블!$G:$J,3,0)</f>
        <v/>
      </c>
      <c r="N2790" s="20">
        <f>VLOOKUP($O2790,매칭테이블!$G:$J,4,0)*H2790</f>
        <v/>
      </c>
      <c r="O2790" s="20">
        <f>F2790&amp;E2790&amp;G2790&amp;J2790</f>
        <v/>
      </c>
    </row>
    <row r="2791" ht="16.5" customHeight="1" s="17">
      <c r="B2791" s="16" t="n">
        <v>44206</v>
      </c>
      <c r="C2791" s="20">
        <f>TEXT(B2791,"aaa")</f>
        <v/>
      </c>
      <c r="E2791" s="20">
        <f>INDEX(매칭테이블!C:C,MATCH(RD!G2791,매칭테이블!D:D,0))</f>
        <v/>
      </c>
      <c r="F2791" s="20" t="inlineStr">
        <is>
          <t>카페24</t>
        </is>
      </c>
      <c r="G2791" s="20" t="inlineStr">
        <is>
          <t>유즈 스테이포에버 솔리드퍼퓸 002 (11차 예약구매 진행중)제품선택=커플추천스테이포에버 + 이그나이트 세트</t>
        </is>
      </c>
      <c r="H2791" s="20" t="n">
        <v>25</v>
      </c>
      <c r="I2791" s="20">
        <f>VLOOKUP(G2791,매칭테이블!D:E,2,0)</f>
        <v/>
      </c>
      <c r="J2791" s="20" t="n">
        <v>210101</v>
      </c>
      <c r="L2791" s="20">
        <f>VLOOKUP($O2791,매칭테이블!$G:$J,2,0)*H2791</f>
        <v/>
      </c>
      <c r="M2791" s="20">
        <f>L2791-L2791*VLOOKUP($O2791,매칭테이블!$G:$J,3,0)</f>
        <v/>
      </c>
      <c r="N2791" s="20">
        <f>VLOOKUP($O2791,매칭테이블!$G:$J,4,0)*H2791</f>
        <v/>
      </c>
      <c r="O2791" s="20">
        <f>F2791&amp;E2791&amp;G2791&amp;J2791</f>
        <v/>
      </c>
    </row>
    <row r="2792" ht="16.5" customHeight="1" s="17">
      <c r="B2792" s="16" t="n">
        <v>44206</v>
      </c>
      <c r="C2792" s="20">
        <f>TEXT(B2792,"aaa")</f>
        <v/>
      </c>
      <c r="E2792" s="20">
        <f>INDEX(매칭테이블!C:C,MATCH(RD!G2792,매칭테이블!D:D,0))</f>
        <v/>
      </c>
      <c r="F2792" s="20" t="inlineStr">
        <is>
          <t>카페24</t>
        </is>
      </c>
      <c r="G2792" s="20" t="inlineStr">
        <is>
          <t>유즈 스테이포에버 솔리드퍼퓸 002 (11차 예약구매 진행중)쇼핑백=선물용 쇼핑백</t>
        </is>
      </c>
      <c r="H2792" s="20" t="n">
        <v>21</v>
      </c>
      <c r="I2792" s="20">
        <f>VLOOKUP(G2792,매칭테이블!D:E,2,0)</f>
        <v/>
      </c>
      <c r="J2792" s="20" t="n">
        <v>210101</v>
      </c>
      <c r="L2792" s="20">
        <f>VLOOKUP($O2792,매칭테이블!$G:$J,2,0)*H2792</f>
        <v/>
      </c>
      <c r="M2792" s="20">
        <f>L2792-L2792*VLOOKUP($O2792,매칭테이블!$G:$J,3,0)</f>
        <v/>
      </c>
      <c r="N2792" s="20">
        <f>VLOOKUP($O2792,매칭테이블!$G:$J,4,0)*H2792</f>
        <v/>
      </c>
      <c r="O2792" s="20">
        <f>F2792&amp;E2792&amp;G2792&amp;J2792</f>
        <v/>
      </c>
    </row>
    <row r="2793" ht="16.5" customHeight="1" s="17">
      <c r="B2793" s="16" t="n">
        <v>44206</v>
      </c>
      <c r="C2793" s="20">
        <f>TEXT(B2793,"aaa")</f>
        <v/>
      </c>
      <c r="E2793" s="20">
        <f>INDEX(매칭테이블!C:C,MATCH(RD!G2793,매칭테이블!D:D,0))</f>
        <v/>
      </c>
      <c r="F2793" s="20" t="inlineStr">
        <is>
          <t>카페24</t>
        </is>
      </c>
      <c r="G2793" s="20" t="inlineStr">
        <is>
          <t>유즈 이그나이트 솔리드퍼퓸 001제품선택=이그나이트 솔리드퍼퓸 - 30ml</t>
        </is>
      </c>
      <c r="H2793" s="20" t="n">
        <v>3</v>
      </c>
      <c r="I2793" s="20">
        <f>VLOOKUP(G2793,매칭테이블!D:E,2,0)</f>
        <v/>
      </c>
      <c r="J2793" s="20" t="n">
        <v>210101</v>
      </c>
      <c r="L2793" s="20">
        <f>VLOOKUP($O2793,매칭테이블!$G:$J,2,0)*H2793</f>
        <v/>
      </c>
      <c r="M2793" s="20">
        <f>L2793-L2793*VLOOKUP($O2793,매칭테이블!$G:$J,3,0)</f>
        <v/>
      </c>
      <c r="N2793" s="20">
        <f>VLOOKUP($O2793,매칭테이블!$G:$J,4,0)*H2793</f>
        <v/>
      </c>
      <c r="O2793" s="20">
        <f>F2793&amp;E2793&amp;G2793&amp;J2793</f>
        <v/>
      </c>
    </row>
    <row r="2794" ht="16.5" customHeight="1" s="17">
      <c r="B2794" s="16" t="n">
        <v>44206</v>
      </c>
      <c r="C2794" s="20">
        <f>TEXT(B2794,"aaa")</f>
        <v/>
      </c>
      <c r="E2794" s="20">
        <f>INDEX(매칭테이블!C:C,MATCH(RD!G2794,매칭테이블!D:D,0))</f>
        <v/>
      </c>
      <c r="F2794" s="20" t="inlineStr">
        <is>
          <t>카페24</t>
        </is>
      </c>
      <c r="G2794" s="20" t="inlineStr">
        <is>
          <t>유즈 이그나이트 솔리드퍼퓸 001제품선택=이그나이트 2개 세트</t>
        </is>
      </c>
      <c r="H2794" s="20" t="n">
        <v>1</v>
      </c>
      <c r="I2794" s="20">
        <f>VLOOKUP(G2794,매칭테이블!D:E,2,0)</f>
        <v/>
      </c>
      <c r="J2794" s="20" t="n">
        <v>210101</v>
      </c>
      <c r="L2794" s="20">
        <f>VLOOKUP($O2794,매칭테이블!$G:$J,2,0)*H2794</f>
        <v/>
      </c>
      <c r="M2794" s="20">
        <f>L2794-L2794*VLOOKUP($O2794,매칭테이블!$G:$J,3,0)</f>
        <v/>
      </c>
      <c r="N2794" s="20">
        <f>VLOOKUP($O2794,매칭테이블!$G:$J,4,0)*H2794</f>
        <v/>
      </c>
      <c r="O2794" s="20">
        <f>F2794&amp;E2794&amp;G2794&amp;J2794</f>
        <v/>
      </c>
    </row>
    <row r="2795" ht="16.5" customHeight="1" s="17">
      <c r="B2795" s="16" t="n">
        <v>44207</v>
      </c>
      <c r="C2795" s="20">
        <f>TEXT(B2795,"aaa")</f>
        <v/>
      </c>
      <c r="E2795" s="20">
        <f>INDEX(매칭테이블!C:C,MATCH(RD!G2795,매칭테이블!D:D,0))</f>
        <v/>
      </c>
      <c r="F2795" s="20" t="inlineStr">
        <is>
          <t>카페24</t>
        </is>
      </c>
      <c r="G2795" s="20" t="inlineStr">
        <is>
          <t>유즈 솔리드퍼퓸 - 30ml (11차 예약구매 진행중)향=이그나이트 001 SOLID PERFUME, 세트 선택=1개</t>
        </is>
      </c>
      <c r="H2795" s="20" t="n">
        <v>2</v>
      </c>
      <c r="I2795" s="20">
        <f>VLOOKUP(G2795,매칭테이블!D:E,2,0)</f>
        <v/>
      </c>
      <c r="J2795" s="20" t="n">
        <v>210101</v>
      </c>
      <c r="L2795" s="20">
        <f>VLOOKUP($O2795,매칭테이블!$G:$J,2,0)*H2795</f>
        <v/>
      </c>
      <c r="M2795" s="20">
        <f>L2795-L2795*VLOOKUP($O2795,매칭테이블!$G:$J,3,0)</f>
        <v/>
      </c>
      <c r="N2795" s="20">
        <f>VLOOKUP($O2795,매칭테이블!$G:$J,4,0)*H2795</f>
        <v/>
      </c>
      <c r="O2795" s="20">
        <f>F2795&amp;E2795&amp;G2795&amp;J2795</f>
        <v/>
      </c>
    </row>
    <row r="2796" ht="16.5" customHeight="1" s="17">
      <c r="B2796" s="16" t="n">
        <v>44207</v>
      </c>
      <c r="C2796" s="20">
        <f>TEXT(B2796,"aaa")</f>
        <v/>
      </c>
      <c r="E2796" s="20">
        <f>INDEX(매칭테이블!C:C,MATCH(RD!G2796,매칭테이블!D:D,0))</f>
        <v/>
      </c>
      <c r="F2796" s="20" t="inlineStr">
        <is>
          <t>카페24</t>
        </is>
      </c>
      <c r="G2796" s="20" t="inlineStr">
        <is>
          <t>유즈 솔리드퍼퓸 - 30ml (11차 예약구매 진행중)향=이그나이트 001 SOLID PERFUME, 세트 선택=best 2개 (28% 할인)</t>
        </is>
      </c>
      <c r="H2796" s="20" t="n">
        <v>1</v>
      </c>
      <c r="I2796" s="20">
        <f>VLOOKUP(G2796,매칭테이블!D:E,2,0)</f>
        <v/>
      </c>
      <c r="J2796" s="20" t="n">
        <v>210101</v>
      </c>
      <c r="L2796" s="20">
        <f>VLOOKUP($O2796,매칭테이블!$G:$J,2,0)*H2796</f>
        <v/>
      </c>
      <c r="M2796" s="20">
        <f>L2796-L2796*VLOOKUP($O2796,매칭테이블!$G:$J,3,0)</f>
        <v/>
      </c>
      <c r="N2796" s="20">
        <f>VLOOKUP($O2796,매칭테이블!$G:$J,4,0)*H2796</f>
        <v/>
      </c>
      <c r="O2796" s="20">
        <f>F2796&amp;E2796&amp;G2796&amp;J2796</f>
        <v/>
      </c>
    </row>
    <row r="2797" ht="16.5" customHeight="1" s="17">
      <c r="B2797" s="16" t="n">
        <v>44207</v>
      </c>
      <c r="C2797" s="20">
        <f>TEXT(B2797,"aaa")</f>
        <v/>
      </c>
      <c r="E2797" s="20">
        <f>INDEX(매칭테이블!C:C,MATCH(RD!G2797,매칭테이블!D:D,0))</f>
        <v/>
      </c>
      <c r="F2797" s="20" t="inlineStr">
        <is>
          <t>카페24</t>
        </is>
      </c>
      <c r="G2797" s="20" t="inlineStr">
        <is>
          <t>유즈 솔리드퍼퓸 - 30ml (11차 예약구매 진행중)향=스테이포에버 002 SOLID PERFUME, 세트 선택=1개</t>
        </is>
      </c>
      <c r="H2797" s="20" t="n">
        <v>12</v>
      </c>
      <c r="I2797" s="20">
        <f>VLOOKUP(G2797,매칭테이블!D:E,2,0)</f>
        <v/>
      </c>
      <c r="J2797" s="20" t="n">
        <v>210101</v>
      </c>
      <c r="L2797" s="20">
        <f>VLOOKUP($O2797,매칭테이블!$G:$J,2,0)*H2797</f>
        <v/>
      </c>
      <c r="M2797" s="20">
        <f>L2797-L2797*VLOOKUP($O2797,매칭테이블!$G:$J,3,0)</f>
        <v/>
      </c>
      <c r="N2797" s="20">
        <f>VLOOKUP($O2797,매칭테이블!$G:$J,4,0)*H2797</f>
        <v/>
      </c>
      <c r="O2797" s="20">
        <f>F2797&amp;E2797&amp;G2797&amp;J2797</f>
        <v/>
      </c>
    </row>
    <row r="2798" ht="16.5" customHeight="1" s="17">
      <c r="B2798" s="16" t="n">
        <v>44207</v>
      </c>
      <c r="C2798" s="20">
        <f>TEXT(B2798,"aaa")</f>
        <v/>
      </c>
      <c r="E2798" s="20">
        <f>INDEX(매칭테이블!C:C,MATCH(RD!G2798,매칭테이블!D:D,0))</f>
        <v/>
      </c>
      <c r="F2798" s="20" t="inlineStr">
        <is>
          <t>카페24</t>
        </is>
      </c>
      <c r="G2798" s="20" t="inlineStr">
        <is>
          <t>유즈 솔리드퍼퓸 - 30ml (11차 예약구매 진행중)향=스테이포에버 002 SOLID PERFUME, 세트 선택=best</t>
        </is>
      </c>
      <c r="H2798" s="20" t="n">
        <v>4</v>
      </c>
      <c r="I2798" s="20">
        <f>VLOOKUP(G2798,매칭테이블!D:E,2,0)</f>
        <v/>
      </c>
      <c r="J2798" s="20" t="n">
        <v>210101</v>
      </c>
      <c r="L2798" s="20">
        <f>VLOOKUP($O2798,매칭테이블!$G:$J,2,0)*H2798</f>
        <v/>
      </c>
      <c r="M2798" s="20">
        <f>L2798-L2798*VLOOKUP($O2798,매칭테이블!$G:$J,3,0)</f>
        <v/>
      </c>
      <c r="N2798" s="20">
        <f>VLOOKUP($O2798,매칭테이블!$G:$J,4,0)*H2798</f>
        <v/>
      </c>
      <c r="O2798" s="20">
        <f>F2798&amp;E2798&amp;G2798&amp;J2798</f>
        <v/>
      </c>
    </row>
    <row r="2799" ht="16.5" customHeight="1" s="17">
      <c r="B2799" s="16" t="n">
        <v>44207</v>
      </c>
      <c r="C2799" s="20">
        <f>TEXT(B2799,"aaa")</f>
        <v/>
      </c>
      <c r="E2799" s="20">
        <f>INDEX(매칭테이블!C:C,MATCH(RD!G2799,매칭테이블!D:D,0))</f>
        <v/>
      </c>
      <c r="F2799" s="20" t="inlineStr">
        <is>
          <t>카페24</t>
        </is>
      </c>
      <c r="G2799" s="20" t="inlineStr">
        <is>
          <t>유즈 솔리드퍼퓸 - 30ml (11차 예약구매 진행중)향=스테이포에버 002 SOLID PERFUME, 세트 선택=best 2개 (28% 할인)</t>
        </is>
      </c>
      <c r="H2799" s="20" t="n">
        <v>5</v>
      </c>
      <c r="I2799" s="20">
        <f>VLOOKUP(G2799,매칭테이블!D:E,2,0)</f>
        <v/>
      </c>
      <c r="J2799" s="20" t="n">
        <v>210101</v>
      </c>
      <c r="L2799" s="20">
        <f>VLOOKUP($O2799,매칭테이블!$G:$J,2,0)*H2799</f>
        <v/>
      </c>
      <c r="M2799" s="20">
        <f>L2799-L2799*VLOOKUP($O2799,매칭테이블!$G:$J,3,0)</f>
        <v/>
      </c>
      <c r="N2799" s="20">
        <f>VLOOKUP($O2799,매칭테이블!$G:$J,4,0)*H2799</f>
        <v/>
      </c>
      <c r="O2799" s="20">
        <f>F2799&amp;E2799&amp;G2799&amp;J2799</f>
        <v/>
      </c>
    </row>
    <row r="2800" ht="16.5" customHeight="1" s="17">
      <c r="B2800" s="16" t="n">
        <v>44207</v>
      </c>
      <c r="C2800" s="20">
        <f>TEXT(B2800,"aaa")</f>
        <v/>
      </c>
      <c r="E2800" s="20">
        <f>INDEX(매칭테이블!C:C,MATCH(RD!G2800,매칭테이블!D:D,0))</f>
        <v/>
      </c>
      <c r="F2800" s="20" t="inlineStr">
        <is>
          <t>카페24</t>
        </is>
      </c>
      <c r="G2800" s="20" t="inlineStr">
        <is>
          <t>유즈 솔리드퍼퓸 - 30ml (11차 예약구매 진행중)향=커플세트</t>
        </is>
      </c>
      <c r="H2800" s="20" t="n">
        <v>6</v>
      </c>
      <c r="I2800" s="20">
        <f>VLOOKUP(G2800,매칭테이블!D:E,2,0)</f>
        <v/>
      </c>
      <c r="J2800" s="20" t="n">
        <v>210101</v>
      </c>
      <c r="L2800" s="20">
        <f>VLOOKUP($O2800,매칭테이블!$G:$J,2,0)*H2800</f>
        <v/>
      </c>
      <c r="M2800" s="20">
        <f>L2800-L2800*VLOOKUP($O2800,매칭테이블!$G:$J,3,0)</f>
        <v/>
      </c>
      <c r="N2800" s="20">
        <f>VLOOKUP($O2800,매칭테이블!$G:$J,4,0)*H2800</f>
        <v/>
      </c>
      <c r="O2800" s="20">
        <f>F2800&amp;E2800&amp;G2800&amp;J2800</f>
        <v/>
      </c>
    </row>
    <row r="2801" ht="16.5" customHeight="1" s="17">
      <c r="B2801" s="16" t="n">
        <v>44207</v>
      </c>
      <c r="C2801" s="20">
        <f>TEXT(B2801,"aaa")</f>
        <v/>
      </c>
      <c r="E2801" s="20">
        <f>INDEX(매칭테이블!C:C,MATCH(RD!G2801,매칭테이블!D:D,0))</f>
        <v/>
      </c>
      <c r="F2801" s="20" t="inlineStr">
        <is>
          <t>카페24</t>
        </is>
      </c>
      <c r="G2801" s="20" t="inlineStr">
        <is>
          <t>유즈 솔리드퍼퓸 - 30ml (11차 예약구매 진행중)향=커플세트(이그나이트 + 스테이포에버), 세트 선택=1 SET</t>
        </is>
      </c>
      <c r="H2801" s="20" t="n">
        <v>3</v>
      </c>
      <c r="I2801" s="20">
        <f>VLOOKUP(G2801,매칭테이블!D:E,2,0)</f>
        <v/>
      </c>
      <c r="J2801" s="20" t="n">
        <v>210101</v>
      </c>
      <c r="L2801" s="20">
        <f>VLOOKUP($O2801,매칭테이블!$G:$J,2,0)*H2801</f>
        <v/>
      </c>
      <c r="M2801" s="20">
        <f>L2801-L2801*VLOOKUP($O2801,매칭테이블!$G:$J,3,0)</f>
        <v/>
      </c>
      <c r="N2801" s="20">
        <f>VLOOKUP($O2801,매칭테이블!$G:$J,4,0)*H2801</f>
        <v/>
      </c>
      <c r="O2801" s="20">
        <f>F2801&amp;E2801&amp;G2801&amp;J2801</f>
        <v/>
      </c>
    </row>
    <row r="2802" ht="16.5" customHeight="1" s="17">
      <c r="B2802" s="16" t="n">
        <v>44207</v>
      </c>
      <c r="C2802" s="20">
        <f>TEXT(B2802,"aaa")</f>
        <v/>
      </c>
      <c r="E2802" s="20">
        <f>INDEX(매칭테이블!C:C,MATCH(RD!G2802,매칭테이블!D:D,0))</f>
        <v/>
      </c>
      <c r="F2802" s="20" t="inlineStr">
        <is>
          <t>카페24</t>
        </is>
      </c>
      <c r="G2802" s="20" t="inlineStr">
        <is>
          <t>유즈 스테이포에버 솔리드퍼퓸 002 (11차 예약구매 진행중)제품선택=스테이포에버 1개</t>
        </is>
      </c>
      <c r="H2802" s="20" t="n">
        <v>333</v>
      </c>
      <c r="I2802" s="20">
        <f>VLOOKUP(G2802,매칭테이블!D:E,2,0)</f>
        <v/>
      </c>
      <c r="J2802" s="20" t="n">
        <v>210101</v>
      </c>
      <c r="L2802" s="20">
        <f>VLOOKUP($O2802,매칭테이블!$G:$J,2,0)*H2802</f>
        <v/>
      </c>
      <c r="M2802" s="20">
        <f>L2802-L2802*VLOOKUP($O2802,매칭테이블!$G:$J,3,0)</f>
        <v/>
      </c>
      <c r="N2802" s="20">
        <f>VLOOKUP($O2802,매칭테이블!$G:$J,4,0)*H2802</f>
        <v/>
      </c>
      <c r="O2802" s="20">
        <f>F2802&amp;E2802&amp;G2802&amp;J2802</f>
        <v/>
      </c>
    </row>
    <row r="2803" ht="16.5" customHeight="1" s="17">
      <c r="B2803" s="16" t="n">
        <v>44207</v>
      </c>
      <c r="C2803" s="20">
        <f>TEXT(B2803,"aaa")</f>
        <v/>
      </c>
      <c r="E2803" s="20">
        <f>INDEX(매칭테이블!C:C,MATCH(RD!G2803,매칭테이블!D:D,0))</f>
        <v/>
      </c>
      <c r="F2803" s="20" t="inlineStr">
        <is>
          <t>카페24</t>
        </is>
      </c>
      <c r="G2803" s="20" t="inlineStr">
        <is>
          <t>유즈 스테이포에버 솔리드퍼퓸 002 (11차 예약구매 진행중)제품선택=best</t>
        </is>
      </c>
      <c r="H2803" s="20" t="n">
        <v>51</v>
      </c>
      <c r="I2803" s="20">
        <f>VLOOKUP(G2803,매칭테이블!D:E,2,0)</f>
        <v/>
      </c>
      <c r="J2803" s="20" t="n">
        <v>210101</v>
      </c>
      <c r="L2803" s="20">
        <f>VLOOKUP($O2803,매칭테이블!$G:$J,2,0)*H2803</f>
        <v/>
      </c>
      <c r="M2803" s="20">
        <f>L2803-L2803*VLOOKUP($O2803,매칭테이블!$G:$J,3,0)</f>
        <v/>
      </c>
      <c r="N2803" s="20">
        <f>VLOOKUP($O2803,매칭테이블!$G:$J,4,0)*H2803</f>
        <v/>
      </c>
      <c r="O2803" s="20">
        <f>F2803&amp;E2803&amp;G2803&amp;J2803</f>
        <v/>
      </c>
    </row>
    <row r="2804" ht="16.5" customHeight="1" s="17">
      <c r="B2804" s="16" t="n">
        <v>44207</v>
      </c>
      <c r="C2804" s="20">
        <f>TEXT(B2804,"aaa")</f>
        <v/>
      </c>
      <c r="E2804" s="20">
        <f>INDEX(매칭테이블!C:C,MATCH(RD!G2804,매칭테이블!D:D,0))</f>
        <v/>
      </c>
      <c r="F2804" s="20" t="inlineStr">
        <is>
          <t>카페24</t>
        </is>
      </c>
      <c r="G2804" s="20" t="inlineStr">
        <is>
          <t>유즈 스테이포에버 솔리드퍼퓸 002 (11차 예약구매 진행중)제품선택=best스테이포에버 2개[28% 할인]</t>
        </is>
      </c>
      <c r="H2804" s="20" t="n">
        <v>102</v>
      </c>
      <c r="I2804" s="20">
        <f>VLOOKUP(G2804,매칭테이블!D:E,2,0)</f>
        <v/>
      </c>
      <c r="J2804" s="20" t="n">
        <v>210101</v>
      </c>
      <c r="L2804" s="20">
        <f>VLOOKUP($O2804,매칭테이블!$G:$J,2,0)*H2804</f>
        <v/>
      </c>
      <c r="M2804" s="20">
        <f>L2804-L2804*VLOOKUP($O2804,매칭테이블!$G:$J,3,0)</f>
        <v/>
      </c>
      <c r="N2804" s="20">
        <f>VLOOKUP($O2804,매칭테이블!$G:$J,4,0)*H2804</f>
        <v/>
      </c>
      <c r="O2804" s="20">
        <f>F2804&amp;E2804&amp;G2804&amp;J2804</f>
        <v/>
      </c>
    </row>
    <row r="2805" ht="16.5" customHeight="1" s="17">
      <c r="B2805" s="16" t="n">
        <v>44207</v>
      </c>
      <c r="C2805" s="20">
        <f>TEXT(B2805,"aaa")</f>
        <v/>
      </c>
      <c r="E2805" s="20">
        <f>INDEX(매칭테이블!C:C,MATCH(RD!G2805,매칭테이블!D:D,0))</f>
        <v/>
      </c>
      <c r="F2805" s="20" t="inlineStr">
        <is>
          <t>카페24</t>
        </is>
      </c>
      <c r="G2805" s="20" t="inlineStr">
        <is>
          <t>유즈 스테이포에버 솔리드퍼퓸 002 (11차 예약구매 진행중)제품선택=커플추천</t>
        </is>
      </c>
      <c r="H2805" s="20" t="n">
        <v>8</v>
      </c>
      <c r="I2805" s="20">
        <f>VLOOKUP(G2805,매칭테이블!D:E,2,0)</f>
        <v/>
      </c>
      <c r="J2805" s="20" t="n">
        <v>210101</v>
      </c>
      <c r="L2805" s="20">
        <f>VLOOKUP($O2805,매칭테이블!$G:$J,2,0)*H2805</f>
        <v/>
      </c>
      <c r="M2805" s="20">
        <f>L2805-L2805*VLOOKUP($O2805,매칭테이블!$G:$J,3,0)</f>
        <v/>
      </c>
      <c r="N2805" s="20">
        <f>VLOOKUP($O2805,매칭테이블!$G:$J,4,0)*H2805</f>
        <v/>
      </c>
      <c r="O2805" s="20">
        <f>F2805&amp;E2805&amp;G2805&amp;J2805</f>
        <v/>
      </c>
    </row>
    <row r="2806" ht="16.5" customHeight="1" s="17">
      <c r="B2806" s="16" t="n">
        <v>44207</v>
      </c>
      <c r="C2806" s="20">
        <f>TEXT(B2806,"aaa")</f>
        <v/>
      </c>
      <c r="E2806" s="20">
        <f>INDEX(매칭테이블!C:C,MATCH(RD!G2806,매칭테이블!D:D,0))</f>
        <v/>
      </c>
      <c r="F2806" s="20" t="inlineStr">
        <is>
          <t>카페24</t>
        </is>
      </c>
      <c r="G2806" s="20" t="inlineStr">
        <is>
          <t>유즈 스테이포에버 솔리드퍼퓸 002 (11차 예약구매 진행중)제품선택=커플추천스테이포에버 + 이그나이트 세트</t>
        </is>
      </c>
      <c r="H2806" s="20" t="n">
        <v>15</v>
      </c>
      <c r="I2806" s="20">
        <f>VLOOKUP(G2806,매칭테이블!D:E,2,0)</f>
        <v/>
      </c>
      <c r="J2806" s="20" t="n">
        <v>210101</v>
      </c>
      <c r="L2806" s="20">
        <f>VLOOKUP($O2806,매칭테이블!$G:$J,2,0)*H2806</f>
        <v/>
      </c>
      <c r="M2806" s="20">
        <f>L2806-L2806*VLOOKUP($O2806,매칭테이블!$G:$J,3,0)</f>
        <v/>
      </c>
      <c r="N2806" s="20">
        <f>VLOOKUP($O2806,매칭테이블!$G:$J,4,0)*H2806</f>
        <v/>
      </c>
      <c r="O2806" s="20">
        <f>F2806&amp;E2806&amp;G2806&amp;J2806</f>
        <v/>
      </c>
    </row>
    <row r="2807" ht="16.5" customHeight="1" s="17">
      <c r="B2807" s="16" t="n">
        <v>44207</v>
      </c>
      <c r="C2807" s="20">
        <f>TEXT(B2807,"aaa")</f>
        <v/>
      </c>
      <c r="E2807" s="20">
        <f>INDEX(매칭테이블!C:C,MATCH(RD!G2807,매칭테이블!D:D,0))</f>
        <v/>
      </c>
      <c r="F2807" s="20" t="inlineStr">
        <is>
          <t>카페24</t>
        </is>
      </c>
      <c r="G2807" s="20" t="inlineStr">
        <is>
          <t>유즈 스테이포에버 솔리드퍼퓸 002 (11차 예약구매 진행중)쇼핑백=선물용 쇼핑백</t>
        </is>
      </c>
      <c r="H2807" s="20" t="n">
        <v>9</v>
      </c>
      <c r="I2807" s="20">
        <f>VLOOKUP(G2807,매칭테이블!D:E,2,0)</f>
        <v/>
      </c>
      <c r="J2807" s="20" t="n">
        <v>210101</v>
      </c>
      <c r="L2807" s="20">
        <f>VLOOKUP($O2807,매칭테이블!$G:$J,2,0)*H2807</f>
        <v/>
      </c>
      <c r="M2807" s="20">
        <f>L2807-L2807*VLOOKUP($O2807,매칭테이블!$G:$J,3,0)</f>
        <v/>
      </c>
      <c r="N2807" s="20">
        <f>VLOOKUP($O2807,매칭테이블!$G:$J,4,0)*H2807</f>
        <v/>
      </c>
      <c r="O2807" s="20">
        <f>F2807&amp;E2807&amp;G2807&amp;J2807</f>
        <v/>
      </c>
    </row>
    <row r="2808" ht="16.5" customHeight="1" s="17">
      <c r="B2808" s="16" t="n">
        <v>44207</v>
      </c>
      <c r="C2808" s="20">
        <f>TEXT(B2808,"aaa")</f>
        <v/>
      </c>
      <c r="E2808" s="20">
        <f>INDEX(매칭테이블!C:C,MATCH(RD!G2808,매칭테이블!D:D,0))</f>
        <v/>
      </c>
      <c r="F2808" s="20" t="inlineStr">
        <is>
          <t>카페24</t>
        </is>
      </c>
      <c r="G2808" s="20" t="inlineStr">
        <is>
          <t>유즈 이그나이트 솔리드퍼퓸 001제품선택=이그나이트 솔리드퍼퓸 - 30ml</t>
        </is>
      </c>
      <c r="H2808" s="20" t="n">
        <v>2</v>
      </c>
      <c r="I2808" s="20">
        <f>VLOOKUP(G2808,매칭테이블!D:E,2,0)</f>
        <v/>
      </c>
      <c r="J2808" s="20" t="n">
        <v>210101</v>
      </c>
      <c r="L2808" s="20">
        <f>VLOOKUP($O2808,매칭테이블!$G:$J,2,0)*H2808</f>
        <v/>
      </c>
      <c r="M2808" s="20">
        <f>L2808-L2808*VLOOKUP($O2808,매칭테이블!$G:$J,3,0)</f>
        <v/>
      </c>
      <c r="N2808" s="20">
        <f>VLOOKUP($O2808,매칭테이블!$G:$J,4,0)*H2808</f>
        <v/>
      </c>
      <c r="O2808" s="20">
        <f>F2808&amp;E2808&amp;G2808&amp;J2808</f>
        <v/>
      </c>
    </row>
    <row r="2809" ht="16.5" customHeight="1" s="17">
      <c r="B2809" s="16" t="n">
        <v>44208</v>
      </c>
      <c r="C2809" s="20">
        <f>TEXT(B2809,"aaa")</f>
        <v/>
      </c>
      <c r="E2809" s="20">
        <f>INDEX(매칭테이블!C:C,MATCH(RD!G2809,매칭테이블!D:D,0))</f>
        <v/>
      </c>
      <c r="F2809" s="20" t="inlineStr">
        <is>
          <t>카페24</t>
        </is>
      </c>
      <c r="G2809" s="20" t="inlineStr">
        <is>
          <t>솔리드퍼퓸 스테이포에버 002 30ml</t>
        </is>
      </c>
      <c r="H2809" s="20" t="n">
        <v>3</v>
      </c>
      <c r="I2809" s="20">
        <f>VLOOKUP(G2809,매칭테이블!D:E,2,0)</f>
        <v/>
      </c>
      <c r="J2809" s="20" t="n">
        <v>210101</v>
      </c>
      <c r="L2809" s="20">
        <f>VLOOKUP($O2809,매칭테이블!$G:$J,2,0)*H2809</f>
        <v/>
      </c>
      <c r="M2809" s="20">
        <f>L2809-L2809*VLOOKUP($O2809,매칭테이블!$G:$J,3,0)</f>
        <v/>
      </c>
      <c r="N2809" s="20">
        <f>VLOOKUP($O2809,매칭테이블!$G:$J,4,0)*H2809</f>
        <v/>
      </c>
      <c r="O2809" s="20">
        <f>F2809&amp;E2809&amp;G2809&amp;J2809</f>
        <v/>
      </c>
    </row>
    <row r="2810" ht="16.5" customHeight="1" s="17">
      <c r="B2810" s="16" t="n">
        <v>44208</v>
      </c>
      <c r="C2810" s="20">
        <f>TEXT(B2810,"aaa")</f>
        <v/>
      </c>
      <c r="E2810" s="20">
        <f>INDEX(매칭테이블!C:C,MATCH(RD!G2810,매칭테이블!D:D,0))</f>
        <v/>
      </c>
      <c r="F2810" s="20" t="inlineStr">
        <is>
          <t>카페24</t>
        </is>
      </c>
      <c r="G2810" s="20" t="inlineStr">
        <is>
          <t>유즈 솔리드퍼퓸 - 30ml향=스테이포에버 002 SOLID PERFUME, 세트 선택=1개</t>
        </is>
      </c>
      <c r="H2810" s="20" t="n">
        <v>5</v>
      </c>
      <c r="I2810" s="20">
        <f>VLOOKUP(G2810,매칭테이블!D:E,2,0)</f>
        <v/>
      </c>
      <c r="J2810" s="20" t="n">
        <v>210101</v>
      </c>
      <c r="L2810" s="20">
        <f>VLOOKUP($O2810,매칭테이블!$G:$J,2,0)*H2810</f>
        <v/>
      </c>
      <c r="M2810" s="20">
        <f>L2810-L2810*VLOOKUP($O2810,매칭테이블!$G:$J,3,0)</f>
        <v/>
      </c>
      <c r="N2810" s="20">
        <f>VLOOKUP($O2810,매칭테이블!$G:$J,4,0)*H2810</f>
        <v/>
      </c>
      <c r="O2810" s="20">
        <f>F2810&amp;E2810&amp;G2810&amp;J2810</f>
        <v/>
      </c>
    </row>
    <row r="2811" ht="16.5" customHeight="1" s="17">
      <c r="B2811" s="16" t="n">
        <v>44208</v>
      </c>
      <c r="C2811" s="20">
        <f>TEXT(B2811,"aaa")</f>
        <v/>
      </c>
      <c r="E2811" s="20">
        <f>INDEX(매칭테이블!C:C,MATCH(RD!G2811,매칭테이블!D:D,0))</f>
        <v/>
      </c>
      <c r="F2811" s="20" t="inlineStr">
        <is>
          <t>카페24</t>
        </is>
      </c>
      <c r="G2811" s="20" t="inlineStr">
        <is>
          <t>유즈 솔리드퍼퓸 - 30ml향=스테이포에버 002 SOLID PERFUME, 세트 선택=best</t>
        </is>
      </c>
      <c r="H2811" s="20" t="n">
        <v>1</v>
      </c>
      <c r="I2811" s="20">
        <f>VLOOKUP(G2811,매칭테이블!D:E,2,0)</f>
        <v/>
      </c>
      <c r="J2811" s="20" t="n">
        <v>210101</v>
      </c>
      <c r="L2811" s="20">
        <f>VLOOKUP($O2811,매칭테이블!$G:$J,2,0)*H2811</f>
        <v/>
      </c>
      <c r="M2811" s="20">
        <f>L2811-L2811*VLOOKUP($O2811,매칭테이블!$G:$J,3,0)</f>
        <v/>
      </c>
      <c r="N2811" s="20">
        <f>VLOOKUP($O2811,매칭테이블!$G:$J,4,0)*H2811</f>
        <v/>
      </c>
      <c r="O2811" s="20">
        <f>F2811&amp;E2811&amp;G2811&amp;J2811</f>
        <v/>
      </c>
    </row>
    <row r="2812" ht="16.5" customHeight="1" s="17">
      <c r="B2812" s="16" t="n">
        <v>44208</v>
      </c>
      <c r="C2812" s="20">
        <f>TEXT(B2812,"aaa")</f>
        <v/>
      </c>
      <c r="E2812" s="20">
        <f>INDEX(매칭테이블!C:C,MATCH(RD!G2812,매칭테이블!D:D,0))</f>
        <v/>
      </c>
      <c r="F2812" s="20" t="inlineStr">
        <is>
          <t>카페24</t>
        </is>
      </c>
      <c r="G2812" s="20" t="inlineStr">
        <is>
          <t>유즈 솔리드퍼퓸 - 30ml향=커플세트</t>
        </is>
      </c>
      <c r="H2812" s="20" t="n">
        <v>4</v>
      </c>
      <c r="I2812" s="20">
        <f>VLOOKUP(G2812,매칭테이블!D:E,2,0)</f>
        <v/>
      </c>
      <c r="J2812" s="20" t="n">
        <v>210101</v>
      </c>
      <c r="L2812" s="20">
        <f>VLOOKUP($O2812,매칭테이블!$G:$J,2,0)*H2812</f>
        <v/>
      </c>
      <c r="M2812" s="20">
        <f>L2812-L2812*VLOOKUP($O2812,매칭테이블!$G:$J,3,0)</f>
        <v/>
      </c>
      <c r="N2812" s="20">
        <f>VLOOKUP($O2812,매칭테이블!$G:$J,4,0)*H2812</f>
        <v/>
      </c>
      <c r="O2812" s="20">
        <f>F2812&amp;E2812&amp;G2812&amp;J2812</f>
        <v/>
      </c>
    </row>
    <row r="2813" ht="16.5" customHeight="1" s="17">
      <c r="B2813" s="16" t="n">
        <v>44208</v>
      </c>
      <c r="C2813" s="20">
        <f>TEXT(B2813,"aaa")</f>
        <v/>
      </c>
      <c r="E2813" s="20">
        <f>INDEX(매칭테이블!C:C,MATCH(RD!G2813,매칭테이블!D:D,0))</f>
        <v/>
      </c>
      <c r="F2813" s="20" t="inlineStr">
        <is>
          <t>카페24</t>
        </is>
      </c>
      <c r="G2813" s="20" t="inlineStr">
        <is>
          <t>유즈 솔리드퍼퓸 - 30ml향=커플세트(이그나이트 + 스테이포에버), 세트 선택=1 SET</t>
        </is>
      </c>
      <c r="H2813" s="20" t="n">
        <v>2</v>
      </c>
      <c r="I2813" s="20">
        <f>VLOOKUP(G2813,매칭테이블!D:E,2,0)</f>
        <v/>
      </c>
      <c r="J2813" s="20" t="n">
        <v>210101</v>
      </c>
      <c r="L2813" s="20">
        <f>VLOOKUP($O2813,매칭테이블!$G:$J,2,0)*H2813</f>
        <v/>
      </c>
      <c r="M2813" s="20">
        <f>L2813-L2813*VLOOKUP($O2813,매칭테이블!$G:$J,3,0)</f>
        <v/>
      </c>
      <c r="N2813" s="20">
        <f>VLOOKUP($O2813,매칭테이블!$G:$J,4,0)*H2813</f>
        <v/>
      </c>
      <c r="O2813" s="20">
        <f>F2813&amp;E2813&amp;G2813&amp;J2813</f>
        <v/>
      </c>
    </row>
    <row r="2814" ht="16.5" customHeight="1" s="17">
      <c r="B2814" s="16" t="n">
        <v>44208</v>
      </c>
      <c r="C2814" s="20">
        <f>TEXT(B2814,"aaa")</f>
        <v/>
      </c>
      <c r="E2814" s="20">
        <f>INDEX(매칭테이블!C:C,MATCH(RD!G2814,매칭테이블!D:D,0))</f>
        <v/>
      </c>
      <c r="F2814" s="20" t="inlineStr">
        <is>
          <t>카페24</t>
        </is>
      </c>
      <c r="G2814" s="20" t="inlineStr">
        <is>
          <t>유즈 솔리드퍼퓸 - 30ml (11차 예약구매 진행중)향=스테이포에버 002 SOLID PERFUME, 세트 선택=1개</t>
        </is>
      </c>
      <c r="H2814" s="20" t="n">
        <v>8</v>
      </c>
      <c r="I2814" s="20">
        <f>VLOOKUP(G2814,매칭테이블!D:E,2,0)</f>
        <v/>
      </c>
      <c r="J2814" s="20" t="n">
        <v>210101</v>
      </c>
      <c r="L2814" s="20">
        <f>VLOOKUP($O2814,매칭테이블!$G:$J,2,0)*H2814</f>
        <v/>
      </c>
      <c r="M2814" s="20">
        <f>L2814-L2814*VLOOKUP($O2814,매칭테이블!$G:$J,3,0)</f>
        <v/>
      </c>
      <c r="N2814" s="20">
        <f>VLOOKUP($O2814,매칭테이블!$G:$J,4,0)*H2814</f>
        <v/>
      </c>
      <c r="O2814" s="20">
        <f>F2814&amp;E2814&amp;G2814&amp;J2814</f>
        <v/>
      </c>
    </row>
    <row r="2815" ht="16.5" customHeight="1" s="17">
      <c r="B2815" s="16" t="n">
        <v>44208</v>
      </c>
      <c r="C2815" s="20">
        <f>TEXT(B2815,"aaa")</f>
        <v/>
      </c>
      <c r="E2815" s="20">
        <f>INDEX(매칭테이블!C:C,MATCH(RD!G2815,매칭테이블!D:D,0))</f>
        <v/>
      </c>
      <c r="F2815" s="20" t="inlineStr">
        <is>
          <t>카페24</t>
        </is>
      </c>
      <c r="G2815" s="20" t="inlineStr">
        <is>
          <t>유즈 솔리드퍼퓸 - 30ml (11차 예약구매 진행중)향=스테이포에버 002 SOLID PERFUME, 세트 선택=best</t>
        </is>
      </c>
      <c r="H2815" s="20" t="n">
        <v>5</v>
      </c>
      <c r="I2815" s="20">
        <f>VLOOKUP(G2815,매칭테이블!D:E,2,0)</f>
        <v/>
      </c>
      <c r="J2815" s="20" t="n">
        <v>210101</v>
      </c>
      <c r="L2815" s="20">
        <f>VLOOKUP($O2815,매칭테이블!$G:$J,2,0)*H2815</f>
        <v/>
      </c>
      <c r="M2815" s="20">
        <f>L2815-L2815*VLOOKUP($O2815,매칭테이블!$G:$J,3,0)</f>
        <v/>
      </c>
      <c r="N2815" s="20">
        <f>VLOOKUP($O2815,매칭테이블!$G:$J,4,0)*H2815</f>
        <v/>
      </c>
      <c r="O2815" s="20">
        <f>F2815&amp;E2815&amp;G2815&amp;J2815</f>
        <v/>
      </c>
    </row>
    <row r="2816" ht="16.5" customHeight="1" s="17">
      <c r="B2816" s="16" t="n">
        <v>44208</v>
      </c>
      <c r="C2816" s="20">
        <f>TEXT(B2816,"aaa")</f>
        <v/>
      </c>
      <c r="E2816" s="20">
        <f>INDEX(매칭테이블!C:C,MATCH(RD!G2816,매칭테이블!D:D,0))</f>
        <v/>
      </c>
      <c r="F2816" s="20" t="inlineStr">
        <is>
          <t>카페24</t>
        </is>
      </c>
      <c r="G2816" s="20" t="inlineStr">
        <is>
          <t>유즈 솔리드퍼퓸 - 30ml (11차 예약구매 진행중)향=스테이포에버 002 SOLID PERFUME, 세트 선택=best 2개 (28% 할인)</t>
        </is>
      </c>
      <c r="H2816" s="20" t="n">
        <v>2</v>
      </c>
      <c r="I2816" s="20">
        <f>VLOOKUP(G2816,매칭테이블!D:E,2,0)</f>
        <v/>
      </c>
      <c r="J2816" s="20" t="n">
        <v>210101</v>
      </c>
      <c r="L2816" s="20">
        <f>VLOOKUP($O2816,매칭테이블!$G:$J,2,0)*H2816</f>
        <v/>
      </c>
      <c r="M2816" s="20">
        <f>L2816-L2816*VLOOKUP($O2816,매칭테이블!$G:$J,3,0)</f>
        <v/>
      </c>
      <c r="N2816" s="20">
        <f>VLOOKUP($O2816,매칭테이블!$G:$J,4,0)*H2816</f>
        <v/>
      </c>
      <c r="O2816" s="20">
        <f>F2816&amp;E2816&amp;G2816&amp;J2816</f>
        <v/>
      </c>
    </row>
    <row r="2817" ht="16.5" customHeight="1" s="17">
      <c r="B2817" s="16" t="n">
        <v>44208</v>
      </c>
      <c r="C2817" s="20">
        <f>TEXT(B2817,"aaa")</f>
        <v/>
      </c>
      <c r="E2817" s="20">
        <f>INDEX(매칭테이블!C:C,MATCH(RD!G2817,매칭테이블!D:D,0))</f>
        <v/>
      </c>
      <c r="F2817" s="20" t="inlineStr">
        <is>
          <t>카페24</t>
        </is>
      </c>
      <c r="G2817" s="20" t="inlineStr">
        <is>
          <t>유즈 솔리드퍼퓸 - 30ml (11차 예약구매 진행중)향=커플세트</t>
        </is>
      </c>
      <c r="H2817" s="20" t="n">
        <v>6</v>
      </c>
      <c r="I2817" s="20">
        <f>VLOOKUP(G2817,매칭테이블!D:E,2,0)</f>
        <v/>
      </c>
      <c r="J2817" s="20" t="n">
        <v>210101</v>
      </c>
      <c r="L2817" s="20">
        <f>VLOOKUP($O2817,매칭테이블!$G:$J,2,0)*H2817</f>
        <v/>
      </c>
      <c r="M2817" s="20">
        <f>L2817-L2817*VLOOKUP($O2817,매칭테이블!$G:$J,3,0)</f>
        <v/>
      </c>
      <c r="N2817" s="20">
        <f>VLOOKUP($O2817,매칭테이블!$G:$J,4,0)*H2817</f>
        <v/>
      </c>
      <c r="O2817" s="20">
        <f>F2817&amp;E2817&amp;G2817&amp;J2817</f>
        <v/>
      </c>
    </row>
    <row r="2818" ht="16.5" customHeight="1" s="17">
      <c r="B2818" s="16" t="n">
        <v>44208</v>
      </c>
      <c r="C2818" s="20">
        <f>TEXT(B2818,"aaa")</f>
        <v/>
      </c>
      <c r="E2818" s="20">
        <f>INDEX(매칭테이블!C:C,MATCH(RD!G2818,매칭테이블!D:D,0))</f>
        <v/>
      </c>
      <c r="F2818" s="20" t="inlineStr">
        <is>
          <t>카페24</t>
        </is>
      </c>
      <c r="G2818" s="20" t="inlineStr">
        <is>
          <t>유즈 솔리드퍼퓸 - 30ml (11차 예약구매 진행중)향=커플세트(이그나이트 + 스테이포에버), 세트 선택=1 SET</t>
        </is>
      </c>
      <c r="H2818" s="20" t="n">
        <v>2</v>
      </c>
      <c r="I2818" s="20">
        <f>VLOOKUP(G2818,매칭테이블!D:E,2,0)</f>
        <v/>
      </c>
      <c r="J2818" s="20" t="n">
        <v>210101</v>
      </c>
      <c r="L2818" s="20">
        <f>VLOOKUP($O2818,매칭테이블!$G:$J,2,0)*H2818</f>
        <v/>
      </c>
      <c r="M2818" s="20">
        <f>L2818-L2818*VLOOKUP($O2818,매칭테이블!$G:$J,3,0)</f>
        <v/>
      </c>
      <c r="N2818" s="20">
        <f>VLOOKUP($O2818,매칭테이블!$G:$J,4,0)*H2818</f>
        <v/>
      </c>
      <c r="O2818" s="20">
        <f>F2818&amp;E2818&amp;G2818&amp;J2818</f>
        <v/>
      </c>
    </row>
    <row r="2819" ht="16.5" customHeight="1" s="17">
      <c r="B2819" s="16" t="n">
        <v>44208</v>
      </c>
      <c r="C2819" s="20">
        <f>TEXT(B2819,"aaa")</f>
        <v/>
      </c>
      <c r="E2819" s="20">
        <f>INDEX(매칭테이블!C:C,MATCH(RD!G2819,매칭테이블!D:D,0))</f>
        <v/>
      </c>
      <c r="F2819" s="20" t="inlineStr">
        <is>
          <t>카페24</t>
        </is>
      </c>
      <c r="G2819" s="20" t="inlineStr">
        <is>
          <t>유즈 스테이포에버 솔리드퍼퓸 002제품선택=스테이포에버 1개</t>
        </is>
      </c>
      <c r="H2819" s="20" t="n">
        <v>197</v>
      </c>
      <c r="I2819" s="20">
        <f>VLOOKUP(G2819,매칭테이블!D:E,2,0)</f>
        <v/>
      </c>
      <c r="J2819" s="20" t="n">
        <v>210101</v>
      </c>
      <c r="L2819" s="20">
        <f>VLOOKUP($O2819,매칭테이블!$G:$J,2,0)*H2819</f>
        <v/>
      </c>
      <c r="M2819" s="20">
        <f>L2819-L2819*VLOOKUP($O2819,매칭테이블!$G:$J,3,0)</f>
        <v/>
      </c>
      <c r="N2819" s="20">
        <f>VLOOKUP($O2819,매칭테이블!$G:$J,4,0)*H2819</f>
        <v/>
      </c>
      <c r="O2819" s="20">
        <f>F2819&amp;E2819&amp;G2819&amp;J2819</f>
        <v/>
      </c>
    </row>
    <row r="2820" ht="16.5" customHeight="1" s="17">
      <c r="B2820" s="16" t="n">
        <v>44208</v>
      </c>
      <c r="C2820" s="20">
        <f>TEXT(B2820,"aaa")</f>
        <v/>
      </c>
      <c r="E2820" s="20">
        <f>INDEX(매칭테이블!C:C,MATCH(RD!G2820,매칭테이블!D:D,0))</f>
        <v/>
      </c>
      <c r="F2820" s="20" t="inlineStr">
        <is>
          <t>카페24</t>
        </is>
      </c>
      <c r="G2820" s="20" t="inlineStr">
        <is>
          <t>유즈 스테이포에버 솔리드퍼퓸 002제품선택=best</t>
        </is>
      </c>
      <c r="H2820" s="20" t="n">
        <v>55</v>
      </c>
      <c r="I2820" s="20">
        <f>VLOOKUP(G2820,매칭테이블!D:E,2,0)</f>
        <v/>
      </c>
      <c r="J2820" s="20" t="n">
        <v>210101</v>
      </c>
      <c r="L2820" s="20">
        <f>VLOOKUP($O2820,매칭테이블!$G:$J,2,0)*H2820</f>
        <v/>
      </c>
      <c r="M2820" s="20">
        <f>L2820-L2820*VLOOKUP($O2820,매칭테이블!$G:$J,3,0)</f>
        <v/>
      </c>
      <c r="N2820" s="20">
        <f>VLOOKUP($O2820,매칭테이블!$G:$J,4,0)*H2820</f>
        <v/>
      </c>
      <c r="O2820" s="20">
        <f>F2820&amp;E2820&amp;G2820&amp;J2820</f>
        <v/>
      </c>
    </row>
    <row r="2821" ht="16.5" customHeight="1" s="17">
      <c r="B2821" s="16" t="n">
        <v>44208</v>
      </c>
      <c r="C2821" s="20">
        <f>TEXT(B2821,"aaa")</f>
        <v/>
      </c>
      <c r="E2821" s="20">
        <f>INDEX(매칭테이블!C:C,MATCH(RD!G2821,매칭테이블!D:D,0))</f>
        <v/>
      </c>
      <c r="F2821" s="20" t="inlineStr">
        <is>
          <t>카페24</t>
        </is>
      </c>
      <c r="G2821" s="20" t="inlineStr">
        <is>
          <t>유즈 스테이포에버 솔리드퍼퓸 002제품선택=best스테이포에버 2개[28% 할인]</t>
        </is>
      </c>
      <c r="H2821" s="20" t="n">
        <v>59</v>
      </c>
      <c r="I2821" s="20">
        <f>VLOOKUP(G2821,매칭테이블!D:E,2,0)</f>
        <v/>
      </c>
      <c r="J2821" s="20" t="n">
        <v>210101</v>
      </c>
      <c r="L2821" s="20">
        <f>VLOOKUP($O2821,매칭테이블!$G:$J,2,0)*H2821</f>
        <v/>
      </c>
      <c r="M2821" s="20">
        <f>L2821-L2821*VLOOKUP($O2821,매칭테이블!$G:$J,3,0)</f>
        <v/>
      </c>
      <c r="N2821" s="20">
        <f>VLOOKUP($O2821,매칭테이블!$G:$J,4,0)*H2821</f>
        <v/>
      </c>
      <c r="O2821" s="20">
        <f>F2821&amp;E2821&amp;G2821&amp;J2821</f>
        <v/>
      </c>
    </row>
    <row r="2822" ht="16.5" customHeight="1" s="17">
      <c r="B2822" s="16" t="n">
        <v>44208</v>
      </c>
      <c r="C2822" s="20">
        <f>TEXT(B2822,"aaa")</f>
        <v/>
      </c>
      <c r="E2822" s="20">
        <f>INDEX(매칭테이블!C:C,MATCH(RD!G2822,매칭테이블!D:D,0))</f>
        <v/>
      </c>
      <c r="F2822" s="20" t="inlineStr">
        <is>
          <t>카페24</t>
        </is>
      </c>
      <c r="G2822" s="20" t="inlineStr">
        <is>
          <t>유즈 스테이포에버 솔리드퍼퓸 002제품선택=커플추천</t>
        </is>
      </c>
      <c r="H2822" s="20" t="n">
        <v>7</v>
      </c>
      <c r="I2822" s="20">
        <f>VLOOKUP(G2822,매칭테이블!D:E,2,0)</f>
        <v/>
      </c>
      <c r="J2822" s="20" t="n">
        <v>210101</v>
      </c>
      <c r="L2822" s="20">
        <f>VLOOKUP($O2822,매칭테이블!$G:$J,2,0)*H2822</f>
        <v/>
      </c>
      <c r="M2822" s="20">
        <f>L2822-L2822*VLOOKUP($O2822,매칭테이블!$G:$J,3,0)</f>
        <v/>
      </c>
      <c r="N2822" s="20">
        <f>VLOOKUP($O2822,매칭테이블!$G:$J,4,0)*H2822</f>
        <v/>
      </c>
      <c r="O2822" s="20">
        <f>F2822&amp;E2822&amp;G2822&amp;J2822</f>
        <v/>
      </c>
    </row>
    <row r="2823" ht="16.5" customHeight="1" s="17">
      <c r="B2823" s="16" t="n">
        <v>44208</v>
      </c>
      <c r="C2823" s="20">
        <f>TEXT(B2823,"aaa")</f>
        <v/>
      </c>
      <c r="E2823" s="20">
        <f>INDEX(매칭테이블!C:C,MATCH(RD!G2823,매칭테이블!D:D,0))</f>
        <v/>
      </c>
      <c r="F2823" s="20" t="inlineStr">
        <is>
          <t>카페24</t>
        </is>
      </c>
      <c r="G2823" s="20" t="inlineStr">
        <is>
          <t>유즈 스테이포에버 솔리드퍼퓸 002제품선택=커플추천스테이포에버 + 이그나이트 세트</t>
        </is>
      </c>
      <c r="H2823" s="20" t="n">
        <v>6</v>
      </c>
      <c r="I2823" s="20">
        <f>VLOOKUP(G2823,매칭테이블!D:E,2,0)</f>
        <v/>
      </c>
      <c r="J2823" s="20" t="n">
        <v>210101</v>
      </c>
      <c r="L2823" s="20">
        <f>VLOOKUP($O2823,매칭테이블!$G:$J,2,0)*H2823</f>
        <v/>
      </c>
      <c r="M2823" s="20">
        <f>L2823-L2823*VLOOKUP($O2823,매칭테이블!$G:$J,3,0)</f>
        <v/>
      </c>
      <c r="N2823" s="20">
        <f>VLOOKUP($O2823,매칭테이블!$G:$J,4,0)*H2823</f>
        <v/>
      </c>
      <c r="O2823" s="20">
        <f>F2823&amp;E2823&amp;G2823&amp;J2823</f>
        <v/>
      </c>
    </row>
    <row r="2824" ht="16.5" customHeight="1" s="17">
      <c r="B2824" s="16" t="n">
        <v>44208</v>
      </c>
      <c r="C2824" s="20">
        <f>TEXT(B2824,"aaa")</f>
        <v/>
      </c>
      <c r="E2824" s="20">
        <f>INDEX(매칭테이블!C:C,MATCH(RD!G2824,매칭테이블!D:D,0))</f>
        <v/>
      </c>
      <c r="F2824" s="20" t="inlineStr">
        <is>
          <t>카페24</t>
        </is>
      </c>
      <c r="G2824" s="20" t="inlineStr">
        <is>
          <t>유즈 스테이포에버 솔리드퍼퓸 002쇼핑백=선물용 쇼핑백</t>
        </is>
      </c>
      <c r="H2824" s="20" t="n">
        <v>10</v>
      </c>
      <c r="I2824" s="20">
        <f>VLOOKUP(G2824,매칭테이블!D:E,2,0)</f>
        <v/>
      </c>
      <c r="J2824" s="20" t="n">
        <v>210101</v>
      </c>
      <c r="L2824" s="20">
        <f>VLOOKUP($O2824,매칭테이블!$G:$J,2,0)*H2824</f>
        <v/>
      </c>
      <c r="M2824" s="20">
        <f>L2824-L2824*VLOOKUP($O2824,매칭테이블!$G:$J,3,0)</f>
        <v/>
      </c>
      <c r="N2824" s="20">
        <f>VLOOKUP($O2824,매칭테이블!$G:$J,4,0)*H2824</f>
        <v/>
      </c>
      <c r="O2824" s="20">
        <f>F2824&amp;E2824&amp;G2824&amp;J2824</f>
        <v/>
      </c>
    </row>
    <row r="2825" ht="16.5" customHeight="1" s="17">
      <c r="B2825" s="16" t="n">
        <v>44208</v>
      </c>
      <c r="C2825" s="20">
        <f>TEXT(B2825,"aaa")</f>
        <v/>
      </c>
      <c r="E2825" s="20">
        <f>INDEX(매칭테이블!C:C,MATCH(RD!G2825,매칭테이블!D:D,0))</f>
        <v/>
      </c>
      <c r="F2825" s="20" t="inlineStr">
        <is>
          <t>카페24</t>
        </is>
      </c>
      <c r="G2825" s="20" t="inlineStr">
        <is>
          <t>유즈 스테이포에버 솔리드퍼퓸 002제품선택=스테이포에버 솔리드퍼퓸</t>
        </is>
      </c>
      <c r="H2825" s="20" t="n">
        <v>1</v>
      </c>
      <c r="I2825" s="20">
        <f>VLOOKUP(G2825,매칭테이블!D:E,2,0)</f>
        <v/>
      </c>
      <c r="J2825" s="20" t="n">
        <v>210101</v>
      </c>
      <c r="L2825" s="20">
        <f>VLOOKUP($O2825,매칭테이블!$G:$J,2,0)*H2825</f>
        <v/>
      </c>
      <c r="M2825" s="20">
        <f>L2825-L2825*VLOOKUP($O2825,매칭테이블!$G:$J,3,0)</f>
        <v/>
      </c>
      <c r="N2825" s="20">
        <f>VLOOKUP($O2825,매칭테이블!$G:$J,4,0)*H2825</f>
        <v/>
      </c>
      <c r="O2825" s="20">
        <f>F2825&amp;E2825&amp;G2825&amp;J2825</f>
        <v/>
      </c>
    </row>
    <row r="2826" ht="16.5" customHeight="1" s="17">
      <c r="B2826" s="16" t="n">
        <v>44208</v>
      </c>
      <c r="C2826" s="20">
        <f>TEXT(B2826,"aaa")</f>
        <v/>
      </c>
      <c r="E2826" s="20">
        <f>INDEX(매칭테이블!C:C,MATCH(RD!G2826,매칭테이블!D:D,0))</f>
        <v/>
      </c>
      <c r="F2826" s="20" t="inlineStr">
        <is>
          <t>카페24</t>
        </is>
      </c>
      <c r="G2826" s="20" t="inlineStr">
        <is>
          <t>유즈 스테이포에버 솔리드퍼퓸 002 (11차 예약구매 진행중)제품선택=스테이포에버 1개</t>
        </is>
      </c>
      <c r="H2826" s="20" t="n">
        <v>178</v>
      </c>
      <c r="I2826" s="20">
        <f>VLOOKUP(G2826,매칭테이블!D:E,2,0)</f>
        <v/>
      </c>
      <c r="J2826" s="20" t="n">
        <v>210101</v>
      </c>
      <c r="L2826" s="20">
        <f>VLOOKUP($O2826,매칭테이블!$G:$J,2,0)*H2826</f>
        <v/>
      </c>
      <c r="M2826" s="20">
        <f>L2826-L2826*VLOOKUP($O2826,매칭테이블!$G:$J,3,0)</f>
        <v/>
      </c>
      <c r="N2826" s="20">
        <f>VLOOKUP($O2826,매칭테이블!$G:$J,4,0)*H2826</f>
        <v/>
      </c>
      <c r="O2826" s="20">
        <f>F2826&amp;E2826&amp;G2826&amp;J2826</f>
        <v/>
      </c>
    </row>
    <row r="2827" ht="16.5" customHeight="1" s="17">
      <c r="B2827" s="16" t="n">
        <v>44208</v>
      </c>
      <c r="C2827" s="20">
        <f>TEXT(B2827,"aaa")</f>
        <v/>
      </c>
      <c r="E2827" s="20">
        <f>INDEX(매칭테이블!C:C,MATCH(RD!G2827,매칭테이블!D:D,0))</f>
        <v/>
      </c>
      <c r="F2827" s="20" t="inlineStr">
        <is>
          <t>카페24</t>
        </is>
      </c>
      <c r="G2827" s="20" t="inlineStr">
        <is>
          <t>유즈 스테이포에버 솔리드퍼퓸 002 (11차 예약구매 진행중)제품선택=best</t>
        </is>
      </c>
      <c r="H2827" s="20" t="n">
        <v>43</v>
      </c>
      <c r="I2827" s="20">
        <f>VLOOKUP(G2827,매칭테이블!D:E,2,0)</f>
        <v/>
      </c>
      <c r="J2827" s="20" t="n">
        <v>210101</v>
      </c>
      <c r="L2827" s="20">
        <f>VLOOKUP($O2827,매칭테이블!$G:$J,2,0)*H2827</f>
        <v/>
      </c>
      <c r="M2827" s="20">
        <f>L2827-L2827*VLOOKUP($O2827,매칭테이블!$G:$J,3,0)</f>
        <v/>
      </c>
      <c r="N2827" s="20">
        <f>VLOOKUP($O2827,매칭테이블!$G:$J,4,0)*H2827</f>
        <v/>
      </c>
      <c r="O2827" s="20">
        <f>F2827&amp;E2827&amp;G2827&amp;J2827</f>
        <v/>
      </c>
    </row>
    <row r="2828" ht="16.5" customHeight="1" s="17">
      <c r="B2828" s="16" t="n">
        <v>44208</v>
      </c>
      <c r="C2828" s="20">
        <f>TEXT(B2828,"aaa")</f>
        <v/>
      </c>
      <c r="E2828" s="20">
        <f>INDEX(매칭테이블!C:C,MATCH(RD!G2828,매칭테이블!D:D,0))</f>
        <v/>
      </c>
      <c r="F2828" s="20" t="inlineStr">
        <is>
          <t>카페24</t>
        </is>
      </c>
      <c r="G2828" s="20" t="inlineStr">
        <is>
          <t>유즈 스테이포에버 솔리드퍼퓸 002 (11차 예약구매 진행중)제품선택=best스테이포에버 2개[28% 할인]</t>
        </is>
      </c>
      <c r="H2828" s="20" t="n">
        <v>56</v>
      </c>
      <c r="I2828" s="20">
        <f>VLOOKUP(G2828,매칭테이블!D:E,2,0)</f>
        <v/>
      </c>
      <c r="J2828" s="20" t="n">
        <v>210101</v>
      </c>
      <c r="L2828" s="20">
        <f>VLOOKUP($O2828,매칭테이블!$G:$J,2,0)*H2828</f>
        <v/>
      </c>
      <c r="M2828" s="20">
        <f>L2828-L2828*VLOOKUP($O2828,매칭테이블!$G:$J,3,0)</f>
        <v/>
      </c>
      <c r="N2828" s="20">
        <f>VLOOKUP($O2828,매칭테이블!$G:$J,4,0)*H2828</f>
        <v/>
      </c>
      <c r="O2828" s="20">
        <f>F2828&amp;E2828&amp;G2828&amp;J2828</f>
        <v/>
      </c>
    </row>
    <row r="2829" ht="16.5" customHeight="1" s="17">
      <c r="B2829" s="16" t="n">
        <v>44208</v>
      </c>
      <c r="C2829" s="20">
        <f>TEXT(B2829,"aaa")</f>
        <v/>
      </c>
      <c r="E2829" s="20">
        <f>INDEX(매칭테이블!C:C,MATCH(RD!G2829,매칭테이블!D:D,0))</f>
        <v/>
      </c>
      <c r="F2829" s="20" t="inlineStr">
        <is>
          <t>카페24</t>
        </is>
      </c>
      <c r="G2829" s="20" t="inlineStr">
        <is>
          <t>유즈 스테이포에버 솔리드퍼퓸 002 (11차 예약구매 진행중)제품선택=커플추천</t>
        </is>
      </c>
      <c r="H2829" s="20" t="n">
        <v>9</v>
      </c>
      <c r="I2829" s="20">
        <f>VLOOKUP(G2829,매칭테이블!D:E,2,0)</f>
        <v/>
      </c>
      <c r="J2829" s="20" t="n">
        <v>210101</v>
      </c>
      <c r="L2829" s="20">
        <f>VLOOKUP($O2829,매칭테이블!$G:$J,2,0)*H2829</f>
        <v/>
      </c>
      <c r="M2829" s="20">
        <f>L2829-L2829*VLOOKUP($O2829,매칭테이블!$G:$J,3,0)</f>
        <v/>
      </c>
      <c r="N2829" s="20">
        <f>VLOOKUP($O2829,매칭테이블!$G:$J,4,0)*H2829</f>
        <v/>
      </c>
      <c r="O2829" s="20">
        <f>F2829&amp;E2829&amp;G2829&amp;J2829</f>
        <v/>
      </c>
    </row>
    <row r="2830" ht="16.5" customHeight="1" s="17">
      <c r="B2830" s="16" t="n">
        <v>44208</v>
      </c>
      <c r="C2830" s="20">
        <f>TEXT(B2830,"aaa")</f>
        <v/>
      </c>
      <c r="E2830" s="20">
        <f>INDEX(매칭테이블!C:C,MATCH(RD!G2830,매칭테이블!D:D,0))</f>
        <v/>
      </c>
      <c r="F2830" s="20" t="inlineStr">
        <is>
          <t>카페24</t>
        </is>
      </c>
      <c r="G2830" s="20" t="inlineStr">
        <is>
          <t>유즈 스테이포에버 솔리드퍼퓸 002 (11차 예약구매 진행중)제품선택=커플추천스테이포에버 + 이그나이트 세트</t>
        </is>
      </c>
      <c r="H2830" s="20" t="n">
        <v>12</v>
      </c>
      <c r="I2830" s="20">
        <f>VLOOKUP(G2830,매칭테이블!D:E,2,0)</f>
        <v/>
      </c>
      <c r="J2830" s="20" t="n">
        <v>210101</v>
      </c>
      <c r="L2830" s="20">
        <f>VLOOKUP($O2830,매칭테이블!$G:$J,2,0)*H2830</f>
        <v/>
      </c>
      <c r="M2830" s="20">
        <f>L2830-L2830*VLOOKUP($O2830,매칭테이블!$G:$J,3,0)</f>
        <v/>
      </c>
      <c r="N2830" s="20">
        <f>VLOOKUP($O2830,매칭테이블!$G:$J,4,0)*H2830</f>
        <v/>
      </c>
      <c r="O2830" s="20">
        <f>F2830&amp;E2830&amp;G2830&amp;J2830</f>
        <v/>
      </c>
    </row>
    <row r="2831" ht="16.5" customHeight="1" s="17">
      <c r="B2831" s="16" t="n">
        <v>44208</v>
      </c>
      <c r="C2831" s="20">
        <f>TEXT(B2831,"aaa")</f>
        <v/>
      </c>
      <c r="E2831" s="20">
        <f>INDEX(매칭테이블!C:C,MATCH(RD!G2831,매칭테이블!D:D,0))</f>
        <v/>
      </c>
      <c r="F2831" s="20" t="inlineStr">
        <is>
          <t>카페24</t>
        </is>
      </c>
      <c r="G2831" s="20" t="inlineStr">
        <is>
          <t>유즈 스테이포에버 솔리드퍼퓸 002 (11차 예약구매 진행중)쇼핑백=선물용 쇼핑백</t>
        </is>
      </c>
      <c r="H2831" s="20" t="n">
        <v>7</v>
      </c>
      <c r="I2831" s="20">
        <f>VLOOKUP(G2831,매칭테이블!D:E,2,0)</f>
        <v/>
      </c>
      <c r="J2831" s="20" t="n">
        <v>210101</v>
      </c>
      <c r="L2831" s="20">
        <f>VLOOKUP($O2831,매칭테이블!$G:$J,2,0)*H2831</f>
        <v/>
      </c>
      <c r="M2831" s="20">
        <f>L2831-L2831*VLOOKUP($O2831,매칭테이블!$G:$J,3,0)</f>
        <v/>
      </c>
      <c r="N2831" s="20">
        <f>VLOOKUP($O2831,매칭테이블!$G:$J,4,0)*H2831</f>
        <v/>
      </c>
      <c r="O2831" s="20">
        <f>F2831&amp;E2831&amp;G2831&amp;J2831</f>
        <v/>
      </c>
    </row>
    <row r="2832" ht="16.5" customHeight="1" s="17">
      <c r="B2832" s="16" t="n">
        <v>44208</v>
      </c>
      <c r="C2832" s="20">
        <f>TEXT(B2832,"aaa")</f>
        <v/>
      </c>
      <c r="E2832" s="20">
        <f>INDEX(매칭테이블!C:C,MATCH(RD!G2832,매칭테이블!D:D,0))</f>
        <v/>
      </c>
      <c r="F2832" s="20" t="inlineStr">
        <is>
          <t>카페24</t>
        </is>
      </c>
      <c r="G2832" s="20" t="inlineStr">
        <is>
          <t>유즈 이그나이트 솔리드퍼퓸 001제품선택=이그나이트 솔리드퍼퓸 - 30ml</t>
        </is>
      </c>
      <c r="H2832" s="20" t="n">
        <v>6</v>
      </c>
      <c r="I2832" s="20">
        <f>VLOOKUP(G2832,매칭테이블!D:E,2,0)</f>
        <v/>
      </c>
      <c r="J2832" s="20" t="n">
        <v>210101</v>
      </c>
      <c r="L2832" s="20">
        <f>VLOOKUP($O2832,매칭테이블!$G:$J,2,0)*H2832</f>
        <v/>
      </c>
      <c r="M2832" s="20">
        <f>L2832-L2832*VLOOKUP($O2832,매칭테이블!$G:$J,3,0)</f>
        <v/>
      </c>
      <c r="N2832" s="20">
        <f>VLOOKUP($O2832,매칭테이블!$G:$J,4,0)*H2832</f>
        <v/>
      </c>
      <c r="O2832" s="20">
        <f>F2832&amp;E2832&amp;G2832&amp;J2832</f>
        <v/>
      </c>
    </row>
    <row r="2833" ht="16.5" customHeight="1" s="17">
      <c r="B2833" s="16" t="n">
        <v>44208</v>
      </c>
      <c r="C2833" s="20">
        <f>TEXT(B2833,"aaa")</f>
        <v/>
      </c>
      <c r="E2833" s="20">
        <f>INDEX(매칭테이블!C:C,MATCH(RD!G2833,매칭테이블!D:D,0))</f>
        <v/>
      </c>
      <c r="F2833" s="20" t="inlineStr">
        <is>
          <t>카페24</t>
        </is>
      </c>
      <c r="G2833" s="20" t="inlineStr">
        <is>
          <t>유즈 이그나이트 솔리드퍼퓸 001제품선택=이그나이트 2개 세트</t>
        </is>
      </c>
      <c r="H2833" s="20" t="n">
        <v>2</v>
      </c>
      <c r="I2833" s="20">
        <f>VLOOKUP(G2833,매칭테이블!D:E,2,0)</f>
        <v/>
      </c>
      <c r="J2833" s="20" t="n">
        <v>210101</v>
      </c>
      <c r="L2833" s="20">
        <f>VLOOKUP($O2833,매칭테이블!$G:$J,2,0)*H2833</f>
        <v/>
      </c>
      <c r="M2833" s="20">
        <f>L2833-L2833*VLOOKUP($O2833,매칭테이블!$G:$J,3,0)</f>
        <v/>
      </c>
      <c r="N2833" s="20">
        <f>VLOOKUP($O2833,매칭테이블!$G:$J,4,0)*H2833</f>
        <v/>
      </c>
      <c r="O2833" s="20">
        <f>F2833&amp;E2833&amp;G2833&amp;J2833</f>
        <v/>
      </c>
    </row>
    <row r="2834" ht="16.5" customHeight="1" s="17">
      <c r="B2834" s="16" t="n">
        <v>44209</v>
      </c>
      <c r="C2834" s="20">
        <f>TEXT(B2834,"aaa")</f>
        <v/>
      </c>
      <c r="E2834" s="20">
        <f>INDEX(매칭테이블!C:C,MATCH(RD!G2834,매칭테이블!D:D,0))</f>
        <v/>
      </c>
      <c r="F2834" s="20" t="inlineStr">
        <is>
          <t>카페24</t>
        </is>
      </c>
      <c r="G2834" s="20" t="inlineStr">
        <is>
          <t>SHOPPING BAG</t>
        </is>
      </c>
      <c r="H2834" s="20" t="n">
        <v>1</v>
      </c>
      <c r="I2834" s="20">
        <f>VLOOKUP(G2834,매칭테이블!D:E,2,0)</f>
        <v/>
      </c>
      <c r="J2834" s="20" t="n">
        <v>210101</v>
      </c>
      <c r="L2834" s="20">
        <f>VLOOKUP($O2834,매칭테이블!$G:$J,2,0)*H2834</f>
        <v/>
      </c>
      <c r="M2834" s="20">
        <f>L2834-L2834*VLOOKUP($O2834,매칭테이블!$G:$J,3,0)</f>
        <v/>
      </c>
      <c r="N2834" s="20">
        <f>VLOOKUP($O2834,매칭테이블!$G:$J,4,0)*H2834</f>
        <v/>
      </c>
      <c r="O2834" s="20">
        <f>F2834&amp;E2834&amp;G2834&amp;J2834</f>
        <v/>
      </c>
    </row>
    <row r="2835" ht="16.5" customHeight="1" s="17">
      <c r="B2835" s="16" t="n">
        <v>44209</v>
      </c>
      <c r="C2835" s="20">
        <f>TEXT(B2835,"aaa")</f>
        <v/>
      </c>
      <c r="E2835" s="20">
        <f>INDEX(매칭테이블!C:C,MATCH(RD!G2835,매칭테이블!D:D,0))</f>
        <v/>
      </c>
      <c r="F2835" s="20" t="inlineStr">
        <is>
          <t>카페24</t>
        </is>
      </c>
      <c r="G2835" s="20" t="inlineStr">
        <is>
          <t>솔리드퍼퓸 스테이포에버 002 30ml</t>
        </is>
      </c>
      <c r="H2835" s="20" t="n">
        <v>1</v>
      </c>
      <c r="I2835" s="20">
        <f>VLOOKUP(G2835,매칭테이블!D:E,2,0)</f>
        <v/>
      </c>
      <c r="J2835" s="20" t="n">
        <v>210101</v>
      </c>
      <c r="L2835" s="20">
        <f>VLOOKUP($O2835,매칭테이블!$G:$J,2,0)*H2835</f>
        <v/>
      </c>
      <c r="M2835" s="20">
        <f>L2835-L2835*VLOOKUP($O2835,매칭테이블!$G:$J,3,0)</f>
        <v/>
      </c>
      <c r="N2835" s="20">
        <f>VLOOKUP($O2835,매칭테이블!$G:$J,4,0)*H2835</f>
        <v/>
      </c>
      <c r="O2835" s="20">
        <f>F2835&amp;E2835&amp;G2835&amp;J2835</f>
        <v/>
      </c>
    </row>
    <row r="2836" ht="16.5" customHeight="1" s="17">
      <c r="B2836" s="16" t="n">
        <v>44209</v>
      </c>
      <c r="C2836" s="20">
        <f>TEXT(B2836,"aaa")</f>
        <v/>
      </c>
      <c r="E2836" s="20">
        <f>INDEX(매칭테이블!C:C,MATCH(RD!G2836,매칭테이블!D:D,0))</f>
        <v/>
      </c>
      <c r="F2836" s="20" t="inlineStr">
        <is>
          <t>카페24</t>
        </is>
      </c>
      <c r="G2836" s="20" t="inlineStr">
        <is>
          <t>유즈 솔리드퍼퓸 - 30ml향=이그나이트 001 SOLID PERFUME, 세트 선택=1개</t>
        </is>
      </c>
      <c r="H2836" s="20" t="n">
        <v>1</v>
      </c>
      <c r="I2836" s="20">
        <f>VLOOKUP(G2836,매칭테이블!D:E,2,0)</f>
        <v/>
      </c>
      <c r="J2836" s="20" t="n">
        <v>210101</v>
      </c>
      <c r="L2836" s="20">
        <f>VLOOKUP($O2836,매칭테이블!$G:$J,2,0)*H2836</f>
        <v/>
      </c>
      <c r="M2836" s="20">
        <f>L2836-L2836*VLOOKUP($O2836,매칭테이블!$G:$J,3,0)</f>
        <v/>
      </c>
      <c r="N2836" s="20">
        <f>VLOOKUP($O2836,매칭테이블!$G:$J,4,0)*H2836</f>
        <v/>
      </c>
      <c r="O2836" s="20">
        <f>F2836&amp;E2836&amp;G2836&amp;J2836</f>
        <v/>
      </c>
    </row>
    <row r="2837" ht="16.5" customHeight="1" s="17">
      <c r="B2837" s="16" t="n">
        <v>44209</v>
      </c>
      <c r="C2837" s="20">
        <f>TEXT(B2837,"aaa")</f>
        <v/>
      </c>
      <c r="E2837" s="20">
        <f>INDEX(매칭테이블!C:C,MATCH(RD!G2837,매칭테이블!D:D,0))</f>
        <v/>
      </c>
      <c r="F2837" s="20" t="inlineStr">
        <is>
          <t>카페24</t>
        </is>
      </c>
      <c r="G2837" s="20" t="inlineStr">
        <is>
          <t>유즈 솔리드퍼퓸 - 30ml향=스테이포에버 002 SOLID PERFUME, 세트 선택=1개</t>
        </is>
      </c>
      <c r="H2837" s="20" t="n">
        <v>12</v>
      </c>
      <c r="I2837" s="20">
        <f>VLOOKUP(G2837,매칭테이블!D:E,2,0)</f>
        <v/>
      </c>
      <c r="J2837" s="20" t="n">
        <v>210101</v>
      </c>
      <c r="L2837" s="20">
        <f>VLOOKUP($O2837,매칭테이블!$G:$J,2,0)*H2837</f>
        <v/>
      </c>
      <c r="M2837" s="20">
        <f>L2837-L2837*VLOOKUP($O2837,매칭테이블!$G:$J,3,0)</f>
        <v/>
      </c>
      <c r="N2837" s="20">
        <f>VLOOKUP($O2837,매칭테이블!$G:$J,4,0)*H2837</f>
        <v/>
      </c>
      <c r="O2837" s="20">
        <f>F2837&amp;E2837&amp;G2837&amp;J2837</f>
        <v/>
      </c>
    </row>
    <row r="2838" ht="16.5" customHeight="1" s="17">
      <c r="B2838" s="16" t="n">
        <v>44209</v>
      </c>
      <c r="C2838" s="20">
        <f>TEXT(B2838,"aaa")</f>
        <v/>
      </c>
      <c r="E2838" s="20">
        <f>INDEX(매칭테이블!C:C,MATCH(RD!G2838,매칭테이블!D:D,0))</f>
        <v/>
      </c>
      <c r="F2838" s="20" t="inlineStr">
        <is>
          <t>카페24</t>
        </is>
      </c>
      <c r="G2838" s="20" t="inlineStr">
        <is>
          <t>유즈 솔리드퍼퓸 - 30ml향=스테이포에버 002 SOLID PERFUME, 세트 선택=best</t>
        </is>
      </c>
      <c r="H2838" s="20" t="n">
        <v>6</v>
      </c>
      <c r="I2838" s="20">
        <f>VLOOKUP(G2838,매칭테이블!D:E,2,0)</f>
        <v/>
      </c>
      <c r="J2838" s="20" t="n">
        <v>210101</v>
      </c>
      <c r="L2838" s="20">
        <f>VLOOKUP($O2838,매칭테이블!$G:$J,2,0)*H2838</f>
        <v/>
      </c>
      <c r="M2838" s="20">
        <f>L2838-L2838*VLOOKUP($O2838,매칭테이블!$G:$J,3,0)</f>
        <v/>
      </c>
      <c r="N2838" s="20">
        <f>VLOOKUP($O2838,매칭테이블!$G:$J,4,0)*H2838</f>
        <v/>
      </c>
      <c r="O2838" s="20">
        <f>F2838&amp;E2838&amp;G2838&amp;J2838</f>
        <v/>
      </c>
    </row>
    <row r="2839" ht="16.5" customHeight="1" s="17">
      <c r="B2839" s="16" t="n">
        <v>44209</v>
      </c>
      <c r="C2839" s="20">
        <f>TEXT(B2839,"aaa")</f>
        <v/>
      </c>
      <c r="E2839" s="20">
        <f>INDEX(매칭테이블!C:C,MATCH(RD!G2839,매칭테이블!D:D,0))</f>
        <v/>
      </c>
      <c r="F2839" s="20" t="inlineStr">
        <is>
          <t>카페24</t>
        </is>
      </c>
      <c r="G2839" s="20" t="inlineStr">
        <is>
          <t>유즈 솔리드퍼퓸 - 30ml향=스테이포에버 002 SOLID PERFUME, 세트 선택=best 2개 (28% 할인)</t>
        </is>
      </c>
      <c r="H2839" s="20" t="n">
        <v>2</v>
      </c>
      <c r="I2839" s="20">
        <f>VLOOKUP(G2839,매칭테이블!D:E,2,0)</f>
        <v/>
      </c>
      <c r="J2839" s="20" t="n">
        <v>210101</v>
      </c>
      <c r="L2839" s="20">
        <f>VLOOKUP($O2839,매칭테이블!$G:$J,2,0)*H2839</f>
        <v/>
      </c>
      <c r="M2839" s="20">
        <f>L2839-L2839*VLOOKUP($O2839,매칭테이블!$G:$J,3,0)</f>
        <v/>
      </c>
      <c r="N2839" s="20">
        <f>VLOOKUP($O2839,매칭테이블!$G:$J,4,0)*H2839</f>
        <v/>
      </c>
      <c r="O2839" s="20">
        <f>F2839&amp;E2839&amp;G2839&amp;J2839</f>
        <v/>
      </c>
    </row>
    <row r="2840" ht="16.5" customHeight="1" s="17">
      <c r="B2840" s="16" t="n">
        <v>44209</v>
      </c>
      <c r="C2840" s="20">
        <f>TEXT(B2840,"aaa")</f>
        <v/>
      </c>
      <c r="E2840" s="20">
        <f>INDEX(매칭테이블!C:C,MATCH(RD!G2840,매칭테이블!D:D,0))</f>
        <v/>
      </c>
      <c r="F2840" s="20" t="inlineStr">
        <is>
          <t>카페24</t>
        </is>
      </c>
      <c r="G2840" s="20" t="inlineStr">
        <is>
          <t>유즈 솔리드퍼퓸 - 30ml향=커플세트</t>
        </is>
      </c>
      <c r="H2840" s="20" t="n">
        <v>8</v>
      </c>
      <c r="I2840" s="20">
        <f>VLOOKUP(G2840,매칭테이블!D:E,2,0)</f>
        <v/>
      </c>
      <c r="J2840" s="20" t="n">
        <v>210101</v>
      </c>
      <c r="L2840" s="20">
        <f>VLOOKUP($O2840,매칭테이블!$G:$J,2,0)*H2840</f>
        <v/>
      </c>
      <c r="M2840" s="20">
        <f>L2840-L2840*VLOOKUP($O2840,매칭테이블!$G:$J,3,0)</f>
        <v/>
      </c>
      <c r="N2840" s="20">
        <f>VLOOKUP($O2840,매칭테이블!$G:$J,4,0)*H2840</f>
        <v/>
      </c>
      <c r="O2840" s="20">
        <f>F2840&amp;E2840&amp;G2840&amp;J2840</f>
        <v/>
      </c>
    </row>
    <row r="2841" ht="16.5" customHeight="1" s="17">
      <c r="B2841" s="16" t="n">
        <v>44209</v>
      </c>
      <c r="C2841" s="20">
        <f>TEXT(B2841,"aaa")</f>
        <v/>
      </c>
      <c r="E2841" s="20">
        <f>INDEX(매칭테이블!C:C,MATCH(RD!G2841,매칭테이블!D:D,0))</f>
        <v/>
      </c>
      <c r="F2841" s="20" t="inlineStr">
        <is>
          <t>카페24</t>
        </is>
      </c>
      <c r="G2841" s="20" t="inlineStr">
        <is>
          <t>유즈 솔리드퍼퓸 - 30ml향=커플세트(이그나이트 + 스테이포에버), 세트 선택=1 SET</t>
        </is>
      </c>
      <c r="H2841" s="20" t="n">
        <v>6</v>
      </c>
      <c r="I2841" s="20">
        <f>VLOOKUP(G2841,매칭테이블!D:E,2,0)</f>
        <v/>
      </c>
      <c r="J2841" s="20" t="n">
        <v>210101</v>
      </c>
      <c r="L2841" s="20">
        <f>VLOOKUP($O2841,매칭테이블!$G:$J,2,0)*H2841</f>
        <v/>
      </c>
      <c r="M2841" s="20">
        <f>L2841-L2841*VLOOKUP($O2841,매칭테이블!$G:$J,3,0)</f>
        <v/>
      </c>
      <c r="N2841" s="20">
        <f>VLOOKUP($O2841,매칭테이블!$G:$J,4,0)*H2841</f>
        <v/>
      </c>
      <c r="O2841" s="20">
        <f>F2841&amp;E2841&amp;G2841&amp;J2841</f>
        <v/>
      </c>
    </row>
    <row r="2842" ht="16.5" customHeight="1" s="17">
      <c r="B2842" s="16" t="n">
        <v>44209</v>
      </c>
      <c r="C2842" s="20">
        <f>TEXT(B2842,"aaa")</f>
        <v/>
      </c>
      <c r="E2842" s="20">
        <f>INDEX(매칭테이블!C:C,MATCH(RD!G2842,매칭테이블!D:D,0))</f>
        <v/>
      </c>
      <c r="F2842" s="20" t="inlineStr">
        <is>
          <t>카페24</t>
        </is>
      </c>
      <c r="G2842" s="20" t="inlineStr">
        <is>
          <t>유즈 솔리드퍼퓸 - 30ml향=커플세트</t>
        </is>
      </c>
      <c r="H2842" s="20" t="n">
        <v>1</v>
      </c>
      <c r="I2842" s="20">
        <f>VLOOKUP(G2842,매칭테이블!D:E,2,0)</f>
        <v/>
      </c>
      <c r="J2842" s="20" t="n">
        <v>210101</v>
      </c>
      <c r="L2842" s="20">
        <f>VLOOKUP($O2842,매칭테이블!$G:$J,2,0)*H2842</f>
        <v/>
      </c>
      <c r="M2842" s="20">
        <f>L2842-L2842*VLOOKUP($O2842,매칭테이블!$G:$J,3,0)</f>
        <v/>
      </c>
      <c r="N2842" s="20">
        <f>VLOOKUP($O2842,매칭테이블!$G:$J,4,0)*H2842</f>
        <v/>
      </c>
      <c r="O2842" s="20">
        <f>F2842&amp;E2842&amp;G2842&amp;J2842</f>
        <v/>
      </c>
    </row>
    <row r="2843" ht="16.5" customHeight="1" s="17">
      <c r="B2843" s="16" t="n">
        <v>44209</v>
      </c>
      <c r="C2843" s="20">
        <f>TEXT(B2843,"aaa")</f>
        <v/>
      </c>
      <c r="E2843" s="20">
        <f>INDEX(매칭테이블!C:C,MATCH(RD!G2843,매칭테이블!D:D,0))</f>
        <v/>
      </c>
      <c r="F2843" s="20" t="inlineStr">
        <is>
          <t>카페24</t>
        </is>
      </c>
      <c r="G2843" s="20" t="inlineStr">
        <is>
          <t>유즈 솔리드퍼퓸 - 30ml향=커플세트(이그나이트 + 스테이포에버), 세트 선택=2 SET (42% 할인)</t>
        </is>
      </c>
      <c r="H2843" s="20" t="n">
        <v>1</v>
      </c>
      <c r="I2843" s="20">
        <f>VLOOKUP(G2843,매칭테이블!D:E,2,0)</f>
        <v/>
      </c>
      <c r="J2843" s="20" t="n">
        <v>210101</v>
      </c>
      <c r="L2843" s="20">
        <f>VLOOKUP($O2843,매칭테이블!$G:$J,2,0)*H2843</f>
        <v/>
      </c>
      <c r="M2843" s="20">
        <f>L2843-L2843*VLOOKUP($O2843,매칭테이블!$G:$J,3,0)</f>
        <v/>
      </c>
      <c r="N2843" s="20">
        <f>VLOOKUP($O2843,매칭테이블!$G:$J,4,0)*H2843</f>
        <v/>
      </c>
      <c r="O2843" s="20">
        <f>F2843&amp;E2843&amp;G2843&amp;J2843</f>
        <v/>
      </c>
    </row>
    <row r="2844" ht="16.5" customHeight="1" s="17">
      <c r="B2844" s="16" t="n">
        <v>44209</v>
      </c>
      <c r="C2844" s="20">
        <f>TEXT(B2844,"aaa")</f>
        <v/>
      </c>
      <c r="E2844" s="20">
        <f>INDEX(매칭테이블!C:C,MATCH(RD!G2844,매칭테이블!D:D,0))</f>
        <v/>
      </c>
      <c r="F2844" s="20" t="inlineStr">
        <is>
          <t>카페24</t>
        </is>
      </c>
      <c r="G2844" s="20" t="inlineStr">
        <is>
          <t>유즈 스테이포에버 솔리드퍼퓸 002제품선택=스테이포에버 1개</t>
        </is>
      </c>
      <c r="H2844" s="20" t="n">
        <v>417</v>
      </c>
      <c r="I2844" s="20">
        <f>VLOOKUP(G2844,매칭테이블!D:E,2,0)</f>
        <v/>
      </c>
      <c r="J2844" s="20" t="n">
        <v>210101</v>
      </c>
      <c r="L2844" s="20">
        <f>VLOOKUP($O2844,매칭테이블!$G:$J,2,0)*H2844</f>
        <v/>
      </c>
      <c r="M2844" s="20">
        <f>L2844-L2844*VLOOKUP($O2844,매칭테이블!$G:$J,3,0)</f>
        <v/>
      </c>
      <c r="N2844" s="20">
        <f>VLOOKUP($O2844,매칭테이블!$G:$J,4,0)*H2844</f>
        <v/>
      </c>
      <c r="O2844" s="20">
        <f>F2844&amp;E2844&amp;G2844&amp;J2844</f>
        <v/>
      </c>
    </row>
    <row r="2845" ht="16.5" customHeight="1" s="17">
      <c r="B2845" s="16" t="n">
        <v>44209</v>
      </c>
      <c r="C2845" s="20">
        <f>TEXT(B2845,"aaa")</f>
        <v/>
      </c>
      <c r="E2845" s="20">
        <f>INDEX(매칭테이블!C:C,MATCH(RD!G2845,매칭테이블!D:D,0))</f>
        <v/>
      </c>
      <c r="F2845" s="20" t="inlineStr">
        <is>
          <t>카페24</t>
        </is>
      </c>
      <c r="G2845" s="20" t="inlineStr">
        <is>
          <t>유즈 스테이포에버 솔리드퍼퓸 002제품선택=best</t>
        </is>
      </c>
      <c r="H2845" s="20" t="n">
        <v>87</v>
      </c>
      <c r="I2845" s="20">
        <f>VLOOKUP(G2845,매칭테이블!D:E,2,0)</f>
        <v/>
      </c>
      <c r="J2845" s="20" t="n">
        <v>210101</v>
      </c>
      <c r="L2845" s="20">
        <f>VLOOKUP($O2845,매칭테이블!$G:$J,2,0)*H2845</f>
        <v/>
      </c>
      <c r="M2845" s="20">
        <f>L2845-L2845*VLOOKUP($O2845,매칭테이블!$G:$J,3,0)</f>
        <v/>
      </c>
      <c r="N2845" s="20">
        <f>VLOOKUP($O2845,매칭테이블!$G:$J,4,0)*H2845</f>
        <v/>
      </c>
      <c r="O2845" s="20">
        <f>F2845&amp;E2845&amp;G2845&amp;J2845</f>
        <v/>
      </c>
    </row>
    <row r="2846" ht="16.5" customHeight="1" s="17">
      <c r="B2846" s="16" t="n">
        <v>44209</v>
      </c>
      <c r="C2846" s="20">
        <f>TEXT(B2846,"aaa")</f>
        <v/>
      </c>
      <c r="E2846" s="20">
        <f>INDEX(매칭테이블!C:C,MATCH(RD!G2846,매칭테이블!D:D,0))</f>
        <v/>
      </c>
      <c r="F2846" s="20" t="inlineStr">
        <is>
          <t>카페24</t>
        </is>
      </c>
      <c r="G2846" s="20" t="inlineStr">
        <is>
          <t>유즈 스테이포에버 솔리드퍼퓸 002제품선택=best스테이포에버 2개[28% 할인]</t>
        </is>
      </c>
      <c r="H2846" s="20" t="n">
        <v>120</v>
      </c>
      <c r="I2846" s="20">
        <f>VLOOKUP(G2846,매칭테이블!D:E,2,0)</f>
        <v/>
      </c>
      <c r="J2846" s="20" t="n">
        <v>210101</v>
      </c>
      <c r="L2846" s="20">
        <f>VLOOKUP($O2846,매칭테이블!$G:$J,2,0)*H2846</f>
        <v/>
      </c>
      <c r="M2846" s="20">
        <f>L2846-L2846*VLOOKUP($O2846,매칭테이블!$G:$J,3,0)</f>
        <v/>
      </c>
      <c r="N2846" s="20">
        <f>VLOOKUP($O2846,매칭테이블!$G:$J,4,0)*H2846</f>
        <v/>
      </c>
      <c r="O2846" s="20">
        <f>F2846&amp;E2846&amp;G2846&amp;J2846</f>
        <v/>
      </c>
    </row>
    <row r="2847" ht="16.5" customHeight="1" s="17">
      <c r="B2847" s="16" t="n">
        <v>44209</v>
      </c>
      <c r="C2847" s="20">
        <f>TEXT(B2847,"aaa")</f>
        <v/>
      </c>
      <c r="E2847" s="20">
        <f>INDEX(매칭테이블!C:C,MATCH(RD!G2847,매칭테이블!D:D,0))</f>
        <v/>
      </c>
      <c r="F2847" s="20" t="inlineStr">
        <is>
          <t>카페24</t>
        </is>
      </c>
      <c r="G2847" s="20" t="inlineStr">
        <is>
          <t>유즈 스테이포에버 솔리드퍼퓸 002제품선택=커플추천</t>
        </is>
      </c>
      <c r="H2847" s="20" t="n">
        <v>12</v>
      </c>
      <c r="I2847" s="20">
        <f>VLOOKUP(G2847,매칭테이블!D:E,2,0)</f>
        <v/>
      </c>
      <c r="J2847" s="20" t="n">
        <v>210101</v>
      </c>
      <c r="L2847" s="20">
        <f>VLOOKUP($O2847,매칭테이블!$G:$J,2,0)*H2847</f>
        <v/>
      </c>
      <c r="M2847" s="20">
        <f>L2847-L2847*VLOOKUP($O2847,매칭테이블!$G:$J,3,0)</f>
        <v/>
      </c>
      <c r="N2847" s="20">
        <f>VLOOKUP($O2847,매칭테이블!$G:$J,4,0)*H2847</f>
        <v/>
      </c>
      <c r="O2847" s="20">
        <f>F2847&amp;E2847&amp;G2847&amp;J2847</f>
        <v/>
      </c>
    </row>
    <row r="2848" ht="16.5" customHeight="1" s="17">
      <c r="B2848" s="16" t="n">
        <v>44209</v>
      </c>
      <c r="C2848" s="20">
        <f>TEXT(B2848,"aaa")</f>
        <v/>
      </c>
      <c r="E2848" s="20">
        <f>INDEX(매칭테이블!C:C,MATCH(RD!G2848,매칭테이블!D:D,0))</f>
        <v/>
      </c>
      <c r="F2848" s="20" t="inlineStr">
        <is>
          <t>카페24</t>
        </is>
      </c>
      <c r="G2848" s="20" t="inlineStr">
        <is>
          <t>유즈 스테이포에버 솔리드퍼퓸 002제품선택=커플추천스테이포에버 + 이그나이트 세트</t>
        </is>
      </c>
      <c r="H2848" s="20" t="n">
        <v>24</v>
      </c>
      <c r="I2848" s="20">
        <f>VLOOKUP(G2848,매칭테이블!D:E,2,0)</f>
        <v/>
      </c>
      <c r="J2848" s="20" t="n">
        <v>210101</v>
      </c>
      <c r="L2848" s="20">
        <f>VLOOKUP($O2848,매칭테이블!$G:$J,2,0)*H2848</f>
        <v/>
      </c>
      <c r="M2848" s="20">
        <f>L2848-L2848*VLOOKUP($O2848,매칭테이블!$G:$J,3,0)</f>
        <v/>
      </c>
      <c r="N2848" s="20">
        <f>VLOOKUP($O2848,매칭테이블!$G:$J,4,0)*H2848</f>
        <v/>
      </c>
      <c r="O2848" s="20">
        <f>F2848&amp;E2848&amp;G2848&amp;J2848</f>
        <v/>
      </c>
    </row>
    <row r="2849" ht="16.5" customHeight="1" s="17">
      <c r="B2849" s="16" t="n">
        <v>44209</v>
      </c>
      <c r="C2849" s="20">
        <f>TEXT(B2849,"aaa")</f>
        <v/>
      </c>
      <c r="E2849" s="20">
        <f>INDEX(매칭테이블!C:C,MATCH(RD!G2849,매칭테이블!D:D,0))</f>
        <v/>
      </c>
      <c r="F2849" s="20" t="inlineStr">
        <is>
          <t>카페24</t>
        </is>
      </c>
      <c r="G2849" s="20" t="inlineStr">
        <is>
          <t>유즈 스테이포에버 솔리드퍼퓸 002쇼핑백=선물용 쇼핑백</t>
        </is>
      </c>
      <c r="H2849" s="20" t="n">
        <v>20</v>
      </c>
      <c r="I2849" s="20">
        <f>VLOOKUP(G2849,매칭테이블!D:E,2,0)</f>
        <v/>
      </c>
      <c r="J2849" s="20" t="n">
        <v>210101</v>
      </c>
      <c r="L2849" s="20">
        <f>VLOOKUP($O2849,매칭테이블!$G:$J,2,0)*H2849</f>
        <v/>
      </c>
      <c r="M2849" s="20">
        <f>L2849-L2849*VLOOKUP($O2849,매칭테이블!$G:$J,3,0)</f>
        <v/>
      </c>
      <c r="N2849" s="20">
        <f>VLOOKUP($O2849,매칭테이블!$G:$J,4,0)*H2849</f>
        <v/>
      </c>
      <c r="O2849" s="20">
        <f>F2849&amp;E2849&amp;G2849&amp;J2849</f>
        <v/>
      </c>
    </row>
    <row r="2850" ht="16.5" customHeight="1" s="17">
      <c r="B2850" s="16" t="n">
        <v>44209</v>
      </c>
      <c r="C2850" s="20">
        <f>TEXT(B2850,"aaa")</f>
        <v/>
      </c>
      <c r="E2850" s="20">
        <f>INDEX(매칭테이블!C:C,MATCH(RD!G2850,매칭테이블!D:D,0))</f>
        <v/>
      </c>
      <c r="F2850" s="20" t="inlineStr">
        <is>
          <t>카페24</t>
        </is>
      </c>
      <c r="G2850" s="20" t="inlineStr">
        <is>
          <t>유즈 스테이포에버 솔리드퍼퓸 002 (11차 예약구매 진행중)제품선택=스테이포에버 1개</t>
        </is>
      </c>
      <c r="H2850" s="20" t="n">
        <v>6</v>
      </c>
      <c r="I2850" s="20">
        <f>VLOOKUP(G2850,매칭테이블!D:E,2,0)</f>
        <v/>
      </c>
      <c r="J2850" s="20" t="n">
        <v>210101</v>
      </c>
      <c r="L2850" s="20">
        <f>VLOOKUP($O2850,매칭테이블!$G:$J,2,0)*H2850</f>
        <v/>
      </c>
      <c r="M2850" s="20">
        <f>L2850-L2850*VLOOKUP($O2850,매칭테이블!$G:$J,3,0)</f>
        <v/>
      </c>
      <c r="N2850" s="20">
        <f>VLOOKUP($O2850,매칭테이블!$G:$J,4,0)*H2850</f>
        <v/>
      </c>
      <c r="O2850" s="20">
        <f>F2850&amp;E2850&amp;G2850&amp;J2850</f>
        <v/>
      </c>
    </row>
    <row r="2851" ht="16.5" customHeight="1" s="17">
      <c r="B2851" s="16" t="n">
        <v>44209</v>
      </c>
      <c r="C2851" s="20">
        <f>TEXT(B2851,"aaa")</f>
        <v/>
      </c>
      <c r="E2851" s="20">
        <f>INDEX(매칭테이블!C:C,MATCH(RD!G2851,매칭테이블!D:D,0))</f>
        <v/>
      </c>
      <c r="F2851" s="20" t="inlineStr">
        <is>
          <t>카페24</t>
        </is>
      </c>
      <c r="G2851" s="20" t="inlineStr">
        <is>
          <t>유즈 스테이포에버 솔리드퍼퓸 002 (11차 예약구매 진행중)제품선택=best</t>
        </is>
      </c>
      <c r="H2851" s="20" t="n">
        <v>1</v>
      </c>
      <c r="I2851" s="20">
        <f>VLOOKUP(G2851,매칭테이블!D:E,2,0)</f>
        <v/>
      </c>
      <c r="J2851" s="20" t="n">
        <v>210101</v>
      </c>
      <c r="L2851" s="20">
        <f>VLOOKUP($O2851,매칭테이블!$G:$J,2,0)*H2851</f>
        <v/>
      </c>
      <c r="M2851" s="20">
        <f>L2851-L2851*VLOOKUP($O2851,매칭테이블!$G:$J,3,0)</f>
        <v/>
      </c>
      <c r="N2851" s="20">
        <f>VLOOKUP($O2851,매칭테이블!$G:$J,4,0)*H2851</f>
        <v/>
      </c>
      <c r="O2851" s="20">
        <f>F2851&amp;E2851&amp;G2851&amp;J2851</f>
        <v/>
      </c>
    </row>
    <row r="2852" ht="16.5" customHeight="1" s="17">
      <c r="B2852" s="16" t="n">
        <v>44209</v>
      </c>
      <c r="C2852" s="20">
        <f>TEXT(B2852,"aaa")</f>
        <v/>
      </c>
      <c r="E2852" s="20">
        <f>INDEX(매칭테이블!C:C,MATCH(RD!G2852,매칭테이블!D:D,0))</f>
        <v/>
      </c>
      <c r="F2852" s="20" t="inlineStr">
        <is>
          <t>카페24</t>
        </is>
      </c>
      <c r="G2852" s="20" t="inlineStr">
        <is>
          <t>유즈 스테이포에버 솔리드퍼퓸 002 (11차 예약구매 진행중)제품선택=커플추천</t>
        </is>
      </c>
      <c r="H2852" s="20" t="n">
        <v>1</v>
      </c>
      <c r="I2852" s="20">
        <f>VLOOKUP(G2852,매칭테이블!D:E,2,0)</f>
        <v/>
      </c>
      <c r="J2852" s="20" t="n">
        <v>210101</v>
      </c>
      <c r="L2852" s="20">
        <f>VLOOKUP($O2852,매칭테이블!$G:$J,2,0)*H2852</f>
        <v/>
      </c>
      <c r="M2852" s="20">
        <f>L2852-L2852*VLOOKUP($O2852,매칭테이블!$G:$J,3,0)</f>
        <v/>
      </c>
      <c r="N2852" s="20">
        <f>VLOOKUP($O2852,매칭테이블!$G:$J,4,0)*H2852</f>
        <v/>
      </c>
      <c r="O2852" s="20">
        <f>F2852&amp;E2852&amp;G2852&amp;J2852</f>
        <v/>
      </c>
    </row>
    <row r="2853" ht="16.5" customHeight="1" s="17">
      <c r="B2853" s="16" t="n">
        <v>44209</v>
      </c>
      <c r="C2853" s="20">
        <f>TEXT(B2853,"aaa")</f>
        <v/>
      </c>
      <c r="E2853" s="20">
        <f>INDEX(매칭테이블!C:C,MATCH(RD!G2853,매칭테이블!D:D,0))</f>
        <v/>
      </c>
      <c r="F2853" s="20" t="inlineStr">
        <is>
          <t>카페24</t>
        </is>
      </c>
      <c r="G2853" s="20" t="inlineStr">
        <is>
          <t>유즈 스테이포에버 솔리드퍼퓸 002 (11차 예약구매 진행중)쇼핑백=선물용 쇼핑백</t>
        </is>
      </c>
      <c r="H2853" s="20" t="n">
        <v>2</v>
      </c>
      <c r="I2853" s="20">
        <f>VLOOKUP(G2853,매칭테이블!D:E,2,0)</f>
        <v/>
      </c>
      <c r="J2853" s="20" t="n">
        <v>210101</v>
      </c>
      <c r="L2853" s="20">
        <f>VLOOKUP($O2853,매칭테이블!$G:$J,2,0)*H2853</f>
        <v/>
      </c>
      <c r="M2853" s="20">
        <f>L2853-L2853*VLOOKUP($O2853,매칭테이블!$G:$J,3,0)</f>
        <v/>
      </c>
      <c r="N2853" s="20">
        <f>VLOOKUP($O2853,매칭테이블!$G:$J,4,0)*H2853</f>
        <v/>
      </c>
      <c r="O2853" s="20">
        <f>F2853&amp;E2853&amp;G2853&amp;J2853</f>
        <v/>
      </c>
    </row>
    <row r="2854" ht="16.5" customHeight="1" s="17">
      <c r="B2854" s="16" t="n">
        <v>44209</v>
      </c>
      <c r="C2854" s="20">
        <f>TEXT(B2854,"aaa")</f>
        <v/>
      </c>
      <c r="E2854" s="20">
        <f>INDEX(매칭테이블!C:C,MATCH(RD!G2854,매칭테이블!D:D,0))</f>
        <v/>
      </c>
      <c r="F2854" s="20" t="inlineStr">
        <is>
          <t>카페24</t>
        </is>
      </c>
      <c r="G2854" s="20" t="inlineStr">
        <is>
          <t>유즈 이그나이트 솔리드퍼퓸 001제품선택=이그나이트 솔리드퍼퓸 - 30ml</t>
        </is>
      </c>
      <c r="H2854" s="20" t="n">
        <v>5</v>
      </c>
      <c r="I2854" s="20">
        <f>VLOOKUP(G2854,매칭테이블!D:E,2,0)</f>
        <v/>
      </c>
      <c r="J2854" s="20" t="n">
        <v>210101</v>
      </c>
      <c r="L2854" s="20">
        <f>VLOOKUP($O2854,매칭테이블!$G:$J,2,0)*H2854</f>
        <v/>
      </c>
      <c r="M2854" s="20">
        <f>L2854-L2854*VLOOKUP($O2854,매칭테이블!$G:$J,3,0)</f>
        <v/>
      </c>
      <c r="N2854" s="20">
        <f>VLOOKUP($O2854,매칭테이블!$G:$J,4,0)*H2854</f>
        <v/>
      </c>
      <c r="O2854" s="20">
        <f>F2854&amp;E2854&amp;G2854&amp;J2854</f>
        <v/>
      </c>
    </row>
    <row r="2855" ht="16.5" customHeight="1" s="17">
      <c r="B2855" s="16" t="n">
        <v>44209</v>
      </c>
      <c r="C2855" s="20">
        <f>TEXT(B2855,"aaa")</f>
        <v/>
      </c>
      <c r="E2855" s="20">
        <f>INDEX(매칭테이블!C:C,MATCH(RD!G2855,매칭테이블!D:D,0))</f>
        <v/>
      </c>
      <c r="F2855" s="20" t="inlineStr">
        <is>
          <t>카페24</t>
        </is>
      </c>
      <c r="G2855" s="20" t="inlineStr">
        <is>
          <t>유즈 이그나이트 솔리드퍼퓸 001제품선택=이그나이트 2개 세트</t>
        </is>
      </c>
      <c r="H2855" s="20" t="n">
        <v>2</v>
      </c>
      <c r="I2855" s="20">
        <f>VLOOKUP(G2855,매칭테이블!D:E,2,0)</f>
        <v/>
      </c>
      <c r="J2855" s="20" t="n">
        <v>210101</v>
      </c>
      <c r="L2855" s="20">
        <f>VLOOKUP($O2855,매칭테이블!$G:$J,2,0)*H2855</f>
        <v/>
      </c>
      <c r="M2855" s="20">
        <f>L2855-L2855*VLOOKUP($O2855,매칭테이블!$G:$J,3,0)</f>
        <v/>
      </c>
      <c r="N2855" s="20">
        <f>VLOOKUP($O2855,매칭테이블!$G:$J,4,0)*H2855</f>
        <v/>
      </c>
      <c r="O2855" s="20">
        <f>F2855&amp;E2855&amp;G2855&amp;J2855</f>
        <v/>
      </c>
    </row>
    <row r="2856" ht="16.5" customHeight="1" s="17">
      <c r="B2856" s="16" t="n">
        <v>44210</v>
      </c>
      <c r="C2856" s="20">
        <f>TEXT(B2856,"aaa")</f>
        <v/>
      </c>
      <c r="E2856" s="20">
        <f>INDEX(매칭테이블!C:C,MATCH(RD!G2856,매칭테이블!D:D,0))</f>
        <v/>
      </c>
      <c r="F2856" s="20" t="inlineStr">
        <is>
          <t>카페24</t>
        </is>
      </c>
      <c r="G2856" s="20" t="inlineStr">
        <is>
          <t>유즈 솔리드퍼퓸 - 30ml향=이그나이트 001 SOLID PERFUME, 세트 선택=1개</t>
        </is>
      </c>
      <c r="H2856" s="20" t="n">
        <v>1</v>
      </c>
      <c r="I2856" s="20">
        <f>VLOOKUP(G2856,매칭테이블!D:E,2,0)</f>
        <v/>
      </c>
      <c r="J2856" s="20" t="n">
        <v>210101</v>
      </c>
      <c r="L2856" s="20">
        <f>VLOOKUP($O2856,매칭테이블!$G:$J,2,0)*H2856</f>
        <v/>
      </c>
      <c r="M2856" s="20">
        <f>L2856-L2856*VLOOKUP($O2856,매칭테이블!$G:$J,3,0)</f>
        <v/>
      </c>
      <c r="N2856" s="20">
        <f>VLOOKUP($O2856,매칭테이블!$G:$J,4,0)*H2856</f>
        <v/>
      </c>
      <c r="O2856" s="20">
        <f>F2856&amp;E2856&amp;G2856&amp;J2856</f>
        <v/>
      </c>
    </row>
    <row r="2857" ht="16.5" customHeight="1" s="17">
      <c r="B2857" s="16" t="n">
        <v>44210</v>
      </c>
      <c r="C2857" s="20">
        <f>TEXT(B2857,"aaa")</f>
        <v/>
      </c>
      <c r="E2857" s="20">
        <f>INDEX(매칭테이블!C:C,MATCH(RD!G2857,매칭테이블!D:D,0))</f>
        <v/>
      </c>
      <c r="F2857" s="20" t="inlineStr">
        <is>
          <t>카페24</t>
        </is>
      </c>
      <c r="G2857" s="20" t="inlineStr">
        <is>
          <t>유즈 솔리드퍼퓸 - 30ml향=스테이포에버 002 SOLID PERFUME, 세트 선택=1개</t>
        </is>
      </c>
      <c r="H2857" s="20" t="n">
        <v>10</v>
      </c>
      <c r="I2857" s="20">
        <f>VLOOKUP(G2857,매칭테이블!D:E,2,0)</f>
        <v/>
      </c>
      <c r="J2857" s="20" t="n">
        <v>210101</v>
      </c>
      <c r="L2857" s="20">
        <f>VLOOKUP($O2857,매칭테이블!$G:$J,2,0)*H2857</f>
        <v/>
      </c>
      <c r="M2857" s="20">
        <f>L2857-L2857*VLOOKUP($O2857,매칭테이블!$G:$J,3,0)</f>
        <v/>
      </c>
      <c r="N2857" s="20">
        <f>VLOOKUP($O2857,매칭테이블!$G:$J,4,0)*H2857</f>
        <v/>
      </c>
      <c r="O2857" s="20">
        <f>F2857&amp;E2857&amp;G2857&amp;J2857</f>
        <v/>
      </c>
    </row>
    <row r="2858" ht="16.5" customHeight="1" s="17">
      <c r="B2858" s="16" t="n">
        <v>44210</v>
      </c>
      <c r="C2858" s="20">
        <f>TEXT(B2858,"aaa")</f>
        <v/>
      </c>
      <c r="E2858" s="20">
        <f>INDEX(매칭테이블!C:C,MATCH(RD!G2858,매칭테이블!D:D,0))</f>
        <v/>
      </c>
      <c r="F2858" s="20" t="inlineStr">
        <is>
          <t>카페24</t>
        </is>
      </c>
      <c r="G2858" s="20" t="inlineStr">
        <is>
          <t>유즈 솔리드퍼퓸 - 30ml향=스테이포에버 002 SOLID PERFUME, 세트 선택=best</t>
        </is>
      </c>
      <c r="H2858" s="20" t="n">
        <v>1</v>
      </c>
      <c r="I2858" s="20">
        <f>VLOOKUP(G2858,매칭테이블!D:E,2,0)</f>
        <v/>
      </c>
      <c r="J2858" s="20" t="n">
        <v>210101</v>
      </c>
      <c r="L2858" s="20">
        <f>VLOOKUP($O2858,매칭테이블!$G:$J,2,0)*H2858</f>
        <v/>
      </c>
      <c r="M2858" s="20">
        <f>L2858-L2858*VLOOKUP($O2858,매칭테이블!$G:$J,3,0)</f>
        <v/>
      </c>
      <c r="N2858" s="20">
        <f>VLOOKUP($O2858,매칭테이블!$G:$J,4,0)*H2858</f>
        <v/>
      </c>
      <c r="O2858" s="20">
        <f>F2858&amp;E2858&amp;G2858&amp;J2858</f>
        <v/>
      </c>
    </row>
    <row r="2859" ht="16.5" customHeight="1" s="17">
      <c r="B2859" s="16" t="n">
        <v>44210</v>
      </c>
      <c r="C2859" s="20">
        <f>TEXT(B2859,"aaa")</f>
        <v/>
      </c>
      <c r="E2859" s="20">
        <f>INDEX(매칭테이블!C:C,MATCH(RD!G2859,매칭테이블!D:D,0))</f>
        <v/>
      </c>
      <c r="F2859" s="20" t="inlineStr">
        <is>
          <t>카페24</t>
        </is>
      </c>
      <c r="G2859" s="20" t="inlineStr">
        <is>
          <t>유즈 솔리드퍼퓸 - 30ml향=스테이포에버 002 SOLID PERFUME, 세트 선택=best 2개 (28% 할인)</t>
        </is>
      </c>
      <c r="H2859" s="20" t="n">
        <v>4</v>
      </c>
      <c r="I2859" s="20">
        <f>VLOOKUP(G2859,매칭테이블!D:E,2,0)</f>
        <v/>
      </c>
      <c r="J2859" s="20" t="n">
        <v>210101</v>
      </c>
      <c r="L2859" s="20">
        <f>VLOOKUP($O2859,매칭테이블!$G:$J,2,0)*H2859</f>
        <v/>
      </c>
      <c r="M2859" s="20">
        <f>L2859-L2859*VLOOKUP($O2859,매칭테이블!$G:$J,3,0)</f>
        <v/>
      </c>
      <c r="N2859" s="20">
        <f>VLOOKUP($O2859,매칭테이블!$G:$J,4,0)*H2859</f>
        <v/>
      </c>
      <c r="O2859" s="20">
        <f>F2859&amp;E2859&amp;G2859&amp;J2859</f>
        <v/>
      </c>
    </row>
    <row r="2860" ht="16.5" customHeight="1" s="17">
      <c r="B2860" s="16" t="n">
        <v>44210</v>
      </c>
      <c r="C2860" s="20">
        <f>TEXT(B2860,"aaa")</f>
        <v/>
      </c>
      <c r="E2860" s="20">
        <f>INDEX(매칭테이블!C:C,MATCH(RD!G2860,매칭테이블!D:D,0))</f>
        <v/>
      </c>
      <c r="F2860" s="20" t="inlineStr">
        <is>
          <t>카페24</t>
        </is>
      </c>
      <c r="G2860" s="20" t="inlineStr">
        <is>
          <t>유즈 솔리드퍼퓸 - 30ml향=커플세트</t>
        </is>
      </c>
      <c r="H2860" s="20" t="n">
        <v>7</v>
      </c>
      <c r="I2860" s="20">
        <f>VLOOKUP(G2860,매칭테이블!D:E,2,0)</f>
        <v/>
      </c>
      <c r="J2860" s="20" t="n">
        <v>210101</v>
      </c>
      <c r="L2860" s="20">
        <f>VLOOKUP($O2860,매칭테이블!$G:$J,2,0)*H2860</f>
        <v/>
      </c>
      <c r="M2860" s="20">
        <f>L2860-L2860*VLOOKUP($O2860,매칭테이블!$G:$J,3,0)</f>
        <v/>
      </c>
      <c r="N2860" s="20">
        <f>VLOOKUP($O2860,매칭테이블!$G:$J,4,0)*H2860</f>
        <v/>
      </c>
      <c r="O2860" s="20">
        <f>F2860&amp;E2860&amp;G2860&amp;J2860</f>
        <v/>
      </c>
    </row>
    <row r="2861" ht="16.5" customHeight="1" s="17">
      <c r="B2861" s="16" t="n">
        <v>44210</v>
      </c>
      <c r="C2861" s="20">
        <f>TEXT(B2861,"aaa")</f>
        <v/>
      </c>
      <c r="E2861" s="20">
        <f>INDEX(매칭테이블!C:C,MATCH(RD!G2861,매칭테이블!D:D,0))</f>
        <v/>
      </c>
      <c r="F2861" s="20" t="inlineStr">
        <is>
          <t>카페24</t>
        </is>
      </c>
      <c r="G2861" s="20" t="inlineStr">
        <is>
          <t>유즈 솔리드퍼퓸 - 30ml향=커플세트(이그나이트 + 스테이포에버), 세트 선택=1 SET</t>
        </is>
      </c>
      <c r="H2861" s="20" t="n">
        <v>6</v>
      </c>
      <c r="I2861" s="20">
        <f>VLOOKUP(G2861,매칭테이블!D:E,2,0)</f>
        <v/>
      </c>
      <c r="J2861" s="20" t="n">
        <v>210101</v>
      </c>
      <c r="L2861" s="20">
        <f>VLOOKUP($O2861,매칭테이블!$G:$J,2,0)*H2861</f>
        <v/>
      </c>
      <c r="M2861" s="20">
        <f>L2861-L2861*VLOOKUP($O2861,매칭테이블!$G:$J,3,0)</f>
        <v/>
      </c>
      <c r="N2861" s="20">
        <f>VLOOKUP($O2861,매칭테이블!$G:$J,4,0)*H2861</f>
        <v/>
      </c>
      <c r="O2861" s="20">
        <f>F2861&amp;E2861&amp;G2861&amp;J2861</f>
        <v/>
      </c>
    </row>
    <row r="2862" ht="16.5" customHeight="1" s="17">
      <c r="B2862" s="16" t="n">
        <v>44210</v>
      </c>
      <c r="C2862" s="20">
        <f>TEXT(B2862,"aaa")</f>
        <v/>
      </c>
      <c r="E2862" s="20">
        <f>INDEX(매칭테이블!C:C,MATCH(RD!G2862,매칭테이블!D:D,0))</f>
        <v/>
      </c>
      <c r="F2862" s="20" t="inlineStr">
        <is>
          <t>카페24</t>
        </is>
      </c>
      <c r="G2862" s="20" t="inlineStr">
        <is>
          <t>유즈 솔리드퍼퓸 - 30ml향=커플세트</t>
        </is>
      </c>
      <c r="H2862" s="20" t="n">
        <v>2</v>
      </c>
      <c r="I2862" s="20">
        <f>VLOOKUP(G2862,매칭테이블!D:E,2,0)</f>
        <v/>
      </c>
      <c r="J2862" s="20" t="n">
        <v>210101</v>
      </c>
      <c r="L2862" s="20">
        <f>VLOOKUP($O2862,매칭테이블!$G:$J,2,0)*H2862</f>
        <v/>
      </c>
      <c r="M2862" s="20">
        <f>L2862-L2862*VLOOKUP($O2862,매칭테이블!$G:$J,3,0)</f>
        <v/>
      </c>
      <c r="N2862" s="20">
        <f>VLOOKUP($O2862,매칭테이블!$G:$J,4,0)*H2862</f>
        <v/>
      </c>
      <c r="O2862" s="20">
        <f>F2862&amp;E2862&amp;G2862&amp;J2862</f>
        <v/>
      </c>
    </row>
    <row r="2863" ht="16.5" customHeight="1" s="17">
      <c r="B2863" s="16" t="n">
        <v>44210</v>
      </c>
      <c r="C2863" s="20">
        <f>TEXT(B2863,"aaa")</f>
        <v/>
      </c>
      <c r="E2863" s="20">
        <f>INDEX(매칭테이블!C:C,MATCH(RD!G2863,매칭테이블!D:D,0))</f>
        <v/>
      </c>
      <c r="F2863" s="20" t="inlineStr">
        <is>
          <t>카페24</t>
        </is>
      </c>
      <c r="G2863" s="20" t="inlineStr">
        <is>
          <t>유즈 솔리드퍼퓸 - 30ml향=커플세트(이그나이트 + 스테이포에버), 세트 선택=2 SET (42% 할인)</t>
        </is>
      </c>
      <c r="H2863" s="20" t="n">
        <v>1</v>
      </c>
      <c r="I2863" s="20">
        <f>VLOOKUP(G2863,매칭테이블!D:E,2,0)</f>
        <v/>
      </c>
      <c r="J2863" s="20" t="n">
        <v>210101</v>
      </c>
      <c r="L2863" s="20">
        <f>VLOOKUP($O2863,매칭테이블!$G:$J,2,0)*H2863</f>
        <v/>
      </c>
      <c r="M2863" s="20">
        <f>L2863-L2863*VLOOKUP($O2863,매칭테이블!$G:$J,3,0)</f>
        <v/>
      </c>
      <c r="N2863" s="20">
        <f>VLOOKUP($O2863,매칭테이블!$G:$J,4,0)*H2863</f>
        <v/>
      </c>
      <c r="O2863" s="20">
        <f>F2863&amp;E2863&amp;G2863&amp;J2863</f>
        <v/>
      </c>
    </row>
    <row r="2864" ht="16.5" customHeight="1" s="17">
      <c r="B2864" s="16" t="n">
        <v>44210</v>
      </c>
      <c r="C2864" s="20">
        <f>TEXT(B2864,"aaa")</f>
        <v/>
      </c>
      <c r="E2864" s="20">
        <f>INDEX(매칭테이블!C:C,MATCH(RD!G2864,매칭테이블!D:D,0))</f>
        <v/>
      </c>
      <c r="F2864" s="20" t="inlineStr">
        <is>
          <t>카페24</t>
        </is>
      </c>
      <c r="G2864" s="20" t="inlineStr">
        <is>
          <t>유즈 스테이포에버 솔리드퍼퓸 002제품선택=스테이포에버 1개</t>
        </is>
      </c>
      <c r="H2864" s="20" t="n">
        <v>302</v>
      </c>
      <c r="I2864" s="20">
        <f>VLOOKUP(G2864,매칭테이블!D:E,2,0)</f>
        <v/>
      </c>
      <c r="J2864" s="20" t="n">
        <v>210101</v>
      </c>
      <c r="L2864" s="20">
        <f>VLOOKUP($O2864,매칭테이블!$G:$J,2,0)*H2864</f>
        <v/>
      </c>
      <c r="M2864" s="20">
        <f>L2864-L2864*VLOOKUP($O2864,매칭테이블!$G:$J,3,0)</f>
        <v/>
      </c>
      <c r="N2864" s="20">
        <f>VLOOKUP($O2864,매칭테이블!$G:$J,4,0)*H2864</f>
        <v/>
      </c>
      <c r="O2864" s="20">
        <f>F2864&amp;E2864&amp;G2864&amp;J2864</f>
        <v/>
      </c>
    </row>
    <row r="2865" ht="16.5" customHeight="1" s="17">
      <c r="B2865" s="16" t="n">
        <v>44210</v>
      </c>
      <c r="C2865" s="20">
        <f>TEXT(B2865,"aaa")</f>
        <v/>
      </c>
      <c r="E2865" s="20">
        <f>INDEX(매칭테이블!C:C,MATCH(RD!G2865,매칭테이블!D:D,0))</f>
        <v/>
      </c>
      <c r="F2865" s="20" t="inlineStr">
        <is>
          <t>카페24</t>
        </is>
      </c>
      <c r="G2865" s="20" t="inlineStr">
        <is>
          <t>유즈 스테이포에버 솔리드퍼퓸 002제품선택=best</t>
        </is>
      </c>
      <c r="H2865" s="20" t="n">
        <v>66</v>
      </c>
      <c r="I2865" s="20">
        <f>VLOOKUP(G2865,매칭테이블!D:E,2,0)</f>
        <v/>
      </c>
      <c r="J2865" s="20" t="n">
        <v>210101</v>
      </c>
      <c r="L2865" s="20">
        <f>VLOOKUP($O2865,매칭테이블!$G:$J,2,0)*H2865</f>
        <v/>
      </c>
      <c r="M2865" s="20">
        <f>L2865-L2865*VLOOKUP($O2865,매칭테이블!$G:$J,3,0)</f>
        <v/>
      </c>
      <c r="N2865" s="20">
        <f>VLOOKUP($O2865,매칭테이블!$G:$J,4,0)*H2865</f>
        <v/>
      </c>
      <c r="O2865" s="20">
        <f>F2865&amp;E2865&amp;G2865&amp;J2865</f>
        <v/>
      </c>
    </row>
    <row r="2866" ht="16.5" customHeight="1" s="17">
      <c r="B2866" s="16" t="n">
        <v>44210</v>
      </c>
      <c r="C2866" s="20">
        <f>TEXT(B2866,"aaa")</f>
        <v/>
      </c>
      <c r="E2866" s="20">
        <f>INDEX(매칭테이블!C:C,MATCH(RD!G2866,매칭테이블!D:D,0))</f>
        <v/>
      </c>
      <c r="F2866" s="20" t="inlineStr">
        <is>
          <t>카페24</t>
        </is>
      </c>
      <c r="G2866" s="20" t="inlineStr">
        <is>
          <t>유즈 스테이포에버 솔리드퍼퓸 002제품선택=best스테이포에버 2개[28% 할인]</t>
        </is>
      </c>
      <c r="H2866" s="20" t="n">
        <v>101</v>
      </c>
      <c r="I2866" s="20">
        <f>VLOOKUP(G2866,매칭테이블!D:E,2,0)</f>
        <v/>
      </c>
      <c r="J2866" s="20" t="n">
        <v>210101</v>
      </c>
      <c r="L2866" s="20">
        <f>VLOOKUP($O2866,매칭테이블!$G:$J,2,0)*H2866</f>
        <v/>
      </c>
      <c r="M2866" s="20">
        <f>L2866-L2866*VLOOKUP($O2866,매칭테이블!$G:$J,3,0)</f>
        <v/>
      </c>
      <c r="N2866" s="20">
        <f>VLOOKUP($O2866,매칭테이블!$G:$J,4,0)*H2866</f>
        <v/>
      </c>
      <c r="O2866" s="20">
        <f>F2866&amp;E2866&amp;G2866&amp;J2866</f>
        <v/>
      </c>
    </row>
    <row r="2867" ht="16.5" customHeight="1" s="17">
      <c r="B2867" s="16" t="n">
        <v>44210</v>
      </c>
      <c r="C2867" s="20">
        <f>TEXT(B2867,"aaa")</f>
        <v/>
      </c>
      <c r="E2867" s="20">
        <f>INDEX(매칭테이블!C:C,MATCH(RD!G2867,매칭테이블!D:D,0))</f>
        <v/>
      </c>
      <c r="F2867" s="20" t="inlineStr">
        <is>
          <t>카페24</t>
        </is>
      </c>
      <c r="G2867" s="20" t="inlineStr">
        <is>
          <t>유즈 스테이포에버 솔리드퍼퓸 002제품선택=커플추천</t>
        </is>
      </c>
      <c r="H2867" s="20" t="n">
        <v>13</v>
      </c>
      <c r="I2867" s="20">
        <f>VLOOKUP(G2867,매칭테이블!D:E,2,0)</f>
        <v/>
      </c>
      <c r="J2867" s="20" t="n">
        <v>210101</v>
      </c>
      <c r="L2867" s="20">
        <f>VLOOKUP($O2867,매칭테이블!$G:$J,2,0)*H2867</f>
        <v/>
      </c>
      <c r="M2867" s="20">
        <f>L2867-L2867*VLOOKUP($O2867,매칭테이블!$G:$J,3,0)</f>
        <v/>
      </c>
      <c r="N2867" s="20">
        <f>VLOOKUP($O2867,매칭테이블!$G:$J,4,0)*H2867</f>
        <v/>
      </c>
      <c r="O2867" s="20">
        <f>F2867&amp;E2867&amp;G2867&amp;J2867</f>
        <v/>
      </c>
    </row>
    <row r="2868" ht="16.5" customHeight="1" s="17">
      <c r="B2868" s="16" t="n">
        <v>44210</v>
      </c>
      <c r="C2868" s="20">
        <f>TEXT(B2868,"aaa")</f>
        <v/>
      </c>
      <c r="E2868" s="20">
        <f>INDEX(매칭테이블!C:C,MATCH(RD!G2868,매칭테이블!D:D,0))</f>
        <v/>
      </c>
      <c r="F2868" s="20" t="inlineStr">
        <is>
          <t>카페24</t>
        </is>
      </c>
      <c r="G2868" s="20" t="inlineStr">
        <is>
          <t>유즈 스테이포에버 솔리드퍼퓸 002제품선택=커플추천스테이포에버 + 이그나이트 세트</t>
        </is>
      </c>
      <c r="H2868" s="20" t="n">
        <v>15</v>
      </c>
      <c r="I2868" s="20">
        <f>VLOOKUP(G2868,매칭테이블!D:E,2,0)</f>
        <v/>
      </c>
      <c r="J2868" s="20" t="n">
        <v>210101</v>
      </c>
      <c r="L2868" s="20">
        <f>VLOOKUP($O2868,매칭테이블!$G:$J,2,0)*H2868</f>
        <v/>
      </c>
      <c r="M2868" s="20">
        <f>L2868-L2868*VLOOKUP($O2868,매칭테이블!$G:$J,3,0)</f>
        <v/>
      </c>
      <c r="N2868" s="20">
        <f>VLOOKUP($O2868,매칭테이블!$G:$J,4,0)*H2868</f>
        <v/>
      </c>
      <c r="O2868" s="20">
        <f>F2868&amp;E2868&amp;G2868&amp;J2868</f>
        <v/>
      </c>
    </row>
    <row r="2869" ht="16.5" customHeight="1" s="17">
      <c r="B2869" s="16" t="n">
        <v>44210</v>
      </c>
      <c r="C2869" s="20">
        <f>TEXT(B2869,"aaa")</f>
        <v/>
      </c>
      <c r="E2869" s="20">
        <f>INDEX(매칭테이블!C:C,MATCH(RD!G2869,매칭테이블!D:D,0))</f>
        <v/>
      </c>
      <c r="F2869" s="20" t="inlineStr">
        <is>
          <t>카페24</t>
        </is>
      </c>
      <c r="G2869" s="20" t="inlineStr">
        <is>
          <t>유즈 스테이포에버 솔리드퍼퓸 002쇼핑백=선물용 쇼핑백</t>
        </is>
      </c>
      <c r="H2869" s="20" t="n">
        <v>16</v>
      </c>
      <c r="I2869" s="20">
        <f>VLOOKUP(G2869,매칭테이블!D:E,2,0)</f>
        <v/>
      </c>
      <c r="J2869" s="20" t="n">
        <v>210101</v>
      </c>
      <c r="L2869" s="20">
        <f>VLOOKUP($O2869,매칭테이블!$G:$J,2,0)*H2869</f>
        <v/>
      </c>
      <c r="M2869" s="20">
        <f>L2869-L2869*VLOOKUP($O2869,매칭테이블!$G:$J,3,0)</f>
        <v/>
      </c>
      <c r="N2869" s="20">
        <f>VLOOKUP($O2869,매칭테이블!$G:$J,4,0)*H2869</f>
        <v/>
      </c>
      <c r="O2869" s="20">
        <f>F2869&amp;E2869&amp;G2869&amp;J2869</f>
        <v/>
      </c>
    </row>
    <row r="2870" ht="16.5" customHeight="1" s="17">
      <c r="B2870" s="16" t="n">
        <v>44210</v>
      </c>
      <c r="C2870" s="20">
        <f>TEXT(B2870,"aaa")</f>
        <v/>
      </c>
      <c r="E2870" s="20">
        <f>INDEX(매칭테이블!C:C,MATCH(RD!G2870,매칭테이블!D:D,0))</f>
        <v/>
      </c>
      <c r="F2870" s="20" t="inlineStr">
        <is>
          <t>카페24</t>
        </is>
      </c>
      <c r="G2870" s="20" t="inlineStr">
        <is>
          <t>유즈 스테이포에버 솔리드퍼퓸 002 (11차 예약구매 진행중)제품선택=best</t>
        </is>
      </c>
      <c r="H2870" s="20" t="n">
        <v>1</v>
      </c>
      <c r="I2870" s="20">
        <f>VLOOKUP(G2870,매칭테이블!D:E,2,0)</f>
        <v/>
      </c>
      <c r="J2870" s="20" t="n">
        <v>210101</v>
      </c>
      <c r="L2870" s="20">
        <f>VLOOKUP($O2870,매칭테이블!$G:$J,2,0)*H2870</f>
        <v/>
      </c>
      <c r="M2870" s="20">
        <f>L2870-L2870*VLOOKUP($O2870,매칭테이블!$G:$J,3,0)</f>
        <v/>
      </c>
      <c r="N2870" s="20">
        <f>VLOOKUP($O2870,매칭테이블!$G:$J,4,0)*H2870</f>
        <v/>
      </c>
      <c r="O2870" s="20">
        <f>F2870&amp;E2870&amp;G2870&amp;J2870</f>
        <v/>
      </c>
    </row>
    <row r="2871" ht="16.5" customHeight="1" s="17">
      <c r="B2871" s="16" t="n">
        <v>44210</v>
      </c>
      <c r="C2871" s="20">
        <f>TEXT(B2871,"aaa")</f>
        <v/>
      </c>
      <c r="E2871" s="20">
        <f>INDEX(매칭테이블!C:C,MATCH(RD!G2871,매칭테이블!D:D,0))</f>
        <v/>
      </c>
      <c r="F2871" s="20" t="inlineStr">
        <is>
          <t>카페24</t>
        </is>
      </c>
      <c r="G2871" s="20" t="inlineStr">
        <is>
          <t>유즈 이그나이트 솔리드퍼퓸 001제품선택=이그나이트 솔리드퍼퓸 - 30ml</t>
        </is>
      </c>
      <c r="H2871" s="20" t="n">
        <v>3</v>
      </c>
      <c r="I2871" s="20">
        <f>VLOOKUP(G2871,매칭테이블!D:E,2,0)</f>
        <v/>
      </c>
      <c r="J2871" s="20" t="n">
        <v>210101</v>
      </c>
      <c r="L2871" s="20">
        <f>VLOOKUP($O2871,매칭테이블!$G:$J,2,0)*H2871</f>
        <v/>
      </c>
      <c r="M2871" s="20">
        <f>L2871-L2871*VLOOKUP($O2871,매칭테이블!$G:$J,3,0)</f>
        <v/>
      </c>
      <c r="N2871" s="20">
        <f>VLOOKUP($O2871,매칭테이블!$G:$J,4,0)*H2871</f>
        <v/>
      </c>
      <c r="O2871" s="20">
        <f>F2871&amp;E2871&amp;G2871&amp;J2871</f>
        <v/>
      </c>
    </row>
    <row r="2872" ht="16.5" customHeight="1" s="17">
      <c r="B2872" s="16" t="n">
        <v>44210</v>
      </c>
      <c r="C2872" s="20">
        <f>TEXT(B2872,"aaa")</f>
        <v/>
      </c>
      <c r="E2872" s="20">
        <f>INDEX(매칭테이블!C:C,MATCH(RD!G2872,매칭테이블!D:D,0))</f>
        <v/>
      </c>
      <c r="F2872" s="20" t="inlineStr">
        <is>
          <t>카페24</t>
        </is>
      </c>
      <c r="G2872" s="20" t="inlineStr">
        <is>
          <t>유즈 이그나이트 솔리드퍼퓸 001제품선택=이그나이트 2개 세트</t>
        </is>
      </c>
      <c r="H2872" s="20" t="n">
        <v>3</v>
      </c>
      <c r="I2872" s="20">
        <f>VLOOKUP(G2872,매칭테이블!D:E,2,0)</f>
        <v/>
      </c>
      <c r="J2872" s="20" t="n">
        <v>210101</v>
      </c>
      <c r="L2872" s="20">
        <f>VLOOKUP($O2872,매칭테이블!$G:$J,2,0)*H2872</f>
        <v/>
      </c>
      <c r="M2872" s="20">
        <f>L2872-L2872*VLOOKUP($O2872,매칭테이블!$G:$J,3,0)</f>
        <v/>
      </c>
      <c r="N2872" s="20">
        <f>VLOOKUP($O2872,매칭테이블!$G:$J,4,0)*H2872</f>
        <v/>
      </c>
      <c r="O2872" s="20">
        <f>F2872&amp;E2872&amp;G2872&amp;J2872</f>
        <v/>
      </c>
    </row>
    <row r="2873" ht="16.5" customHeight="1" s="17">
      <c r="B2873" s="16" t="n">
        <v>44210</v>
      </c>
      <c r="C2873" s="20">
        <f>TEXT(B2873,"aaa")</f>
        <v/>
      </c>
      <c r="E2873" s="20">
        <f>INDEX(매칭테이블!C:C,MATCH(RD!G2873,매칭테이블!D:D,0))</f>
        <v/>
      </c>
      <c r="F2873" s="20" t="inlineStr">
        <is>
          <t>카페24</t>
        </is>
      </c>
      <c r="G2873" s="20" t="inlineStr">
        <is>
          <t>유즈 이그나이트 솔리드퍼퓸 001쇼핑백=선물용 쇼핑백</t>
        </is>
      </c>
      <c r="H2873" s="20" t="n">
        <v>1</v>
      </c>
      <c r="I2873" s="20">
        <f>VLOOKUP(G2873,매칭테이블!D:E,2,0)</f>
        <v/>
      </c>
      <c r="J2873" s="20" t="n">
        <v>210101</v>
      </c>
      <c r="L2873" s="20">
        <f>VLOOKUP($O2873,매칭테이블!$G:$J,2,0)*H2873</f>
        <v/>
      </c>
      <c r="M2873" s="20">
        <f>L2873-L2873*VLOOKUP($O2873,매칭테이블!$G:$J,3,0)</f>
        <v/>
      </c>
      <c r="N2873" s="20">
        <f>VLOOKUP($O2873,매칭테이블!$G:$J,4,0)*H2873</f>
        <v/>
      </c>
      <c r="O2873" s="20">
        <f>F2873&amp;E2873&amp;G2873&amp;J2873</f>
        <v/>
      </c>
    </row>
    <row r="2874" ht="16.5" customHeight="1" s="17">
      <c r="B2874" s="16" t="n">
        <v>44211</v>
      </c>
      <c r="C2874" s="20">
        <f>TEXT(B2874,"aaa")</f>
        <v/>
      </c>
      <c r="E2874" s="20">
        <f>INDEX(매칭테이블!C:C,MATCH(RD!G2874,매칭테이블!D:D,0))</f>
        <v/>
      </c>
      <c r="F2874" s="20" t="inlineStr">
        <is>
          <t>유즈 CS</t>
        </is>
      </c>
      <c r="G2874" s="20" t="inlineStr">
        <is>
          <t>솔리드퍼퓸 스테이포에버 002 30ml</t>
        </is>
      </c>
      <c r="H2874" s="20" t="n">
        <v>3</v>
      </c>
      <c r="I2874" s="20">
        <f>VLOOKUP(G2874,매칭테이블!D:E,2,0)</f>
        <v/>
      </c>
      <c r="J2874" s="20" t="n">
        <v>210101</v>
      </c>
      <c r="L2874" s="20">
        <f>VLOOKUP($O2874,매칭테이블!$G:$J,2,0)*H2874</f>
        <v/>
      </c>
      <c r="M2874" s="20">
        <f>L2874-L2874*VLOOKUP($O2874,매칭테이블!$G:$J,3,0)</f>
        <v/>
      </c>
      <c r="N2874" s="20">
        <f>VLOOKUP($O2874,매칭테이블!$G:$J,4,0)*H2874</f>
        <v/>
      </c>
      <c r="O2874" s="20">
        <f>F2874&amp;E2874&amp;G2874&amp;J2874</f>
        <v/>
      </c>
    </row>
    <row r="2875" ht="16.5" customHeight="1" s="17">
      <c r="B2875" s="16" t="n">
        <v>44211</v>
      </c>
      <c r="C2875" s="20">
        <f>TEXT(B2875,"aaa")</f>
        <v/>
      </c>
      <c r="E2875" s="20">
        <f>INDEX(매칭테이블!C:C,MATCH(RD!G2875,매칭테이블!D:D,0))</f>
        <v/>
      </c>
      <c r="F2875" s="20" t="inlineStr">
        <is>
          <t>유즈 CS</t>
        </is>
      </c>
      <c r="G2875" s="20" t="inlineStr">
        <is>
          <t>유즈 스테이포에버 솔리드퍼퓸 002제품선택=커플추천</t>
        </is>
      </c>
      <c r="H2875" s="20" t="n">
        <v>2</v>
      </c>
      <c r="I2875" s="20">
        <f>VLOOKUP(G2875,매칭테이블!D:E,2,0)</f>
        <v/>
      </c>
      <c r="J2875" s="20" t="n">
        <v>210101</v>
      </c>
      <c r="L2875" s="20">
        <f>VLOOKUP($O2875,매칭테이블!$G:$J,2,0)*H2875</f>
        <v/>
      </c>
      <c r="M2875" s="20">
        <f>L2875-L2875*VLOOKUP($O2875,매칭테이블!$G:$J,3,0)</f>
        <v/>
      </c>
      <c r="N2875" s="20">
        <f>VLOOKUP($O2875,매칭테이블!$G:$J,4,0)*H2875</f>
        <v/>
      </c>
      <c r="O2875" s="20">
        <f>F2875&amp;E2875&amp;G2875&amp;J2875</f>
        <v/>
      </c>
    </row>
    <row r="2876" ht="16.5" customHeight="1" s="17">
      <c r="B2876" s="16" t="n">
        <v>44211</v>
      </c>
      <c r="C2876" s="20">
        <f>TEXT(B2876,"aaa")</f>
        <v/>
      </c>
      <c r="E2876" s="20">
        <f>INDEX(매칭테이블!C:C,MATCH(RD!G2876,매칭테이블!D:D,0))</f>
        <v/>
      </c>
      <c r="F2876" s="20" t="inlineStr">
        <is>
          <t>카페24</t>
        </is>
      </c>
      <c r="G2876" s="20" t="inlineStr">
        <is>
          <t>솔리드퍼퓸 스테이포에버 002 30ml</t>
        </is>
      </c>
      <c r="H2876" s="20" t="n">
        <v>3</v>
      </c>
      <c r="I2876" s="20">
        <f>VLOOKUP(G2876,매칭테이블!D:E,2,0)</f>
        <v/>
      </c>
      <c r="J2876" s="20" t="n">
        <v>210101</v>
      </c>
      <c r="L2876" s="20">
        <f>VLOOKUP($O2876,매칭테이블!$G:$J,2,0)*H2876</f>
        <v/>
      </c>
      <c r="M2876" s="20">
        <f>L2876-L2876*VLOOKUP($O2876,매칭테이블!$G:$J,3,0)</f>
        <v/>
      </c>
      <c r="N2876" s="20">
        <f>VLOOKUP($O2876,매칭테이블!$G:$J,4,0)*H2876</f>
        <v/>
      </c>
      <c r="O2876" s="20">
        <f>F2876&amp;E2876&amp;G2876&amp;J2876</f>
        <v/>
      </c>
    </row>
    <row r="2877" ht="16.5" customHeight="1" s="17">
      <c r="B2877" s="16" t="n">
        <v>44211</v>
      </c>
      <c r="C2877" s="20">
        <f>TEXT(B2877,"aaa")</f>
        <v/>
      </c>
      <c r="E2877" s="20">
        <f>INDEX(매칭테이블!C:C,MATCH(RD!G2877,매칭테이블!D:D,0))</f>
        <v/>
      </c>
      <c r="F2877" s="20" t="inlineStr">
        <is>
          <t>카페24</t>
        </is>
      </c>
      <c r="G2877" s="20" t="inlineStr">
        <is>
          <t>유즈 솔리드퍼퓸 - 30ml향=이그나이트 001 SOLID PERFUME, 세트 선택=1개</t>
        </is>
      </c>
      <c r="H2877" s="20" t="n">
        <v>4</v>
      </c>
      <c r="I2877" s="20">
        <f>VLOOKUP(G2877,매칭테이블!D:E,2,0)</f>
        <v/>
      </c>
      <c r="J2877" s="20" t="n">
        <v>210101</v>
      </c>
      <c r="L2877" s="20">
        <f>VLOOKUP($O2877,매칭테이블!$G:$J,2,0)*H2877</f>
        <v/>
      </c>
      <c r="M2877" s="20">
        <f>L2877-L2877*VLOOKUP($O2877,매칭테이블!$G:$J,3,0)</f>
        <v/>
      </c>
      <c r="N2877" s="20">
        <f>VLOOKUP($O2877,매칭테이블!$G:$J,4,0)*H2877</f>
        <v/>
      </c>
      <c r="O2877" s="20">
        <f>F2877&amp;E2877&amp;G2877&amp;J2877</f>
        <v/>
      </c>
    </row>
    <row r="2878" ht="16.5" customHeight="1" s="17">
      <c r="B2878" s="16" t="n">
        <v>44211</v>
      </c>
      <c r="C2878" s="20">
        <f>TEXT(B2878,"aaa")</f>
        <v/>
      </c>
      <c r="E2878" s="20">
        <f>INDEX(매칭테이블!C:C,MATCH(RD!G2878,매칭테이블!D:D,0))</f>
        <v/>
      </c>
      <c r="F2878" s="20" t="inlineStr">
        <is>
          <t>카페24</t>
        </is>
      </c>
      <c r="G2878" s="20" t="inlineStr">
        <is>
          <t>유즈 솔리드퍼퓸 - 30ml향=스테이포에버 002 SOLID PERFUME, 세트 선택=1개</t>
        </is>
      </c>
      <c r="H2878" s="20" t="n">
        <v>15</v>
      </c>
      <c r="I2878" s="20">
        <f>VLOOKUP(G2878,매칭테이블!D:E,2,0)</f>
        <v/>
      </c>
      <c r="J2878" s="20" t="n">
        <v>210101</v>
      </c>
      <c r="L2878" s="20">
        <f>VLOOKUP($O2878,매칭테이블!$G:$J,2,0)*H2878</f>
        <v/>
      </c>
      <c r="M2878" s="20">
        <f>L2878-L2878*VLOOKUP($O2878,매칭테이블!$G:$J,3,0)</f>
        <v/>
      </c>
      <c r="N2878" s="20">
        <f>VLOOKUP($O2878,매칭테이블!$G:$J,4,0)*H2878</f>
        <v/>
      </c>
      <c r="O2878" s="20">
        <f>F2878&amp;E2878&amp;G2878&amp;J2878</f>
        <v/>
      </c>
    </row>
    <row r="2879" ht="16.5" customHeight="1" s="17">
      <c r="B2879" s="16" t="n">
        <v>44211</v>
      </c>
      <c r="C2879" s="20">
        <f>TEXT(B2879,"aaa")</f>
        <v/>
      </c>
      <c r="E2879" s="20">
        <f>INDEX(매칭테이블!C:C,MATCH(RD!G2879,매칭테이블!D:D,0))</f>
        <v/>
      </c>
      <c r="F2879" s="20" t="inlineStr">
        <is>
          <t>카페24</t>
        </is>
      </c>
      <c r="G2879" s="20" t="inlineStr">
        <is>
          <t>유즈 솔리드퍼퓸 - 30ml향=스테이포에버 002 SOLID PERFUME, 세트 선택=best</t>
        </is>
      </c>
      <c r="H2879" s="20" t="n">
        <v>3</v>
      </c>
      <c r="I2879" s="20">
        <f>VLOOKUP(G2879,매칭테이블!D:E,2,0)</f>
        <v/>
      </c>
      <c r="J2879" s="20" t="n">
        <v>210101</v>
      </c>
      <c r="L2879" s="20">
        <f>VLOOKUP($O2879,매칭테이블!$G:$J,2,0)*H2879</f>
        <v/>
      </c>
      <c r="M2879" s="20">
        <f>L2879-L2879*VLOOKUP($O2879,매칭테이블!$G:$J,3,0)</f>
        <v/>
      </c>
      <c r="N2879" s="20">
        <f>VLOOKUP($O2879,매칭테이블!$G:$J,4,0)*H2879</f>
        <v/>
      </c>
      <c r="O2879" s="20">
        <f>F2879&amp;E2879&amp;G2879&amp;J2879</f>
        <v/>
      </c>
    </row>
    <row r="2880" ht="16.5" customHeight="1" s="17">
      <c r="B2880" s="16" t="n">
        <v>44211</v>
      </c>
      <c r="C2880" s="20">
        <f>TEXT(B2880,"aaa")</f>
        <v/>
      </c>
      <c r="E2880" s="20">
        <f>INDEX(매칭테이블!C:C,MATCH(RD!G2880,매칭테이블!D:D,0))</f>
        <v/>
      </c>
      <c r="F2880" s="20" t="inlineStr">
        <is>
          <t>카페24</t>
        </is>
      </c>
      <c r="G2880" s="20" t="inlineStr">
        <is>
          <t>유즈 솔리드퍼퓸 - 30ml향=커플세트</t>
        </is>
      </c>
      <c r="H2880" s="20" t="n">
        <v>2</v>
      </c>
      <c r="I2880" s="20">
        <f>VLOOKUP(G2880,매칭테이블!D:E,2,0)</f>
        <v/>
      </c>
      <c r="J2880" s="20" t="n">
        <v>210101</v>
      </c>
      <c r="L2880" s="20">
        <f>VLOOKUP($O2880,매칭테이블!$G:$J,2,0)*H2880</f>
        <v/>
      </c>
      <c r="M2880" s="20">
        <f>L2880-L2880*VLOOKUP($O2880,매칭테이블!$G:$J,3,0)</f>
        <v/>
      </c>
      <c r="N2880" s="20">
        <f>VLOOKUP($O2880,매칭테이블!$G:$J,4,0)*H2880</f>
        <v/>
      </c>
      <c r="O2880" s="20">
        <f>F2880&amp;E2880&amp;G2880&amp;J2880</f>
        <v/>
      </c>
    </row>
    <row r="2881" ht="16.5" customHeight="1" s="17">
      <c r="B2881" s="16" t="n">
        <v>44211</v>
      </c>
      <c r="C2881" s="20">
        <f>TEXT(B2881,"aaa")</f>
        <v/>
      </c>
      <c r="E2881" s="20">
        <f>INDEX(매칭테이블!C:C,MATCH(RD!G2881,매칭테이블!D:D,0))</f>
        <v/>
      </c>
      <c r="F2881" s="20" t="inlineStr">
        <is>
          <t>카페24</t>
        </is>
      </c>
      <c r="G2881" s="20" t="inlineStr">
        <is>
          <t>유즈 솔리드퍼퓸 - 30ml향=커플세트(이그나이트 + 스테이포에버), 세트 선택=1 SET</t>
        </is>
      </c>
      <c r="H2881" s="20" t="n">
        <v>7</v>
      </c>
      <c r="I2881" s="20">
        <f>VLOOKUP(G2881,매칭테이블!D:E,2,0)</f>
        <v/>
      </c>
      <c r="J2881" s="20" t="n">
        <v>210101</v>
      </c>
      <c r="L2881" s="20">
        <f>VLOOKUP($O2881,매칭테이블!$G:$J,2,0)*H2881</f>
        <v/>
      </c>
      <c r="M2881" s="20">
        <f>L2881-L2881*VLOOKUP($O2881,매칭테이블!$G:$J,3,0)</f>
        <v/>
      </c>
      <c r="N2881" s="20">
        <f>VLOOKUP($O2881,매칭테이블!$G:$J,4,0)*H2881</f>
        <v/>
      </c>
      <c r="O2881" s="20">
        <f>F2881&amp;E2881&amp;G2881&amp;J2881</f>
        <v/>
      </c>
    </row>
    <row r="2882" ht="16.5" customHeight="1" s="17">
      <c r="B2882" s="16" t="n">
        <v>44211</v>
      </c>
      <c r="C2882" s="20">
        <f>TEXT(B2882,"aaa")</f>
        <v/>
      </c>
      <c r="E2882" s="20">
        <f>INDEX(매칭테이블!C:C,MATCH(RD!G2882,매칭테이블!D:D,0))</f>
        <v/>
      </c>
      <c r="F2882" s="20" t="inlineStr">
        <is>
          <t>카페24</t>
        </is>
      </c>
      <c r="G2882" s="20" t="inlineStr">
        <is>
          <t>유즈 솔리드퍼퓸 - 30ml향=커플세트(이그나이트 + 스테이포에버), 세트 선택=2 SET (42% 할인)</t>
        </is>
      </c>
      <c r="H2882" s="20" t="n">
        <v>1</v>
      </c>
      <c r="I2882" s="20">
        <f>VLOOKUP(G2882,매칭테이블!D:E,2,0)</f>
        <v/>
      </c>
      <c r="J2882" s="20" t="n">
        <v>210101</v>
      </c>
      <c r="L2882" s="20">
        <f>VLOOKUP($O2882,매칭테이블!$G:$J,2,0)*H2882</f>
        <v/>
      </c>
      <c r="M2882" s="20">
        <f>L2882-L2882*VLOOKUP($O2882,매칭테이블!$G:$J,3,0)</f>
        <v/>
      </c>
      <c r="N2882" s="20">
        <f>VLOOKUP($O2882,매칭테이블!$G:$J,4,0)*H2882</f>
        <v/>
      </c>
      <c r="O2882" s="20">
        <f>F2882&amp;E2882&amp;G2882&amp;J2882</f>
        <v/>
      </c>
    </row>
    <row r="2883" ht="16.5" customHeight="1" s="17">
      <c r="B2883" s="16" t="n">
        <v>44211</v>
      </c>
      <c r="C2883" s="20">
        <f>TEXT(B2883,"aaa")</f>
        <v/>
      </c>
      <c r="E2883" s="20">
        <f>INDEX(매칭테이블!C:C,MATCH(RD!G2883,매칭테이블!D:D,0))</f>
        <v/>
      </c>
      <c r="F2883" s="20" t="inlineStr">
        <is>
          <t>카페24</t>
        </is>
      </c>
      <c r="G2883" s="20" t="inlineStr">
        <is>
          <t>유즈 솔리드퍼퓸 - 스테이포에버 002제품선택=스테이포에버 1개</t>
        </is>
      </c>
      <c r="H2883" s="20" t="n">
        <v>111</v>
      </c>
      <c r="I2883" s="20">
        <f>VLOOKUP(G2883,매칭테이블!D:E,2,0)</f>
        <v/>
      </c>
      <c r="J2883" s="20" t="n">
        <v>210101</v>
      </c>
      <c r="L2883" s="20">
        <f>VLOOKUP($O2883,매칭테이블!$G:$J,2,0)*H2883</f>
        <v/>
      </c>
      <c r="M2883" s="20">
        <f>L2883-L2883*VLOOKUP($O2883,매칭테이블!$G:$J,3,0)</f>
        <v/>
      </c>
      <c r="N2883" s="20">
        <f>VLOOKUP($O2883,매칭테이블!$G:$J,4,0)*H2883</f>
        <v/>
      </c>
      <c r="O2883" s="20">
        <f>F2883&amp;E2883&amp;G2883&amp;J2883</f>
        <v/>
      </c>
    </row>
    <row r="2884" ht="16.5" customHeight="1" s="17">
      <c r="B2884" s="16" t="n">
        <v>44211</v>
      </c>
      <c r="C2884" s="20">
        <f>TEXT(B2884,"aaa")</f>
        <v/>
      </c>
      <c r="E2884" s="20">
        <f>INDEX(매칭테이블!C:C,MATCH(RD!G2884,매칭테이블!D:D,0))</f>
        <v/>
      </c>
      <c r="F2884" s="20" t="inlineStr">
        <is>
          <t>카페24</t>
        </is>
      </c>
      <c r="G2884" s="20" t="inlineStr">
        <is>
          <t>유즈 솔리드퍼퓸 - 스테이포에버 002제품선택=best</t>
        </is>
      </c>
      <c r="H2884" s="20" t="n">
        <v>21</v>
      </c>
      <c r="I2884" s="20">
        <f>VLOOKUP(G2884,매칭테이블!D:E,2,0)</f>
        <v/>
      </c>
      <c r="J2884" s="20" t="n">
        <v>210101</v>
      </c>
      <c r="L2884" s="20">
        <f>VLOOKUP($O2884,매칭테이블!$G:$J,2,0)*H2884</f>
        <v/>
      </c>
      <c r="M2884" s="20">
        <f>L2884-L2884*VLOOKUP($O2884,매칭테이블!$G:$J,3,0)</f>
        <v/>
      </c>
      <c r="N2884" s="20">
        <f>VLOOKUP($O2884,매칭테이블!$G:$J,4,0)*H2884</f>
        <v/>
      </c>
      <c r="O2884" s="20">
        <f>F2884&amp;E2884&amp;G2884&amp;J2884</f>
        <v/>
      </c>
    </row>
    <row r="2885" ht="16.5" customHeight="1" s="17">
      <c r="B2885" s="16" t="n">
        <v>44211</v>
      </c>
      <c r="C2885" s="20">
        <f>TEXT(B2885,"aaa")</f>
        <v/>
      </c>
      <c r="E2885" s="20">
        <f>INDEX(매칭테이블!C:C,MATCH(RD!G2885,매칭테이블!D:D,0))</f>
        <v/>
      </c>
      <c r="F2885" s="20" t="inlineStr">
        <is>
          <t>카페24</t>
        </is>
      </c>
      <c r="G2885" s="20" t="inlineStr">
        <is>
          <t>유즈 솔리드퍼퓸 - 스테이포에버 002제품선택=best스테이포에버 2개[28% 할인]</t>
        </is>
      </c>
      <c r="H2885" s="20" t="n">
        <v>28</v>
      </c>
      <c r="I2885" s="20">
        <f>VLOOKUP(G2885,매칭테이블!D:E,2,0)</f>
        <v/>
      </c>
      <c r="J2885" s="20" t="n">
        <v>210101</v>
      </c>
      <c r="L2885" s="20">
        <f>VLOOKUP($O2885,매칭테이블!$G:$J,2,0)*H2885</f>
        <v/>
      </c>
      <c r="M2885" s="20">
        <f>L2885-L2885*VLOOKUP($O2885,매칭테이블!$G:$J,3,0)</f>
        <v/>
      </c>
      <c r="N2885" s="20">
        <f>VLOOKUP($O2885,매칭테이블!$G:$J,4,0)*H2885</f>
        <v/>
      </c>
      <c r="O2885" s="20">
        <f>F2885&amp;E2885&amp;G2885&amp;J2885</f>
        <v/>
      </c>
    </row>
    <row r="2886" ht="16.5" customHeight="1" s="17">
      <c r="B2886" s="16" t="n">
        <v>44211</v>
      </c>
      <c r="C2886" s="20">
        <f>TEXT(B2886,"aaa")</f>
        <v/>
      </c>
      <c r="E2886" s="20">
        <f>INDEX(매칭테이블!C:C,MATCH(RD!G2886,매칭테이블!D:D,0))</f>
        <v/>
      </c>
      <c r="F2886" s="20" t="inlineStr">
        <is>
          <t>카페24</t>
        </is>
      </c>
      <c r="G2886" s="20" t="inlineStr">
        <is>
          <t>유즈 솔리드퍼퓸 - 스테이포에버 002제품선택=커플추천</t>
        </is>
      </c>
      <c r="H2886" s="20" t="n">
        <v>6</v>
      </c>
      <c r="I2886" s="20">
        <f>VLOOKUP(G2886,매칭테이블!D:E,2,0)</f>
        <v/>
      </c>
      <c r="J2886" s="20" t="n">
        <v>210101</v>
      </c>
      <c r="L2886" s="20">
        <f>VLOOKUP($O2886,매칭테이블!$G:$J,2,0)*H2886</f>
        <v/>
      </c>
      <c r="M2886" s="20">
        <f>L2886-L2886*VLOOKUP($O2886,매칭테이블!$G:$J,3,0)</f>
        <v/>
      </c>
      <c r="N2886" s="20">
        <f>VLOOKUP($O2886,매칭테이블!$G:$J,4,0)*H2886</f>
        <v/>
      </c>
      <c r="O2886" s="20">
        <f>F2886&amp;E2886&amp;G2886&amp;J2886</f>
        <v/>
      </c>
    </row>
    <row r="2887" ht="16.5" customHeight="1" s="17">
      <c r="B2887" s="16" t="n">
        <v>44211</v>
      </c>
      <c r="C2887" s="20">
        <f>TEXT(B2887,"aaa")</f>
        <v/>
      </c>
      <c r="E2887" s="20">
        <f>INDEX(매칭테이블!C:C,MATCH(RD!G2887,매칭테이블!D:D,0))</f>
        <v/>
      </c>
      <c r="F2887" s="20" t="inlineStr">
        <is>
          <t>카페24</t>
        </is>
      </c>
      <c r="G2887" s="20" t="inlineStr">
        <is>
          <t>유즈 솔리드퍼퓸 - 스테이포에버 002제품선택=커플추천스테이포에버 + 이그나이트 세트</t>
        </is>
      </c>
      <c r="H2887" s="20" t="n">
        <v>5</v>
      </c>
      <c r="I2887" s="20">
        <f>VLOOKUP(G2887,매칭테이블!D:E,2,0)</f>
        <v/>
      </c>
      <c r="J2887" s="20" t="n">
        <v>210101</v>
      </c>
      <c r="L2887" s="20">
        <f>VLOOKUP($O2887,매칭테이블!$G:$J,2,0)*H2887</f>
        <v/>
      </c>
      <c r="M2887" s="20">
        <f>L2887-L2887*VLOOKUP($O2887,매칭테이블!$G:$J,3,0)</f>
        <v/>
      </c>
      <c r="N2887" s="20">
        <f>VLOOKUP($O2887,매칭테이블!$G:$J,4,0)*H2887</f>
        <v/>
      </c>
      <c r="O2887" s="20">
        <f>F2887&amp;E2887&amp;G2887&amp;J2887</f>
        <v/>
      </c>
    </row>
    <row r="2888" ht="16.5" customHeight="1" s="17">
      <c r="B2888" s="16" t="n">
        <v>44211</v>
      </c>
      <c r="C2888" s="20">
        <f>TEXT(B2888,"aaa")</f>
        <v/>
      </c>
      <c r="E2888" s="20">
        <f>INDEX(매칭테이블!C:C,MATCH(RD!G2888,매칭테이블!D:D,0))</f>
        <v/>
      </c>
      <c r="F2888" s="20" t="inlineStr">
        <is>
          <t>카페24</t>
        </is>
      </c>
      <c r="G2888" s="20" t="inlineStr">
        <is>
          <t>유즈 솔리드퍼퓸 - 스테이포에버 002쇼핑백=선물용 쇼핑백</t>
        </is>
      </c>
      <c r="H2888" s="20" t="n">
        <v>2</v>
      </c>
      <c r="I2888" s="20">
        <f>VLOOKUP(G2888,매칭테이블!D:E,2,0)</f>
        <v/>
      </c>
      <c r="J2888" s="20" t="n">
        <v>210101</v>
      </c>
      <c r="L2888" s="20">
        <f>VLOOKUP($O2888,매칭테이블!$G:$J,2,0)*H2888</f>
        <v/>
      </c>
      <c r="M2888" s="20">
        <f>L2888-L2888*VLOOKUP($O2888,매칭테이블!$G:$J,3,0)</f>
        <v/>
      </c>
      <c r="N2888" s="20">
        <f>VLOOKUP($O2888,매칭테이블!$G:$J,4,0)*H2888</f>
        <v/>
      </c>
      <c r="O2888" s="20">
        <f>F2888&amp;E2888&amp;G2888&amp;J2888</f>
        <v/>
      </c>
    </row>
    <row r="2889" ht="16.5" customHeight="1" s="17">
      <c r="B2889" s="16" t="n">
        <v>44211</v>
      </c>
      <c r="C2889" s="20">
        <f>TEXT(B2889,"aaa")</f>
        <v/>
      </c>
      <c r="E2889" s="20">
        <f>INDEX(매칭테이블!C:C,MATCH(RD!G2889,매칭테이블!D:D,0))</f>
        <v/>
      </c>
      <c r="F2889" s="20" t="inlineStr">
        <is>
          <t>카페24</t>
        </is>
      </c>
      <c r="G2889" s="20" t="inlineStr">
        <is>
          <t>유즈 솔리드퍼퓸 - 이그나이트 001제품선택=이그나이트 솔리드퍼퓸 - 30ml</t>
        </is>
      </c>
      <c r="H2889" s="20" t="n">
        <v>2</v>
      </c>
      <c r="I2889" s="20">
        <f>VLOOKUP(G2889,매칭테이블!D:E,2,0)</f>
        <v/>
      </c>
      <c r="J2889" s="20" t="n">
        <v>210101</v>
      </c>
      <c r="L2889" s="20">
        <f>VLOOKUP($O2889,매칭테이블!$G:$J,2,0)*H2889</f>
        <v/>
      </c>
      <c r="M2889" s="20">
        <f>L2889-L2889*VLOOKUP($O2889,매칭테이블!$G:$J,3,0)</f>
        <v/>
      </c>
      <c r="N2889" s="20">
        <f>VLOOKUP($O2889,매칭테이블!$G:$J,4,0)*H2889</f>
        <v/>
      </c>
      <c r="O2889" s="20">
        <f>F2889&amp;E2889&amp;G2889&amp;J2889</f>
        <v/>
      </c>
    </row>
    <row r="2890" ht="16.5" customHeight="1" s="17">
      <c r="B2890" s="16" t="n">
        <v>44211</v>
      </c>
      <c r="C2890" s="20">
        <f>TEXT(B2890,"aaa")</f>
        <v/>
      </c>
      <c r="E2890" s="20">
        <f>INDEX(매칭테이블!C:C,MATCH(RD!G2890,매칭테이블!D:D,0))</f>
        <v/>
      </c>
      <c r="F2890" s="20" t="inlineStr">
        <is>
          <t>카페24</t>
        </is>
      </c>
      <c r="G2890" s="20" t="inlineStr">
        <is>
          <t>유즈 스테이포에버 솔리드퍼퓸 002제품선택=스테이포에버 1개</t>
        </is>
      </c>
      <c r="H2890" s="20" t="n">
        <v>194</v>
      </c>
      <c r="I2890" s="20">
        <f>VLOOKUP(G2890,매칭테이블!D:E,2,0)</f>
        <v/>
      </c>
      <c r="J2890" s="20" t="n">
        <v>210101</v>
      </c>
      <c r="L2890" s="20">
        <f>VLOOKUP($O2890,매칭테이블!$G:$J,2,0)*H2890</f>
        <v/>
      </c>
      <c r="M2890" s="20">
        <f>L2890-L2890*VLOOKUP($O2890,매칭테이블!$G:$J,3,0)</f>
        <v/>
      </c>
      <c r="N2890" s="20">
        <f>VLOOKUP($O2890,매칭테이블!$G:$J,4,0)*H2890</f>
        <v/>
      </c>
      <c r="O2890" s="20">
        <f>F2890&amp;E2890&amp;G2890&amp;J2890</f>
        <v/>
      </c>
    </row>
    <row r="2891" ht="16.5" customHeight="1" s="17">
      <c r="B2891" s="16" t="n">
        <v>44211</v>
      </c>
      <c r="C2891" s="20">
        <f>TEXT(B2891,"aaa")</f>
        <v/>
      </c>
      <c r="E2891" s="20">
        <f>INDEX(매칭테이블!C:C,MATCH(RD!G2891,매칭테이블!D:D,0))</f>
        <v/>
      </c>
      <c r="F2891" s="20" t="inlineStr">
        <is>
          <t>카페24</t>
        </is>
      </c>
      <c r="G2891" s="20" t="inlineStr">
        <is>
          <t>유즈 스테이포에버 솔리드퍼퓸 002제품선택=best</t>
        </is>
      </c>
      <c r="H2891" s="20" t="n">
        <v>36</v>
      </c>
      <c r="I2891" s="20">
        <f>VLOOKUP(G2891,매칭테이블!D:E,2,0)</f>
        <v/>
      </c>
      <c r="J2891" s="20" t="n">
        <v>210101</v>
      </c>
      <c r="L2891" s="20">
        <f>VLOOKUP($O2891,매칭테이블!$G:$J,2,0)*H2891</f>
        <v/>
      </c>
      <c r="M2891" s="20">
        <f>L2891-L2891*VLOOKUP($O2891,매칭테이블!$G:$J,3,0)</f>
        <v/>
      </c>
      <c r="N2891" s="20">
        <f>VLOOKUP($O2891,매칭테이블!$G:$J,4,0)*H2891</f>
        <v/>
      </c>
      <c r="O2891" s="20">
        <f>F2891&amp;E2891&amp;G2891&amp;J2891</f>
        <v/>
      </c>
    </row>
    <row r="2892" ht="16.5" customHeight="1" s="17">
      <c r="B2892" s="16" t="n">
        <v>44211</v>
      </c>
      <c r="C2892" s="20">
        <f>TEXT(B2892,"aaa")</f>
        <v/>
      </c>
      <c r="E2892" s="20">
        <f>INDEX(매칭테이블!C:C,MATCH(RD!G2892,매칭테이블!D:D,0))</f>
        <v/>
      </c>
      <c r="F2892" s="20" t="inlineStr">
        <is>
          <t>카페24</t>
        </is>
      </c>
      <c r="G2892" s="20" t="inlineStr">
        <is>
          <t>유즈 스테이포에버 솔리드퍼퓸 002제품선택=best스테이포에버 2개[28% 할인]</t>
        </is>
      </c>
      <c r="H2892" s="20" t="n">
        <v>74</v>
      </c>
      <c r="I2892" s="20">
        <f>VLOOKUP(G2892,매칭테이블!D:E,2,0)</f>
        <v/>
      </c>
      <c r="J2892" s="20" t="n">
        <v>210101</v>
      </c>
      <c r="L2892" s="20">
        <f>VLOOKUP($O2892,매칭테이블!$G:$J,2,0)*H2892</f>
        <v/>
      </c>
      <c r="M2892" s="20">
        <f>L2892-L2892*VLOOKUP($O2892,매칭테이블!$G:$J,3,0)</f>
        <v/>
      </c>
      <c r="N2892" s="20">
        <f>VLOOKUP($O2892,매칭테이블!$G:$J,4,0)*H2892</f>
        <v/>
      </c>
      <c r="O2892" s="20">
        <f>F2892&amp;E2892&amp;G2892&amp;J2892</f>
        <v/>
      </c>
    </row>
    <row r="2893" ht="16.5" customHeight="1" s="17">
      <c r="B2893" s="16" t="n">
        <v>44211</v>
      </c>
      <c r="C2893" s="20">
        <f>TEXT(B2893,"aaa")</f>
        <v/>
      </c>
      <c r="E2893" s="20">
        <f>INDEX(매칭테이블!C:C,MATCH(RD!G2893,매칭테이블!D:D,0))</f>
        <v/>
      </c>
      <c r="F2893" s="20" t="inlineStr">
        <is>
          <t>카페24</t>
        </is>
      </c>
      <c r="G2893" s="20" t="inlineStr">
        <is>
          <t>유즈 스테이포에버 솔리드퍼퓸 002제품선택=커플추천</t>
        </is>
      </c>
      <c r="H2893" s="20" t="n">
        <v>2</v>
      </c>
      <c r="I2893" s="20">
        <f>VLOOKUP(G2893,매칭테이블!D:E,2,0)</f>
        <v/>
      </c>
      <c r="J2893" s="20" t="n">
        <v>210101</v>
      </c>
      <c r="L2893" s="20">
        <f>VLOOKUP($O2893,매칭테이블!$G:$J,2,0)*H2893</f>
        <v/>
      </c>
      <c r="M2893" s="20">
        <f>L2893-L2893*VLOOKUP($O2893,매칭테이블!$G:$J,3,0)</f>
        <v/>
      </c>
      <c r="N2893" s="20">
        <f>VLOOKUP($O2893,매칭테이블!$G:$J,4,0)*H2893</f>
        <v/>
      </c>
      <c r="O2893" s="20">
        <f>F2893&amp;E2893&amp;G2893&amp;J2893</f>
        <v/>
      </c>
    </row>
    <row r="2894" ht="16.5" customHeight="1" s="17">
      <c r="B2894" s="16" t="n">
        <v>44211</v>
      </c>
      <c r="C2894" s="20">
        <f>TEXT(B2894,"aaa")</f>
        <v/>
      </c>
      <c r="E2894" s="20">
        <f>INDEX(매칭테이블!C:C,MATCH(RD!G2894,매칭테이블!D:D,0))</f>
        <v/>
      </c>
      <c r="F2894" s="20" t="inlineStr">
        <is>
          <t>카페24</t>
        </is>
      </c>
      <c r="G2894" s="20" t="inlineStr">
        <is>
          <t>유즈 스테이포에버 솔리드퍼퓸 002제품선택=커플추천스테이포에버 + 이그나이트 세트</t>
        </is>
      </c>
      <c r="H2894" s="20" t="n">
        <v>14</v>
      </c>
      <c r="I2894" s="20">
        <f>VLOOKUP(G2894,매칭테이블!D:E,2,0)</f>
        <v/>
      </c>
      <c r="J2894" s="20" t="n">
        <v>210101</v>
      </c>
      <c r="L2894" s="20">
        <f>VLOOKUP($O2894,매칭테이블!$G:$J,2,0)*H2894</f>
        <v/>
      </c>
      <c r="M2894" s="20">
        <f>L2894-L2894*VLOOKUP($O2894,매칭테이블!$G:$J,3,0)</f>
        <v/>
      </c>
      <c r="N2894" s="20">
        <f>VLOOKUP($O2894,매칭테이블!$G:$J,4,0)*H2894</f>
        <v/>
      </c>
      <c r="O2894" s="20">
        <f>F2894&amp;E2894&amp;G2894&amp;J2894</f>
        <v/>
      </c>
    </row>
    <row r="2895" ht="16.5" customHeight="1" s="17">
      <c r="B2895" s="16" t="n">
        <v>44211</v>
      </c>
      <c r="C2895" s="20">
        <f>TEXT(B2895,"aaa")</f>
        <v/>
      </c>
      <c r="E2895" s="20">
        <f>INDEX(매칭테이블!C:C,MATCH(RD!G2895,매칭테이블!D:D,0))</f>
        <v/>
      </c>
      <c r="F2895" s="20" t="inlineStr">
        <is>
          <t>카페24</t>
        </is>
      </c>
      <c r="G2895" s="20" t="inlineStr">
        <is>
          <t>유즈 스테이포에버 솔리드퍼퓸 002쇼핑백=선물용 쇼핑백</t>
        </is>
      </c>
      <c r="H2895" s="20" t="n">
        <v>11</v>
      </c>
      <c r="I2895" s="20">
        <f>VLOOKUP(G2895,매칭테이블!D:E,2,0)</f>
        <v/>
      </c>
      <c r="J2895" s="20" t="n">
        <v>210101</v>
      </c>
      <c r="L2895" s="20">
        <f>VLOOKUP($O2895,매칭테이블!$G:$J,2,0)*H2895</f>
        <v/>
      </c>
      <c r="M2895" s="20">
        <f>L2895-L2895*VLOOKUP($O2895,매칭테이블!$G:$J,3,0)</f>
        <v/>
      </c>
      <c r="N2895" s="20">
        <f>VLOOKUP($O2895,매칭테이블!$G:$J,4,0)*H2895</f>
        <v/>
      </c>
      <c r="O2895" s="20">
        <f>F2895&amp;E2895&amp;G2895&amp;J2895</f>
        <v/>
      </c>
    </row>
    <row r="2896" ht="16.5" customHeight="1" s="17">
      <c r="B2896" s="16" t="n">
        <v>44211</v>
      </c>
      <c r="C2896" s="20">
        <f>TEXT(B2896,"aaa")</f>
        <v/>
      </c>
      <c r="E2896" s="20">
        <f>INDEX(매칭테이블!C:C,MATCH(RD!G2896,매칭테이블!D:D,0))</f>
        <v/>
      </c>
      <c r="F2896" s="20" t="inlineStr">
        <is>
          <t>카페24</t>
        </is>
      </c>
      <c r="G2896" s="20" t="inlineStr">
        <is>
          <t>유즈 스테이포에버 솔리드퍼퓸 002 (11차 예약구매 진행중)제품선택=스테이포에버 1개</t>
        </is>
      </c>
      <c r="H2896" s="20" t="n">
        <v>3</v>
      </c>
      <c r="I2896" s="20">
        <f>VLOOKUP(G2896,매칭테이블!D:E,2,0)</f>
        <v/>
      </c>
      <c r="J2896" s="20" t="n">
        <v>210101</v>
      </c>
      <c r="L2896" s="20">
        <f>VLOOKUP($O2896,매칭테이블!$G:$J,2,0)*H2896</f>
        <v/>
      </c>
      <c r="M2896" s="20">
        <f>L2896-L2896*VLOOKUP($O2896,매칭테이블!$G:$J,3,0)</f>
        <v/>
      </c>
      <c r="N2896" s="20">
        <f>VLOOKUP($O2896,매칭테이블!$G:$J,4,0)*H2896</f>
        <v/>
      </c>
      <c r="O2896" s="20">
        <f>F2896&amp;E2896&amp;G2896&amp;J2896</f>
        <v/>
      </c>
    </row>
    <row r="2897" ht="16.5" customHeight="1" s="17">
      <c r="B2897" s="16" t="n">
        <v>44211</v>
      </c>
      <c r="C2897" s="20">
        <f>TEXT(B2897,"aaa")</f>
        <v/>
      </c>
      <c r="E2897" s="20">
        <f>INDEX(매칭테이블!C:C,MATCH(RD!G2897,매칭테이블!D:D,0))</f>
        <v/>
      </c>
      <c r="F2897" s="20" t="inlineStr">
        <is>
          <t>카페24</t>
        </is>
      </c>
      <c r="G2897" s="20" t="inlineStr">
        <is>
          <t>유즈 스테이포에버 솔리드퍼퓸 002 (11차 예약구매 진행중)제품선택=best</t>
        </is>
      </c>
      <c r="H2897" s="20" t="n">
        <v>1</v>
      </c>
      <c r="I2897" s="20">
        <f>VLOOKUP(G2897,매칭테이블!D:E,2,0)</f>
        <v/>
      </c>
      <c r="J2897" s="20" t="n">
        <v>210101</v>
      </c>
      <c r="L2897" s="20">
        <f>VLOOKUP($O2897,매칭테이블!$G:$J,2,0)*H2897</f>
        <v/>
      </c>
      <c r="M2897" s="20">
        <f>L2897-L2897*VLOOKUP($O2897,매칭테이블!$G:$J,3,0)</f>
        <v/>
      </c>
      <c r="N2897" s="20">
        <f>VLOOKUP($O2897,매칭테이블!$G:$J,4,0)*H2897</f>
        <v/>
      </c>
      <c r="O2897" s="20">
        <f>F2897&amp;E2897&amp;G2897&amp;J2897</f>
        <v/>
      </c>
    </row>
    <row r="2898" ht="16.5" customHeight="1" s="17">
      <c r="B2898" s="16" t="n">
        <v>44211</v>
      </c>
      <c r="C2898" s="20">
        <f>TEXT(B2898,"aaa")</f>
        <v/>
      </c>
      <c r="E2898" s="20">
        <f>INDEX(매칭테이블!C:C,MATCH(RD!G2898,매칭테이블!D:D,0))</f>
        <v/>
      </c>
      <c r="F2898" s="20" t="inlineStr">
        <is>
          <t>카페24</t>
        </is>
      </c>
      <c r="G2898" s="20" t="inlineStr">
        <is>
          <t>유즈 이그나이트 솔리드퍼퓸 001제품선택=이그나이트 솔리드퍼퓸 - 30ml</t>
        </is>
      </c>
      <c r="H2898" s="20" t="n">
        <v>4</v>
      </c>
      <c r="I2898" s="20">
        <f>VLOOKUP(G2898,매칭테이블!D:E,2,0)</f>
        <v/>
      </c>
      <c r="J2898" s="20" t="n">
        <v>210101</v>
      </c>
      <c r="L2898" s="20">
        <f>VLOOKUP($O2898,매칭테이블!$G:$J,2,0)*H2898</f>
        <v/>
      </c>
      <c r="M2898" s="20">
        <f>L2898-L2898*VLOOKUP($O2898,매칭테이블!$G:$J,3,0)</f>
        <v/>
      </c>
      <c r="N2898" s="20">
        <f>VLOOKUP($O2898,매칭테이블!$G:$J,4,0)*H2898</f>
        <v/>
      </c>
      <c r="O2898" s="20">
        <f>F2898&amp;E2898&amp;G2898&amp;J2898</f>
        <v/>
      </c>
    </row>
    <row r="2899" ht="16.5" customHeight="1" s="17">
      <c r="B2899" s="16" t="n">
        <v>44211</v>
      </c>
      <c r="C2899" s="20">
        <f>TEXT(B2899,"aaa")</f>
        <v/>
      </c>
      <c r="E2899" s="20">
        <f>INDEX(매칭테이블!C:C,MATCH(RD!G2899,매칭테이블!D:D,0))</f>
        <v/>
      </c>
      <c r="F2899" s="20" t="inlineStr">
        <is>
          <t>카페24</t>
        </is>
      </c>
      <c r="G2899" s="20" t="inlineStr">
        <is>
          <t>유즈 이그나이트 솔리드퍼퓸 001제품선택=이그나이트 2개 세트</t>
        </is>
      </c>
      <c r="H2899" s="20" t="n">
        <v>3</v>
      </c>
      <c r="I2899" s="20">
        <f>VLOOKUP(G2899,매칭테이블!D:E,2,0)</f>
        <v/>
      </c>
      <c r="J2899" s="20" t="n">
        <v>210101</v>
      </c>
      <c r="L2899" s="20">
        <f>VLOOKUP($O2899,매칭테이블!$G:$J,2,0)*H2899</f>
        <v/>
      </c>
      <c r="M2899" s="20">
        <f>L2899-L2899*VLOOKUP($O2899,매칭테이블!$G:$J,3,0)</f>
        <v/>
      </c>
      <c r="N2899" s="20">
        <f>VLOOKUP($O2899,매칭테이블!$G:$J,4,0)*H2899</f>
        <v/>
      </c>
      <c r="O2899" s="20">
        <f>F2899&amp;E2899&amp;G2899&amp;J2899</f>
        <v/>
      </c>
    </row>
    <row r="2900" ht="16.5" customHeight="1" s="17">
      <c r="B2900" s="16" t="n">
        <v>44211</v>
      </c>
      <c r="C2900" s="20">
        <f>TEXT(B2900,"aaa")</f>
        <v/>
      </c>
      <c r="E2900" s="20">
        <f>INDEX(매칭테이블!C:C,MATCH(RD!G2900,매칭테이블!D:D,0))</f>
        <v/>
      </c>
      <c r="F2900" s="20" t="inlineStr">
        <is>
          <t>카페24</t>
        </is>
      </c>
      <c r="G2900" s="20" t="inlineStr">
        <is>
          <t>유즈 이그나이트 솔리드퍼퓸 001쇼핑백=선물용 쇼핑백</t>
        </is>
      </c>
      <c r="H2900" s="20" t="n">
        <v>1</v>
      </c>
      <c r="I2900" s="20">
        <f>VLOOKUP(G2900,매칭테이블!D:E,2,0)</f>
        <v/>
      </c>
      <c r="J2900" s="20" t="n">
        <v>210101</v>
      </c>
      <c r="L2900" s="20">
        <f>VLOOKUP($O2900,매칭테이블!$G:$J,2,0)*H2900</f>
        <v/>
      </c>
      <c r="M2900" s="20">
        <f>L2900-L2900*VLOOKUP($O2900,매칭테이블!$G:$J,3,0)</f>
        <v/>
      </c>
      <c r="N2900" s="20">
        <f>VLOOKUP($O2900,매칭테이블!$G:$J,4,0)*H2900</f>
        <v/>
      </c>
      <c r="O2900" s="20">
        <f>F2900&amp;E2900&amp;G2900&amp;J2900</f>
        <v/>
      </c>
    </row>
    <row r="2901" ht="16.5" customHeight="1" s="17">
      <c r="B2901" s="16" t="n">
        <v>44212</v>
      </c>
      <c r="C2901" s="20">
        <f>TEXT(B2901,"aaa")</f>
        <v/>
      </c>
      <c r="E2901" s="20">
        <f>INDEX(매칭테이블!C:C,MATCH(RD!G2901,매칭테이블!D:D,0))</f>
        <v/>
      </c>
      <c r="F2901" s="20" t="inlineStr">
        <is>
          <t>카페24</t>
        </is>
      </c>
      <c r="G2901" s="20" t="inlineStr">
        <is>
          <t>유즈 솔리드퍼퓸 - 30ml향=이그나이트 001 SOLID PERFUME, 세트 선택=1개</t>
        </is>
      </c>
      <c r="H2901" s="20" t="n">
        <v>1</v>
      </c>
      <c r="I2901" s="20">
        <f>VLOOKUP(G2901,매칭테이블!D:E,2,0)</f>
        <v/>
      </c>
      <c r="J2901" s="20" t="n">
        <v>210101</v>
      </c>
      <c r="L2901" s="20">
        <f>VLOOKUP($O2901,매칭테이블!$G:$J,2,0)*H2901</f>
        <v/>
      </c>
      <c r="M2901" s="20">
        <f>L2901-L2901*VLOOKUP($O2901,매칭테이블!$G:$J,3,0)</f>
        <v/>
      </c>
      <c r="N2901" s="20">
        <f>VLOOKUP($O2901,매칭테이블!$G:$J,4,0)*H2901</f>
        <v/>
      </c>
      <c r="O2901" s="20">
        <f>F2901&amp;E2901&amp;G2901&amp;J2901</f>
        <v/>
      </c>
    </row>
    <row r="2902" ht="16.5" customHeight="1" s="17">
      <c r="B2902" s="16" t="n">
        <v>44212</v>
      </c>
      <c r="C2902" s="20">
        <f>TEXT(B2902,"aaa")</f>
        <v/>
      </c>
      <c r="E2902" s="20">
        <f>INDEX(매칭테이블!C:C,MATCH(RD!G2902,매칭테이블!D:D,0))</f>
        <v/>
      </c>
      <c r="F2902" s="20" t="inlineStr">
        <is>
          <t>카페24</t>
        </is>
      </c>
      <c r="G2902" s="20" t="inlineStr">
        <is>
          <t>유즈 솔리드퍼퓸 - 30ml향=스테이포에버 002 SOLID PERFUME, 세트 선택=1개</t>
        </is>
      </c>
      <c r="H2902" s="20" t="n">
        <v>9</v>
      </c>
      <c r="I2902" s="20">
        <f>VLOOKUP(G2902,매칭테이블!D:E,2,0)</f>
        <v/>
      </c>
      <c r="J2902" s="20" t="n">
        <v>210101</v>
      </c>
      <c r="L2902" s="20">
        <f>VLOOKUP($O2902,매칭테이블!$G:$J,2,0)*H2902</f>
        <v/>
      </c>
      <c r="M2902" s="20">
        <f>L2902-L2902*VLOOKUP($O2902,매칭테이블!$G:$J,3,0)</f>
        <v/>
      </c>
      <c r="N2902" s="20">
        <f>VLOOKUP($O2902,매칭테이블!$G:$J,4,0)*H2902</f>
        <v/>
      </c>
      <c r="O2902" s="20">
        <f>F2902&amp;E2902&amp;G2902&amp;J2902</f>
        <v/>
      </c>
    </row>
    <row r="2903" ht="16.5" customHeight="1" s="17">
      <c r="B2903" s="16" t="n">
        <v>44212</v>
      </c>
      <c r="C2903" s="20">
        <f>TEXT(B2903,"aaa")</f>
        <v/>
      </c>
      <c r="E2903" s="20">
        <f>INDEX(매칭테이블!C:C,MATCH(RD!G2903,매칭테이블!D:D,0))</f>
        <v/>
      </c>
      <c r="F2903" s="20" t="inlineStr">
        <is>
          <t>카페24</t>
        </is>
      </c>
      <c r="G2903" s="20" t="inlineStr">
        <is>
          <t>유즈 솔리드퍼퓸 - 30ml향=스테이포에버 002 SOLID PERFUME, 세트 선택=best</t>
        </is>
      </c>
      <c r="H2903" s="20" t="n">
        <v>2</v>
      </c>
      <c r="I2903" s="20">
        <f>VLOOKUP(G2903,매칭테이블!D:E,2,0)</f>
        <v/>
      </c>
      <c r="J2903" s="20" t="n">
        <v>210101</v>
      </c>
      <c r="L2903" s="20">
        <f>VLOOKUP($O2903,매칭테이블!$G:$J,2,0)*H2903</f>
        <v/>
      </c>
      <c r="M2903" s="20">
        <f>L2903-L2903*VLOOKUP($O2903,매칭테이블!$G:$J,3,0)</f>
        <v/>
      </c>
      <c r="N2903" s="20">
        <f>VLOOKUP($O2903,매칭테이블!$G:$J,4,0)*H2903</f>
        <v/>
      </c>
      <c r="O2903" s="20">
        <f>F2903&amp;E2903&amp;G2903&amp;J2903</f>
        <v/>
      </c>
    </row>
    <row r="2904" ht="16.5" customHeight="1" s="17">
      <c r="B2904" s="16" t="n">
        <v>44212</v>
      </c>
      <c r="C2904" s="20">
        <f>TEXT(B2904,"aaa")</f>
        <v/>
      </c>
      <c r="E2904" s="20">
        <f>INDEX(매칭테이블!C:C,MATCH(RD!G2904,매칭테이블!D:D,0))</f>
        <v/>
      </c>
      <c r="F2904" s="20" t="inlineStr">
        <is>
          <t>카페24</t>
        </is>
      </c>
      <c r="G2904" s="20" t="inlineStr">
        <is>
          <t>유즈 솔리드퍼퓸 - 30ml향=스테이포에버 002 SOLID PERFUME, 세트 선택=best 2개 (28% 할인)</t>
        </is>
      </c>
      <c r="H2904" s="20" t="n">
        <v>2</v>
      </c>
      <c r="I2904" s="20">
        <f>VLOOKUP(G2904,매칭테이블!D:E,2,0)</f>
        <v/>
      </c>
      <c r="J2904" s="20" t="n">
        <v>210101</v>
      </c>
      <c r="L2904" s="20">
        <f>VLOOKUP($O2904,매칭테이블!$G:$J,2,0)*H2904</f>
        <v/>
      </c>
      <c r="M2904" s="20">
        <f>L2904-L2904*VLOOKUP($O2904,매칭테이블!$G:$J,3,0)</f>
        <v/>
      </c>
      <c r="N2904" s="20">
        <f>VLOOKUP($O2904,매칭테이블!$G:$J,4,0)*H2904</f>
        <v/>
      </c>
      <c r="O2904" s="20">
        <f>F2904&amp;E2904&amp;G2904&amp;J2904</f>
        <v/>
      </c>
    </row>
    <row r="2905" ht="16.5" customHeight="1" s="17">
      <c r="B2905" s="16" t="n">
        <v>44212</v>
      </c>
      <c r="C2905" s="20">
        <f>TEXT(B2905,"aaa")</f>
        <v/>
      </c>
      <c r="E2905" s="20">
        <f>INDEX(매칭테이블!C:C,MATCH(RD!G2905,매칭테이블!D:D,0))</f>
        <v/>
      </c>
      <c r="F2905" s="20" t="inlineStr">
        <is>
          <t>카페24</t>
        </is>
      </c>
      <c r="G2905" s="20" t="inlineStr">
        <is>
          <t>유즈 솔리드퍼퓸 - 30ml향=커플세트</t>
        </is>
      </c>
      <c r="H2905" s="20" t="n">
        <v>6</v>
      </c>
      <c r="I2905" s="20">
        <f>VLOOKUP(G2905,매칭테이블!D:E,2,0)</f>
        <v/>
      </c>
      <c r="J2905" s="20" t="n">
        <v>210101</v>
      </c>
      <c r="L2905" s="20">
        <f>VLOOKUP($O2905,매칭테이블!$G:$J,2,0)*H2905</f>
        <v/>
      </c>
      <c r="M2905" s="20">
        <f>L2905-L2905*VLOOKUP($O2905,매칭테이블!$G:$J,3,0)</f>
        <v/>
      </c>
      <c r="N2905" s="20">
        <f>VLOOKUP($O2905,매칭테이블!$G:$J,4,0)*H2905</f>
        <v/>
      </c>
      <c r="O2905" s="20">
        <f>F2905&amp;E2905&amp;G2905&amp;J2905</f>
        <v/>
      </c>
    </row>
    <row r="2906" ht="16.5" customHeight="1" s="17">
      <c r="B2906" s="16" t="n">
        <v>44212</v>
      </c>
      <c r="C2906" s="20">
        <f>TEXT(B2906,"aaa")</f>
        <v/>
      </c>
      <c r="E2906" s="20">
        <f>INDEX(매칭테이블!C:C,MATCH(RD!G2906,매칭테이블!D:D,0))</f>
        <v/>
      </c>
      <c r="F2906" s="20" t="inlineStr">
        <is>
          <t>카페24</t>
        </is>
      </c>
      <c r="G2906" s="20" t="inlineStr">
        <is>
          <t>유즈 솔리드퍼퓸 - 30ml향=커플세트(이그나이트 + 스테이포에버), 세트 선택=1 SET</t>
        </is>
      </c>
      <c r="H2906" s="20" t="n">
        <v>2</v>
      </c>
      <c r="I2906" s="20">
        <f>VLOOKUP(G2906,매칭테이블!D:E,2,0)</f>
        <v/>
      </c>
      <c r="J2906" s="20" t="n">
        <v>210101</v>
      </c>
      <c r="L2906" s="20">
        <f>VLOOKUP($O2906,매칭테이블!$G:$J,2,0)*H2906</f>
        <v/>
      </c>
      <c r="M2906" s="20">
        <f>L2906-L2906*VLOOKUP($O2906,매칭테이블!$G:$J,3,0)</f>
        <v/>
      </c>
      <c r="N2906" s="20">
        <f>VLOOKUP($O2906,매칭테이블!$G:$J,4,0)*H2906</f>
        <v/>
      </c>
      <c r="O2906" s="20">
        <f>F2906&amp;E2906&amp;G2906&amp;J2906</f>
        <v/>
      </c>
    </row>
    <row r="2907" ht="16.5" customHeight="1" s="17">
      <c r="B2907" s="16" t="n">
        <v>44212</v>
      </c>
      <c r="C2907" s="20">
        <f>TEXT(B2907,"aaa")</f>
        <v/>
      </c>
      <c r="E2907" s="20">
        <f>INDEX(매칭테이블!C:C,MATCH(RD!G2907,매칭테이블!D:D,0))</f>
        <v/>
      </c>
      <c r="F2907" s="20" t="inlineStr">
        <is>
          <t>카페24</t>
        </is>
      </c>
      <c r="G2907" s="20" t="inlineStr">
        <is>
          <t>유즈 솔리드퍼퓸 - 30ml향=커플세트</t>
        </is>
      </c>
      <c r="H2907" s="20" t="n">
        <v>1</v>
      </c>
      <c r="I2907" s="20">
        <f>VLOOKUP(G2907,매칭테이블!D:E,2,0)</f>
        <v/>
      </c>
      <c r="J2907" s="20" t="n">
        <v>210101</v>
      </c>
      <c r="L2907" s="20">
        <f>VLOOKUP($O2907,매칭테이블!$G:$J,2,0)*H2907</f>
        <v/>
      </c>
      <c r="M2907" s="20">
        <f>L2907-L2907*VLOOKUP($O2907,매칭테이블!$G:$J,3,0)</f>
        <v/>
      </c>
      <c r="N2907" s="20">
        <f>VLOOKUP($O2907,매칭테이블!$G:$J,4,0)*H2907</f>
        <v/>
      </c>
      <c r="O2907" s="20">
        <f>F2907&amp;E2907&amp;G2907&amp;J2907</f>
        <v/>
      </c>
    </row>
    <row r="2908" ht="16.5" customHeight="1" s="17">
      <c r="B2908" s="16" t="n">
        <v>44212</v>
      </c>
      <c r="C2908" s="20">
        <f>TEXT(B2908,"aaa")</f>
        <v/>
      </c>
      <c r="E2908" s="20">
        <f>INDEX(매칭테이블!C:C,MATCH(RD!G2908,매칭테이블!D:D,0))</f>
        <v/>
      </c>
      <c r="F2908" s="20" t="inlineStr">
        <is>
          <t>카페24</t>
        </is>
      </c>
      <c r="G2908" s="20" t="inlineStr">
        <is>
          <t>유즈 솔리드퍼퓸 - 스테이포에버 002제품선택=스테이포에버 1개</t>
        </is>
      </c>
      <c r="H2908" s="20" t="n">
        <v>370</v>
      </c>
      <c r="I2908" s="20">
        <f>VLOOKUP(G2908,매칭테이블!D:E,2,0)</f>
        <v/>
      </c>
      <c r="J2908" s="20" t="n">
        <v>210101</v>
      </c>
      <c r="L2908" s="20">
        <f>VLOOKUP($O2908,매칭테이블!$G:$J,2,0)*H2908</f>
        <v/>
      </c>
      <c r="M2908" s="20">
        <f>L2908-L2908*VLOOKUP($O2908,매칭테이블!$G:$J,3,0)</f>
        <v/>
      </c>
      <c r="N2908" s="20">
        <f>VLOOKUP($O2908,매칭테이블!$G:$J,4,0)*H2908</f>
        <v/>
      </c>
      <c r="O2908" s="20">
        <f>F2908&amp;E2908&amp;G2908&amp;J2908</f>
        <v/>
      </c>
    </row>
    <row r="2909" ht="16.5" customHeight="1" s="17">
      <c r="B2909" s="16" t="n">
        <v>44212</v>
      </c>
      <c r="C2909" s="20">
        <f>TEXT(B2909,"aaa")</f>
        <v/>
      </c>
      <c r="E2909" s="20">
        <f>INDEX(매칭테이블!C:C,MATCH(RD!G2909,매칭테이블!D:D,0))</f>
        <v/>
      </c>
      <c r="F2909" s="20" t="inlineStr">
        <is>
          <t>카페24</t>
        </is>
      </c>
      <c r="G2909" s="20" t="inlineStr">
        <is>
          <t>유즈 솔리드퍼퓸 - 스테이포에버 002제품선택=best</t>
        </is>
      </c>
      <c r="H2909" s="20" t="n">
        <v>61</v>
      </c>
      <c r="I2909" s="20">
        <f>VLOOKUP(G2909,매칭테이블!D:E,2,0)</f>
        <v/>
      </c>
      <c r="J2909" s="20" t="n">
        <v>210101</v>
      </c>
      <c r="L2909" s="20">
        <f>VLOOKUP($O2909,매칭테이블!$G:$J,2,0)*H2909</f>
        <v/>
      </c>
      <c r="M2909" s="20">
        <f>L2909-L2909*VLOOKUP($O2909,매칭테이블!$G:$J,3,0)</f>
        <v/>
      </c>
      <c r="N2909" s="20">
        <f>VLOOKUP($O2909,매칭테이블!$G:$J,4,0)*H2909</f>
        <v/>
      </c>
      <c r="O2909" s="20">
        <f>F2909&amp;E2909&amp;G2909&amp;J2909</f>
        <v/>
      </c>
    </row>
    <row r="2910" ht="16.5" customHeight="1" s="17">
      <c r="B2910" s="16" t="n">
        <v>44212</v>
      </c>
      <c r="C2910" s="20">
        <f>TEXT(B2910,"aaa")</f>
        <v/>
      </c>
      <c r="E2910" s="20">
        <f>INDEX(매칭테이블!C:C,MATCH(RD!G2910,매칭테이블!D:D,0))</f>
        <v/>
      </c>
      <c r="F2910" s="20" t="inlineStr">
        <is>
          <t>카페24</t>
        </is>
      </c>
      <c r="G2910" s="20" t="inlineStr">
        <is>
          <t>유즈 솔리드퍼퓸 - 스테이포에버 002제품선택=best스테이포에버 2개[28% 할인]</t>
        </is>
      </c>
      <c r="H2910" s="20" t="n">
        <v>112</v>
      </c>
      <c r="I2910" s="20">
        <f>VLOOKUP(G2910,매칭테이블!D:E,2,0)</f>
        <v/>
      </c>
      <c r="J2910" s="20" t="n">
        <v>210101</v>
      </c>
      <c r="L2910" s="20">
        <f>VLOOKUP($O2910,매칭테이블!$G:$J,2,0)*H2910</f>
        <v/>
      </c>
      <c r="M2910" s="20">
        <f>L2910-L2910*VLOOKUP($O2910,매칭테이블!$G:$J,3,0)</f>
        <v/>
      </c>
      <c r="N2910" s="20">
        <f>VLOOKUP($O2910,매칭테이블!$G:$J,4,0)*H2910</f>
        <v/>
      </c>
      <c r="O2910" s="20">
        <f>F2910&amp;E2910&amp;G2910&amp;J2910</f>
        <v/>
      </c>
    </row>
    <row r="2911" ht="16.5" customHeight="1" s="17">
      <c r="B2911" s="16" t="n">
        <v>44212</v>
      </c>
      <c r="C2911" s="20">
        <f>TEXT(B2911,"aaa")</f>
        <v/>
      </c>
      <c r="E2911" s="20">
        <f>INDEX(매칭테이블!C:C,MATCH(RD!G2911,매칭테이블!D:D,0))</f>
        <v/>
      </c>
      <c r="F2911" s="20" t="inlineStr">
        <is>
          <t>카페24</t>
        </is>
      </c>
      <c r="G2911" s="20" t="inlineStr">
        <is>
          <t>유즈 솔리드퍼퓸 - 스테이포에버 002제품선택=커플추천</t>
        </is>
      </c>
      <c r="H2911" s="20" t="n">
        <v>10</v>
      </c>
      <c r="I2911" s="20">
        <f>VLOOKUP(G2911,매칭테이블!D:E,2,0)</f>
        <v/>
      </c>
      <c r="J2911" s="20" t="n">
        <v>210101</v>
      </c>
      <c r="L2911" s="20">
        <f>VLOOKUP($O2911,매칭테이블!$G:$J,2,0)*H2911</f>
        <v/>
      </c>
      <c r="M2911" s="20">
        <f>L2911-L2911*VLOOKUP($O2911,매칭테이블!$G:$J,3,0)</f>
        <v/>
      </c>
      <c r="N2911" s="20">
        <f>VLOOKUP($O2911,매칭테이블!$G:$J,4,0)*H2911</f>
        <v/>
      </c>
      <c r="O2911" s="20">
        <f>F2911&amp;E2911&amp;G2911&amp;J2911</f>
        <v/>
      </c>
    </row>
    <row r="2912" ht="16.5" customHeight="1" s="17">
      <c r="B2912" s="16" t="n">
        <v>44212</v>
      </c>
      <c r="C2912" s="20">
        <f>TEXT(B2912,"aaa")</f>
        <v/>
      </c>
      <c r="E2912" s="20">
        <f>INDEX(매칭테이블!C:C,MATCH(RD!G2912,매칭테이블!D:D,0))</f>
        <v/>
      </c>
      <c r="F2912" s="20" t="inlineStr">
        <is>
          <t>카페24</t>
        </is>
      </c>
      <c r="G2912" s="20" t="inlineStr">
        <is>
          <t>유즈 솔리드퍼퓸 - 스테이포에버 002제품선택=커플추천스테이포에버 + 이그나이트 세트</t>
        </is>
      </c>
      <c r="H2912" s="20" t="n">
        <v>18</v>
      </c>
      <c r="I2912" s="20">
        <f>VLOOKUP(G2912,매칭테이블!D:E,2,0)</f>
        <v/>
      </c>
      <c r="J2912" s="20" t="n">
        <v>210101</v>
      </c>
      <c r="L2912" s="20">
        <f>VLOOKUP($O2912,매칭테이블!$G:$J,2,0)*H2912</f>
        <v/>
      </c>
      <c r="M2912" s="20">
        <f>L2912-L2912*VLOOKUP($O2912,매칭테이블!$G:$J,3,0)</f>
        <v/>
      </c>
      <c r="N2912" s="20">
        <f>VLOOKUP($O2912,매칭테이블!$G:$J,4,0)*H2912</f>
        <v/>
      </c>
      <c r="O2912" s="20">
        <f>F2912&amp;E2912&amp;G2912&amp;J2912</f>
        <v/>
      </c>
    </row>
    <row r="2913" ht="16.5" customHeight="1" s="17">
      <c r="B2913" s="16" t="n">
        <v>44212</v>
      </c>
      <c r="C2913" s="20">
        <f>TEXT(B2913,"aaa")</f>
        <v/>
      </c>
      <c r="E2913" s="20">
        <f>INDEX(매칭테이블!C:C,MATCH(RD!G2913,매칭테이블!D:D,0))</f>
        <v/>
      </c>
      <c r="F2913" s="20" t="inlineStr">
        <is>
          <t>카페24</t>
        </is>
      </c>
      <c r="G2913" s="20" t="inlineStr">
        <is>
          <t>유즈 솔리드퍼퓸 - 스테이포에버 002쇼핑백=선물용 쇼핑백</t>
        </is>
      </c>
      <c r="H2913" s="20" t="n">
        <v>13</v>
      </c>
      <c r="I2913" s="20">
        <f>VLOOKUP(G2913,매칭테이블!D:E,2,0)</f>
        <v/>
      </c>
      <c r="J2913" s="20" t="n">
        <v>210101</v>
      </c>
      <c r="L2913" s="20">
        <f>VLOOKUP($O2913,매칭테이블!$G:$J,2,0)*H2913</f>
        <v/>
      </c>
      <c r="M2913" s="20">
        <f>L2913-L2913*VLOOKUP($O2913,매칭테이블!$G:$J,3,0)</f>
        <v/>
      </c>
      <c r="N2913" s="20">
        <f>VLOOKUP($O2913,매칭테이블!$G:$J,4,0)*H2913</f>
        <v/>
      </c>
      <c r="O2913" s="20">
        <f>F2913&amp;E2913&amp;G2913&amp;J2913</f>
        <v/>
      </c>
    </row>
    <row r="2914" ht="16.5" customHeight="1" s="17">
      <c r="B2914" s="16" t="n">
        <v>44212</v>
      </c>
      <c r="C2914" s="20">
        <f>TEXT(B2914,"aaa")</f>
        <v/>
      </c>
      <c r="E2914" s="20">
        <f>INDEX(매칭테이블!C:C,MATCH(RD!G2914,매칭테이블!D:D,0))</f>
        <v/>
      </c>
      <c r="F2914" s="20" t="inlineStr">
        <is>
          <t>카페24</t>
        </is>
      </c>
      <c r="G2914" s="20" t="inlineStr">
        <is>
          <t>유즈 솔리드퍼퓸 - 이그나이트 001제품선택=이그나이트 솔리드퍼퓸 - 30ml</t>
        </is>
      </c>
      <c r="H2914" s="20" t="n">
        <v>3</v>
      </c>
      <c r="I2914" s="20">
        <f>VLOOKUP(G2914,매칭테이블!D:E,2,0)</f>
        <v/>
      </c>
      <c r="J2914" s="20" t="n">
        <v>210101</v>
      </c>
      <c r="L2914" s="20">
        <f>VLOOKUP($O2914,매칭테이블!$G:$J,2,0)*H2914</f>
        <v/>
      </c>
      <c r="M2914" s="20">
        <f>L2914-L2914*VLOOKUP($O2914,매칭테이블!$G:$J,3,0)</f>
        <v/>
      </c>
      <c r="N2914" s="20">
        <f>VLOOKUP($O2914,매칭테이블!$G:$J,4,0)*H2914</f>
        <v/>
      </c>
      <c r="O2914" s="20">
        <f>F2914&amp;E2914&amp;G2914&amp;J2914</f>
        <v/>
      </c>
    </row>
    <row r="2915" ht="16.5" customHeight="1" s="17">
      <c r="B2915" s="16" t="n">
        <v>44212</v>
      </c>
      <c r="C2915" s="20">
        <f>TEXT(B2915,"aaa")</f>
        <v/>
      </c>
      <c r="E2915" s="20">
        <f>INDEX(매칭테이블!C:C,MATCH(RD!G2915,매칭테이블!D:D,0))</f>
        <v/>
      </c>
      <c r="F2915" s="20" t="inlineStr">
        <is>
          <t>카페24</t>
        </is>
      </c>
      <c r="G2915" s="20" t="inlineStr">
        <is>
          <t>유즈 솔리드퍼퓸 - 이그나이트 001제품선택=이그나이트 2개 세트</t>
        </is>
      </c>
      <c r="H2915" s="20" t="n">
        <v>3</v>
      </c>
      <c r="I2915" s="20">
        <f>VLOOKUP(G2915,매칭테이블!D:E,2,0)</f>
        <v/>
      </c>
      <c r="J2915" s="20" t="n">
        <v>210101</v>
      </c>
      <c r="L2915" s="20">
        <f>VLOOKUP($O2915,매칭테이블!$G:$J,2,0)*H2915</f>
        <v/>
      </c>
      <c r="M2915" s="20">
        <f>L2915-L2915*VLOOKUP($O2915,매칭테이블!$G:$J,3,0)</f>
        <v/>
      </c>
      <c r="N2915" s="20">
        <f>VLOOKUP($O2915,매칭테이블!$G:$J,4,0)*H2915</f>
        <v/>
      </c>
      <c r="O2915" s="20">
        <f>F2915&amp;E2915&amp;G2915&amp;J2915</f>
        <v/>
      </c>
    </row>
    <row r="2916" ht="16.5" customHeight="1" s="17">
      <c r="B2916" s="16" t="n">
        <v>44212</v>
      </c>
      <c r="C2916" s="20">
        <f>TEXT(B2916,"aaa")</f>
        <v/>
      </c>
      <c r="E2916" s="20">
        <f>INDEX(매칭테이블!C:C,MATCH(RD!G2916,매칭테이블!D:D,0))</f>
        <v/>
      </c>
      <c r="F2916" s="20" t="inlineStr">
        <is>
          <t>카페24</t>
        </is>
      </c>
      <c r="G2916" s="20" t="inlineStr">
        <is>
          <t>유즈 스테이포에버 솔리드퍼퓸 002제품선택=스테이포에버 1개</t>
        </is>
      </c>
      <c r="H2916" s="20" t="n">
        <v>4</v>
      </c>
      <c r="I2916" s="20">
        <f>VLOOKUP(G2916,매칭테이블!D:E,2,0)</f>
        <v/>
      </c>
      <c r="J2916" s="20" t="n">
        <v>210101</v>
      </c>
      <c r="L2916" s="20">
        <f>VLOOKUP($O2916,매칭테이블!$G:$J,2,0)*H2916</f>
        <v/>
      </c>
      <c r="M2916" s="20">
        <f>L2916-L2916*VLOOKUP($O2916,매칭테이블!$G:$J,3,0)</f>
        <v/>
      </c>
      <c r="N2916" s="20">
        <f>VLOOKUP($O2916,매칭테이블!$G:$J,4,0)*H2916</f>
        <v/>
      </c>
      <c r="O2916" s="20">
        <f>F2916&amp;E2916&amp;G2916&amp;J2916</f>
        <v/>
      </c>
    </row>
    <row r="2917" ht="16.5" customHeight="1" s="17">
      <c r="B2917" s="16" t="n">
        <v>44213</v>
      </c>
      <c r="C2917" s="20">
        <f>TEXT(B2917,"aaa")</f>
        <v/>
      </c>
      <c r="E2917" s="20">
        <f>INDEX(매칭테이블!C:C,MATCH(RD!G2917,매칭테이블!D:D,0))</f>
        <v/>
      </c>
      <c r="F2917" s="20" t="inlineStr">
        <is>
          <t>카페24</t>
        </is>
      </c>
      <c r="G2917" s="20" t="inlineStr">
        <is>
          <t>SHOPPING BAG</t>
        </is>
      </c>
      <c r="H2917" s="20" t="n">
        <v>1</v>
      </c>
      <c r="I2917" s="20">
        <f>VLOOKUP(G2917,매칭테이블!D:E,2,0)</f>
        <v/>
      </c>
      <c r="J2917" s="20" t="n">
        <v>210101</v>
      </c>
      <c r="L2917" s="20">
        <f>VLOOKUP($O2917,매칭테이블!$G:$J,2,0)*H2917</f>
        <v/>
      </c>
      <c r="M2917" s="20">
        <f>L2917-L2917*VLOOKUP($O2917,매칭테이블!$G:$J,3,0)</f>
        <v/>
      </c>
      <c r="N2917" s="20">
        <f>VLOOKUP($O2917,매칭테이블!$G:$J,4,0)*H2917</f>
        <v/>
      </c>
      <c r="O2917" s="20">
        <f>F2917&amp;E2917&amp;G2917&amp;J2917</f>
        <v/>
      </c>
    </row>
    <row r="2918" ht="16.5" customHeight="1" s="17">
      <c r="B2918" s="16" t="n">
        <v>44213</v>
      </c>
      <c r="C2918" s="20">
        <f>TEXT(B2918,"aaa")</f>
        <v/>
      </c>
      <c r="E2918" s="20">
        <f>INDEX(매칭테이블!C:C,MATCH(RD!G2918,매칭테이블!D:D,0))</f>
        <v/>
      </c>
      <c r="F2918" s="20" t="inlineStr">
        <is>
          <t>카페24</t>
        </is>
      </c>
      <c r="G2918" s="20" t="inlineStr">
        <is>
          <t>유즈 솔리드퍼퓸 - 30ml향=이그나이트 001 SOLID PERFUME, 세트 선택=1개</t>
        </is>
      </c>
      <c r="H2918" s="20" t="n">
        <v>2</v>
      </c>
      <c r="I2918" s="20">
        <f>VLOOKUP(G2918,매칭테이블!D:E,2,0)</f>
        <v/>
      </c>
      <c r="J2918" s="20" t="n">
        <v>210101</v>
      </c>
      <c r="L2918" s="20">
        <f>VLOOKUP($O2918,매칭테이블!$G:$J,2,0)*H2918</f>
        <v/>
      </c>
      <c r="M2918" s="20">
        <f>L2918-L2918*VLOOKUP($O2918,매칭테이블!$G:$J,3,0)</f>
        <v/>
      </c>
      <c r="N2918" s="20">
        <f>VLOOKUP($O2918,매칭테이블!$G:$J,4,0)*H2918</f>
        <v/>
      </c>
      <c r="O2918" s="20">
        <f>F2918&amp;E2918&amp;G2918&amp;J2918</f>
        <v/>
      </c>
    </row>
    <row r="2919" ht="16.5" customHeight="1" s="17">
      <c r="B2919" s="16" t="n">
        <v>44213</v>
      </c>
      <c r="C2919" s="20">
        <f>TEXT(B2919,"aaa")</f>
        <v/>
      </c>
      <c r="E2919" s="20">
        <f>INDEX(매칭테이블!C:C,MATCH(RD!G2919,매칭테이블!D:D,0))</f>
        <v/>
      </c>
      <c r="F2919" s="20" t="inlineStr">
        <is>
          <t>카페24</t>
        </is>
      </c>
      <c r="G2919" s="20" t="inlineStr">
        <is>
          <t>유즈 솔리드퍼퓸 - 30ml향=스테이포에버 002 SOLID PERFUME, 세트 선택=1개</t>
        </is>
      </c>
      <c r="H2919" s="20" t="n">
        <v>11</v>
      </c>
      <c r="I2919" s="20">
        <f>VLOOKUP(G2919,매칭테이블!D:E,2,0)</f>
        <v/>
      </c>
      <c r="J2919" s="20" t="n">
        <v>210101</v>
      </c>
      <c r="L2919" s="20">
        <f>VLOOKUP($O2919,매칭테이블!$G:$J,2,0)*H2919</f>
        <v/>
      </c>
      <c r="M2919" s="20">
        <f>L2919-L2919*VLOOKUP($O2919,매칭테이블!$G:$J,3,0)</f>
        <v/>
      </c>
      <c r="N2919" s="20">
        <f>VLOOKUP($O2919,매칭테이블!$G:$J,4,0)*H2919</f>
        <v/>
      </c>
      <c r="O2919" s="20">
        <f>F2919&amp;E2919&amp;G2919&amp;J2919</f>
        <v/>
      </c>
    </row>
    <row r="2920" ht="16.5" customHeight="1" s="17">
      <c r="B2920" s="16" t="n">
        <v>44213</v>
      </c>
      <c r="C2920" s="20">
        <f>TEXT(B2920,"aaa")</f>
        <v/>
      </c>
      <c r="E2920" s="20">
        <f>INDEX(매칭테이블!C:C,MATCH(RD!G2920,매칭테이블!D:D,0))</f>
        <v/>
      </c>
      <c r="F2920" s="20" t="inlineStr">
        <is>
          <t>카페24</t>
        </is>
      </c>
      <c r="G2920" s="20" t="inlineStr">
        <is>
          <t>유즈 솔리드퍼퓸 - 30ml향=스테이포에버 002 SOLID PERFUME, 세트 선택=best</t>
        </is>
      </c>
      <c r="H2920" s="20" t="n">
        <v>2</v>
      </c>
      <c r="I2920" s="20">
        <f>VLOOKUP(G2920,매칭테이블!D:E,2,0)</f>
        <v/>
      </c>
      <c r="J2920" s="20" t="n">
        <v>210101</v>
      </c>
      <c r="L2920" s="20">
        <f>VLOOKUP($O2920,매칭테이블!$G:$J,2,0)*H2920</f>
        <v/>
      </c>
      <c r="M2920" s="20">
        <f>L2920-L2920*VLOOKUP($O2920,매칭테이블!$G:$J,3,0)</f>
        <v/>
      </c>
      <c r="N2920" s="20">
        <f>VLOOKUP($O2920,매칭테이블!$G:$J,4,0)*H2920</f>
        <v/>
      </c>
      <c r="O2920" s="20">
        <f>F2920&amp;E2920&amp;G2920&amp;J2920</f>
        <v/>
      </c>
    </row>
    <row r="2921" ht="16.5" customHeight="1" s="17">
      <c r="B2921" s="16" t="n">
        <v>44213</v>
      </c>
      <c r="C2921" s="20">
        <f>TEXT(B2921,"aaa")</f>
        <v/>
      </c>
      <c r="E2921" s="20">
        <f>INDEX(매칭테이블!C:C,MATCH(RD!G2921,매칭테이블!D:D,0))</f>
        <v/>
      </c>
      <c r="F2921" s="20" t="inlineStr">
        <is>
          <t>카페24</t>
        </is>
      </c>
      <c r="G2921" s="20" t="inlineStr">
        <is>
          <t>유즈 솔리드퍼퓸 - 30ml향=스테이포에버 002 SOLID PERFUME, 세트 선택=best 2개 (28% 할인)</t>
        </is>
      </c>
      <c r="H2921" s="20" t="n">
        <v>4</v>
      </c>
      <c r="I2921" s="20">
        <f>VLOOKUP(G2921,매칭테이블!D:E,2,0)</f>
        <v/>
      </c>
      <c r="J2921" s="20" t="n">
        <v>210101</v>
      </c>
      <c r="L2921" s="20">
        <f>VLOOKUP($O2921,매칭테이블!$G:$J,2,0)*H2921</f>
        <v/>
      </c>
      <c r="M2921" s="20">
        <f>L2921-L2921*VLOOKUP($O2921,매칭테이블!$G:$J,3,0)</f>
        <v/>
      </c>
      <c r="N2921" s="20">
        <f>VLOOKUP($O2921,매칭테이블!$G:$J,4,0)*H2921</f>
        <v/>
      </c>
      <c r="O2921" s="20">
        <f>F2921&amp;E2921&amp;G2921&amp;J2921</f>
        <v/>
      </c>
    </row>
    <row r="2922" ht="16.5" customHeight="1" s="17">
      <c r="B2922" s="16" t="n">
        <v>44213</v>
      </c>
      <c r="C2922" s="20">
        <f>TEXT(B2922,"aaa")</f>
        <v/>
      </c>
      <c r="E2922" s="20">
        <f>INDEX(매칭테이블!C:C,MATCH(RD!G2922,매칭테이블!D:D,0))</f>
        <v/>
      </c>
      <c r="F2922" s="20" t="inlineStr">
        <is>
          <t>카페24</t>
        </is>
      </c>
      <c r="G2922" s="20" t="inlineStr">
        <is>
          <t>유즈 솔리드퍼퓸 - 30ml향=커플세트</t>
        </is>
      </c>
      <c r="H2922" s="20" t="n">
        <v>7</v>
      </c>
      <c r="I2922" s="20">
        <f>VLOOKUP(G2922,매칭테이블!D:E,2,0)</f>
        <v/>
      </c>
      <c r="J2922" s="20" t="n">
        <v>210101</v>
      </c>
      <c r="L2922" s="20">
        <f>VLOOKUP($O2922,매칭테이블!$G:$J,2,0)*H2922</f>
        <v/>
      </c>
      <c r="M2922" s="20">
        <f>L2922-L2922*VLOOKUP($O2922,매칭테이블!$G:$J,3,0)</f>
        <v/>
      </c>
      <c r="N2922" s="20">
        <f>VLOOKUP($O2922,매칭테이블!$G:$J,4,0)*H2922</f>
        <v/>
      </c>
      <c r="O2922" s="20">
        <f>F2922&amp;E2922&amp;G2922&amp;J2922</f>
        <v/>
      </c>
    </row>
    <row r="2923" ht="16.5" customHeight="1" s="17">
      <c r="B2923" s="16" t="n">
        <v>44213</v>
      </c>
      <c r="C2923" s="20">
        <f>TEXT(B2923,"aaa")</f>
        <v/>
      </c>
      <c r="E2923" s="20">
        <f>INDEX(매칭테이블!C:C,MATCH(RD!G2923,매칭테이블!D:D,0))</f>
        <v/>
      </c>
      <c r="F2923" s="20" t="inlineStr">
        <is>
          <t>카페24</t>
        </is>
      </c>
      <c r="G2923" s="20" t="inlineStr">
        <is>
          <t>유즈 솔리드퍼퓸 - 30ml향=커플세트(이그나이트 + 스테이포에버), 세트 선택=1 SET</t>
        </is>
      </c>
      <c r="H2923" s="20" t="n">
        <v>5</v>
      </c>
      <c r="I2923" s="20">
        <f>VLOOKUP(G2923,매칭테이블!D:E,2,0)</f>
        <v/>
      </c>
      <c r="J2923" s="20" t="n">
        <v>210101</v>
      </c>
      <c r="L2923" s="20">
        <f>VLOOKUP($O2923,매칭테이블!$G:$J,2,0)*H2923</f>
        <v/>
      </c>
      <c r="M2923" s="20">
        <f>L2923-L2923*VLOOKUP($O2923,매칭테이블!$G:$J,3,0)</f>
        <v/>
      </c>
      <c r="N2923" s="20">
        <f>VLOOKUP($O2923,매칭테이블!$G:$J,4,0)*H2923</f>
        <v/>
      </c>
      <c r="O2923" s="20">
        <f>F2923&amp;E2923&amp;G2923&amp;J2923</f>
        <v/>
      </c>
    </row>
    <row r="2924" ht="16.5" customHeight="1" s="17">
      <c r="B2924" s="16" t="n">
        <v>44213</v>
      </c>
      <c r="C2924" s="20">
        <f>TEXT(B2924,"aaa")</f>
        <v/>
      </c>
      <c r="E2924" s="20">
        <f>INDEX(매칭테이블!C:C,MATCH(RD!G2924,매칭테이블!D:D,0))</f>
        <v/>
      </c>
      <c r="F2924" s="20" t="inlineStr">
        <is>
          <t>카페24</t>
        </is>
      </c>
      <c r="G2924" s="20" t="inlineStr">
        <is>
          <t>유즈 솔리드퍼퓸 - 30ml향=커플세트(이그나이트 + 스테이포에버), 세트 선택=2 SET (42% 할인)</t>
        </is>
      </c>
      <c r="H2924" s="20" t="n">
        <v>1</v>
      </c>
      <c r="I2924" s="20">
        <f>VLOOKUP(G2924,매칭테이블!D:E,2,0)</f>
        <v/>
      </c>
      <c r="J2924" s="20" t="n">
        <v>210101</v>
      </c>
      <c r="L2924" s="20">
        <f>VLOOKUP($O2924,매칭테이블!$G:$J,2,0)*H2924</f>
        <v/>
      </c>
      <c r="M2924" s="20">
        <f>L2924-L2924*VLOOKUP($O2924,매칭테이블!$G:$J,3,0)</f>
        <v/>
      </c>
      <c r="N2924" s="20">
        <f>VLOOKUP($O2924,매칭테이블!$G:$J,4,0)*H2924</f>
        <v/>
      </c>
      <c r="O2924" s="20">
        <f>F2924&amp;E2924&amp;G2924&amp;J2924</f>
        <v/>
      </c>
    </row>
    <row r="2925" ht="16.5" customHeight="1" s="17">
      <c r="B2925" s="16" t="n">
        <v>44213</v>
      </c>
      <c r="C2925" s="20">
        <f>TEXT(B2925,"aaa")</f>
        <v/>
      </c>
      <c r="E2925" s="20">
        <f>INDEX(매칭테이블!C:C,MATCH(RD!G2925,매칭테이블!D:D,0))</f>
        <v/>
      </c>
      <c r="F2925" s="20" t="inlineStr">
        <is>
          <t>카페24</t>
        </is>
      </c>
      <c r="G2925" s="20" t="inlineStr">
        <is>
          <t>유즈 솔리드퍼퓸 - 스테이포에버 002제품선택=스테이포에버 1개</t>
        </is>
      </c>
      <c r="H2925" s="20" t="n">
        <v>421</v>
      </c>
      <c r="I2925" s="20">
        <f>VLOOKUP(G2925,매칭테이블!D:E,2,0)</f>
        <v/>
      </c>
      <c r="J2925" s="20" t="n">
        <v>210101</v>
      </c>
      <c r="L2925" s="20">
        <f>VLOOKUP($O2925,매칭테이블!$G:$J,2,0)*H2925</f>
        <v/>
      </c>
      <c r="M2925" s="20">
        <f>L2925-L2925*VLOOKUP($O2925,매칭테이블!$G:$J,3,0)</f>
        <v/>
      </c>
      <c r="N2925" s="20">
        <f>VLOOKUP($O2925,매칭테이블!$G:$J,4,0)*H2925</f>
        <v/>
      </c>
      <c r="O2925" s="20">
        <f>F2925&amp;E2925&amp;G2925&amp;J2925</f>
        <v/>
      </c>
    </row>
    <row r="2926" ht="16.5" customHeight="1" s="17">
      <c r="B2926" s="16" t="n">
        <v>44213</v>
      </c>
      <c r="C2926" s="20">
        <f>TEXT(B2926,"aaa")</f>
        <v/>
      </c>
      <c r="E2926" s="20">
        <f>INDEX(매칭테이블!C:C,MATCH(RD!G2926,매칭테이블!D:D,0))</f>
        <v/>
      </c>
      <c r="F2926" s="20" t="inlineStr">
        <is>
          <t>카페24</t>
        </is>
      </c>
      <c r="G2926" s="20" t="inlineStr">
        <is>
          <t>유즈 솔리드퍼퓸 - 스테이포에버 002제품선택=best</t>
        </is>
      </c>
      <c r="H2926" s="20" t="n">
        <v>99</v>
      </c>
      <c r="I2926" s="20">
        <f>VLOOKUP(G2926,매칭테이블!D:E,2,0)</f>
        <v/>
      </c>
      <c r="J2926" s="20" t="n">
        <v>210101</v>
      </c>
      <c r="L2926" s="20">
        <f>VLOOKUP($O2926,매칭테이블!$G:$J,2,0)*H2926</f>
        <v/>
      </c>
      <c r="M2926" s="20">
        <f>L2926-L2926*VLOOKUP($O2926,매칭테이블!$G:$J,3,0)</f>
        <v/>
      </c>
      <c r="N2926" s="20">
        <f>VLOOKUP($O2926,매칭테이블!$G:$J,4,0)*H2926</f>
        <v/>
      </c>
      <c r="O2926" s="20">
        <f>F2926&amp;E2926&amp;G2926&amp;J2926</f>
        <v/>
      </c>
    </row>
    <row r="2927" ht="16.5" customHeight="1" s="17">
      <c r="B2927" s="16" t="n">
        <v>44213</v>
      </c>
      <c r="C2927" s="20">
        <f>TEXT(B2927,"aaa")</f>
        <v/>
      </c>
      <c r="E2927" s="20">
        <f>INDEX(매칭테이블!C:C,MATCH(RD!G2927,매칭테이블!D:D,0))</f>
        <v/>
      </c>
      <c r="F2927" s="20" t="inlineStr">
        <is>
          <t>카페24</t>
        </is>
      </c>
      <c r="G2927" s="20" t="inlineStr">
        <is>
          <t>유즈 솔리드퍼퓸 - 스테이포에버 002제품선택=best스테이포에버 2개[28% 할인]</t>
        </is>
      </c>
      <c r="H2927" s="20" t="n">
        <v>116</v>
      </c>
      <c r="I2927" s="20">
        <f>VLOOKUP(G2927,매칭테이블!D:E,2,0)</f>
        <v/>
      </c>
      <c r="J2927" s="20" t="n">
        <v>210101</v>
      </c>
      <c r="L2927" s="20">
        <f>VLOOKUP($O2927,매칭테이블!$G:$J,2,0)*H2927</f>
        <v/>
      </c>
      <c r="M2927" s="20">
        <f>L2927-L2927*VLOOKUP($O2927,매칭테이블!$G:$J,3,0)</f>
        <v/>
      </c>
      <c r="N2927" s="20">
        <f>VLOOKUP($O2927,매칭테이블!$G:$J,4,0)*H2927</f>
        <v/>
      </c>
      <c r="O2927" s="20">
        <f>F2927&amp;E2927&amp;G2927&amp;J2927</f>
        <v/>
      </c>
    </row>
    <row r="2928" ht="16.5" customHeight="1" s="17">
      <c r="B2928" s="16" t="n">
        <v>44213</v>
      </c>
      <c r="C2928" s="20">
        <f>TEXT(B2928,"aaa")</f>
        <v/>
      </c>
      <c r="E2928" s="20">
        <f>INDEX(매칭테이블!C:C,MATCH(RD!G2928,매칭테이블!D:D,0))</f>
        <v/>
      </c>
      <c r="F2928" s="20" t="inlineStr">
        <is>
          <t>카페24</t>
        </is>
      </c>
      <c r="G2928" s="20" t="inlineStr">
        <is>
          <t>유즈 솔리드퍼퓸 - 스테이포에버 002제품선택=커플추천</t>
        </is>
      </c>
      <c r="H2928" s="20" t="n">
        <v>13</v>
      </c>
      <c r="I2928" s="20">
        <f>VLOOKUP(G2928,매칭테이블!D:E,2,0)</f>
        <v/>
      </c>
      <c r="J2928" s="20" t="n">
        <v>210101</v>
      </c>
      <c r="L2928" s="20">
        <f>VLOOKUP($O2928,매칭테이블!$G:$J,2,0)*H2928</f>
        <v/>
      </c>
      <c r="M2928" s="20">
        <f>L2928-L2928*VLOOKUP($O2928,매칭테이블!$G:$J,3,0)</f>
        <v/>
      </c>
      <c r="N2928" s="20">
        <f>VLOOKUP($O2928,매칭테이블!$G:$J,4,0)*H2928</f>
        <v/>
      </c>
      <c r="O2928" s="20">
        <f>F2928&amp;E2928&amp;G2928&amp;J2928</f>
        <v/>
      </c>
    </row>
    <row r="2929" ht="16.5" customHeight="1" s="17">
      <c r="B2929" s="16" t="n">
        <v>44213</v>
      </c>
      <c r="C2929" s="20">
        <f>TEXT(B2929,"aaa")</f>
        <v/>
      </c>
      <c r="E2929" s="20">
        <f>INDEX(매칭테이블!C:C,MATCH(RD!G2929,매칭테이블!D:D,0))</f>
        <v/>
      </c>
      <c r="F2929" s="20" t="inlineStr">
        <is>
          <t>카페24</t>
        </is>
      </c>
      <c r="G2929" s="20" t="inlineStr">
        <is>
          <t>유즈 솔리드퍼퓸 - 스테이포에버 002제품선택=커플추천스테이포에버 + 이그나이트 세트</t>
        </is>
      </c>
      <c r="H2929" s="20" t="n">
        <v>17</v>
      </c>
      <c r="I2929" s="20">
        <f>VLOOKUP(G2929,매칭테이블!D:E,2,0)</f>
        <v/>
      </c>
      <c r="J2929" s="20" t="n">
        <v>210101</v>
      </c>
      <c r="L2929" s="20">
        <f>VLOOKUP($O2929,매칭테이블!$G:$J,2,0)*H2929</f>
        <v/>
      </c>
      <c r="M2929" s="20">
        <f>L2929-L2929*VLOOKUP($O2929,매칭테이블!$G:$J,3,0)</f>
        <v/>
      </c>
      <c r="N2929" s="20">
        <f>VLOOKUP($O2929,매칭테이블!$G:$J,4,0)*H2929</f>
        <v/>
      </c>
      <c r="O2929" s="20">
        <f>F2929&amp;E2929&amp;G2929&amp;J2929</f>
        <v/>
      </c>
    </row>
    <row r="2930" ht="16.5" customHeight="1" s="17">
      <c r="B2930" s="16" t="n">
        <v>44213</v>
      </c>
      <c r="C2930" s="20">
        <f>TEXT(B2930,"aaa")</f>
        <v/>
      </c>
      <c r="E2930" s="20">
        <f>INDEX(매칭테이블!C:C,MATCH(RD!G2930,매칭테이블!D:D,0))</f>
        <v/>
      </c>
      <c r="F2930" s="20" t="inlineStr">
        <is>
          <t>카페24</t>
        </is>
      </c>
      <c r="G2930" s="20" t="inlineStr">
        <is>
          <t>유즈 솔리드퍼퓸 - 스테이포에버 002쇼핑백=선물용 쇼핑백</t>
        </is>
      </c>
      <c r="H2930" s="20" t="n">
        <v>11</v>
      </c>
      <c r="I2930" s="20">
        <f>VLOOKUP(G2930,매칭테이블!D:E,2,0)</f>
        <v/>
      </c>
      <c r="J2930" s="20" t="n">
        <v>210101</v>
      </c>
      <c r="L2930" s="20">
        <f>VLOOKUP($O2930,매칭테이블!$G:$J,2,0)*H2930</f>
        <v/>
      </c>
      <c r="M2930" s="20">
        <f>L2930-L2930*VLOOKUP($O2930,매칭테이블!$G:$J,3,0)</f>
        <v/>
      </c>
      <c r="N2930" s="20">
        <f>VLOOKUP($O2930,매칭테이블!$G:$J,4,0)*H2930</f>
        <v/>
      </c>
      <c r="O2930" s="20">
        <f>F2930&amp;E2930&amp;G2930&amp;J2930</f>
        <v/>
      </c>
    </row>
    <row r="2931" ht="16.5" customHeight="1" s="17">
      <c r="B2931" s="16" t="n">
        <v>44213</v>
      </c>
      <c r="C2931" s="20">
        <f>TEXT(B2931,"aaa")</f>
        <v/>
      </c>
      <c r="E2931" s="20">
        <f>INDEX(매칭테이블!C:C,MATCH(RD!G2931,매칭테이블!D:D,0))</f>
        <v/>
      </c>
      <c r="F2931" s="20" t="inlineStr">
        <is>
          <t>카페24</t>
        </is>
      </c>
      <c r="G2931" s="20" t="inlineStr">
        <is>
          <t>유즈 솔리드퍼퓸 - 이그나이트 001제품선택=이그나이트 솔리드퍼퓸 - 30ml</t>
        </is>
      </c>
      <c r="H2931" s="20" t="n">
        <v>4</v>
      </c>
      <c r="I2931" s="20">
        <f>VLOOKUP(G2931,매칭테이블!D:E,2,0)</f>
        <v/>
      </c>
      <c r="J2931" s="20" t="n">
        <v>210101</v>
      </c>
      <c r="L2931" s="20">
        <f>VLOOKUP($O2931,매칭테이블!$G:$J,2,0)*H2931</f>
        <v/>
      </c>
      <c r="M2931" s="20">
        <f>L2931-L2931*VLOOKUP($O2931,매칭테이블!$G:$J,3,0)</f>
        <v/>
      </c>
      <c r="N2931" s="20">
        <f>VLOOKUP($O2931,매칭테이블!$G:$J,4,0)*H2931</f>
        <v/>
      </c>
      <c r="O2931" s="20">
        <f>F2931&amp;E2931&amp;G2931&amp;J2931</f>
        <v/>
      </c>
    </row>
    <row r="2932" ht="16.5" customHeight="1" s="17">
      <c r="B2932" s="16" t="n">
        <v>44213</v>
      </c>
      <c r="C2932" s="20">
        <f>TEXT(B2932,"aaa")</f>
        <v/>
      </c>
      <c r="E2932" s="20">
        <f>INDEX(매칭테이블!C:C,MATCH(RD!G2932,매칭테이블!D:D,0))</f>
        <v/>
      </c>
      <c r="F2932" s="20" t="inlineStr">
        <is>
          <t>카페24</t>
        </is>
      </c>
      <c r="G2932" s="20" t="inlineStr">
        <is>
          <t>유즈 솔리드퍼퓸 - 이그나이트 001제품선택=이그나이트 2개 세트</t>
        </is>
      </c>
      <c r="H2932" s="20" t="n">
        <v>2</v>
      </c>
      <c r="I2932" s="20">
        <f>VLOOKUP(G2932,매칭테이블!D:E,2,0)</f>
        <v/>
      </c>
      <c r="J2932" s="20" t="n">
        <v>210101</v>
      </c>
      <c r="L2932" s="20">
        <f>VLOOKUP($O2932,매칭테이블!$G:$J,2,0)*H2932</f>
        <v/>
      </c>
      <c r="M2932" s="20">
        <f>L2932-L2932*VLOOKUP($O2932,매칭테이블!$G:$J,3,0)</f>
        <v/>
      </c>
      <c r="N2932" s="20">
        <f>VLOOKUP($O2932,매칭테이블!$G:$J,4,0)*H2932</f>
        <v/>
      </c>
      <c r="O2932" s="20">
        <f>F2932&amp;E2932&amp;G2932&amp;J2932</f>
        <v/>
      </c>
    </row>
    <row r="2933" ht="16.5" customHeight="1" s="17">
      <c r="B2933" s="16" t="n">
        <v>44213</v>
      </c>
      <c r="C2933" s="20">
        <f>TEXT(B2933,"aaa")</f>
        <v/>
      </c>
      <c r="E2933" s="20">
        <f>INDEX(매칭테이블!C:C,MATCH(RD!G2933,매칭테이블!D:D,0))</f>
        <v/>
      </c>
      <c r="F2933" s="20" t="inlineStr">
        <is>
          <t>카페24</t>
        </is>
      </c>
      <c r="G2933" s="20" t="inlineStr">
        <is>
          <t>유즈 스테이포에버 솔리드퍼퓸 002 (11차 예약구매 진행중)제품선택=스테이포에버 1개</t>
        </is>
      </c>
      <c r="H2933" s="20" t="n">
        <v>2</v>
      </c>
      <c r="I2933" s="20">
        <f>VLOOKUP(G2933,매칭테이블!D:E,2,0)</f>
        <v/>
      </c>
      <c r="J2933" s="20" t="n">
        <v>210101</v>
      </c>
      <c r="L2933" s="20">
        <f>VLOOKUP($O2933,매칭테이블!$G:$J,2,0)*H2933</f>
        <v/>
      </c>
      <c r="M2933" s="20">
        <f>L2933-L2933*VLOOKUP($O2933,매칭테이블!$G:$J,3,0)</f>
        <v/>
      </c>
      <c r="N2933" s="20">
        <f>VLOOKUP($O2933,매칭테이블!$G:$J,4,0)*H2933</f>
        <v/>
      </c>
      <c r="O2933" s="20">
        <f>F2933&amp;E2933&amp;G2933&amp;J2933</f>
        <v/>
      </c>
    </row>
    <row r="2934" ht="16.5" customHeight="1" s="17">
      <c r="B2934" s="16" t="n">
        <v>44214</v>
      </c>
      <c r="C2934" s="20">
        <f>TEXT(B2934,"aaa")</f>
        <v/>
      </c>
      <c r="E2934" s="20">
        <f>INDEX(매칭테이블!C:C,MATCH(RD!G2934,매칭테이블!D:D,0))</f>
        <v/>
      </c>
      <c r="F2934" s="20" t="inlineStr">
        <is>
          <t>카페24</t>
        </is>
      </c>
      <c r="G2934" s="20" t="inlineStr">
        <is>
          <t>솔리드퍼퓸 스테이포에버 002 30ml</t>
        </is>
      </c>
      <c r="H2934" s="20" t="n">
        <v>2</v>
      </c>
      <c r="I2934" s="20">
        <f>VLOOKUP(G2934,매칭테이블!D:E,2,0)</f>
        <v/>
      </c>
      <c r="J2934" s="20" t="n">
        <v>210101</v>
      </c>
      <c r="L2934" s="20">
        <f>VLOOKUP($O2934,매칭테이블!$G:$J,2,0)*H2934</f>
        <v/>
      </c>
      <c r="M2934" s="20">
        <f>L2934-L2934*VLOOKUP($O2934,매칭테이블!$G:$J,3,0)</f>
        <v/>
      </c>
      <c r="N2934" s="20">
        <f>VLOOKUP($O2934,매칭테이블!$G:$J,4,0)*H2934</f>
        <v/>
      </c>
      <c r="O2934" s="20">
        <f>F2934&amp;E2934&amp;G2934&amp;J2934</f>
        <v/>
      </c>
    </row>
    <row r="2935" ht="16.5" customHeight="1" s="17">
      <c r="B2935" s="16" t="n">
        <v>44214</v>
      </c>
      <c r="C2935" s="20">
        <f>TEXT(B2935,"aaa")</f>
        <v/>
      </c>
      <c r="E2935" s="20">
        <f>INDEX(매칭테이블!C:C,MATCH(RD!G2935,매칭테이블!D:D,0))</f>
        <v/>
      </c>
      <c r="F2935" s="20" t="inlineStr">
        <is>
          <t>카페24</t>
        </is>
      </c>
      <c r="G2935" s="20" t="inlineStr">
        <is>
          <t>유즈 솔리드퍼퓸 - 30ml향=이그나이트 001 SOLID PERFUME, 세트 선택=1개</t>
        </is>
      </c>
      <c r="H2935" s="20" t="n">
        <v>3</v>
      </c>
      <c r="I2935" s="20">
        <f>VLOOKUP(G2935,매칭테이블!D:E,2,0)</f>
        <v/>
      </c>
      <c r="J2935" s="20" t="n">
        <v>210101</v>
      </c>
      <c r="L2935" s="20">
        <f>VLOOKUP($O2935,매칭테이블!$G:$J,2,0)*H2935</f>
        <v/>
      </c>
      <c r="M2935" s="20">
        <f>L2935-L2935*VLOOKUP($O2935,매칭테이블!$G:$J,3,0)</f>
        <v/>
      </c>
      <c r="N2935" s="20">
        <f>VLOOKUP($O2935,매칭테이블!$G:$J,4,0)*H2935</f>
        <v/>
      </c>
      <c r="O2935" s="20">
        <f>F2935&amp;E2935&amp;G2935&amp;J2935</f>
        <v/>
      </c>
    </row>
    <row r="2936" ht="16.5" customHeight="1" s="17">
      <c r="B2936" s="16" t="n">
        <v>44214</v>
      </c>
      <c r="C2936" s="20">
        <f>TEXT(B2936,"aaa")</f>
        <v/>
      </c>
      <c r="E2936" s="20">
        <f>INDEX(매칭테이블!C:C,MATCH(RD!G2936,매칭테이블!D:D,0))</f>
        <v/>
      </c>
      <c r="F2936" s="20" t="inlineStr">
        <is>
          <t>카페24</t>
        </is>
      </c>
      <c r="G2936" s="20" t="inlineStr">
        <is>
          <t>유즈 솔리드퍼퓸 - 30ml향=스테이포에버 002 SOLID PERFUME, 세트 선택=1개</t>
        </is>
      </c>
      <c r="H2936" s="20" t="n">
        <v>14</v>
      </c>
      <c r="I2936" s="20">
        <f>VLOOKUP(G2936,매칭테이블!D:E,2,0)</f>
        <v/>
      </c>
      <c r="J2936" s="20" t="n">
        <v>210101</v>
      </c>
      <c r="L2936" s="20">
        <f>VLOOKUP($O2936,매칭테이블!$G:$J,2,0)*H2936</f>
        <v/>
      </c>
      <c r="M2936" s="20">
        <f>L2936-L2936*VLOOKUP($O2936,매칭테이블!$G:$J,3,0)</f>
        <v/>
      </c>
      <c r="N2936" s="20">
        <f>VLOOKUP($O2936,매칭테이블!$G:$J,4,0)*H2936</f>
        <v/>
      </c>
      <c r="O2936" s="20">
        <f>F2936&amp;E2936&amp;G2936&amp;J2936</f>
        <v/>
      </c>
    </row>
    <row r="2937" ht="16.5" customHeight="1" s="17">
      <c r="B2937" s="16" t="n">
        <v>44214</v>
      </c>
      <c r="C2937" s="20">
        <f>TEXT(B2937,"aaa")</f>
        <v/>
      </c>
      <c r="E2937" s="20">
        <f>INDEX(매칭테이블!C:C,MATCH(RD!G2937,매칭테이블!D:D,0))</f>
        <v/>
      </c>
      <c r="F2937" s="20" t="inlineStr">
        <is>
          <t>카페24</t>
        </is>
      </c>
      <c r="G2937" s="20" t="inlineStr">
        <is>
          <t>유즈 솔리드퍼퓸 - 30ml향=스테이포에버 002 SOLID PERFUME, 세트 선택=best 2개 (28% 할인)</t>
        </is>
      </c>
      <c r="H2937" s="20" t="n">
        <v>3</v>
      </c>
      <c r="I2937" s="20">
        <f>VLOOKUP(G2937,매칭테이블!D:E,2,0)</f>
        <v/>
      </c>
      <c r="J2937" s="20" t="n">
        <v>210101</v>
      </c>
      <c r="L2937" s="20">
        <f>VLOOKUP($O2937,매칭테이블!$G:$J,2,0)*H2937</f>
        <v/>
      </c>
      <c r="M2937" s="20">
        <f>L2937-L2937*VLOOKUP($O2937,매칭테이블!$G:$J,3,0)</f>
        <v/>
      </c>
      <c r="N2937" s="20">
        <f>VLOOKUP($O2937,매칭테이블!$G:$J,4,0)*H2937</f>
        <v/>
      </c>
      <c r="O2937" s="20">
        <f>F2937&amp;E2937&amp;G2937&amp;J2937</f>
        <v/>
      </c>
    </row>
    <row r="2938" ht="16.5" customHeight="1" s="17">
      <c r="B2938" s="16" t="n">
        <v>44214</v>
      </c>
      <c r="C2938" s="20">
        <f>TEXT(B2938,"aaa")</f>
        <v/>
      </c>
      <c r="E2938" s="20">
        <f>INDEX(매칭테이블!C:C,MATCH(RD!G2938,매칭테이블!D:D,0))</f>
        <v/>
      </c>
      <c r="F2938" s="20" t="inlineStr">
        <is>
          <t>카페24</t>
        </is>
      </c>
      <c r="G2938" s="20" t="inlineStr">
        <is>
          <t>유즈 솔리드퍼퓸 - 30ml향=커플세트</t>
        </is>
      </c>
      <c r="H2938" s="20" t="n">
        <v>1</v>
      </c>
      <c r="I2938" s="20">
        <f>VLOOKUP(G2938,매칭테이블!D:E,2,0)</f>
        <v/>
      </c>
      <c r="J2938" s="20" t="n">
        <v>210101</v>
      </c>
      <c r="L2938" s="20">
        <f>VLOOKUP($O2938,매칭테이블!$G:$J,2,0)*H2938</f>
        <v/>
      </c>
      <c r="M2938" s="20">
        <f>L2938-L2938*VLOOKUP($O2938,매칭테이블!$G:$J,3,0)</f>
        <v/>
      </c>
      <c r="N2938" s="20">
        <f>VLOOKUP($O2938,매칭테이블!$G:$J,4,0)*H2938</f>
        <v/>
      </c>
      <c r="O2938" s="20">
        <f>F2938&amp;E2938&amp;G2938&amp;J2938</f>
        <v/>
      </c>
    </row>
    <row r="2939" ht="16.5" customHeight="1" s="17">
      <c r="B2939" s="16" t="n">
        <v>44214</v>
      </c>
      <c r="C2939" s="20">
        <f>TEXT(B2939,"aaa")</f>
        <v/>
      </c>
      <c r="E2939" s="20">
        <f>INDEX(매칭테이블!C:C,MATCH(RD!G2939,매칭테이블!D:D,0))</f>
        <v/>
      </c>
      <c r="F2939" s="20" t="inlineStr">
        <is>
          <t>카페24</t>
        </is>
      </c>
      <c r="G2939" s="20" t="inlineStr">
        <is>
          <t>유즈 솔리드퍼퓸 - 30ml향=커플세트(이그나이트 + 스테이포에버), 세트 선택=1 SET</t>
        </is>
      </c>
      <c r="H2939" s="20" t="n">
        <v>5</v>
      </c>
      <c r="I2939" s="20">
        <f>VLOOKUP(G2939,매칭테이블!D:E,2,0)</f>
        <v/>
      </c>
      <c r="J2939" s="20" t="n">
        <v>210101</v>
      </c>
      <c r="L2939" s="20">
        <f>VLOOKUP($O2939,매칭테이블!$G:$J,2,0)*H2939</f>
        <v/>
      </c>
      <c r="M2939" s="20">
        <f>L2939-L2939*VLOOKUP($O2939,매칭테이블!$G:$J,3,0)</f>
        <v/>
      </c>
      <c r="N2939" s="20">
        <f>VLOOKUP($O2939,매칭테이블!$G:$J,4,0)*H2939</f>
        <v/>
      </c>
      <c r="O2939" s="20">
        <f>F2939&amp;E2939&amp;G2939&amp;J2939</f>
        <v/>
      </c>
    </row>
    <row r="2940" ht="16.5" customHeight="1" s="17">
      <c r="B2940" s="16" t="n">
        <v>44214</v>
      </c>
      <c r="C2940" s="20">
        <f>TEXT(B2940,"aaa")</f>
        <v/>
      </c>
      <c r="E2940" s="20">
        <f>INDEX(매칭테이블!C:C,MATCH(RD!G2940,매칭테이블!D:D,0))</f>
        <v/>
      </c>
      <c r="F2940" s="20" t="inlineStr">
        <is>
          <t>카페24</t>
        </is>
      </c>
      <c r="G2940" s="20" t="inlineStr">
        <is>
          <t>유즈 솔리드퍼퓸 - 30ml향=커플세트</t>
        </is>
      </c>
      <c r="H2940" s="20" t="n">
        <v>2</v>
      </c>
      <c r="I2940" s="20">
        <f>VLOOKUP(G2940,매칭테이블!D:E,2,0)</f>
        <v/>
      </c>
      <c r="J2940" s="20" t="n">
        <v>210101</v>
      </c>
      <c r="L2940" s="20">
        <f>VLOOKUP($O2940,매칭테이블!$G:$J,2,0)*H2940</f>
        <v/>
      </c>
      <c r="M2940" s="20">
        <f>L2940-L2940*VLOOKUP($O2940,매칭테이블!$G:$J,3,0)</f>
        <v/>
      </c>
      <c r="N2940" s="20">
        <f>VLOOKUP($O2940,매칭테이블!$G:$J,4,0)*H2940</f>
        <v/>
      </c>
      <c r="O2940" s="20">
        <f>F2940&amp;E2940&amp;G2940&amp;J2940</f>
        <v/>
      </c>
    </row>
    <row r="2941" ht="16.5" customHeight="1" s="17">
      <c r="B2941" s="16" t="n">
        <v>44214</v>
      </c>
      <c r="C2941" s="20">
        <f>TEXT(B2941,"aaa")</f>
        <v/>
      </c>
      <c r="E2941" s="20">
        <f>INDEX(매칭테이블!C:C,MATCH(RD!G2941,매칭테이블!D:D,0))</f>
        <v/>
      </c>
      <c r="F2941" s="20" t="inlineStr">
        <is>
          <t>카페24</t>
        </is>
      </c>
      <c r="G2941" s="20" t="inlineStr">
        <is>
          <t>유즈 솔리드퍼퓸 - 30ml향=커플세트(이그나이트 + 스테이포에버), 세트 선택=2 SET (42% 할인)</t>
        </is>
      </c>
      <c r="H2941" s="20" t="n">
        <v>1</v>
      </c>
      <c r="I2941" s="20">
        <f>VLOOKUP(G2941,매칭테이블!D:E,2,0)</f>
        <v/>
      </c>
      <c r="J2941" s="20" t="n">
        <v>210101</v>
      </c>
      <c r="L2941" s="20">
        <f>VLOOKUP($O2941,매칭테이블!$G:$J,2,0)*H2941</f>
        <v/>
      </c>
      <c r="M2941" s="20">
        <f>L2941-L2941*VLOOKUP($O2941,매칭테이블!$G:$J,3,0)</f>
        <v/>
      </c>
      <c r="N2941" s="20">
        <f>VLOOKUP($O2941,매칭테이블!$G:$J,4,0)*H2941</f>
        <v/>
      </c>
      <c r="O2941" s="20">
        <f>F2941&amp;E2941&amp;G2941&amp;J2941</f>
        <v/>
      </c>
    </row>
    <row r="2942" ht="16.5" customHeight="1" s="17">
      <c r="B2942" s="16" t="n">
        <v>44214</v>
      </c>
      <c r="C2942" s="20">
        <f>TEXT(B2942,"aaa")</f>
        <v/>
      </c>
      <c r="E2942" s="20">
        <f>INDEX(매칭테이블!C:C,MATCH(RD!G2942,매칭테이블!D:D,0))</f>
        <v/>
      </c>
      <c r="F2942" s="20" t="inlineStr">
        <is>
          <t>카페24</t>
        </is>
      </c>
      <c r="G2942" s="20" t="inlineStr">
        <is>
          <t>유즈 솔리드퍼퓸 - 스테이포에버 002제품선택=스테이포에버 1개</t>
        </is>
      </c>
      <c r="H2942" s="20" t="n">
        <v>323</v>
      </c>
      <c r="I2942" s="20">
        <f>VLOOKUP(G2942,매칭테이블!D:E,2,0)</f>
        <v/>
      </c>
      <c r="J2942" s="20" t="n">
        <v>210101</v>
      </c>
      <c r="L2942" s="20">
        <f>VLOOKUP($O2942,매칭테이블!$G:$J,2,0)*H2942</f>
        <v/>
      </c>
      <c r="M2942" s="20">
        <f>L2942-L2942*VLOOKUP($O2942,매칭테이블!$G:$J,3,0)</f>
        <v/>
      </c>
      <c r="N2942" s="20">
        <f>VLOOKUP($O2942,매칭테이블!$G:$J,4,0)*H2942</f>
        <v/>
      </c>
      <c r="O2942" s="20">
        <f>F2942&amp;E2942&amp;G2942&amp;J2942</f>
        <v/>
      </c>
    </row>
    <row r="2943" ht="16.5" customHeight="1" s="17">
      <c r="B2943" s="16" t="n">
        <v>44214</v>
      </c>
      <c r="C2943" s="20">
        <f>TEXT(B2943,"aaa")</f>
        <v/>
      </c>
      <c r="E2943" s="20">
        <f>INDEX(매칭테이블!C:C,MATCH(RD!G2943,매칭테이블!D:D,0))</f>
        <v/>
      </c>
      <c r="F2943" s="20" t="inlineStr">
        <is>
          <t>카페24</t>
        </is>
      </c>
      <c r="G2943" s="20" t="inlineStr">
        <is>
          <t>유즈 솔리드퍼퓸 - 스테이포에버 002제품선택=best</t>
        </is>
      </c>
      <c r="H2943" s="20" t="n">
        <v>62</v>
      </c>
      <c r="I2943" s="20">
        <f>VLOOKUP(G2943,매칭테이블!D:E,2,0)</f>
        <v/>
      </c>
      <c r="J2943" s="20" t="n">
        <v>210101</v>
      </c>
      <c r="L2943" s="20">
        <f>VLOOKUP($O2943,매칭테이블!$G:$J,2,0)*H2943</f>
        <v/>
      </c>
      <c r="M2943" s="20">
        <f>L2943-L2943*VLOOKUP($O2943,매칭테이블!$G:$J,3,0)</f>
        <v/>
      </c>
      <c r="N2943" s="20">
        <f>VLOOKUP($O2943,매칭테이블!$G:$J,4,0)*H2943</f>
        <v/>
      </c>
      <c r="O2943" s="20">
        <f>F2943&amp;E2943&amp;G2943&amp;J2943</f>
        <v/>
      </c>
    </row>
    <row r="2944" ht="16.5" customHeight="1" s="17">
      <c r="B2944" s="16" t="n">
        <v>44214</v>
      </c>
      <c r="C2944" s="20">
        <f>TEXT(B2944,"aaa")</f>
        <v/>
      </c>
      <c r="E2944" s="20">
        <f>INDEX(매칭테이블!C:C,MATCH(RD!G2944,매칭테이블!D:D,0))</f>
        <v/>
      </c>
      <c r="F2944" s="20" t="inlineStr">
        <is>
          <t>카페24</t>
        </is>
      </c>
      <c r="G2944" s="20" t="inlineStr">
        <is>
          <t>유즈 솔리드퍼퓸 - 스테이포에버 002제품선택=best스테이포에버 2개[28% 할인]</t>
        </is>
      </c>
      <c r="H2944" s="20" t="n">
        <v>90</v>
      </c>
      <c r="I2944" s="20">
        <f>VLOOKUP(G2944,매칭테이블!D:E,2,0)</f>
        <v/>
      </c>
      <c r="J2944" s="20" t="n">
        <v>210101</v>
      </c>
      <c r="L2944" s="20">
        <f>VLOOKUP($O2944,매칭테이블!$G:$J,2,0)*H2944</f>
        <v/>
      </c>
      <c r="M2944" s="20">
        <f>L2944-L2944*VLOOKUP($O2944,매칭테이블!$G:$J,3,0)</f>
        <v/>
      </c>
      <c r="N2944" s="20">
        <f>VLOOKUP($O2944,매칭테이블!$G:$J,4,0)*H2944</f>
        <v/>
      </c>
      <c r="O2944" s="20">
        <f>F2944&amp;E2944&amp;G2944&amp;J2944</f>
        <v/>
      </c>
    </row>
    <row r="2945" ht="16.5" customHeight="1" s="17">
      <c r="B2945" s="16" t="n">
        <v>44214</v>
      </c>
      <c r="C2945" s="20">
        <f>TEXT(B2945,"aaa")</f>
        <v/>
      </c>
      <c r="E2945" s="20">
        <f>INDEX(매칭테이블!C:C,MATCH(RD!G2945,매칭테이블!D:D,0))</f>
        <v/>
      </c>
      <c r="F2945" s="20" t="inlineStr">
        <is>
          <t>카페24</t>
        </is>
      </c>
      <c r="G2945" s="20" t="inlineStr">
        <is>
          <t>유즈 솔리드퍼퓸 - 스테이포에버 002제품선택=커플추천</t>
        </is>
      </c>
      <c r="H2945" s="20" t="n">
        <v>5</v>
      </c>
      <c r="I2945" s="20">
        <f>VLOOKUP(G2945,매칭테이블!D:E,2,0)</f>
        <v/>
      </c>
      <c r="J2945" s="20" t="n">
        <v>210101</v>
      </c>
      <c r="L2945" s="20">
        <f>VLOOKUP($O2945,매칭테이블!$G:$J,2,0)*H2945</f>
        <v/>
      </c>
      <c r="M2945" s="20">
        <f>L2945-L2945*VLOOKUP($O2945,매칭테이블!$G:$J,3,0)</f>
        <v/>
      </c>
      <c r="N2945" s="20">
        <f>VLOOKUP($O2945,매칭테이블!$G:$J,4,0)*H2945</f>
        <v/>
      </c>
      <c r="O2945" s="20">
        <f>F2945&amp;E2945&amp;G2945&amp;J2945</f>
        <v/>
      </c>
    </row>
    <row r="2946" ht="16.5" customHeight="1" s="17">
      <c r="B2946" s="16" t="n">
        <v>44214</v>
      </c>
      <c r="C2946" s="20">
        <f>TEXT(B2946,"aaa")</f>
        <v/>
      </c>
      <c r="E2946" s="20">
        <f>INDEX(매칭테이블!C:C,MATCH(RD!G2946,매칭테이블!D:D,0))</f>
        <v/>
      </c>
      <c r="F2946" s="20" t="inlineStr">
        <is>
          <t>카페24</t>
        </is>
      </c>
      <c r="G2946" s="20" t="inlineStr">
        <is>
          <t>유즈 솔리드퍼퓸 - 스테이포에버 002제품선택=커플추천스테이포에버 + 이그나이트 세트</t>
        </is>
      </c>
      <c r="H2946" s="20" t="n">
        <v>24</v>
      </c>
      <c r="I2946" s="20">
        <f>VLOOKUP(G2946,매칭테이블!D:E,2,0)</f>
        <v/>
      </c>
      <c r="J2946" s="20" t="n">
        <v>210101</v>
      </c>
      <c r="L2946" s="20">
        <f>VLOOKUP($O2946,매칭테이블!$G:$J,2,0)*H2946</f>
        <v/>
      </c>
      <c r="M2946" s="20">
        <f>L2946-L2946*VLOOKUP($O2946,매칭테이블!$G:$J,3,0)</f>
        <v/>
      </c>
      <c r="N2946" s="20">
        <f>VLOOKUP($O2946,매칭테이블!$G:$J,4,0)*H2946</f>
        <v/>
      </c>
      <c r="O2946" s="20">
        <f>F2946&amp;E2946&amp;G2946&amp;J2946</f>
        <v/>
      </c>
    </row>
    <row r="2947" ht="16.5" customHeight="1" s="17">
      <c r="B2947" s="16" t="n">
        <v>44214</v>
      </c>
      <c r="C2947" s="20">
        <f>TEXT(B2947,"aaa")</f>
        <v/>
      </c>
      <c r="E2947" s="20">
        <f>INDEX(매칭테이블!C:C,MATCH(RD!G2947,매칭테이블!D:D,0))</f>
        <v/>
      </c>
      <c r="F2947" s="20" t="inlineStr">
        <is>
          <t>카페24</t>
        </is>
      </c>
      <c r="G2947" s="20" t="inlineStr">
        <is>
          <t>유즈 솔리드퍼퓸 - 스테이포에버 002쇼핑백=선물용 쇼핑백</t>
        </is>
      </c>
      <c r="H2947" s="20" t="n">
        <v>19</v>
      </c>
      <c r="I2947" s="20">
        <f>VLOOKUP(G2947,매칭테이블!D:E,2,0)</f>
        <v/>
      </c>
      <c r="J2947" s="20" t="n">
        <v>210101</v>
      </c>
      <c r="L2947" s="20">
        <f>VLOOKUP($O2947,매칭테이블!$G:$J,2,0)*H2947</f>
        <v/>
      </c>
      <c r="M2947" s="20">
        <f>L2947-L2947*VLOOKUP($O2947,매칭테이블!$G:$J,3,0)</f>
        <v/>
      </c>
      <c r="N2947" s="20">
        <f>VLOOKUP($O2947,매칭테이블!$G:$J,4,0)*H2947</f>
        <v/>
      </c>
      <c r="O2947" s="20">
        <f>F2947&amp;E2947&amp;G2947&amp;J2947</f>
        <v/>
      </c>
    </row>
    <row r="2948" ht="16.5" customHeight="1" s="17">
      <c r="B2948" s="16" t="n">
        <v>44214</v>
      </c>
      <c r="C2948" s="20">
        <f>TEXT(B2948,"aaa")</f>
        <v/>
      </c>
      <c r="E2948" s="20">
        <f>INDEX(매칭테이블!C:C,MATCH(RD!G2948,매칭테이블!D:D,0))</f>
        <v/>
      </c>
      <c r="F2948" s="20" t="inlineStr">
        <is>
          <t>카페24</t>
        </is>
      </c>
      <c r="G2948" s="20" t="inlineStr">
        <is>
          <t>유즈 솔리드퍼퓸 - 이그나이트 001제품선택=이그나이트 솔리드퍼퓸 - 30ml</t>
        </is>
      </c>
      <c r="H2948" s="20" t="n">
        <v>5</v>
      </c>
      <c r="I2948" s="20">
        <f>VLOOKUP(G2948,매칭테이블!D:E,2,0)</f>
        <v/>
      </c>
      <c r="J2948" s="20" t="n">
        <v>210101</v>
      </c>
      <c r="L2948" s="20">
        <f>VLOOKUP($O2948,매칭테이블!$G:$J,2,0)*H2948</f>
        <v/>
      </c>
      <c r="M2948" s="20">
        <f>L2948-L2948*VLOOKUP($O2948,매칭테이블!$G:$J,3,0)</f>
        <v/>
      </c>
      <c r="N2948" s="20">
        <f>VLOOKUP($O2948,매칭테이블!$G:$J,4,0)*H2948</f>
        <v/>
      </c>
      <c r="O2948" s="20">
        <f>F2948&amp;E2948&amp;G2948&amp;J2948</f>
        <v/>
      </c>
    </row>
    <row r="2949" ht="16.5" customHeight="1" s="17">
      <c r="B2949" s="16" t="n">
        <v>44214</v>
      </c>
      <c r="C2949" s="20">
        <f>TEXT(B2949,"aaa")</f>
        <v/>
      </c>
      <c r="E2949" s="20">
        <f>INDEX(매칭테이블!C:C,MATCH(RD!G2949,매칭테이블!D:D,0))</f>
        <v/>
      </c>
      <c r="F2949" s="20" t="inlineStr">
        <is>
          <t>카페24</t>
        </is>
      </c>
      <c r="G2949" s="20" t="inlineStr">
        <is>
          <t>유즈 스테이포에버 솔리드퍼퓸 002제품선택=스테이포에버 1개</t>
        </is>
      </c>
      <c r="H2949" s="20" t="n">
        <v>2</v>
      </c>
      <c r="I2949" s="20">
        <f>VLOOKUP(G2949,매칭테이블!D:E,2,0)</f>
        <v/>
      </c>
      <c r="J2949" s="20" t="n">
        <v>210101</v>
      </c>
      <c r="L2949" s="20">
        <f>VLOOKUP($O2949,매칭테이블!$G:$J,2,0)*H2949</f>
        <v/>
      </c>
      <c r="M2949" s="20">
        <f>L2949-L2949*VLOOKUP($O2949,매칭테이블!$G:$J,3,0)</f>
        <v/>
      </c>
      <c r="N2949" s="20">
        <f>VLOOKUP($O2949,매칭테이블!$G:$J,4,0)*H2949</f>
        <v/>
      </c>
      <c r="O2949" s="20">
        <f>F2949&amp;E2949&amp;G2949&amp;J2949</f>
        <v/>
      </c>
    </row>
    <row r="2950" ht="16.5" customHeight="1" s="17">
      <c r="B2950" s="16" t="n">
        <v>44214</v>
      </c>
      <c r="C2950" s="20">
        <f>TEXT(B2950,"aaa")</f>
        <v/>
      </c>
      <c r="E2950" s="20">
        <f>INDEX(매칭테이블!C:C,MATCH(RD!G2950,매칭테이블!D:D,0))</f>
        <v/>
      </c>
      <c r="F2950" s="20" t="inlineStr">
        <is>
          <t>카페24</t>
        </is>
      </c>
      <c r="G2950" s="20" t="inlineStr">
        <is>
          <t>유즈 스테이포에버 솔리드퍼퓸 002제품선택=best</t>
        </is>
      </c>
      <c r="H2950" s="20" t="n">
        <v>1</v>
      </c>
      <c r="I2950" s="20">
        <f>VLOOKUP(G2950,매칭테이블!D:E,2,0)</f>
        <v/>
      </c>
      <c r="J2950" s="20" t="n">
        <v>210101</v>
      </c>
      <c r="L2950" s="20">
        <f>VLOOKUP($O2950,매칭테이블!$G:$J,2,0)*H2950</f>
        <v/>
      </c>
      <c r="M2950" s="20">
        <f>L2950-L2950*VLOOKUP($O2950,매칭테이블!$G:$J,3,0)</f>
        <v/>
      </c>
      <c r="N2950" s="20">
        <f>VLOOKUP($O2950,매칭테이블!$G:$J,4,0)*H2950</f>
        <v/>
      </c>
      <c r="O2950" s="20">
        <f>F2950&amp;E2950&amp;G2950&amp;J2950</f>
        <v/>
      </c>
    </row>
    <row r="2951" ht="16.5" customHeight="1" s="17">
      <c r="B2951" s="16" t="n">
        <v>44215</v>
      </c>
      <c r="C2951" s="20">
        <f>TEXT(B2951,"aaa")</f>
        <v/>
      </c>
      <c r="E2951" s="20">
        <f>INDEX(매칭테이블!C:C,MATCH(RD!G2951,매칭테이블!D:D,0))</f>
        <v/>
      </c>
      <c r="F2951" s="20" t="inlineStr">
        <is>
          <t>카페24</t>
        </is>
      </c>
      <c r="G2951" s="20" t="inlineStr">
        <is>
          <t>유즈 솔리드퍼퓸 - 30ml향=이그나이트 001 SOLID PERFUME, 세트 선택=1개</t>
        </is>
      </c>
      <c r="H2951" s="20" t="n">
        <v>2</v>
      </c>
      <c r="I2951" s="20">
        <f>VLOOKUP(G2951,매칭테이블!D:E,2,0)</f>
        <v/>
      </c>
      <c r="J2951" s="20" t="n">
        <v>210101</v>
      </c>
      <c r="L2951" s="20">
        <f>VLOOKUP($O2951,매칭테이블!$G:$J,2,0)*H2951</f>
        <v/>
      </c>
      <c r="M2951" s="20">
        <f>L2951-L2951*VLOOKUP($O2951,매칭테이블!$G:$J,3,0)</f>
        <v/>
      </c>
      <c r="N2951" s="20">
        <f>VLOOKUP($O2951,매칭테이블!$G:$J,4,0)*H2951</f>
        <v/>
      </c>
      <c r="O2951" s="20">
        <f>F2951&amp;E2951&amp;G2951&amp;J2951</f>
        <v/>
      </c>
    </row>
    <row r="2952" ht="16.5" customHeight="1" s="17">
      <c r="B2952" s="16" t="n">
        <v>44215</v>
      </c>
      <c r="C2952" s="20">
        <f>TEXT(B2952,"aaa")</f>
        <v/>
      </c>
      <c r="E2952" s="20">
        <f>INDEX(매칭테이블!C:C,MATCH(RD!G2952,매칭테이블!D:D,0))</f>
        <v/>
      </c>
      <c r="F2952" s="20" t="inlineStr">
        <is>
          <t>카페24</t>
        </is>
      </c>
      <c r="G2952" s="20" t="inlineStr">
        <is>
          <t>유즈 솔리드퍼퓸 - 30ml향=스테이포에버 002 SOLID PERFUME, 세트 선택=1개</t>
        </is>
      </c>
      <c r="H2952" s="20" t="n">
        <v>15</v>
      </c>
      <c r="I2952" s="20">
        <f>VLOOKUP(G2952,매칭테이블!D:E,2,0)</f>
        <v/>
      </c>
      <c r="J2952" s="20" t="n">
        <v>210101</v>
      </c>
      <c r="L2952" s="20">
        <f>VLOOKUP($O2952,매칭테이블!$G:$J,2,0)*H2952</f>
        <v/>
      </c>
      <c r="M2952" s="20">
        <f>L2952-L2952*VLOOKUP($O2952,매칭테이블!$G:$J,3,0)</f>
        <v/>
      </c>
      <c r="N2952" s="20">
        <f>VLOOKUP($O2952,매칭테이블!$G:$J,4,0)*H2952</f>
        <v/>
      </c>
      <c r="O2952" s="20">
        <f>F2952&amp;E2952&amp;G2952&amp;J2952</f>
        <v/>
      </c>
    </row>
    <row r="2953" ht="16.5" customHeight="1" s="17">
      <c r="B2953" s="16" t="n">
        <v>44215</v>
      </c>
      <c r="C2953" s="20">
        <f>TEXT(B2953,"aaa")</f>
        <v/>
      </c>
      <c r="E2953" s="20">
        <f>INDEX(매칭테이블!C:C,MATCH(RD!G2953,매칭테이블!D:D,0))</f>
        <v/>
      </c>
      <c r="F2953" s="20" t="inlineStr">
        <is>
          <t>카페24</t>
        </is>
      </c>
      <c r="G2953" s="20" t="inlineStr">
        <is>
          <t>유즈 솔리드퍼퓸 - 30ml향=스테이포에버 002 SOLID PERFUME, 세트 선택=best</t>
        </is>
      </c>
      <c r="H2953" s="20" t="n">
        <v>2</v>
      </c>
      <c r="I2953" s="20">
        <f>VLOOKUP(G2953,매칭테이블!D:E,2,0)</f>
        <v/>
      </c>
      <c r="J2953" s="20" t="n">
        <v>210101</v>
      </c>
      <c r="L2953" s="20">
        <f>VLOOKUP($O2953,매칭테이블!$G:$J,2,0)*H2953</f>
        <v/>
      </c>
      <c r="M2953" s="20">
        <f>L2953-L2953*VLOOKUP($O2953,매칭테이블!$G:$J,3,0)</f>
        <v/>
      </c>
      <c r="N2953" s="20">
        <f>VLOOKUP($O2953,매칭테이블!$G:$J,4,0)*H2953</f>
        <v/>
      </c>
      <c r="O2953" s="20">
        <f>F2953&amp;E2953&amp;G2953&amp;J2953</f>
        <v/>
      </c>
    </row>
    <row r="2954" ht="16.5" customHeight="1" s="17">
      <c r="B2954" s="16" t="n">
        <v>44215</v>
      </c>
      <c r="C2954" s="20">
        <f>TEXT(B2954,"aaa")</f>
        <v/>
      </c>
      <c r="E2954" s="20">
        <f>INDEX(매칭테이블!C:C,MATCH(RD!G2954,매칭테이블!D:D,0))</f>
        <v/>
      </c>
      <c r="F2954" s="20" t="inlineStr">
        <is>
          <t>카페24</t>
        </is>
      </c>
      <c r="G2954" s="20" t="inlineStr">
        <is>
          <t>유즈 솔리드퍼퓸 - 30ml향=스테이포에버 002 SOLID PERFUME, 세트 선택=best 2개 (28% 할인)</t>
        </is>
      </c>
      <c r="H2954" s="20" t="n">
        <v>4</v>
      </c>
      <c r="I2954" s="20">
        <f>VLOOKUP(G2954,매칭테이블!D:E,2,0)</f>
        <v/>
      </c>
      <c r="J2954" s="20" t="n">
        <v>210101</v>
      </c>
      <c r="L2954" s="20">
        <f>VLOOKUP($O2954,매칭테이블!$G:$J,2,0)*H2954</f>
        <v/>
      </c>
      <c r="M2954" s="20">
        <f>L2954-L2954*VLOOKUP($O2954,매칭테이블!$G:$J,3,0)</f>
        <v/>
      </c>
      <c r="N2954" s="20">
        <f>VLOOKUP($O2954,매칭테이블!$G:$J,4,0)*H2954</f>
        <v/>
      </c>
      <c r="O2954" s="20">
        <f>F2954&amp;E2954&amp;G2954&amp;J2954</f>
        <v/>
      </c>
    </row>
    <row r="2955" ht="16.5" customHeight="1" s="17">
      <c r="B2955" s="16" t="n">
        <v>44215</v>
      </c>
      <c r="C2955" s="20">
        <f>TEXT(B2955,"aaa")</f>
        <v/>
      </c>
      <c r="E2955" s="20">
        <f>INDEX(매칭테이블!C:C,MATCH(RD!G2955,매칭테이블!D:D,0))</f>
        <v/>
      </c>
      <c r="F2955" s="20" t="inlineStr">
        <is>
          <t>카페24</t>
        </is>
      </c>
      <c r="G2955" s="20" t="inlineStr">
        <is>
          <t>유즈 솔리드퍼퓸 - 30ml향=커플세트(이그나이트 + 스테이포에버), 세트 선택=1 SET</t>
        </is>
      </c>
      <c r="H2955" s="20" t="n">
        <v>9</v>
      </c>
      <c r="I2955" s="20">
        <f>VLOOKUP(G2955,매칭테이블!D:E,2,0)</f>
        <v/>
      </c>
      <c r="J2955" s="20" t="n">
        <v>210101</v>
      </c>
      <c r="L2955" s="20">
        <f>VLOOKUP($O2955,매칭테이블!$G:$J,2,0)*H2955</f>
        <v/>
      </c>
      <c r="M2955" s="20">
        <f>L2955-L2955*VLOOKUP($O2955,매칭테이블!$G:$J,3,0)</f>
        <v/>
      </c>
      <c r="N2955" s="20">
        <f>VLOOKUP($O2955,매칭테이블!$G:$J,4,0)*H2955</f>
        <v/>
      </c>
      <c r="O2955" s="20">
        <f>F2955&amp;E2955&amp;G2955&amp;J2955</f>
        <v/>
      </c>
    </row>
    <row r="2956" ht="16.5" customHeight="1" s="17">
      <c r="B2956" s="16" t="n">
        <v>44215</v>
      </c>
      <c r="C2956" s="20">
        <f>TEXT(B2956,"aaa")</f>
        <v/>
      </c>
      <c r="E2956" s="20">
        <f>INDEX(매칭테이블!C:C,MATCH(RD!G2956,매칭테이블!D:D,0))</f>
        <v/>
      </c>
      <c r="F2956" s="20" t="inlineStr">
        <is>
          <t>카페24</t>
        </is>
      </c>
      <c r="G2956" s="20" t="inlineStr">
        <is>
          <t>유즈 솔리드퍼퓸 - 스테이포에버 002제품선택=스테이포에버 1개</t>
        </is>
      </c>
      <c r="H2956" s="20" t="n">
        <v>282</v>
      </c>
      <c r="I2956" s="20">
        <f>VLOOKUP(G2956,매칭테이블!D:E,2,0)</f>
        <v/>
      </c>
      <c r="J2956" s="20" t="n">
        <v>210101</v>
      </c>
      <c r="L2956" s="20">
        <f>VLOOKUP($O2956,매칭테이블!$G:$J,2,0)*H2956</f>
        <v/>
      </c>
      <c r="M2956" s="20">
        <f>L2956-L2956*VLOOKUP($O2956,매칭테이블!$G:$J,3,0)</f>
        <v/>
      </c>
      <c r="N2956" s="20">
        <f>VLOOKUP($O2956,매칭테이블!$G:$J,4,0)*H2956</f>
        <v/>
      </c>
      <c r="O2956" s="20">
        <f>F2956&amp;E2956&amp;G2956&amp;J2956</f>
        <v/>
      </c>
    </row>
    <row r="2957" ht="16.5" customHeight="1" s="17">
      <c r="B2957" s="16" t="n">
        <v>44215</v>
      </c>
      <c r="C2957" s="20">
        <f>TEXT(B2957,"aaa")</f>
        <v/>
      </c>
      <c r="E2957" s="20">
        <f>INDEX(매칭테이블!C:C,MATCH(RD!G2957,매칭테이블!D:D,0))</f>
        <v/>
      </c>
      <c r="F2957" s="20" t="inlineStr">
        <is>
          <t>카페24</t>
        </is>
      </c>
      <c r="G2957" s="20" t="inlineStr">
        <is>
          <t>유즈 솔리드퍼퓸 - 스테이포에버 002제품선택=best</t>
        </is>
      </c>
      <c r="H2957" s="20" t="n">
        <v>23</v>
      </c>
      <c r="I2957" s="20">
        <f>VLOOKUP(G2957,매칭테이블!D:E,2,0)</f>
        <v/>
      </c>
      <c r="J2957" s="20" t="n">
        <v>210101</v>
      </c>
      <c r="L2957" s="20">
        <f>VLOOKUP($O2957,매칭테이블!$G:$J,2,0)*H2957</f>
        <v/>
      </c>
      <c r="M2957" s="20">
        <f>L2957-L2957*VLOOKUP($O2957,매칭테이블!$G:$J,3,0)</f>
        <v/>
      </c>
      <c r="N2957" s="20">
        <f>VLOOKUP($O2957,매칭테이블!$G:$J,4,0)*H2957</f>
        <v/>
      </c>
      <c r="O2957" s="20">
        <f>F2957&amp;E2957&amp;G2957&amp;J2957</f>
        <v/>
      </c>
    </row>
    <row r="2958" ht="16.5" customHeight="1" s="17">
      <c r="B2958" s="16" t="n">
        <v>44215</v>
      </c>
      <c r="C2958" s="20">
        <f>TEXT(B2958,"aaa")</f>
        <v/>
      </c>
      <c r="E2958" s="20">
        <f>INDEX(매칭테이블!C:C,MATCH(RD!G2958,매칭테이블!D:D,0))</f>
        <v/>
      </c>
      <c r="F2958" s="20" t="inlineStr">
        <is>
          <t>카페24</t>
        </is>
      </c>
      <c r="G2958" s="20" t="inlineStr">
        <is>
          <t>유즈 솔리드퍼퓸 - 스테이포에버 002제품선택=best스테이포에버 2개[28% 할인]</t>
        </is>
      </c>
      <c r="H2958" s="20" t="n">
        <v>102</v>
      </c>
      <c r="I2958" s="20">
        <f>VLOOKUP(G2958,매칭테이블!D:E,2,0)</f>
        <v/>
      </c>
      <c r="J2958" s="20" t="n">
        <v>210101</v>
      </c>
      <c r="L2958" s="20">
        <f>VLOOKUP($O2958,매칭테이블!$G:$J,2,0)*H2958</f>
        <v/>
      </c>
      <c r="M2958" s="20">
        <f>L2958-L2958*VLOOKUP($O2958,매칭테이블!$G:$J,3,0)</f>
        <v/>
      </c>
      <c r="N2958" s="20">
        <f>VLOOKUP($O2958,매칭테이블!$G:$J,4,0)*H2958</f>
        <v/>
      </c>
      <c r="O2958" s="20">
        <f>F2958&amp;E2958&amp;G2958&amp;J2958</f>
        <v/>
      </c>
    </row>
    <row r="2959" ht="16.5" customHeight="1" s="17">
      <c r="B2959" s="16" t="n">
        <v>44215</v>
      </c>
      <c r="C2959" s="20">
        <f>TEXT(B2959,"aaa")</f>
        <v/>
      </c>
      <c r="E2959" s="20">
        <f>INDEX(매칭테이블!C:C,MATCH(RD!G2959,매칭테이블!D:D,0))</f>
        <v/>
      </c>
      <c r="F2959" s="20" t="inlineStr">
        <is>
          <t>카페24</t>
        </is>
      </c>
      <c r="G2959" s="20" t="inlineStr">
        <is>
          <t>유즈 솔리드퍼퓸 - 스테이포에버 002제품선택=커플추천</t>
        </is>
      </c>
      <c r="H2959" s="20" t="n">
        <v>1</v>
      </c>
      <c r="I2959" s="20">
        <f>VLOOKUP(G2959,매칭테이블!D:E,2,0)</f>
        <v/>
      </c>
      <c r="J2959" s="20" t="n">
        <v>210101</v>
      </c>
      <c r="L2959" s="20">
        <f>VLOOKUP($O2959,매칭테이블!$G:$J,2,0)*H2959</f>
        <v/>
      </c>
      <c r="M2959" s="20">
        <f>L2959-L2959*VLOOKUP($O2959,매칭테이블!$G:$J,3,0)</f>
        <v/>
      </c>
      <c r="N2959" s="20">
        <f>VLOOKUP($O2959,매칭테이블!$G:$J,4,0)*H2959</f>
        <v/>
      </c>
      <c r="O2959" s="20">
        <f>F2959&amp;E2959&amp;G2959&amp;J2959</f>
        <v/>
      </c>
    </row>
    <row r="2960" ht="16.5" customHeight="1" s="17">
      <c r="B2960" s="16" t="n">
        <v>44215</v>
      </c>
      <c r="C2960" s="20">
        <f>TEXT(B2960,"aaa")</f>
        <v/>
      </c>
      <c r="E2960" s="20">
        <f>INDEX(매칭테이블!C:C,MATCH(RD!G2960,매칭테이블!D:D,0))</f>
        <v/>
      </c>
      <c r="F2960" s="20" t="inlineStr">
        <is>
          <t>카페24</t>
        </is>
      </c>
      <c r="G2960" s="20" t="inlineStr">
        <is>
          <t>유즈 솔리드퍼퓸 - 스테이포에버 002제품선택=커플추천스테이포에버 + 이그나이트 세트</t>
        </is>
      </c>
      <c r="H2960" s="20" t="n">
        <v>11</v>
      </c>
      <c r="I2960" s="20">
        <f>VLOOKUP(G2960,매칭테이블!D:E,2,0)</f>
        <v/>
      </c>
      <c r="J2960" s="20" t="n">
        <v>210101</v>
      </c>
      <c r="L2960" s="20">
        <f>VLOOKUP($O2960,매칭테이블!$G:$J,2,0)*H2960</f>
        <v/>
      </c>
      <c r="M2960" s="20">
        <f>L2960-L2960*VLOOKUP($O2960,매칭테이블!$G:$J,3,0)</f>
        <v/>
      </c>
      <c r="N2960" s="20">
        <f>VLOOKUP($O2960,매칭테이블!$G:$J,4,0)*H2960</f>
        <v/>
      </c>
      <c r="O2960" s="20">
        <f>F2960&amp;E2960&amp;G2960&amp;J2960</f>
        <v/>
      </c>
    </row>
    <row r="2961" ht="16.5" customHeight="1" s="17">
      <c r="B2961" s="16" t="n">
        <v>44215</v>
      </c>
      <c r="C2961" s="20">
        <f>TEXT(B2961,"aaa")</f>
        <v/>
      </c>
      <c r="E2961" s="20">
        <f>INDEX(매칭테이블!C:C,MATCH(RD!G2961,매칭테이블!D:D,0))</f>
        <v/>
      </c>
      <c r="F2961" s="20" t="inlineStr">
        <is>
          <t>카페24</t>
        </is>
      </c>
      <c r="G2961" s="20" t="inlineStr">
        <is>
          <t>유즈 솔리드퍼퓸 - 스테이포에버 002쇼핑백=선물용 쇼핑백</t>
        </is>
      </c>
      <c r="H2961" s="20" t="n">
        <v>13</v>
      </c>
      <c r="I2961" s="20">
        <f>VLOOKUP(G2961,매칭테이블!D:E,2,0)</f>
        <v/>
      </c>
      <c r="J2961" s="20" t="n">
        <v>210101</v>
      </c>
      <c r="L2961" s="20">
        <f>VLOOKUP($O2961,매칭테이블!$G:$J,2,0)*H2961</f>
        <v/>
      </c>
      <c r="M2961" s="20">
        <f>L2961-L2961*VLOOKUP($O2961,매칭테이블!$G:$J,3,0)</f>
        <v/>
      </c>
      <c r="N2961" s="20">
        <f>VLOOKUP($O2961,매칭테이블!$G:$J,4,0)*H2961</f>
        <v/>
      </c>
      <c r="O2961" s="20">
        <f>F2961&amp;E2961&amp;G2961&amp;J2961</f>
        <v/>
      </c>
    </row>
    <row r="2962" ht="16.5" customHeight="1" s="17">
      <c r="B2962" s="16" t="n">
        <v>44215</v>
      </c>
      <c r="C2962" s="20">
        <f>TEXT(B2962,"aaa")</f>
        <v/>
      </c>
      <c r="E2962" s="20">
        <f>INDEX(매칭테이블!C:C,MATCH(RD!G2962,매칭테이블!D:D,0))</f>
        <v/>
      </c>
      <c r="F2962" s="20" t="inlineStr">
        <is>
          <t>카페24</t>
        </is>
      </c>
      <c r="G2962" s="20" t="inlineStr">
        <is>
          <t>유즈 솔리드퍼퓸 - 이그나이트 001제품선택=이그나이트 솔리드퍼퓸 - 30ml</t>
        </is>
      </c>
      <c r="H2962" s="20" t="n">
        <v>2</v>
      </c>
      <c r="I2962" s="20">
        <f>VLOOKUP(G2962,매칭테이블!D:E,2,0)</f>
        <v/>
      </c>
      <c r="J2962" s="20" t="n">
        <v>210101</v>
      </c>
      <c r="L2962" s="20">
        <f>VLOOKUP($O2962,매칭테이블!$G:$J,2,0)*H2962</f>
        <v/>
      </c>
      <c r="M2962" s="20">
        <f>L2962-L2962*VLOOKUP($O2962,매칭테이블!$G:$J,3,0)</f>
        <v/>
      </c>
      <c r="N2962" s="20">
        <f>VLOOKUP($O2962,매칭테이블!$G:$J,4,0)*H2962</f>
        <v/>
      </c>
      <c r="O2962" s="20">
        <f>F2962&amp;E2962&amp;G2962&amp;J2962</f>
        <v/>
      </c>
    </row>
    <row r="2963" ht="16.5" customHeight="1" s="17">
      <c r="B2963" s="16" t="n">
        <v>44215</v>
      </c>
      <c r="C2963" s="20">
        <f>TEXT(B2963,"aaa")</f>
        <v/>
      </c>
      <c r="E2963" s="20">
        <f>INDEX(매칭테이블!C:C,MATCH(RD!G2963,매칭테이블!D:D,0))</f>
        <v/>
      </c>
      <c r="F2963" s="20" t="inlineStr">
        <is>
          <t>카페24</t>
        </is>
      </c>
      <c r="G2963" s="20" t="inlineStr">
        <is>
          <t>유즈 솔리드퍼퓸 - 이그나이트 001제품선택=이그나이트 2개 세트</t>
        </is>
      </c>
      <c r="H2963" s="20" t="n">
        <v>1</v>
      </c>
      <c r="I2963" s="20">
        <f>VLOOKUP(G2963,매칭테이블!D:E,2,0)</f>
        <v/>
      </c>
      <c r="J2963" s="20" t="n">
        <v>210101</v>
      </c>
      <c r="L2963" s="20">
        <f>VLOOKUP($O2963,매칭테이블!$G:$J,2,0)*H2963</f>
        <v/>
      </c>
      <c r="M2963" s="20">
        <f>L2963-L2963*VLOOKUP($O2963,매칭테이블!$G:$J,3,0)</f>
        <v/>
      </c>
      <c r="N2963" s="20">
        <f>VLOOKUP($O2963,매칭테이블!$G:$J,4,0)*H2963</f>
        <v/>
      </c>
      <c r="O2963" s="20">
        <f>F2963&amp;E2963&amp;G2963&amp;J2963</f>
        <v/>
      </c>
    </row>
    <row r="2964" ht="16.5" customHeight="1" s="17">
      <c r="B2964" s="16" t="n">
        <v>44215</v>
      </c>
      <c r="C2964" s="20">
        <f>TEXT(B2964,"aaa")</f>
        <v/>
      </c>
      <c r="E2964" s="20">
        <f>INDEX(매칭테이블!C:C,MATCH(RD!G2964,매칭테이블!D:D,0))</f>
        <v/>
      </c>
      <c r="F2964" s="20" t="inlineStr">
        <is>
          <t>카페24</t>
        </is>
      </c>
      <c r="G2964" s="20" t="inlineStr">
        <is>
          <t>유즈 스테이포에버 솔리드퍼퓸 002제품선택=스테이포에버 1개</t>
        </is>
      </c>
      <c r="H2964" s="20" t="n">
        <v>2</v>
      </c>
      <c r="I2964" s="20">
        <f>VLOOKUP(G2964,매칭테이블!D:E,2,0)</f>
        <v/>
      </c>
      <c r="J2964" s="20" t="n">
        <v>210101</v>
      </c>
      <c r="L2964" s="20">
        <f>VLOOKUP($O2964,매칭테이블!$G:$J,2,0)*H2964</f>
        <v/>
      </c>
      <c r="M2964" s="20">
        <f>L2964-L2964*VLOOKUP($O2964,매칭테이블!$G:$J,3,0)</f>
        <v/>
      </c>
      <c r="N2964" s="20">
        <f>VLOOKUP($O2964,매칭테이블!$G:$J,4,0)*H2964</f>
        <v/>
      </c>
      <c r="O2964" s="20">
        <f>F2964&amp;E2964&amp;G2964&amp;J2964</f>
        <v/>
      </c>
    </row>
    <row r="2965" ht="16.5" customHeight="1" s="17">
      <c r="B2965" s="16" t="n">
        <v>44215</v>
      </c>
      <c r="C2965" s="20">
        <f>TEXT(B2965,"aaa")</f>
        <v/>
      </c>
      <c r="E2965" s="20">
        <f>INDEX(매칭테이블!C:C,MATCH(RD!G2965,매칭테이블!D:D,0))</f>
        <v/>
      </c>
      <c r="F2965" s="20" t="inlineStr">
        <is>
          <t>카페24</t>
        </is>
      </c>
      <c r="G2965" s="20" t="inlineStr">
        <is>
          <t>유즈 스테이포에버 솔리드퍼퓸 002제품선택=best스테이포에버 2개[28% 할인]</t>
        </is>
      </c>
      <c r="H2965" s="20" t="n">
        <v>1</v>
      </c>
      <c r="I2965" s="20">
        <f>VLOOKUP(G2965,매칭테이블!D:E,2,0)</f>
        <v/>
      </c>
      <c r="J2965" s="20" t="n">
        <v>210101</v>
      </c>
      <c r="L2965" s="20">
        <f>VLOOKUP($O2965,매칭테이블!$G:$J,2,0)*H2965</f>
        <v/>
      </c>
      <c r="M2965" s="20">
        <f>L2965-L2965*VLOOKUP($O2965,매칭테이블!$G:$J,3,0)</f>
        <v/>
      </c>
      <c r="N2965" s="20">
        <f>VLOOKUP($O2965,매칭테이블!$G:$J,4,0)*H2965</f>
        <v/>
      </c>
      <c r="O2965" s="20">
        <f>F2965&amp;E2965&amp;G2965&amp;J2965</f>
        <v/>
      </c>
    </row>
    <row r="2966" ht="16.5" customHeight="1" s="17">
      <c r="B2966" s="16" t="n">
        <v>44216</v>
      </c>
      <c r="C2966" s="20">
        <f>TEXT(B2966,"aaa")</f>
        <v/>
      </c>
      <c r="E2966" s="20">
        <f>INDEX(매칭테이블!C:C,MATCH(RD!G2966,매칭테이블!D:D,0))</f>
        <v/>
      </c>
      <c r="F2966" s="20" t="inlineStr">
        <is>
          <t>카페24</t>
        </is>
      </c>
      <c r="G2966" s="20" t="inlineStr">
        <is>
          <t>유즈 솔리드퍼퓸 - 30ml향=스테이포에버 002 SOLID PERFUME, 세트 선택=1개</t>
        </is>
      </c>
      <c r="H2966" s="20" t="n">
        <v>15</v>
      </c>
      <c r="I2966" s="20">
        <f>VLOOKUP(G2966,매칭테이블!D:E,2,0)</f>
        <v/>
      </c>
      <c r="J2966" s="20" t="n">
        <v>210101</v>
      </c>
      <c r="L2966" s="20">
        <f>VLOOKUP($O2966,매칭테이블!$G:$J,2,0)*H2966</f>
        <v/>
      </c>
      <c r="M2966" s="20">
        <f>L2966-L2966*VLOOKUP($O2966,매칭테이블!$G:$J,3,0)</f>
        <v/>
      </c>
      <c r="N2966" s="20">
        <f>VLOOKUP($O2966,매칭테이블!$G:$J,4,0)*H2966</f>
        <v/>
      </c>
      <c r="O2966" s="20">
        <f>F2966&amp;E2966&amp;G2966&amp;J2966</f>
        <v/>
      </c>
    </row>
    <row r="2967" ht="16.5" customHeight="1" s="17">
      <c r="B2967" s="16" t="n">
        <v>44216</v>
      </c>
      <c r="C2967" s="20">
        <f>TEXT(B2967,"aaa")</f>
        <v/>
      </c>
      <c r="E2967" s="20">
        <f>INDEX(매칭테이블!C:C,MATCH(RD!G2967,매칭테이블!D:D,0))</f>
        <v/>
      </c>
      <c r="F2967" s="20" t="inlineStr">
        <is>
          <t>카페24</t>
        </is>
      </c>
      <c r="G2967" s="20" t="inlineStr">
        <is>
          <t>유즈 솔리드퍼퓸 - 30ml향=스테이포에버 002 SOLID PERFUME, 세트 선택=best 2개 (28% 할인)</t>
        </is>
      </c>
      <c r="H2967" s="20" t="n">
        <v>5</v>
      </c>
      <c r="I2967" s="20">
        <f>VLOOKUP(G2967,매칭테이블!D:E,2,0)</f>
        <v/>
      </c>
      <c r="J2967" s="20" t="n">
        <v>210101</v>
      </c>
      <c r="L2967" s="20">
        <f>VLOOKUP($O2967,매칭테이블!$G:$J,2,0)*H2967</f>
        <v/>
      </c>
      <c r="M2967" s="20">
        <f>L2967-L2967*VLOOKUP($O2967,매칭테이블!$G:$J,3,0)</f>
        <v/>
      </c>
      <c r="N2967" s="20">
        <f>VLOOKUP($O2967,매칭테이블!$G:$J,4,0)*H2967</f>
        <v/>
      </c>
      <c r="O2967" s="20">
        <f>F2967&amp;E2967&amp;G2967&amp;J2967</f>
        <v/>
      </c>
    </row>
    <row r="2968" ht="16.5" customHeight="1" s="17">
      <c r="B2968" s="16" t="n">
        <v>44216</v>
      </c>
      <c r="C2968" s="20">
        <f>TEXT(B2968,"aaa")</f>
        <v/>
      </c>
      <c r="E2968" s="20">
        <f>INDEX(매칭테이블!C:C,MATCH(RD!G2968,매칭테이블!D:D,0))</f>
        <v/>
      </c>
      <c r="F2968" s="20" t="inlineStr">
        <is>
          <t>카페24</t>
        </is>
      </c>
      <c r="G2968" s="20" t="inlineStr">
        <is>
          <t>유즈 솔리드퍼퓸 - 30ml향=커플세트(이그나이트 + 스테이포에버), 세트 선택=1 SET</t>
        </is>
      </c>
      <c r="H2968" s="20" t="n">
        <v>12</v>
      </c>
      <c r="I2968" s="20">
        <f>VLOOKUP(G2968,매칭테이블!D:E,2,0)</f>
        <v/>
      </c>
      <c r="J2968" s="20" t="n">
        <v>210101</v>
      </c>
      <c r="L2968" s="20">
        <f>VLOOKUP($O2968,매칭테이블!$G:$J,2,0)*H2968</f>
        <v/>
      </c>
      <c r="M2968" s="20">
        <f>L2968-L2968*VLOOKUP($O2968,매칭테이블!$G:$J,3,0)</f>
        <v/>
      </c>
      <c r="N2968" s="20">
        <f>VLOOKUP($O2968,매칭테이블!$G:$J,4,0)*H2968</f>
        <v/>
      </c>
      <c r="O2968" s="20">
        <f>F2968&amp;E2968&amp;G2968&amp;J2968</f>
        <v/>
      </c>
    </row>
    <row r="2969" ht="16.5" customHeight="1" s="17">
      <c r="B2969" s="16" t="n">
        <v>44216</v>
      </c>
      <c r="C2969" s="20">
        <f>TEXT(B2969,"aaa")</f>
        <v/>
      </c>
      <c r="E2969" s="20">
        <f>INDEX(매칭테이블!C:C,MATCH(RD!G2969,매칭테이블!D:D,0))</f>
        <v/>
      </c>
      <c r="F2969" s="20" t="inlineStr">
        <is>
          <t>카페24</t>
        </is>
      </c>
      <c r="G2969" s="20" t="inlineStr">
        <is>
          <t>유즈 솔리드퍼퓸 - 30ml향=커플세트(이그나이트 + 스테이포에버), 세트 선택=2 SET (42% 할인)</t>
        </is>
      </c>
      <c r="H2969" s="20" t="n">
        <v>1</v>
      </c>
      <c r="I2969" s="20">
        <f>VLOOKUP(G2969,매칭테이블!D:E,2,0)</f>
        <v/>
      </c>
      <c r="J2969" s="20" t="n">
        <v>210101</v>
      </c>
      <c r="L2969" s="20">
        <f>VLOOKUP($O2969,매칭테이블!$G:$J,2,0)*H2969</f>
        <v/>
      </c>
      <c r="M2969" s="20">
        <f>L2969-L2969*VLOOKUP($O2969,매칭테이블!$G:$J,3,0)</f>
        <v/>
      </c>
      <c r="N2969" s="20">
        <f>VLOOKUP($O2969,매칭테이블!$G:$J,4,0)*H2969</f>
        <v/>
      </c>
      <c r="O2969" s="20">
        <f>F2969&amp;E2969&amp;G2969&amp;J2969</f>
        <v/>
      </c>
    </row>
    <row r="2970" ht="16.5" customHeight="1" s="17">
      <c r="B2970" s="16" t="n">
        <v>44216</v>
      </c>
      <c r="C2970" s="20">
        <f>TEXT(B2970,"aaa")</f>
        <v/>
      </c>
      <c r="E2970" s="20">
        <f>INDEX(매칭테이블!C:C,MATCH(RD!G2970,매칭테이블!D:D,0))</f>
        <v/>
      </c>
      <c r="F2970" s="20" t="inlineStr">
        <is>
          <t>카페24</t>
        </is>
      </c>
      <c r="G2970" s="20" t="inlineStr">
        <is>
          <t>유즈 솔리드퍼퓸 - 스테이포에버 002제품선택=스테이포에버 1개</t>
        </is>
      </c>
      <c r="H2970" s="20" t="n">
        <v>283</v>
      </c>
      <c r="I2970" s="20">
        <f>VLOOKUP(G2970,매칭테이블!D:E,2,0)</f>
        <v/>
      </c>
      <c r="J2970" s="20" t="n">
        <v>210101</v>
      </c>
      <c r="L2970" s="20">
        <f>VLOOKUP($O2970,매칭테이블!$G:$J,2,0)*H2970</f>
        <v/>
      </c>
      <c r="M2970" s="20">
        <f>L2970-L2970*VLOOKUP($O2970,매칭테이블!$G:$J,3,0)</f>
        <v/>
      </c>
      <c r="N2970" s="20">
        <f>VLOOKUP($O2970,매칭테이블!$G:$J,4,0)*H2970</f>
        <v/>
      </c>
      <c r="O2970" s="20">
        <f>F2970&amp;E2970&amp;G2970&amp;J2970</f>
        <v/>
      </c>
    </row>
    <row r="2971" ht="16.5" customHeight="1" s="17">
      <c r="B2971" s="16" t="n">
        <v>44216</v>
      </c>
      <c r="C2971" s="20">
        <f>TEXT(B2971,"aaa")</f>
        <v/>
      </c>
      <c r="E2971" s="20">
        <f>INDEX(매칭테이블!C:C,MATCH(RD!G2971,매칭테이블!D:D,0))</f>
        <v/>
      </c>
      <c r="F2971" s="20" t="inlineStr">
        <is>
          <t>카페24</t>
        </is>
      </c>
      <c r="G2971" s="20" t="inlineStr">
        <is>
          <t>유즈 솔리드퍼퓸 - 스테이포에버 002제품선택=best스테이포에버 2개[28% 할인]</t>
        </is>
      </c>
      <c r="H2971" s="20" t="n">
        <v>126</v>
      </c>
      <c r="I2971" s="20">
        <f>VLOOKUP(G2971,매칭테이블!D:E,2,0)</f>
        <v/>
      </c>
      <c r="J2971" s="20" t="n">
        <v>210101</v>
      </c>
      <c r="L2971" s="20">
        <f>VLOOKUP($O2971,매칭테이블!$G:$J,2,0)*H2971</f>
        <v/>
      </c>
      <c r="M2971" s="20">
        <f>L2971-L2971*VLOOKUP($O2971,매칭테이블!$G:$J,3,0)</f>
        <v/>
      </c>
      <c r="N2971" s="20">
        <f>VLOOKUP($O2971,매칭테이블!$G:$J,4,0)*H2971</f>
        <v/>
      </c>
      <c r="O2971" s="20">
        <f>F2971&amp;E2971&amp;G2971&amp;J2971</f>
        <v/>
      </c>
    </row>
    <row r="2972" ht="16.5" customHeight="1" s="17">
      <c r="B2972" s="16" t="n">
        <v>44216</v>
      </c>
      <c r="C2972" s="20">
        <f>TEXT(B2972,"aaa")</f>
        <v/>
      </c>
      <c r="E2972" s="20">
        <f>INDEX(매칭테이블!C:C,MATCH(RD!G2972,매칭테이블!D:D,0))</f>
        <v/>
      </c>
      <c r="F2972" s="20" t="inlineStr">
        <is>
          <t>카페24</t>
        </is>
      </c>
      <c r="G2972" s="20" t="inlineStr">
        <is>
          <t>유즈 솔리드퍼퓸 - 스테이포에버 002제품선택=커플추천스테이포에버 + 이그나이트 세트</t>
        </is>
      </c>
      <c r="H2972" s="20" t="n">
        <v>15</v>
      </c>
      <c r="I2972" s="20">
        <f>VLOOKUP(G2972,매칭테이블!D:E,2,0)</f>
        <v/>
      </c>
      <c r="J2972" s="20" t="n">
        <v>210101</v>
      </c>
      <c r="L2972" s="20">
        <f>VLOOKUP($O2972,매칭테이블!$G:$J,2,0)*H2972</f>
        <v/>
      </c>
      <c r="M2972" s="20">
        <f>L2972-L2972*VLOOKUP($O2972,매칭테이블!$G:$J,3,0)</f>
        <v/>
      </c>
      <c r="N2972" s="20">
        <f>VLOOKUP($O2972,매칭테이블!$G:$J,4,0)*H2972</f>
        <v/>
      </c>
      <c r="O2972" s="20">
        <f>F2972&amp;E2972&amp;G2972&amp;J2972</f>
        <v/>
      </c>
    </row>
    <row r="2973" ht="16.5" customHeight="1" s="17">
      <c r="B2973" s="16" t="n">
        <v>44216</v>
      </c>
      <c r="C2973" s="20">
        <f>TEXT(B2973,"aaa")</f>
        <v/>
      </c>
      <c r="E2973" s="20">
        <f>INDEX(매칭테이블!C:C,MATCH(RD!G2973,매칭테이블!D:D,0))</f>
        <v/>
      </c>
      <c r="F2973" s="20" t="inlineStr">
        <is>
          <t>카페24</t>
        </is>
      </c>
      <c r="G2973" s="20" t="inlineStr">
        <is>
          <t>유즈 솔리드퍼퓸 - 스테이포에버 002쇼핑백=선물용 쇼핑백</t>
        </is>
      </c>
      <c r="H2973" s="20" t="n">
        <v>12</v>
      </c>
      <c r="I2973" s="20">
        <f>VLOOKUP(G2973,매칭테이블!D:E,2,0)</f>
        <v/>
      </c>
      <c r="J2973" s="20" t="n">
        <v>210101</v>
      </c>
      <c r="L2973" s="20">
        <f>VLOOKUP($O2973,매칭테이블!$G:$J,2,0)*H2973</f>
        <v/>
      </c>
      <c r="M2973" s="20">
        <f>L2973-L2973*VLOOKUP($O2973,매칭테이블!$G:$J,3,0)</f>
        <v/>
      </c>
      <c r="N2973" s="20">
        <f>VLOOKUP($O2973,매칭테이블!$G:$J,4,0)*H2973</f>
        <v/>
      </c>
      <c r="O2973" s="20">
        <f>F2973&amp;E2973&amp;G2973&amp;J2973</f>
        <v/>
      </c>
    </row>
    <row r="2974" ht="16.5" customHeight="1" s="17">
      <c r="B2974" s="16" t="n">
        <v>44216</v>
      </c>
      <c r="C2974" s="20">
        <f>TEXT(B2974,"aaa")</f>
        <v/>
      </c>
      <c r="E2974" s="20">
        <f>INDEX(매칭테이블!C:C,MATCH(RD!G2974,매칭테이블!D:D,0))</f>
        <v/>
      </c>
      <c r="F2974" s="20" t="inlineStr">
        <is>
          <t>카페24</t>
        </is>
      </c>
      <c r="G2974" s="20" t="inlineStr">
        <is>
          <t>유즈 솔리드퍼퓸 - 이그나이트 001제품선택=이그나이트 솔리드퍼퓸 - 30ml</t>
        </is>
      </c>
      <c r="H2974" s="20" t="n">
        <v>4</v>
      </c>
      <c r="I2974" s="20">
        <f>VLOOKUP(G2974,매칭테이블!D:E,2,0)</f>
        <v/>
      </c>
      <c r="J2974" s="20" t="n">
        <v>210101</v>
      </c>
      <c r="L2974" s="20">
        <f>VLOOKUP($O2974,매칭테이블!$G:$J,2,0)*H2974</f>
        <v/>
      </c>
      <c r="M2974" s="20">
        <f>L2974-L2974*VLOOKUP($O2974,매칭테이블!$G:$J,3,0)</f>
        <v/>
      </c>
      <c r="N2974" s="20">
        <f>VLOOKUP($O2974,매칭테이블!$G:$J,4,0)*H2974</f>
        <v/>
      </c>
      <c r="O2974" s="20">
        <f>F2974&amp;E2974&amp;G2974&amp;J2974</f>
        <v/>
      </c>
    </row>
    <row r="2975" ht="16.5" customHeight="1" s="17">
      <c r="B2975" s="16" t="n">
        <v>44216</v>
      </c>
      <c r="C2975" s="20">
        <f>TEXT(B2975,"aaa")</f>
        <v/>
      </c>
      <c r="E2975" s="20">
        <f>INDEX(매칭테이블!C:C,MATCH(RD!G2975,매칭테이블!D:D,0))</f>
        <v/>
      </c>
      <c r="F2975" s="20" t="inlineStr">
        <is>
          <t>카페24</t>
        </is>
      </c>
      <c r="G2975" s="20" t="inlineStr">
        <is>
          <t>유즈 솔리드퍼퓸 - 이그나이트 001제품선택=이그나이트 2개 세트</t>
        </is>
      </c>
      <c r="H2975" s="20" t="n">
        <v>1</v>
      </c>
      <c r="I2975" s="20">
        <f>VLOOKUP(G2975,매칭테이블!D:E,2,0)</f>
        <v/>
      </c>
      <c r="J2975" s="20" t="n">
        <v>210101</v>
      </c>
      <c r="L2975" s="20">
        <f>VLOOKUP($O2975,매칭테이블!$G:$J,2,0)*H2975</f>
        <v/>
      </c>
      <c r="M2975" s="20">
        <f>L2975-L2975*VLOOKUP($O2975,매칭테이블!$G:$J,3,0)</f>
        <v/>
      </c>
      <c r="N2975" s="20">
        <f>VLOOKUP($O2975,매칭테이블!$G:$J,4,0)*H2975</f>
        <v/>
      </c>
      <c r="O2975" s="20">
        <f>F2975&amp;E2975&amp;G2975&amp;J2975</f>
        <v/>
      </c>
    </row>
    <row r="2976" ht="16.5" customHeight="1" s="17">
      <c r="B2976" s="16" t="n">
        <v>44216</v>
      </c>
      <c r="C2976" s="20">
        <f>TEXT(B2976,"aaa")</f>
        <v/>
      </c>
      <c r="E2976" s="20">
        <f>INDEX(매칭테이블!C:C,MATCH(RD!G2976,매칭테이블!D:D,0))</f>
        <v/>
      </c>
      <c r="F2976" s="20" t="inlineStr">
        <is>
          <t>카페24</t>
        </is>
      </c>
      <c r="G2976" s="20" t="inlineStr">
        <is>
          <t>유즈 솔리드퍼퓸 - 이그나이트 001쇼핑백=선물용 쇼핑백</t>
        </is>
      </c>
      <c r="H2976" s="20" t="n">
        <v>1</v>
      </c>
      <c r="I2976" s="20">
        <f>VLOOKUP(G2976,매칭테이블!D:E,2,0)</f>
        <v/>
      </c>
      <c r="J2976" s="20" t="n">
        <v>210101</v>
      </c>
      <c r="L2976" s="20">
        <f>VLOOKUP($O2976,매칭테이블!$G:$J,2,0)*H2976</f>
        <v/>
      </c>
      <c r="M2976" s="20">
        <f>L2976-L2976*VLOOKUP($O2976,매칭테이블!$G:$J,3,0)</f>
        <v/>
      </c>
      <c r="N2976" s="20">
        <f>VLOOKUP($O2976,매칭테이블!$G:$J,4,0)*H2976</f>
        <v/>
      </c>
      <c r="O2976" s="20">
        <f>F2976&amp;E2976&amp;G2976&amp;J2976</f>
        <v/>
      </c>
    </row>
    <row r="2977" ht="16.5" customHeight="1" s="17">
      <c r="B2977" s="16" t="n">
        <v>44216</v>
      </c>
      <c r="C2977" s="20">
        <f>TEXT(B2977,"aaa")</f>
        <v/>
      </c>
      <c r="E2977" s="20">
        <f>INDEX(매칭테이블!C:C,MATCH(RD!G2977,매칭테이블!D:D,0))</f>
        <v/>
      </c>
      <c r="F2977" s="20" t="inlineStr">
        <is>
          <t>카페24</t>
        </is>
      </c>
      <c r="G2977" s="20" t="inlineStr">
        <is>
          <t>유즈 스테이포에버 솔리드퍼퓸 002제품선택=스테이포에버 1개</t>
        </is>
      </c>
      <c r="H2977" s="20" t="n">
        <v>1</v>
      </c>
      <c r="I2977" s="20">
        <f>VLOOKUP(G2977,매칭테이블!D:E,2,0)</f>
        <v/>
      </c>
      <c r="J2977" s="20" t="n">
        <v>210101</v>
      </c>
      <c r="L2977" s="20">
        <f>VLOOKUP($O2977,매칭테이블!$G:$J,2,0)*H2977</f>
        <v/>
      </c>
      <c r="M2977" s="20">
        <f>L2977-L2977*VLOOKUP($O2977,매칭테이블!$G:$J,3,0)</f>
        <v/>
      </c>
      <c r="N2977" s="20">
        <f>VLOOKUP($O2977,매칭테이블!$G:$J,4,0)*H2977</f>
        <v/>
      </c>
      <c r="O2977" s="20">
        <f>F2977&amp;E2977&amp;G2977&amp;J2977</f>
        <v/>
      </c>
    </row>
    <row r="2978" ht="16.5" customHeight="1" s="17">
      <c r="B2978" s="16" t="n">
        <v>44216</v>
      </c>
      <c r="C2978" s="20">
        <f>TEXT(B2978,"aaa")</f>
        <v/>
      </c>
      <c r="E2978" s="20">
        <f>INDEX(매칭테이블!C:C,MATCH(RD!G2978,매칭테이블!D:D,0))</f>
        <v/>
      </c>
      <c r="F2978" s="20" t="inlineStr">
        <is>
          <t>카페24</t>
        </is>
      </c>
      <c r="G2978" s="20" t="inlineStr">
        <is>
          <t>유즈 스테이포에버 솔리드퍼퓸 002제품선택=best스테이포에버 2개[28% 할인]</t>
        </is>
      </c>
      <c r="H2978" s="20" t="n">
        <v>2</v>
      </c>
      <c r="I2978" s="20">
        <f>VLOOKUP(G2978,매칭테이블!D:E,2,0)</f>
        <v/>
      </c>
      <c r="J2978" s="20" t="n">
        <v>210101</v>
      </c>
      <c r="L2978" s="20">
        <f>VLOOKUP($O2978,매칭테이블!$G:$J,2,0)*H2978</f>
        <v/>
      </c>
      <c r="M2978" s="20">
        <f>L2978-L2978*VLOOKUP($O2978,매칭테이블!$G:$J,3,0)</f>
        <v/>
      </c>
      <c r="N2978" s="20">
        <f>VLOOKUP($O2978,매칭테이블!$G:$J,4,0)*H2978</f>
        <v/>
      </c>
      <c r="O2978" s="20">
        <f>F2978&amp;E2978&amp;G2978&amp;J2978</f>
        <v/>
      </c>
    </row>
    <row r="2979" ht="16.5" customHeight="1" s="17">
      <c r="B2979" s="16" t="n">
        <v>44217</v>
      </c>
      <c r="C2979" s="20">
        <f>TEXT(B2979,"aaa")</f>
        <v/>
      </c>
      <c r="E2979" s="20">
        <f>INDEX(매칭테이블!C:C,MATCH(RD!G2979,매칭테이블!D:D,0))</f>
        <v/>
      </c>
      <c r="F2979" s="20" t="inlineStr">
        <is>
          <t>유즈 CS</t>
        </is>
      </c>
      <c r="G2979" s="20" t="inlineStr">
        <is>
          <t>솔리드퍼퓸 스테이포에버 002 30ml</t>
        </is>
      </c>
      <c r="H2979" s="20" t="n">
        <v>1</v>
      </c>
      <c r="I2979" s="20">
        <f>VLOOKUP(G2979,매칭테이블!D:E,2,0)</f>
        <v/>
      </c>
      <c r="J2979" s="20" t="n">
        <v>210101</v>
      </c>
      <c r="L2979" s="20">
        <f>VLOOKUP($O2979,매칭테이블!$G:$J,2,0)*H2979</f>
        <v/>
      </c>
      <c r="M2979" s="20">
        <f>L2979-L2979*VLOOKUP($O2979,매칭테이블!$G:$J,3,0)</f>
        <v/>
      </c>
      <c r="N2979" s="20">
        <f>VLOOKUP($O2979,매칭테이블!$G:$J,4,0)*H2979</f>
        <v/>
      </c>
      <c r="O2979" s="20">
        <f>F2979&amp;E2979&amp;G2979&amp;J2979</f>
        <v/>
      </c>
    </row>
    <row r="2980" ht="16.5" customHeight="1" s="17">
      <c r="B2980" s="16" t="n">
        <v>44217</v>
      </c>
      <c r="C2980" s="20">
        <f>TEXT(B2980,"aaa")</f>
        <v/>
      </c>
      <c r="E2980" s="20">
        <f>INDEX(매칭테이블!C:C,MATCH(RD!G2980,매칭테이블!D:D,0))</f>
        <v/>
      </c>
      <c r="F2980" s="20" t="inlineStr">
        <is>
          <t>카페24</t>
        </is>
      </c>
      <c r="G2980" s="20" t="inlineStr">
        <is>
          <t>솔리드퍼퓸 스테이포에버 002 30ml</t>
        </is>
      </c>
      <c r="H2980" s="20" t="n">
        <v>1</v>
      </c>
      <c r="I2980" s="20">
        <f>VLOOKUP(G2980,매칭테이블!D:E,2,0)</f>
        <v/>
      </c>
      <c r="J2980" s="20" t="n">
        <v>210101</v>
      </c>
      <c r="L2980" s="20">
        <f>VLOOKUP($O2980,매칭테이블!$G:$J,2,0)*H2980</f>
        <v/>
      </c>
      <c r="M2980" s="20">
        <f>L2980-L2980*VLOOKUP($O2980,매칭테이블!$G:$J,3,0)</f>
        <v/>
      </c>
      <c r="N2980" s="20">
        <f>VLOOKUP($O2980,매칭테이블!$G:$J,4,0)*H2980</f>
        <v/>
      </c>
      <c r="O2980" s="20">
        <f>F2980&amp;E2980&amp;G2980&amp;J2980</f>
        <v/>
      </c>
    </row>
    <row r="2981" ht="16.5" customHeight="1" s="17">
      <c r="B2981" s="16" t="n">
        <v>44217</v>
      </c>
      <c r="C2981" s="20">
        <f>TEXT(B2981,"aaa")</f>
        <v/>
      </c>
      <c r="E2981" s="20">
        <f>INDEX(매칭테이블!C:C,MATCH(RD!G2981,매칭테이블!D:D,0))</f>
        <v/>
      </c>
      <c r="F2981" s="20" t="inlineStr">
        <is>
          <t>카페24</t>
        </is>
      </c>
      <c r="G2981" s="20" t="inlineStr">
        <is>
          <t>유즈 솔리드퍼퓸 - 30ml향=이그나이트 001 SOLID PERFUME, 세트 선택=1개</t>
        </is>
      </c>
      <c r="H2981" s="20" t="n">
        <v>1</v>
      </c>
      <c r="I2981" s="20">
        <f>VLOOKUP(G2981,매칭테이블!D:E,2,0)</f>
        <v/>
      </c>
      <c r="J2981" s="20" t="n">
        <v>210101</v>
      </c>
      <c r="L2981" s="20">
        <f>VLOOKUP($O2981,매칭테이블!$G:$J,2,0)*H2981</f>
        <v/>
      </c>
      <c r="M2981" s="20">
        <f>L2981-L2981*VLOOKUP($O2981,매칭테이블!$G:$J,3,0)</f>
        <v/>
      </c>
      <c r="N2981" s="20">
        <f>VLOOKUP($O2981,매칭테이블!$G:$J,4,0)*H2981</f>
        <v/>
      </c>
      <c r="O2981" s="20">
        <f>F2981&amp;E2981&amp;G2981&amp;J2981</f>
        <v/>
      </c>
    </row>
    <row r="2982" ht="16.5" customHeight="1" s="17">
      <c r="B2982" s="16" t="n">
        <v>44217</v>
      </c>
      <c r="C2982" s="20">
        <f>TEXT(B2982,"aaa")</f>
        <v/>
      </c>
      <c r="E2982" s="20">
        <f>INDEX(매칭테이블!C:C,MATCH(RD!G2982,매칭테이블!D:D,0))</f>
        <v/>
      </c>
      <c r="F2982" s="20" t="inlineStr">
        <is>
          <t>카페24</t>
        </is>
      </c>
      <c r="G2982" s="20" t="inlineStr">
        <is>
          <t>유즈 솔리드퍼퓸 - 30ml향=스테이포에버 002 SOLID PERFUME, 세트 선택=1개</t>
        </is>
      </c>
      <c r="H2982" s="20" t="n">
        <v>14</v>
      </c>
      <c r="I2982" s="20">
        <f>VLOOKUP(G2982,매칭테이블!D:E,2,0)</f>
        <v/>
      </c>
      <c r="J2982" s="20" t="n">
        <v>210101</v>
      </c>
      <c r="L2982" s="20">
        <f>VLOOKUP($O2982,매칭테이블!$G:$J,2,0)*H2982</f>
        <v/>
      </c>
      <c r="M2982" s="20">
        <f>L2982-L2982*VLOOKUP($O2982,매칭테이블!$G:$J,3,0)</f>
        <v/>
      </c>
      <c r="N2982" s="20">
        <f>VLOOKUP($O2982,매칭테이블!$G:$J,4,0)*H2982</f>
        <v/>
      </c>
      <c r="O2982" s="20">
        <f>F2982&amp;E2982&amp;G2982&amp;J2982</f>
        <v/>
      </c>
    </row>
    <row r="2983" ht="16.5" customHeight="1" s="17">
      <c r="B2983" s="16" t="n">
        <v>44217</v>
      </c>
      <c r="C2983" s="20">
        <f>TEXT(B2983,"aaa")</f>
        <v/>
      </c>
      <c r="E2983" s="20">
        <f>INDEX(매칭테이블!C:C,MATCH(RD!G2983,매칭테이블!D:D,0))</f>
        <v/>
      </c>
      <c r="F2983" s="20" t="inlineStr">
        <is>
          <t>카페24</t>
        </is>
      </c>
      <c r="G2983" s="20" t="inlineStr">
        <is>
          <t>유즈 솔리드퍼퓸 - 30ml향=스테이포에버 002 SOLID PERFUME, 세트 선택=best 2개 (28% 할인)</t>
        </is>
      </c>
      <c r="H2983" s="20" t="n">
        <v>6</v>
      </c>
      <c r="I2983" s="20">
        <f>VLOOKUP(G2983,매칭테이블!D:E,2,0)</f>
        <v/>
      </c>
      <c r="J2983" s="20" t="n">
        <v>210101</v>
      </c>
      <c r="L2983" s="20">
        <f>VLOOKUP($O2983,매칭테이블!$G:$J,2,0)*H2983</f>
        <v/>
      </c>
      <c r="M2983" s="20">
        <f>L2983-L2983*VLOOKUP($O2983,매칭테이블!$G:$J,3,0)</f>
        <v/>
      </c>
      <c r="N2983" s="20">
        <f>VLOOKUP($O2983,매칭테이블!$G:$J,4,0)*H2983</f>
        <v/>
      </c>
      <c r="O2983" s="20">
        <f>F2983&amp;E2983&amp;G2983&amp;J2983</f>
        <v/>
      </c>
    </row>
    <row r="2984" ht="16.5" customHeight="1" s="17">
      <c r="B2984" s="16" t="n">
        <v>44217</v>
      </c>
      <c r="C2984" s="20">
        <f>TEXT(B2984,"aaa")</f>
        <v/>
      </c>
      <c r="E2984" s="20">
        <f>INDEX(매칭테이블!C:C,MATCH(RD!G2984,매칭테이블!D:D,0))</f>
        <v/>
      </c>
      <c r="F2984" s="20" t="inlineStr">
        <is>
          <t>카페24</t>
        </is>
      </c>
      <c r="G2984" s="20" t="inlineStr">
        <is>
          <t>유즈 솔리드퍼퓸 - 30ml향=커플세트(이그나이트 + 스테이포에버), 세트 선택=1 SET</t>
        </is>
      </c>
      <c r="H2984" s="20" t="n">
        <v>7</v>
      </c>
      <c r="I2984" s="20">
        <f>VLOOKUP(G2984,매칭테이블!D:E,2,0)</f>
        <v/>
      </c>
      <c r="J2984" s="20" t="n">
        <v>210101</v>
      </c>
      <c r="L2984" s="20">
        <f>VLOOKUP($O2984,매칭테이블!$G:$J,2,0)*H2984</f>
        <v/>
      </c>
      <c r="M2984" s="20">
        <f>L2984-L2984*VLOOKUP($O2984,매칭테이블!$G:$J,3,0)</f>
        <v/>
      </c>
      <c r="N2984" s="20">
        <f>VLOOKUP($O2984,매칭테이블!$G:$J,4,0)*H2984</f>
        <v/>
      </c>
      <c r="O2984" s="20">
        <f>F2984&amp;E2984&amp;G2984&amp;J2984</f>
        <v/>
      </c>
    </row>
    <row r="2985" ht="16.5" customHeight="1" s="17">
      <c r="B2985" s="16" t="n">
        <v>44217</v>
      </c>
      <c r="C2985" s="20">
        <f>TEXT(B2985,"aaa")</f>
        <v/>
      </c>
      <c r="E2985" s="20">
        <f>INDEX(매칭테이블!C:C,MATCH(RD!G2985,매칭테이블!D:D,0))</f>
        <v/>
      </c>
      <c r="F2985" s="20" t="inlineStr">
        <is>
          <t>카페24</t>
        </is>
      </c>
      <c r="G2985" s="20" t="inlineStr">
        <is>
          <t>유즈 솔리드퍼퓸 - 스테이포에버 002제품선택=스테이포에버 1개</t>
        </is>
      </c>
      <c r="H2985" s="20" t="n">
        <v>290</v>
      </c>
      <c r="I2985" s="20">
        <f>VLOOKUP(G2985,매칭테이블!D:E,2,0)</f>
        <v/>
      </c>
      <c r="J2985" s="20" t="n">
        <v>210101</v>
      </c>
      <c r="L2985" s="20">
        <f>VLOOKUP($O2985,매칭테이블!$G:$J,2,0)*H2985</f>
        <v/>
      </c>
      <c r="M2985" s="20">
        <f>L2985-L2985*VLOOKUP($O2985,매칭테이블!$G:$J,3,0)</f>
        <v/>
      </c>
      <c r="N2985" s="20">
        <f>VLOOKUP($O2985,매칭테이블!$G:$J,4,0)*H2985</f>
        <v/>
      </c>
      <c r="O2985" s="20">
        <f>F2985&amp;E2985&amp;G2985&amp;J2985</f>
        <v/>
      </c>
    </row>
    <row r="2986" ht="16.5" customHeight="1" s="17">
      <c r="B2986" s="16" t="n">
        <v>44217</v>
      </c>
      <c r="C2986" s="20">
        <f>TEXT(B2986,"aaa")</f>
        <v/>
      </c>
      <c r="E2986" s="20">
        <f>INDEX(매칭테이블!C:C,MATCH(RD!G2986,매칭테이블!D:D,0))</f>
        <v/>
      </c>
      <c r="F2986" s="20" t="inlineStr">
        <is>
          <t>카페24</t>
        </is>
      </c>
      <c r="G2986" s="20" t="inlineStr">
        <is>
          <t>유즈 솔리드퍼퓸 - 스테이포에버 002제품선택=best스테이포에버 2개[28% 할인]</t>
        </is>
      </c>
      <c r="H2986" s="20" t="n">
        <v>139</v>
      </c>
      <c r="I2986" s="20">
        <f>VLOOKUP(G2986,매칭테이블!D:E,2,0)</f>
        <v/>
      </c>
      <c r="J2986" s="20" t="n">
        <v>210101</v>
      </c>
      <c r="L2986" s="20">
        <f>VLOOKUP($O2986,매칭테이블!$G:$J,2,0)*H2986</f>
        <v/>
      </c>
      <c r="M2986" s="20">
        <f>L2986-L2986*VLOOKUP($O2986,매칭테이블!$G:$J,3,0)</f>
        <v/>
      </c>
      <c r="N2986" s="20">
        <f>VLOOKUP($O2986,매칭테이블!$G:$J,4,0)*H2986</f>
        <v/>
      </c>
      <c r="O2986" s="20">
        <f>F2986&amp;E2986&amp;G2986&amp;J2986</f>
        <v/>
      </c>
    </row>
    <row r="2987" ht="16.5" customHeight="1" s="17">
      <c r="B2987" s="16" t="n">
        <v>44217</v>
      </c>
      <c r="C2987" s="20">
        <f>TEXT(B2987,"aaa")</f>
        <v/>
      </c>
      <c r="E2987" s="20">
        <f>INDEX(매칭테이블!C:C,MATCH(RD!G2987,매칭테이블!D:D,0))</f>
        <v/>
      </c>
      <c r="F2987" s="20" t="inlineStr">
        <is>
          <t>카페24</t>
        </is>
      </c>
      <c r="G2987" s="20" t="inlineStr">
        <is>
          <t>유즈 솔리드퍼퓸 - 스테이포에버 002제품선택=커플추천스테이포에버 + 이그나이트 세트</t>
        </is>
      </c>
      <c r="H2987" s="20" t="n">
        <v>20</v>
      </c>
      <c r="I2987" s="20">
        <f>VLOOKUP(G2987,매칭테이블!D:E,2,0)</f>
        <v/>
      </c>
      <c r="J2987" s="20" t="n">
        <v>210101</v>
      </c>
      <c r="L2987" s="20">
        <f>VLOOKUP($O2987,매칭테이블!$G:$J,2,0)*H2987</f>
        <v/>
      </c>
      <c r="M2987" s="20">
        <f>L2987-L2987*VLOOKUP($O2987,매칭테이블!$G:$J,3,0)</f>
        <v/>
      </c>
      <c r="N2987" s="20">
        <f>VLOOKUP($O2987,매칭테이블!$G:$J,4,0)*H2987</f>
        <v/>
      </c>
      <c r="O2987" s="20">
        <f>F2987&amp;E2987&amp;G2987&amp;J2987</f>
        <v/>
      </c>
    </row>
    <row r="2988" ht="16.5" customHeight="1" s="17">
      <c r="B2988" s="16" t="n">
        <v>44217</v>
      </c>
      <c r="C2988" s="20">
        <f>TEXT(B2988,"aaa")</f>
        <v/>
      </c>
      <c r="E2988" s="20">
        <f>INDEX(매칭테이블!C:C,MATCH(RD!G2988,매칭테이블!D:D,0))</f>
        <v/>
      </c>
      <c r="F2988" s="20" t="inlineStr">
        <is>
          <t>카페24</t>
        </is>
      </c>
      <c r="G2988" s="20" t="inlineStr">
        <is>
          <t>유즈 솔리드퍼퓸 - 스테이포에버 002쇼핑백=선물용 쇼핑백</t>
        </is>
      </c>
      <c r="H2988" s="20" t="n">
        <v>16</v>
      </c>
      <c r="I2988" s="20">
        <f>VLOOKUP(G2988,매칭테이블!D:E,2,0)</f>
        <v/>
      </c>
      <c r="J2988" s="20" t="n">
        <v>210101</v>
      </c>
      <c r="L2988" s="20">
        <f>VLOOKUP($O2988,매칭테이블!$G:$J,2,0)*H2988</f>
        <v/>
      </c>
      <c r="M2988" s="20">
        <f>L2988-L2988*VLOOKUP($O2988,매칭테이블!$G:$J,3,0)</f>
        <v/>
      </c>
      <c r="N2988" s="20">
        <f>VLOOKUP($O2988,매칭테이블!$G:$J,4,0)*H2988</f>
        <v/>
      </c>
      <c r="O2988" s="20">
        <f>F2988&amp;E2988&amp;G2988&amp;J2988</f>
        <v/>
      </c>
    </row>
    <row r="2989" ht="16.5" customHeight="1" s="17">
      <c r="B2989" s="16" t="n">
        <v>44217</v>
      </c>
      <c r="C2989" s="20">
        <f>TEXT(B2989,"aaa")</f>
        <v/>
      </c>
      <c r="E2989" s="20">
        <f>INDEX(매칭테이블!C:C,MATCH(RD!G2989,매칭테이블!D:D,0))</f>
        <v/>
      </c>
      <c r="F2989" s="20" t="inlineStr">
        <is>
          <t>카페24</t>
        </is>
      </c>
      <c r="G2989" s="20" t="inlineStr">
        <is>
          <t>유즈 솔리드퍼퓸 - 이그나이트 001제품선택=이그나이트 솔리드퍼퓸 - 30ml</t>
        </is>
      </c>
      <c r="H2989" s="20" t="n">
        <v>1</v>
      </c>
      <c r="I2989" s="20">
        <f>VLOOKUP(G2989,매칭테이블!D:E,2,0)</f>
        <v/>
      </c>
      <c r="J2989" s="20" t="n">
        <v>210101</v>
      </c>
      <c r="L2989" s="20">
        <f>VLOOKUP($O2989,매칭테이블!$G:$J,2,0)*H2989</f>
        <v/>
      </c>
      <c r="M2989" s="20">
        <f>L2989-L2989*VLOOKUP($O2989,매칭테이블!$G:$J,3,0)</f>
        <v/>
      </c>
      <c r="N2989" s="20">
        <f>VLOOKUP($O2989,매칭테이블!$G:$J,4,0)*H2989</f>
        <v/>
      </c>
      <c r="O2989" s="20">
        <f>F2989&amp;E2989&amp;G2989&amp;J2989</f>
        <v/>
      </c>
    </row>
    <row r="2990" ht="16.5" customHeight="1" s="17">
      <c r="B2990" s="16" t="n">
        <v>44217</v>
      </c>
      <c r="C2990" s="20">
        <f>TEXT(B2990,"aaa")</f>
        <v/>
      </c>
      <c r="E2990" s="20">
        <f>INDEX(매칭테이블!C:C,MATCH(RD!G2990,매칭테이블!D:D,0))</f>
        <v/>
      </c>
      <c r="F2990" s="20" t="inlineStr">
        <is>
          <t>카페24</t>
        </is>
      </c>
      <c r="G2990" s="20" t="inlineStr">
        <is>
          <t>유즈 솔리드퍼퓸 - 이그나이트 001제품선택=이그나이트 2개 세트</t>
        </is>
      </c>
      <c r="H2990" s="20" t="n">
        <v>1</v>
      </c>
      <c r="I2990" s="20">
        <f>VLOOKUP(G2990,매칭테이블!D:E,2,0)</f>
        <v/>
      </c>
      <c r="J2990" s="20" t="n">
        <v>210101</v>
      </c>
      <c r="L2990" s="20">
        <f>VLOOKUP($O2990,매칭테이블!$G:$J,2,0)*H2990</f>
        <v/>
      </c>
      <c r="M2990" s="20">
        <f>L2990-L2990*VLOOKUP($O2990,매칭테이블!$G:$J,3,0)</f>
        <v/>
      </c>
      <c r="N2990" s="20">
        <f>VLOOKUP($O2990,매칭테이블!$G:$J,4,0)*H2990</f>
        <v/>
      </c>
      <c r="O2990" s="20">
        <f>F2990&amp;E2990&amp;G2990&amp;J2990</f>
        <v/>
      </c>
    </row>
    <row r="2991" ht="16.5" customHeight="1" s="17">
      <c r="B2991" s="16" t="n">
        <v>44218</v>
      </c>
      <c r="C2991" s="20">
        <f>TEXT(B2991,"aaa")</f>
        <v/>
      </c>
      <c r="E2991" s="20">
        <f>INDEX(매칭테이블!C:C,MATCH(RD!G2991,매칭테이블!D:D,0))</f>
        <v/>
      </c>
      <c r="F2991" s="20" t="inlineStr">
        <is>
          <t>카페24</t>
        </is>
      </c>
      <c r="G2991" s="20" t="inlineStr">
        <is>
          <t>솔리드퍼퓸 스테이포에버 002 30ml</t>
        </is>
      </c>
      <c r="H2991" s="20" t="n">
        <v>4</v>
      </c>
      <c r="I2991" s="20">
        <f>VLOOKUP(G2991,매칭테이블!D:E,2,0)</f>
        <v/>
      </c>
      <c r="J2991" s="20" t="n">
        <v>210101</v>
      </c>
      <c r="L2991" s="20">
        <f>VLOOKUP($O2991,매칭테이블!$G:$J,2,0)*H2991</f>
        <v/>
      </c>
      <c r="M2991" s="20">
        <f>L2991-L2991*VLOOKUP($O2991,매칭테이블!$G:$J,3,0)</f>
        <v/>
      </c>
      <c r="N2991" s="20">
        <f>VLOOKUP($O2991,매칭테이블!$G:$J,4,0)*H2991</f>
        <v/>
      </c>
      <c r="O2991" s="20">
        <f>F2991&amp;E2991&amp;G2991&amp;J2991</f>
        <v/>
      </c>
    </row>
    <row r="2992" ht="16.5" customHeight="1" s="17">
      <c r="B2992" s="16" t="n">
        <v>44218</v>
      </c>
      <c r="C2992" s="20">
        <f>TEXT(B2992,"aaa")</f>
        <v/>
      </c>
      <c r="E2992" s="20">
        <f>INDEX(매칭테이블!C:C,MATCH(RD!G2992,매칭테이블!D:D,0))</f>
        <v/>
      </c>
      <c r="F2992" s="20" t="inlineStr">
        <is>
          <t>카페24</t>
        </is>
      </c>
      <c r="G2992" s="20" t="inlineStr">
        <is>
          <t>유즈 솔리드퍼퓸 - 30ml향=스테이포에버 002 SOLID PERFUME, 세트 선택=1개</t>
        </is>
      </c>
      <c r="H2992" s="20" t="n">
        <v>13</v>
      </c>
      <c r="I2992" s="20">
        <f>VLOOKUP(G2992,매칭테이블!D:E,2,0)</f>
        <v/>
      </c>
      <c r="J2992" s="20" t="n">
        <v>210101</v>
      </c>
      <c r="L2992" s="20">
        <f>VLOOKUP($O2992,매칭테이블!$G:$J,2,0)*H2992</f>
        <v/>
      </c>
      <c r="M2992" s="20">
        <f>L2992-L2992*VLOOKUP($O2992,매칭테이블!$G:$J,3,0)</f>
        <v/>
      </c>
      <c r="N2992" s="20">
        <f>VLOOKUP($O2992,매칭테이블!$G:$J,4,0)*H2992</f>
        <v/>
      </c>
      <c r="O2992" s="20">
        <f>F2992&amp;E2992&amp;G2992&amp;J2992</f>
        <v/>
      </c>
    </row>
    <row r="2993" ht="16.5" customHeight="1" s="17">
      <c r="B2993" s="16" t="n">
        <v>44218</v>
      </c>
      <c r="C2993" s="20">
        <f>TEXT(B2993,"aaa")</f>
        <v/>
      </c>
      <c r="E2993" s="20">
        <f>INDEX(매칭테이블!C:C,MATCH(RD!G2993,매칭테이블!D:D,0))</f>
        <v/>
      </c>
      <c r="F2993" s="20" t="inlineStr">
        <is>
          <t>카페24</t>
        </is>
      </c>
      <c r="G2993" s="20" t="inlineStr">
        <is>
          <t>유즈 솔리드퍼퓸 - 30ml향=스테이포에버 002 SOLID PERFUME, 세트 선택=best 2개 (28% 할인)</t>
        </is>
      </c>
      <c r="H2993" s="20" t="n">
        <v>6</v>
      </c>
      <c r="I2993" s="20">
        <f>VLOOKUP(G2993,매칭테이블!D:E,2,0)</f>
        <v/>
      </c>
      <c r="J2993" s="20" t="n">
        <v>210101</v>
      </c>
      <c r="L2993" s="20">
        <f>VLOOKUP($O2993,매칭테이블!$G:$J,2,0)*H2993</f>
        <v/>
      </c>
      <c r="M2993" s="20">
        <f>L2993-L2993*VLOOKUP($O2993,매칭테이블!$G:$J,3,0)</f>
        <v/>
      </c>
      <c r="N2993" s="20">
        <f>VLOOKUP($O2993,매칭테이블!$G:$J,4,0)*H2993</f>
        <v/>
      </c>
      <c r="O2993" s="20">
        <f>F2993&amp;E2993&amp;G2993&amp;J2993</f>
        <v/>
      </c>
    </row>
    <row r="2994" ht="16.5" customHeight="1" s="17">
      <c r="B2994" s="16" t="n">
        <v>44218</v>
      </c>
      <c r="C2994" s="20">
        <f>TEXT(B2994,"aaa")</f>
        <v/>
      </c>
      <c r="E2994" s="20">
        <f>INDEX(매칭테이블!C:C,MATCH(RD!G2994,매칭테이블!D:D,0))</f>
        <v/>
      </c>
      <c r="F2994" s="20" t="inlineStr">
        <is>
          <t>카페24</t>
        </is>
      </c>
      <c r="G2994" s="20" t="inlineStr">
        <is>
          <t>유즈 솔리드퍼퓸 - 30ml향=커플세트(이그나이트 + 스테이포에버), 세트 선택=1 SET</t>
        </is>
      </c>
      <c r="H2994" s="20" t="n">
        <v>10</v>
      </c>
      <c r="I2994" s="20">
        <f>VLOOKUP(G2994,매칭테이블!D:E,2,0)</f>
        <v/>
      </c>
      <c r="J2994" s="20" t="n">
        <v>210101</v>
      </c>
      <c r="L2994" s="20">
        <f>VLOOKUP($O2994,매칭테이블!$G:$J,2,0)*H2994</f>
        <v/>
      </c>
      <c r="M2994" s="20">
        <f>L2994-L2994*VLOOKUP($O2994,매칭테이블!$G:$J,3,0)</f>
        <v/>
      </c>
      <c r="N2994" s="20">
        <f>VLOOKUP($O2994,매칭테이블!$G:$J,4,0)*H2994</f>
        <v/>
      </c>
      <c r="O2994" s="20">
        <f>F2994&amp;E2994&amp;G2994&amp;J2994</f>
        <v/>
      </c>
    </row>
    <row r="2995" ht="16.5" customHeight="1" s="17">
      <c r="B2995" s="16" t="n">
        <v>44218</v>
      </c>
      <c r="C2995" s="20">
        <f>TEXT(B2995,"aaa")</f>
        <v/>
      </c>
      <c r="E2995" s="20">
        <f>INDEX(매칭테이블!C:C,MATCH(RD!G2995,매칭테이블!D:D,0))</f>
        <v/>
      </c>
      <c r="F2995" s="20" t="inlineStr">
        <is>
          <t>카페24</t>
        </is>
      </c>
      <c r="G2995" s="20" t="inlineStr">
        <is>
          <t>유즈 솔리드퍼퓸 - 30ml향=커플세트(이그나이트 + 스테이포에버), 세트 선택=2 SET (42% 할인)</t>
        </is>
      </c>
      <c r="H2995" s="20" t="n">
        <v>1</v>
      </c>
      <c r="I2995" s="20">
        <f>VLOOKUP(G2995,매칭테이블!D:E,2,0)</f>
        <v/>
      </c>
      <c r="J2995" s="20" t="n">
        <v>210101</v>
      </c>
      <c r="L2995" s="20">
        <f>VLOOKUP($O2995,매칭테이블!$G:$J,2,0)*H2995</f>
        <v/>
      </c>
      <c r="M2995" s="20">
        <f>L2995-L2995*VLOOKUP($O2995,매칭테이블!$G:$J,3,0)</f>
        <v/>
      </c>
      <c r="N2995" s="20">
        <f>VLOOKUP($O2995,매칭테이블!$G:$J,4,0)*H2995</f>
        <v/>
      </c>
      <c r="O2995" s="20">
        <f>F2995&amp;E2995&amp;G2995&amp;J2995</f>
        <v/>
      </c>
    </row>
    <row r="2996" ht="16.5" customHeight="1" s="17">
      <c r="B2996" s="16" t="n">
        <v>44218</v>
      </c>
      <c r="C2996" s="20">
        <f>TEXT(B2996,"aaa")</f>
        <v/>
      </c>
      <c r="E2996" s="20">
        <f>INDEX(매칭테이블!C:C,MATCH(RD!G2996,매칭테이블!D:D,0))</f>
        <v/>
      </c>
      <c r="F2996" s="20" t="inlineStr">
        <is>
          <t>카페24</t>
        </is>
      </c>
      <c r="G2996" s="20" t="inlineStr">
        <is>
          <t>유즈 솔리드퍼퓸 - 스테이포에버 002제품선택=스테이포에버 1개</t>
        </is>
      </c>
      <c r="H2996" s="20" t="n">
        <v>242</v>
      </c>
      <c r="I2996" s="20">
        <f>VLOOKUP(G2996,매칭테이블!D:E,2,0)</f>
        <v/>
      </c>
      <c r="J2996" s="20" t="n">
        <v>210101</v>
      </c>
      <c r="L2996" s="20">
        <f>VLOOKUP($O2996,매칭테이블!$G:$J,2,0)*H2996</f>
        <v/>
      </c>
      <c r="M2996" s="20">
        <f>L2996-L2996*VLOOKUP($O2996,매칭테이블!$G:$J,3,0)</f>
        <v/>
      </c>
      <c r="N2996" s="20">
        <f>VLOOKUP($O2996,매칭테이블!$G:$J,4,0)*H2996</f>
        <v/>
      </c>
      <c r="O2996" s="20">
        <f>F2996&amp;E2996&amp;G2996&amp;J2996</f>
        <v/>
      </c>
    </row>
    <row r="2997" ht="16.5" customHeight="1" s="17">
      <c r="B2997" s="16" t="n">
        <v>44218</v>
      </c>
      <c r="C2997" s="20">
        <f>TEXT(B2997,"aaa")</f>
        <v/>
      </c>
      <c r="E2997" s="20">
        <f>INDEX(매칭테이블!C:C,MATCH(RD!G2997,매칭테이블!D:D,0))</f>
        <v/>
      </c>
      <c r="F2997" s="20" t="inlineStr">
        <is>
          <t>카페24</t>
        </is>
      </c>
      <c r="G2997" s="20" t="inlineStr">
        <is>
          <t>유즈 솔리드퍼퓸 - 스테이포에버 002제품선택=best스테이포에버 2개[28% 할인]</t>
        </is>
      </c>
      <c r="H2997" s="20" t="n">
        <v>105</v>
      </c>
      <c r="I2997" s="20">
        <f>VLOOKUP(G2997,매칭테이블!D:E,2,0)</f>
        <v/>
      </c>
      <c r="J2997" s="20" t="n">
        <v>210101</v>
      </c>
      <c r="L2997" s="20">
        <f>VLOOKUP($O2997,매칭테이블!$G:$J,2,0)*H2997</f>
        <v/>
      </c>
      <c r="M2997" s="20">
        <f>L2997-L2997*VLOOKUP($O2997,매칭테이블!$G:$J,3,0)</f>
        <v/>
      </c>
      <c r="N2997" s="20">
        <f>VLOOKUP($O2997,매칭테이블!$G:$J,4,0)*H2997</f>
        <v/>
      </c>
      <c r="O2997" s="20">
        <f>F2997&amp;E2997&amp;G2997&amp;J2997</f>
        <v/>
      </c>
    </row>
    <row r="2998" ht="16.5" customHeight="1" s="17">
      <c r="B2998" s="16" t="n">
        <v>44218</v>
      </c>
      <c r="C2998" s="20">
        <f>TEXT(B2998,"aaa")</f>
        <v/>
      </c>
      <c r="E2998" s="20">
        <f>INDEX(매칭테이블!C:C,MATCH(RD!G2998,매칭테이블!D:D,0))</f>
        <v/>
      </c>
      <c r="F2998" s="20" t="inlineStr">
        <is>
          <t>카페24</t>
        </is>
      </c>
      <c r="G2998" s="20" t="inlineStr">
        <is>
          <t>유즈 솔리드퍼퓸 - 스테이포에버 002제품선택=커플추천스테이포에버 + 이그나이트 세트</t>
        </is>
      </c>
      <c r="H2998" s="20" t="n">
        <v>13</v>
      </c>
      <c r="I2998" s="20">
        <f>VLOOKUP(G2998,매칭테이블!D:E,2,0)</f>
        <v/>
      </c>
      <c r="J2998" s="20" t="n">
        <v>210101</v>
      </c>
      <c r="L2998" s="20">
        <f>VLOOKUP($O2998,매칭테이블!$G:$J,2,0)*H2998</f>
        <v/>
      </c>
      <c r="M2998" s="20">
        <f>L2998-L2998*VLOOKUP($O2998,매칭테이블!$G:$J,3,0)</f>
        <v/>
      </c>
      <c r="N2998" s="20">
        <f>VLOOKUP($O2998,매칭테이블!$G:$J,4,0)*H2998</f>
        <v/>
      </c>
      <c r="O2998" s="20">
        <f>F2998&amp;E2998&amp;G2998&amp;J2998</f>
        <v/>
      </c>
    </row>
    <row r="2999" ht="16.5" customHeight="1" s="17">
      <c r="B2999" s="16" t="n">
        <v>44218</v>
      </c>
      <c r="C2999" s="20">
        <f>TEXT(B2999,"aaa")</f>
        <v/>
      </c>
      <c r="E2999" s="20">
        <f>INDEX(매칭테이블!C:C,MATCH(RD!G2999,매칭테이블!D:D,0))</f>
        <v/>
      </c>
      <c r="F2999" s="20" t="inlineStr">
        <is>
          <t>카페24</t>
        </is>
      </c>
      <c r="G2999" s="20" t="inlineStr">
        <is>
          <t>유즈 솔리드퍼퓸 - 스테이포에버 002쇼핑백=선물용 쇼핑백</t>
        </is>
      </c>
      <c r="H2999" s="20" t="n">
        <v>6</v>
      </c>
      <c r="I2999" s="20">
        <f>VLOOKUP(G2999,매칭테이블!D:E,2,0)</f>
        <v/>
      </c>
      <c r="J2999" s="20" t="n">
        <v>210101</v>
      </c>
      <c r="L2999" s="20">
        <f>VLOOKUP($O2999,매칭테이블!$G:$J,2,0)*H2999</f>
        <v/>
      </c>
      <c r="M2999" s="20">
        <f>L2999-L2999*VLOOKUP($O2999,매칭테이블!$G:$J,3,0)</f>
        <v/>
      </c>
      <c r="N2999" s="20">
        <f>VLOOKUP($O2999,매칭테이블!$G:$J,4,0)*H2999</f>
        <v/>
      </c>
      <c r="O2999" s="20">
        <f>F2999&amp;E2999&amp;G2999&amp;J2999</f>
        <v/>
      </c>
    </row>
    <row r="3000" ht="16.5" customHeight="1" s="17">
      <c r="B3000" s="16" t="n">
        <v>44218</v>
      </c>
      <c r="C3000" s="20">
        <f>TEXT(B3000,"aaa")</f>
        <v/>
      </c>
      <c r="E3000" s="20">
        <f>INDEX(매칭테이블!C:C,MATCH(RD!G3000,매칭테이블!D:D,0))</f>
        <v/>
      </c>
      <c r="F3000" s="20" t="inlineStr">
        <is>
          <t>카페24</t>
        </is>
      </c>
      <c r="G3000" s="20" t="inlineStr">
        <is>
          <t>유즈 솔리드퍼퓸 - 이그나이트 001제품선택=이그나이트 솔리드퍼퓸 - 30ml</t>
        </is>
      </c>
      <c r="H3000" s="20" t="n">
        <v>2</v>
      </c>
      <c r="I3000" s="20">
        <f>VLOOKUP(G3000,매칭테이블!D:E,2,0)</f>
        <v/>
      </c>
      <c r="J3000" s="20" t="n">
        <v>210101</v>
      </c>
      <c r="L3000" s="20">
        <f>VLOOKUP($O3000,매칭테이블!$G:$J,2,0)*H3000</f>
        <v/>
      </c>
      <c r="M3000" s="20">
        <f>L3000-L3000*VLOOKUP($O3000,매칭테이블!$G:$J,3,0)</f>
        <v/>
      </c>
      <c r="N3000" s="20">
        <f>VLOOKUP($O3000,매칭테이블!$G:$J,4,0)*H3000</f>
        <v/>
      </c>
      <c r="O3000" s="20">
        <f>F3000&amp;E3000&amp;G3000&amp;J3000</f>
        <v/>
      </c>
    </row>
    <row r="3001" ht="16.5" customHeight="1" s="17">
      <c r="B3001" s="16" t="n">
        <v>44218</v>
      </c>
      <c r="C3001" s="20">
        <f>TEXT(B3001,"aaa")</f>
        <v/>
      </c>
      <c r="E3001" s="20">
        <f>INDEX(매칭테이블!C:C,MATCH(RD!G3001,매칭테이블!D:D,0))</f>
        <v/>
      </c>
      <c r="F3001" s="20" t="inlineStr">
        <is>
          <t>카페24</t>
        </is>
      </c>
      <c r="G3001" s="20" t="inlineStr">
        <is>
          <t>유즈 솔리드퍼퓸 - 이그나이트 001제품선택=이그나이트 2개 세트</t>
        </is>
      </c>
      <c r="H3001" s="20" t="n">
        <v>3</v>
      </c>
      <c r="I3001" s="20">
        <f>VLOOKUP(G3001,매칭테이블!D:E,2,0)</f>
        <v/>
      </c>
      <c r="J3001" s="20" t="n">
        <v>210101</v>
      </c>
      <c r="L3001" s="20">
        <f>VLOOKUP($O3001,매칭테이블!$G:$J,2,0)*H3001</f>
        <v/>
      </c>
      <c r="M3001" s="20">
        <f>L3001-L3001*VLOOKUP($O3001,매칭테이블!$G:$J,3,0)</f>
        <v/>
      </c>
      <c r="N3001" s="20">
        <f>VLOOKUP($O3001,매칭테이블!$G:$J,4,0)*H3001</f>
        <v/>
      </c>
      <c r="O3001" s="20">
        <f>F3001&amp;E3001&amp;G3001&amp;J3001</f>
        <v/>
      </c>
    </row>
    <row r="3002" ht="16.5" customHeight="1" s="17">
      <c r="B3002" s="16" t="n">
        <v>44218</v>
      </c>
      <c r="C3002" s="20">
        <f>TEXT(B3002,"aaa")</f>
        <v/>
      </c>
      <c r="E3002" s="20">
        <f>INDEX(매칭테이블!C:C,MATCH(RD!G3002,매칭테이블!D:D,0))</f>
        <v/>
      </c>
      <c r="F3002" s="20" t="inlineStr">
        <is>
          <t>카페24</t>
        </is>
      </c>
      <c r="G3002" s="20" t="inlineStr">
        <is>
          <t>유즈 스테이포에버 솔리드퍼퓸 002 (11차 예약구매 진행중)제품선택=best스테이포에버 2개[28% 할인]</t>
        </is>
      </c>
      <c r="H3002" s="20" t="n">
        <v>1</v>
      </c>
      <c r="I3002" s="20">
        <f>VLOOKUP(G3002,매칭테이블!D:E,2,0)</f>
        <v/>
      </c>
      <c r="J3002" s="20" t="n">
        <v>210101</v>
      </c>
      <c r="L3002" s="20">
        <f>VLOOKUP($O3002,매칭테이블!$G:$J,2,0)*H3002</f>
        <v/>
      </c>
      <c r="M3002" s="20">
        <f>L3002-L3002*VLOOKUP($O3002,매칭테이블!$G:$J,3,0)</f>
        <v/>
      </c>
      <c r="N3002" s="20">
        <f>VLOOKUP($O3002,매칭테이블!$G:$J,4,0)*H3002</f>
        <v/>
      </c>
      <c r="O3002" s="20">
        <f>F3002&amp;E3002&amp;G3002&amp;J3002</f>
        <v/>
      </c>
    </row>
    <row r="3003" ht="16.5" customHeight="1" s="17">
      <c r="B3003" s="16" t="n">
        <v>44219</v>
      </c>
      <c r="C3003" s="20">
        <f>TEXT(B3003,"aaa")</f>
        <v/>
      </c>
      <c r="E3003" s="20">
        <f>INDEX(매칭테이블!C:C,MATCH(RD!G3003,매칭테이블!D:D,0))</f>
        <v/>
      </c>
      <c r="F3003" s="20" t="inlineStr">
        <is>
          <t>카페24</t>
        </is>
      </c>
      <c r="G3003" s="20" t="inlineStr">
        <is>
          <t>유즈 솔리드퍼퓸 - 30ml향=이그나이트 001 SOLID PERFUME, 세트 선택=1개</t>
        </is>
      </c>
      <c r="H3003" s="20" t="n">
        <v>2</v>
      </c>
      <c r="I3003" s="20">
        <f>VLOOKUP(G3003,매칭테이블!D:E,2,0)</f>
        <v/>
      </c>
      <c r="J3003" s="20" t="n">
        <v>210101</v>
      </c>
      <c r="L3003" s="20">
        <f>VLOOKUP($O3003,매칭테이블!$G:$J,2,0)*H3003</f>
        <v/>
      </c>
      <c r="M3003" s="20">
        <f>L3003-L3003*VLOOKUP($O3003,매칭테이블!$G:$J,3,0)</f>
        <v/>
      </c>
      <c r="N3003" s="20">
        <f>VLOOKUP($O3003,매칭테이블!$G:$J,4,0)*H3003</f>
        <v/>
      </c>
      <c r="O3003" s="20">
        <f>F3003&amp;E3003&amp;G3003&amp;J3003</f>
        <v/>
      </c>
    </row>
    <row r="3004" ht="16.5" customHeight="1" s="17">
      <c r="B3004" s="16" t="n">
        <v>44219</v>
      </c>
      <c r="C3004" s="20">
        <f>TEXT(B3004,"aaa")</f>
        <v/>
      </c>
      <c r="E3004" s="20">
        <f>INDEX(매칭테이블!C:C,MATCH(RD!G3004,매칭테이블!D:D,0))</f>
        <v/>
      </c>
      <c r="F3004" s="20" t="inlineStr">
        <is>
          <t>카페24</t>
        </is>
      </c>
      <c r="G3004" s="20" t="inlineStr">
        <is>
          <t>유즈 솔리드퍼퓸 - 30ml향=스테이포에버 002 SOLID PERFUME, 세트 선택=1개</t>
        </is>
      </c>
      <c r="H3004" s="20" t="n">
        <v>16</v>
      </c>
      <c r="I3004" s="20">
        <f>VLOOKUP(G3004,매칭테이블!D:E,2,0)</f>
        <v/>
      </c>
      <c r="J3004" s="20" t="n">
        <v>210101</v>
      </c>
      <c r="L3004" s="20">
        <f>VLOOKUP($O3004,매칭테이블!$G:$J,2,0)*H3004</f>
        <v/>
      </c>
      <c r="M3004" s="20">
        <f>L3004-L3004*VLOOKUP($O3004,매칭테이블!$G:$J,3,0)</f>
        <v/>
      </c>
      <c r="N3004" s="20">
        <f>VLOOKUP($O3004,매칭테이블!$G:$J,4,0)*H3004</f>
        <v/>
      </c>
      <c r="O3004" s="20">
        <f>F3004&amp;E3004&amp;G3004&amp;J3004</f>
        <v/>
      </c>
    </row>
    <row r="3005" ht="16.5" customHeight="1" s="17">
      <c r="B3005" s="16" t="n">
        <v>44219</v>
      </c>
      <c r="C3005" s="20">
        <f>TEXT(B3005,"aaa")</f>
        <v/>
      </c>
      <c r="E3005" s="20">
        <f>INDEX(매칭테이블!C:C,MATCH(RD!G3005,매칭테이블!D:D,0))</f>
        <v/>
      </c>
      <c r="F3005" s="20" t="inlineStr">
        <is>
          <t>카페24</t>
        </is>
      </c>
      <c r="G3005" s="20" t="inlineStr">
        <is>
          <t>유즈 솔리드퍼퓸 - 30ml향=스테이포에버 002 SOLID PERFUME, 세트 선택=best 2개 (28% 할인)</t>
        </is>
      </c>
      <c r="H3005" s="20" t="n">
        <v>10</v>
      </c>
      <c r="I3005" s="20">
        <f>VLOOKUP(G3005,매칭테이블!D:E,2,0)</f>
        <v/>
      </c>
      <c r="J3005" s="20" t="n">
        <v>210101</v>
      </c>
      <c r="L3005" s="20">
        <f>VLOOKUP($O3005,매칭테이블!$G:$J,2,0)*H3005</f>
        <v/>
      </c>
      <c r="M3005" s="20">
        <f>L3005-L3005*VLOOKUP($O3005,매칭테이블!$G:$J,3,0)</f>
        <v/>
      </c>
      <c r="N3005" s="20">
        <f>VLOOKUP($O3005,매칭테이블!$G:$J,4,0)*H3005</f>
        <v/>
      </c>
      <c r="O3005" s="20">
        <f>F3005&amp;E3005&amp;G3005&amp;J3005</f>
        <v/>
      </c>
    </row>
    <row r="3006" ht="16.5" customHeight="1" s="17">
      <c r="B3006" s="16" t="n">
        <v>44219</v>
      </c>
      <c r="C3006" s="20">
        <f>TEXT(B3006,"aaa")</f>
        <v/>
      </c>
      <c r="E3006" s="20">
        <f>INDEX(매칭테이블!C:C,MATCH(RD!G3006,매칭테이블!D:D,0))</f>
        <v/>
      </c>
      <c r="F3006" s="20" t="inlineStr">
        <is>
          <t>카페24</t>
        </is>
      </c>
      <c r="G3006" s="20" t="inlineStr">
        <is>
          <t>유즈 솔리드퍼퓸 - 30ml향=커플세트(이그나이트 + 스테이포에버), 세트 선택=1 SET</t>
        </is>
      </c>
      <c r="H3006" s="20" t="n">
        <v>7</v>
      </c>
      <c r="I3006" s="20">
        <f>VLOOKUP(G3006,매칭테이블!D:E,2,0)</f>
        <v/>
      </c>
      <c r="J3006" s="20" t="n">
        <v>210101</v>
      </c>
      <c r="L3006" s="20">
        <f>VLOOKUP($O3006,매칭테이블!$G:$J,2,0)*H3006</f>
        <v/>
      </c>
      <c r="M3006" s="20">
        <f>L3006-L3006*VLOOKUP($O3006,매칭테이블!$G:$J,3,0)</f>
        <v/>
      </c>
      <c r="N3006" s="20">
        <f>VLOOKUP($O3006,매칭테이블!$G:$J,4,0)*H3006</f>
        <v/>
      </c>
      <c r="O3006" s="20">
        <f>F3006&amp;E3006&amp;G3006&amp;J3006</f>
        <v/>
      </c>
    </row>
    <row r="3007" ht="16.5" customHeight="1" s="17">
      <c r="B3007" s="16" t="n">
        <v>44219</v>
      </c>
      <c r="C3007" s="20">
        <f>TEXT(B3007,"aaa")</f>
        <v/>
      </c>
      <c r="E3007" s="20">
        <f>INDEX(매칭테이블!C:C,MATCH(RD!G3007,매칭테이블!D:D,0))</f>
        <v/>
      </c>
      <c r="F3007" s="20" t="inlineStr">
        <is>
          <t>카페24</t>
        </is>
      </c>
      <c r="G3007" s="20" t="inlineStr">
        <is>
          <t>유즈 솔리드퍼퓸 - 스테이포에버 002제품선택=스테이포에버 1개</t>
        </is>
      </c>
      <c r="H3007" s="20" t="n">
        <v>387</v>
      </c>
      <c r="I3007" s="20">
        <f>VLOOKUP(G3007,매칭테이블!D:E,2,0)</f>
        <v/>
      </c>
      <c r="J3007" s="20" t="n">
        <v>210101</v>
      </c>
      <c r="L3007" s="20">
        <f>VLOOKUP($O3007,매칭테이블!$G:$J,2,0)*H3007</f>
        <v/>
      </c>
      <c r="M3007" s="20">
        <f>L3007-L3007*VLOOKUP($O3007,매칭테이블!$G:$J,3,0)</f>
        <v/>
      </c>
      <c r="N3007" s="20">
        <f>VLOOKUP($O3007,매칭테이블!$G:$J,4,0)*H3007</f>
        <v/>
      </c>
      <c r="O3007" s="20">
        <f>F3007&amp;E3007&amp;G3007&amp;J3007</f>
        <v/>
      </c>
    </row>
    <row r="3008" ht="16.5" customHeight="1" s="17">
      <c r="B3008" s="16" t="n">
        <v>44219</v>
      </c>
      <c r="C3008" s="20">
        <f>TEXT(B3008,"aaa")</f>
        <v/>
      </c>
      <c r="E3008" s="20">
        <f>INDEX(매칭테이블!C:C,MATCH(RD!G3008,매칭테이블!D:D,0))</f>
        <v/>
      </c>
      <c r="F3008" s="20" t="inlineStr">
        <is>
          <t>카페24</t>
        </is>
      </c>
      <c r="G3008" s="20" t="inlineStr">
        <is>
          <t>유즈 솔리드퍼퓸 - 스테이포에버 002제품선택=best스테이포에버 2개[28% 할인]</t>
        </is>
      </c>
      <c r="H3008" s="20" t="n">
        <v>165</v>
      </c>
      <c r="I3008" s="20">
        <f>VLOOKUP(G3008,매칭테이블!D:E,2,0)</f>
        <v/>
      </c>
      <c r="J3008" s="20" t="n">
        <v>210101</v>
      </c>
      <c r="L3008" s="20">
        <f>VLOOKUP($O3008,매칭테이블!$G:$J,2,0)*H3008</f>
        <v/>
      </c>
      <c r="M3008" s="20">
        <f>L3008-L3008*VLOOKUP($O3008,매칭테이블!$G:$J,3,0)</f>
        <v/>
      </c>
      <c r="N3008" s="20">
        <f>VLOOKUP($O3008,매칭테이블!$G:$J,4,0)*H3008</f>
        <v/>
      </c>
      <c r="O3008" s="20">
        <f>F3008&amp;E3008&amp;G3008&amp;J3008</f>
        <v/>
      </c>
    </row>
    <row r="3009" ht="16.5" customHeight="1" s="17">
      <c r="B3009" s="16" t="n">
        <v>44219</v>
      </c>
      <c r="C3009" s="20">
        <f>TEXT(B3009,"aaa")</f>
        <v/>
      </c>
      <c r="E3009" s="20">
        <f>INDEX(매칭테이블!C:C,MATCH(RD!G3009,매칭테이블!D:D,0))</f>
        <v/>
      </c>
      <c r="F3009" s="20" t="inlineStr">
        <is>
          <t>카페24</t>
        </is>
      </c>
      <c r="G3009" s="20" t="inlineStr">
        <is>
          <t>유즈 솔리드퍼퓸 - 스테이포에버 002제품선택=커플추천스테이포에버 + 이그나이트 세트</t>
        </is>
      </c>
      <c r="H3009" s="20" t="n">
        <v>18</v>
      </c>
      <c r="I3009" s="20">
        <f>VLOOKUP(G3009,매칭테이블!D:E,2,0)</f>
        <v/>
      </c>
      <c r="J3009" s="20" t="n">
        <v>210101</v>
      </c>
      <c r="L3009" s="20">
        <f>VLOOKUP($O3009,매칭테이블!$G:$J,2,0)*H3009</f>
        <v/>
      </c>
      <c r="M3009" s="20">
        <f>L3009-L3009*VLOOKUP($O3009,매칭테이블!$G:$J,3,0)</f>
        <v/>
      </c>
      <c r="N3009" s="20">
        <f>VLOOKUP($O3009,매칭테이블!$G:$J,4,0)*H3009</f>
        <v/>
      </c>
      <c r="O3009" s="20">
        <f>F3009&amp;E3009&amp;G3009&amp;J3009</f>
        <v/>
      </c>
    </row>
    <row r="3010" ht="16.5" customHeight="1" s="17">
      <c r="B3010" s="16" t="n">
        <v>44219</v>
      </c>
      <c r="C3010" s="20">
        <f>TEXT(B3010,"aaa")</f>
        <v/>
      </c>
      <c r="E3010" s="20">
        <f>INDEX(매칭테이블!C:C,MATCH(RD!G3010,매칭테이블!D:D,0))</f>
        <v/>
      </c>
      <c r="F3010" s="20" t="inlineStr">
        <is>
          <t>카페24</t>
        </is>
      </c>
      <c r="G3010" s="20" t="inlineStr">
        <is>
          <t>유즈 솔리드퍼퓸 - 스테이포에버 002쇼핑백=선물용 쇼핑백</t>
        </is>
      </c>
      <c r="H3010" s="20" t="n">
        <v>18</v>
      </c>
      <c r="I3010" s="20">
        <f>VLOOKUP(G3010,매칭테이블!D:E,2,0)</f>
        <v/>
      </c>
      <c r="J3010" s="20" t="n">
        <v>210101</v>
      </c>
      <c r="L3010" s="20">
        <f>VLOOKUP($O3010,매칭테이블!$G:$J,2,0)*H3010</f>
        <v/>
      </c>
      <c r="M3010" s="20">
        <f>L3010-L3010*VLOOKUP($O3010,매칭테이블!$G:$J,3,0)</f>
        <v/>
      </c>
      <c r="N3010" s="20">
        <f>VLOOKUP($O3010,매칭테이블!$G:$J,4,0)*H3010</f>
        <v/>
      </c>
      <c r="O3010" s="20">
        <f>F3010&amp;E3010&amp;G3010&amp;J3010</f>
        <v/>
      </c>
    </row>
    <row r="3011" ht="16.5" customHeight="1" s="17">
      <c r="B3011" s="16" t="n">
        <v>44219</v>
      </c>
      <c r="C3011" s="20">
        <f>TEXT(B3011,"aaa")</f>
        <v/>
      </c>
      <c r="E3011" s="20">
        <f>INDEX(매칭테이블!C:C,MATCH(RD!G3011,매칭테이블!D:D,0))</f>
        <v/>
      </c>
      <c r="F3011" s="20" t="inlineStr">
        <is>
          <t>카페24</t>
        </is>
      </c>
      <c r="G3011" s="20" t="inlineStr">
        <is>
          <t>유즈 솔리드퍼퓸 - 이그나이트 001제품선택=이그나이트 솔리드퍼퓸 - 30ml</t>
        </is>
      </c>
      <c r="H3011" s="20" t="n">
        <v>5</v>
      </c>
      <c r="I3011" s="20">
        <f>VLOOKUP(G3011,매칭테이블!D:E,2,0)</f>
        <v/>
      </c>
      <c r="J3011" s="20" t="n">
        <v>210101</v>
      </c>
      <c r="L3011" s="20">
        <f>VLOOKUP($O3011,매칭테이블!$G:$J,2,0)*H3011</f>
        <v/>
      </c>
      <c r="M3011" s="20">
        <f>L3011-L3011*VLOOKUP($O3011,매칭테이블!$G:$J,3,0)</f>
        <v/>
      </c>
      <c r="N3011" s="20">
        <f>VLOOKUP($O3011,매칭테이블!$G:$J,4,0)*H3011</f>
        <v/>
      </c>
      <c r="O3011" s="20">
        <f>F3011&amp;E3011&amp;G3011&amp;J3011</f>
        <v/>
      </c>
    </row>
    <row r="3012" ht="16.5" customHeight="1" s="17">
      <c r="B3012" s="16" t="n">
        <v>44219</v>
      </c>
      <c r="C3012" s="20">
        <f>TEXT(B3012,"aaa")</f>
        <v/>
      </c>
      <c r="E3012" s="20">
        <f>INDEX(매칭테이블!C:C,MATCH(RD!G3012,매칭테이블!D:D,0))</f>
        <v/>
      </c>
      <c r="F3012" s="20" t="inlineStr">
        <is>
          <t>카페24</t>
        </is>
      </c>
      <c r="G3012" s="20" t="inlineStr">
        <is>
          <t>유즈 솔리드퍼퓸 - 이그나이트 001제품선택=이그나이트 2개 세트</t>
        </is>
      </c>
      <c r="H3012" s="20" t="n">
        <v>5</v>
      </c>
      <c r="I3012" s="20">
        <f>VLOOKUP(G3012,매칭테이블!D:E,2,0)</f>
        <v/>
      </c>
      <c r="J3012" s="20" t="n">
        <v>210101</v>
      </c>
      <c r="L3012" s="20">
        <f>VLOOKUP($O3012,매칭테이블!$G:$J,2,0)*H3012</f>
        <v/>
      </c>
      <c r="M3012" s="20">
        <f>L3012-L3012*VLOOKUP($O3012,매칭테이블!$G:$J,3,0)</f>
        <v/>
      </c>
      <c r="N3012" s="20">
        <f>VLOOKUP($O3012,매칭테이블!$G:$J,4,0)*H3012</f>
        <v/>
      </c>
      <c r="O3012" s="20">
        <f>F3012&amp;E3012&amp;G3012&amp;J3012</f>
        <v/>
      </c>
    </row>
    <row r="3013" ht="16.5" customHeight="1" s="17">
      <c r="B3013" s="16" t="n">
        <v>44220</v>
      </c>
      <c r="C3013" s="20">
        <f>TEXT(B3013,"aaa")</f>
        <v/>
      </c>
      <c r="E3013" s="20">
        <f>INDEX(매칭테이블!C:C,MATCH(RD!G3013,매칭테이블!D:D,0))</f>
        <v/>
      </c>
      <c r="F3013" s="20" t="inlineStr">
        <is>
          <t>카페24</t>
        </is>
      </c>
      <c r="G3013" s="20" t="inlineStr">
        <is>
          <t>유즈 솔리드퍼퓸 - 30ml향=스테이포에버 002 SOLID PERFUME, 세트 선택=1개</t>
        </is>
      </c>
      <c r="H3013" s="20" t="n">
        <v>12</v>
      </c>
      <c r="I3013" s="20">
        <f>VLOOKUP(G3013,매칭테이블!D:E,2,0)</f>
        <v/>
      </c>
      <c r="J3013" s="20" t="n">
        <v>210101</v>
      </c>
      <c r="L3013" s="20">
        <f>VLOOKUP($O3013,매칭테이블!$G:$J,2,0)*H3013</f>
        <v/>
      </c>
      <c r="M3013" s="20">
        <f>L3013-L3013*VLOOKUP($O3013,매칭테이블!$G:$J,3,0)</f>
        <v/>
      </c>
      <c r="N3013" s="20">
        <f>VLOOKUP($O3013,매칭테이블!$G:$J,4,0)*H3013</f>
        <v/>
      </c>
      <c r="O3013" s="20">
        <f>F3013&amp;E3013&amp;G3013&amp;J3013</f>
        <v/>
      </c>
    </row>
    <row r="3014" ht="16.5" customHeight="1" s="17">
      <c r="B3014" s="16" t="n">
        <v>44220</v>
      </c>
      <c r="C3014" s="20">
        <f>TEXT(B3014,"aaa")</f>
        <v/>
      </c>
      <c r="E3014" s="20">
        <f>INDEX(매칭테이블!C:C,MATCH(RD!G3014,매칭테이블!D:D,0))</f>
        <v/>
      </c>
      <c r="F3014" s="20" t="inlineStr">
        <is>
          <t>카페24</t>
        </is>
      </c>
      <c r="G3014" s="20" t="inlineStr">
        <is>
          <t>유즈 솔리드퍼퓸 - 30ml향=스테이포에버 002 SOLID PERFUME, 세트 선택=best 2개 (28% 할인)</t>
        </is>
      </c>
      <c r="H3014" s="20" t="n">
        <v>10</v>
      </c>
      <c r="I3014" s="20">
        <f>VLOOKUP(G3014,매칭테이블!D:E,2,0)</f>
        <v/>
      </c>
      <c r="J3014" s="20" t="n">
        <v>210101</v>
      </c>
      <c r="L3014" s="20">
        <f>VLOOKUP($O3014,매칭테이블!$G:$J,2,0)*H3014</f>
        <v/>
      </c>
      <c r="M3014" s="20">
        <f>L3014-L3014*VLOOKUP($O3014,매칭테이블!$G:$J,3,0)</f>
        <v/>
      </c>
      <c r="N3014" s="20">
        <f>VLOOKUP($O3014,매칭테이블!$G:$J,4,0)*H3014</f>
        <v/>
      </c>
      <c r="O3014" s="20">
        <f>F3014&amp;E3014&amp;G3014&amp;J3014</f>
        <v/>
      </c>
    </row>
    <row r="3015" ht="16.5" customHeight="1" s="17">
      <c r="B3015" s="16" t="n">
        <v>44220</v>
      </c>
      <c r="C3015" s="20">
        <f>TEXT(B3015,"aaa")</f>
        <v/>
      </c>
      <c r="E3015" s="20">
        <f>INDEX(매칭테이블!C:C,MATCH(RD!G3015,매칭테이블!D:D,0))</f>
        <v/>
      </c>
      <c r="F3015" s="20" t="inlineStr">
        <is>
          <t>카페24</t>
        </is>
      </c>
      <c r="G3015" s="20" t="inlineStr">
        <is>
          <t>유즈 솔리드퍼퓸 - 30ml향=커플세트(이그나이트 + 스테이포에버), 세트 선택=1 SET</t>
        </is>
      </c>
      <c r="H3015" s="20" t="n">
        <v>5</v>
      </c>
      <c r="I3015" s="20">
        <f>VLOOKUP(G3015,매칭테이블!D:E,2,0)</f>
        <v/>
      </c>
      <c r="J3015" s="20" t="n">
        <v>210101</v>
      </c>
      <c r="L3015" s="20">
        <f>VLOOKUP($O3015,매칭테이블!$G:$J,2,0)*H3015</f>
        <v/>
      </c>
      <c r="M3015" s="20">
        <f>L3015-L3015*VLOOKUP($O3015,매칭테이블!$G:$J,3,0)</f>
        <v/>
      </c>
      <c r="N3015" s="20">
        <f>VLOOKUP($O3015,매칭테이블!$G:$J,4,0)*H3015</f>
        <v/>
      </c>
      <c r="O3015" s="20">
        <f>F3015&amp;E3015&amp;G3015&amp;J3015</f>
        <v/>
      </c>
    </row>
    <row r="3016" ht="16.5" customHeight="1" s="17">
      <c r="B3016" s="16" t="n">
        <v>44220</v>
      </c>
      <c r="C3016" s="20">
        <f>TEXT(B3016,"aaa")</f>
        <v/>
      </c>
      <c r="E3016" s="20">
        <f>INDEX(매칭테이블!C:C,MATCH(RD!G3016,매칭테이블!D:D,0))</f>
        <v/>
      </c>
      <c r="F3016" s="20" t="inlineStr">
        <is>
          <t>카페24</t>
        </is>
      </c>
      <c r="G3016" s="20" t="inlineStr">
        <is>
          <t>유즈 솔리드퍼퓸 - 30ml향=커플세트(이그나이트 + 스테이포에버), 세트 선택=2 SET (42% 할인)</t>
        </is>
      </c>
      <c r="H3016" s="20" t="n">
        <v>4</v>
      </c>
      <c r="I3016" s="20">
        <f>VLOOKUP(G3016,매칭테이블!D:E,2,0)</f>
        <v/>
      </c>
      <c r="J3016" s="20" t="n">
        <v>210101</v>
      </c>
      <c r="L3016" s="20">
        <f>VLOOKUP($O3016,매칭테이블!$G:$J,2,0)*H3016</f>
        <v/>
      </c>
      <c r="M3016" s="20">
        <f>L3016-L3016*VLOOKUP($O3016,매칭테이블!$G:$J,3,0)</f>
        <v/>
      </c>
      <c r="N3016" s="20">
        <f>VLOOKUP($O3016,매칭테이블!$G:$J,4,0)*H3016</f>
        <v/>
      </c>
      <c r="O3016" s="20">
        <f>F3016&amp;E3016&amp;G3016&amp;J3016</f>
        <v/>
      </c>
    </row>
    <row r="3017" ht="16.5" customHeight="1" s="17">
      <c r="B3017" s="16" t="n">
        <v>44220</v>
      </c>
      <c r="C3017" s="20">
        <f>TEXT(B3017,"aaa")</f>
        <v/>
      </c>
      <c r="E3017" s="20">
        <f>INDEX(매칭테이블!C:C,MATCH(RD!G3017,매칭테이블!D:D,0))</f>
        <v/>
      </c>
      <c r="F3017" s="20" t="inlineStr">
        <is>
          <t>카페24</t>
        </is>
      </c>
      <c r="G3017" s="20" t="inlineStr">
        <is>
          <t>유즈 솔리드퍼퓸 - 스테이포에버 002제품선택=스테이포에버 1개</t>
        </is>
      </c>
      <c r="H3017" s="20" t="n">
        <v>415</v>
      </c>
      <c r="I3017" s="20">
        <f>VLOOKUP(G3017,매칭테이블!D:E,2,0)</f>
        <v/>
      </c>
      <c r="J3017" s="20" t="n">
        <v>210101</v>
      </c>
      <c r="L3017" s="20">
        <f>VLOOKUP($O3017,매칭테이블!$G:$J,2,0)*H3017</f>
        <v/>
      </c>
      <c r="M3017" s="20">
        <f>L3017-L3017*VLOOKUP($O3017,매칭테이블!$G:$J,3,0)</f>
        <v/>
      </c>
      <c r="N3017" s="20">
        <f>VLOOKUP($O3017,매칭테이블!$G:$J,4,0)*H3017</f>
        <v/>
      </c>
      <c r="O3017" s="20">
        <f>F3017&amp;E3017&amp;G3017&amp;J3017</f>
        <v/>
      </c>
    </row>
    <row r="3018" ht="16.5" customHeight="1" s="17">
      <c r="B3018" s="16" t="n">
        <v>44220</v>
      </c>
      <c r="C3018" s="20">
        <f>TEXT(B3018,"aaa")</f>
        <v/>
      </c>
      <c r="E3018" s="20">
        <f>INDEX(매칭테이블!C:C,MATCH(RD!G3018,매칭테이블!D:D,0))</f>
        <v/>
      </c>
      <c r="F3018" s="20" t="inlineStr">
        <is>
          <t>카페24</t>
        </is>
      </c>
      <c r="G3018" s="20" t="inlineStr">
        <is>
          <t>유즈 솔리드퍼퓸 - 스테이포에버 002제품선택=best스테이포에버 2개[28% 할인]</t>
        </is>
      </c>
      <c r="H3018" s="20" t="n">
        <v>172</v>
      </c>
      <c r="I3018" s="20">
        <f>VLOOKUP(G3018,매칭테이블!D:E,2,0)</f>
        <v/>
      </c>
      <c r="J3018" s="20" t="n">
        <v>210101</v>
      </c>
      <c r="L3018" s="20">
        <f>VLOOKUP($O3018,매칭테이블!$G:$J,2,0)*H3018</f>
        <v/>
      </c>
      <c r="M3018" s="20">
        <f>L3018-L3018*VLOOKUP($O3018,매칭테이블!$G:$J,3,0)</f>
        <v/>
      </c>
      <c r="N3018" s="20">
        <f>VLOOKUP($O3018,매칭테이블!$G:$J,4,0)*H3018</f>
        <v/>
      </c>
      <c r="O3018" s="20">
        <f>F3018&amp;E3018&amp;G3018&amp;J3018</f>
        <v/>
      </c>
    </row>
    <row r="3019" ht="16.5" customHeight="1" s="17">
      <c r="B3019" s="16" t="n">
        <v>44220</v>
      </c>
      <c r="C3019" s="20">
        <f>TEXT(B3019,"aaa")</f>
        <v/>
      </c>
      <c r="E3019" s="20">
        <f>INDEX(매칭테이블!C:C,MATCH(RD!G3019,매칭테이블!D:D,0))</f>
        <v/>
      </c>
      <c r="F3019" s="20" t="inlineStr">
        <is>
          <t>카페24</t>
        </is>
      </c>
      <c r="G3019" s="20" t="inlineStr">
        <is>
          <t>유즈 솔리드퍼퓸 - 스테이포에버 002제품선택=커플추천스테이포에버 + 이그나이트 세트</t>
        </is>
      </c>
      <c r="H3019" s="20" t="n">
        <v>32</v>
      </c>
      <c r="I3019" s="20">
        <f>VLOOKUP(G3019,매칭테이블!D:E,2,0)</f>
        <v/>
      </c>
      <c r="J3019" s="20" t="n">
        <v>210101</v>
      </c>
      <c r="L3019" s="20">
        <f>VLOOKUP($O3019,매칭테이블!$G:$J,2,0)*H3019</f>
        <v/>
      </c>
      <c r="M3019" s="20">
        <f>L3019-L3019*VLOOKUP($O3019,매칭테이블!$G:$J,3,0)</f>
        <v/>
      </c>
      <c r="N3019" s="20">
        <f>VLOOKUP($O3019,매칭테이블!$G:$J,4,0)*H3019</f>
        <v/>
      </c>
      <c r="O3019" s="20">
        <f>F3019&amp;E3019&amp;G3019&amp;J3019</f>
        <v/>
      </c>
    </row>
    <row r="3020" ht="16.5" customHeight="1" s="17">
      <c r="B3020" s="16" t="n">
        <v>44220</v>
      </c>
      <c r="C3020" s="20">
        <f>TEXT(B3020,"aaa")</f>
        <v/>
      </c>
      <c r="E3020" s="20">
        <f>INDEX(매칭테이블!C:C,MATCH(RD!G3020,매칭테이블!D:D,0))</f>
        <v/>
      </c>
      <c r="F3020" s="20" t="inlineStr">
        <is>
          <t>카페24</t>
        </is>
      </c>
      <c r="G3020" s="20" t="inlineStr">
        <is>
          <t>유즈 솔리드퍼퓸 - 스테이포에버 002쇼핑백=선물용 쇼핑백</t>
        </is>
      </c>
      <c r="H3020" s="20" t="n">
        <v>18</v>
      </c>
      <c r="I3020" s="20">
        <f>VLOOKUP(G3020,매칭테이블!D:E,2,0)</f>
        <v/>
      </c>
      <c r="J3020" s="20" t="n">
        <v>210101</v>
      </c>
      <c r="L3020" s="20">
        <f>VLOOKUP($O3020,매칭테이블!$G:$J,2,0)*H3020</f>
        <v/>
      </c>
      <c r="M3020" s="20">
        <f>L3020-L3020*VLOOKUP($O3020,매칭테이블!$G:$J,3,0)</f>
        <v/>
      </c>
      <c r="N3020" s="20">
        <f>VLOOKUP($O3020,매칭테이블!$G:$J,4,0)*H3020</f>
        <v/>
      </c>
      <c r="O3020" s="20">
        <f>F3020&amp;E3020&amp;G3020&amp;J3020</f>
        <v/>
      </c>
    </row>
    <row r="3021" ht="16.5" customHeight="1" s="17">
      <c r="B3021" s="16" t="n">
        <v>44220</v>
      </c>
      <c r="C3021" s="20">
        <f>TEXT(B3021,"aaa")</f>
        <v/>
      </c>
      <c r="E3021" s="20">
        <f>INDEX(매칭테이블!C:C,MATCH(RD!G3021,매칭테이블!D:D,0))</f>
        <v/>
      </c>
      <c r="F3021" s="20" t="inlineStr">
        <is>
          <t>카페24</t>
        </is>
      </c>
      <c r="G3021" s="20" t="inlineStr">
        <is>
          <t>유즈 솔리드퍼퓸 - 이그나이트 001제품선택=이그나이트 솔리드퍼퓸 - 30ml</t>
        </is>
      </c>
      <c r="H3021" s="20" t="n">
        <v>8</v>
      </c>
      <c r="I3021" s="20">
        <f>VLOOKUP(G3021,매칭테이블!D:E,2,0)</f>
        <v/>
      </c>
      <c r="J3021" s="20" t="n">
        <v>210101</v>
      </c>
      <c r="L3021" s="20">
        <f>VLOOKUP($O3021,매칭테이블!$G:$J,2,0)*H3021</f>
        <v/>
      </c>
      <c r="M3021" s="20">
        <f>L3021-L3021*VLOOKUP($O3021,매칭테이블!$G:$J,3,0)</f>
        <v/>
      </c>
      <c r="N3021" s="20">
        <f>VLOOKUP($O3021,매칭테이블!$G:$J,4,0)*H3021</f>
        <v/>
      </c>
      <c r="O3021" s="20">
        <f>F3021&amp;E3021&amp;G3021&amp;J3021</f>
        <v/>
      </c>
    </row>
    <row r="3022" ht="16.5" customHeight="1" s="17">
      <c r="B3022" s="16" t="n">
        <v>44220</v>
      </c>
      <c r="C3022" s="20">
        <f>TEXT(B3022,"aaa")</f>
        <v/>
      </c>
      <c r="E3022" s="20">
        <f>INDEX(매칭테이블!C:C,MATCH(RD!G3022,매칭테이블!D:D,0))</f>
        <v/>
      </c>
      <c r="F3022" s="20" t="inlineStr">
        <is>
          <t>카페24</t>
        </is>
      </c>
      <c r="G3022" s="20" t="inlineStr">
        <is>
          <t>유즈 솔리드퍼퓸 - 이그나이트 001제품선택=이그나이트 2개 세트</t>
        </is>
      </c>
      <c r="H3022" s="20" t="n">
        <v>1</v>
      </c>
      <c r="I3022" s="20">
        <f>VLOOKUP(G3022,매칭테이블!D:E,2,0)</f>
        <v/>
      </c>
      <c r="J3022" s="20" t="n">
        <v>210101</v>
      </c>
      <c r="L3022" s="20">
        <f>VLOOKUP($O3022,매칭테이블!$G:$J,2,0)*H3022</f>
        <v/>
      </c>
      <c r="M3022" s="20">
        <f>L3022-L3022*VLOOKUP($O3022,매칭테이블!$G:$J,3,0)</f>
        <v/>
      </c>
      <c r="N3022" s="20">
        <f>VLOOKUP($O3022,매칭테이블!$G:$J,4,0)*H3022</f>
        <v/>
      </c>
      <c r="O3022" s="20">
        <f>F3022&amp;E3022&amp;G3022&amp;J3022</f>
        <v/>
      </c>
    </row>
    <row r="3023" ht="16.5" customHeight="1" s="17">
      <c r="B3023" s="16" t="n">
        <v>44221</v>
      </c>
      <c r="C3023" s="20">
        <f>TEXT(B3023,"aaa")</f>
        <v/>
      </c>
      <c r="E3023" s="20">
        <f>INDEX(매칭테이블!C:C,MATCH(RD!G3023,매칭테이블!D:D,0))</f>
        <v/>
      </c>
      <c r="F3023" s="20" t="inlineStr">
        <is>
          <t>카페24</t>
        </is>
      </c>
      <c r="G3023" s="20" t="inlineStr">
        <is>
          <t>솔리드퍼퓸 스테이포에버 002 30ml</t>
        </is>
      </c>
      <c r="H3023" s="20" t="n">
        <v>2</v>
      </c>
      <c r="I3023" s="20">
        <f>VLOOKUP(G3023,매칭테이블!D:E,2,0)</f>
        <v/>
      </c>
      <c r="J3023" s="20" t="n">
        <v>210101</v>
      </c>
      <c r="L3023" s="20">
        <f>VLOOKUP($O3023,매칭테이블!$G:$J,2,0)*H3023</f>
        <v/>
      </c>
      <c r="M3023" s="20">
        <f>L3023-L3023*VLOOKUP($O3023,매칭테이블!$G:$J,3,0)</f>
        <v/>
      </c>
      <c r="N3023" s="20">
        <f>VLOOKUP($O3023,매칭테이블!$G:$J,4,0)*H3023</f>
        <v/>
      </c>
      <c r="O3023" s="20">
        <f>F3023&amp;E3023&amp;G3023&amp;J3023</f>
        <v/>
      </c>
    </row>
    <row r="3024" ht="16.5" customHeight="1" s="17">
      <c r="B3024" s="16" t="n">
        <v>44221</v>
      </c>
      <c r="C3024" s="20">
        <f>TEXT(B3024,"aaa")</f>
        <v/>
      </c>
      <c r="E3024" s="20">
        <f>INDEX(매칭테이블!C:C,MATCH(RD!G3024,매칭테이블!D:D,0))</f>
        <v/>
      </c>
      <c r="F3024" s="20" t="inlineStr">
        <is>
          <t>카페24</t>
        </is>
      </c>
      <c r="G3024" s="20" t="inlineStr">
        <is>
          <t>유즈 솔리드퍼퓸 - 30ml향=이그나이트 001 SOLID PERFUME, 세트 선택=1개</t>
        </is>
      </c>
      <c r="H3024" s="20" t="n">
        <v>2</v>
      </c>
      <c r="I3024" s="20">
        <f>VLOOKUP(G3024,매칭테이블!D:E,2,0)</f>
        <v/>
      </c>
      <c r="J3024" s="20" t="n">
        <v>210101</v>
      </c>
      <c r="L3024" s="20">
        <f>VLOOKUP($O3024,매칭테이블!$G:$J,2,0)*H3024</f>
        <v/>
      </c>
      <c r="M3024" s="20">
        <f>L3024-L3024*VLOOKUP($O3024,매칭테이블!$G:$J,3,0)</f>
        <v/>
      </c>
      <c r="N3024" s="20">
        <f>VLOOKUP($O3024,매칭테이블!$G:$J,4,0)*H3024</f>
        <v/>
      </c>
      <c r="O3024" s="20">
        <f>F3024&amp;E3024&amp;G3024&amp;J3024</f>
        <v/>
      </c>
    </row>
    <row r="3025" ht="16.5" customHeight="1" s="17">
      <c r="B3025" s="16" t="n">
        <v>44221</v>
      </c>
      <c r="C3025" s="20">
        <f>TEXT(B3025,"aaa")</f>
        <v/>
      </c>
      <c r="E3025" s="20">
        <f>INDEX(매칭테이블!C:C,MATCH(RD!G3025,매칭테이블!D:D,0))</f>
        <v/>
      </c>
      <c r="F3025" s="20" t="inlineStr">
        <is>
          <t>카페24</t>
        </is>
      </c>
      <c r="G3025" s="20" t="inlineStr">
        <is>
          <t>유즈 솔리드퍼퓸 - 30ml향=스테이포에버 002 SOLID PERFUME, 세트 선택=1개</t>
        </is>
      </c>
      <c r="H3025" s="20" t="n">
        <v>10</v>
      </c>
      <c r="I3025" s="20">
        <f>VLOOKUP(G3025,매칭테이블!D:E,2,0)</f>
        <v/>
      </c>
      <c r="J3025" s="20" t="n">
        <v>210101</v>
      </c>
      <c r="L3025" s="20">
        <f>VLOOKUP($O3025,매칭테이블!$G:$J,2,0)*H3025</f>
        <v/>
      </c>
      <c r="M3025" s="20">
        <f>L3025-L3025*VLOOKUP($O3025,매칭테이블!$G:$J,3,0)</f>
        <v/>
      </c>
      <c r="N3025" s="20">
        <f>VLOOKUP($O3025,매칭테이블!$G:$J,4,0)*H3025</f>
        <v/>
      </c>
      <c r="O3025" s="20">
        <f>F3025&amp;E3025&amp;G3025&amp;J3025</f>
        <v/>
      </c>
    </row>
    <row r="3026" ht="16.5" customHeight="1" s="17">
      <c r="B3026" s="16" t="n">
        <v>44221</v>
      </c>
      <c r="C3026" s="20">
        <f>TEXT(B3026,"aaa")</f>
        <v/>
      </c>
      <c r="E3026" s="20">
        <f>INDEX(매칭테이블!C:C,MATCH(RD!G3026,매칭테이블!D:D,0))</f>
        <v/>
      </c>
      <c r="F3026" s="20" t="inlineStr">
        <is>
          <t>카페24</t>
        </is>
      </c>
      <c r="G3026" s="20" t="inlineStr">
        <is>
          <t>유즈 솔리드퍼퓸 - 30ml향=스테이포에버 002 SOLID PERFUME, 세트 선택=best 2개 (28% 할인)</t>
        </is>
      </c>
      <c r="H3026" s="20" t="n">
        <v>10</v>
      </c>
      <c r="I3026" s="20">
        <f>VLOOKUP(G3026,매칭테이블!D:E,2,0)</f>
        <v/>
      </c>
      <c r="J3026" s="20" t="n">
        <v>210101</v>
      </c>
      <c r="L3026" s="20">
        <f>VLOOKUP($O3026,매칭테이블!$G:$J,2,0)*H3026</f>
        <v/>
      </c>
      <c r="M3026" s="20">
        <f>L3026-L3026*VLOOKUP($O3026,매칭테이블!$G:$J,3,0)</f>
        <v/>
      </c>
      <c r="N3026" s="20">
        <f>VLOOKUP($O3026,매칭테이블!$G:$J,4,0)*H3026</f>
        <v/>
      </c>
      <c r="O3026" s="20">
        <f>F3026&amp;E3026&amp;G3026&amp;J3026</f>
        <v/>
      </c>
    </row>
    <row r="3027" ht="16.5" customHeight="1" s="17">
      <c r="B3027" s="16" t="n">
        <v>44221</v>
      </c>
      <c r="C3027" s="20">
        <f>TEXT(B3027,"aaa")</f>
        <v/>
      </c>
      <c r="E3027" s="20">
        <f>INDEX(매칭테이블!C:C,MATCH(RD!G3027,매칭테이블!D:D,0))</f>
        <v/>
      </c>
      <c r="F3027" s="20" t="inlineStr">
        <is>
          <t>카페24</t>
        </is>
      </c>
      <c r="G3027" s="20" t="inlineStr">
        <is>
          <t>유즈 솔리드퍼퓸 - 30ml향=커플세트(이그나이트 + 스테이포에버), 세트 선택=1 SET</t>
        </is>
      </c>
      <c r="H3027" s="20" t="n">
        <v>11</v>
      </c>
      <c r="I3027" s="20">
        <f>VLOOKUP(G3027,매칭테이블!D:E,2,0)</f>
        <v/>
      </c>
      <c r="J3027" s="20" t="n">
        <v>210101</v>
      </c>
      <c r="L3027" s="20">
        <f>VLOOKUP($O3027,매칭테이블!$G:$J,2,0)*H3027</f>
        <v/>
      </c>
      <c r="M3027" s="20">
        <f>L3027-L3027*VLOOKUP($O3027,매칭테이블!$G:$J,3,0)</f>
        <v/>
      </c>
      <c r="N3027" s="20">
        <f>VLOOKUP($O3027,매칭테이블!$G:$J,4,0)*H3027</f>
        <v/>
      </c>
      <c r="O3027" s="20">
        <f>F3027&amp;E3027&amp;G3027&amp;J3027</f>
        <v/>
      </c>
    </row>
    <row r="3028" ht="16.5" customHeight="1" s="17">
      <c r="B3028" s="16" t="n">
        <v>44221</v>
      </c>
      <c r="C3028" s="20">
        <f>TEXT(B3028,"aaa")</f>
        <v/>
      </c>
      <c r="E3028" s="20">
        <f>INDEX(매칭테이블!C:C,MATCH(RD!G3028,매칭테이블!D:D,0))</f>
        <v/>
      </c>
      <c r="F3028" s="20" t="inlineStr">
        <is>
          <t>카페24</t>
        </is>
      </c>
      <c r="G3028" s="20" t="inlineStr">
        <is>
          <t>유즈 솔리드퍼퓸 - 30ml향=커플세트(이그나이트 + 스테이포에버), 세트 선택=2 SET (42% 할인)</t>
        </is>
      </c>
      <c r="H3028" s="20" t="n">
        <v>1</v>
      </c>
      <c r="I3028" s="20">
        <f>VLOOKUP(G3028,매칭테이블!D:E,2,0)</f>
        <v/>
      </c>
      <c r="J3028" s="20" t="n">
        <v>210101</v>
      </c>
      <c r="L3028" s="20">
        <f>VLOOKUP($O3028,매칭테이블!$G:$J,2,0)*H3028</f>
        <v/>
      </c>
      <c r="M3028" s="20">
        <f>L3028-L3028*VLOOKUP($O3028,매칭테이블!$G:$J,3,0)</f>
        <v/>
      </c>
      <c r="N3028" s="20">
        <f>VLOOKUP($O3028,매칭테이블!$G:$J,4,0)*H3028</f>
        <v/>
      </c>
      <c r="O3028" s="20">
        <f>F3028&amp;E3028&amp;G3028&amp;J3028</f>
        <v/>
      </c>
    </row>
    <row r="3029" ht="16.5" customHeight="1" s="17">
      <c r="B3029" s="16" t="n">
        <v>44221</v>
      </c>
      <c r="C3029" s="20">
        <f>TEXT(B3029,"aaa")</f>
        <v/>
      </c>
      <c r="E3029" s="20">
        <f>INDEX(매칭테이블!C:C,MATCH(RD!G3029,매칭테이블!D:D,0))</f>
        <v/>
      </c>
      <c r="F3029" s="20" t="inlineStr">
        <is>
          <t>카페24</t>
        </is>
      </c>
      <c r="G3029" s="20" t="inlineStr">
        <is>
          <t>유즈 솔리드퍼퓸 - 스테이포에버 002제품선택=스테이포에버 1개</t>
        </is>
      </c>
      <c r="H3029" s="20" t="n">
        <v>296</v>
      </c>
      <c r="I3029" s="20">
        <f>VLOOKUP(G3029,매칭테이블!D:E,2,0)</f>
        <v/>
      </c>
      <c r="J3029" s="20" t="n">
        <v>210101</v>
      </c>
      <c r="L3029" s="20">
        <f>VLOOKUP($O3029,매칭테이블!$G:$J,2,0)*H3029</f>
        <v/>
      </c>
      <c r="M3029" s="20">
        <f>L3029-L3029*VLOOKUP($O3029,매칭테이블!$G:$J,3,0)</f>
        <v/>
      </c>
      <c r="N3029" s="20">
        <f>VLOOKUP($O3029,매칭테이블!$G:$J,4,0)*H3029</f>
        <v/>
      </c>
      <c r="O3029" s="20">
        <f>F3029&amp;E3029&amp;G3029&amp;J3029</f>
        <v/>
      </c>
    </row>
    <row r="3030" ht="16.5" customHeight="1" s="17">
      <c r="B3030" s="16" t="n">
        <v>44221</v>
      </c>
      <c r="C3030" s="20">
        <f>TEXT(B3030,"aaa")</f>
        <v/>
      </c>
      <c r="E3030" s="20">
        <f>INDEX(매칭테이블!C:C,MATCH(RD!G3030,매칭테이블!D:D,0))</f>
        <v/>
      </c>
      <c r="F3030" s="20" t="inlineStr">
        <is>
          <t>카페24</t>
        </is>
      </c>
      <c r="G3030" s="20" t="inlineStr">
        <is>
          <t>유즈 솔리드퍼퓸 - 스테이포에버 002제품선택=best스테이포에버 2개[28% 할인]</t>
        </is>
      </c>
      <c r="H3030" s="20" t="n">
        <v>120</v>
      </c>
      <c r="I3030" s="20">
        <f>VLOOKUP(G3030,매칭테이블!D:E,2,0)</f>
        <v/>
      </c>
      <c r="J3030" s="20" t="n">
        <v>210101</v>
      </c>
      <c r="L3030" s="20">
        <f>VLOOKUP($O3030,매칭테이블!$G:$J,2,0)*H3030</f>
        <v/>
      </c>
      <c r="M3030" s="20">
        <f>L3030-L3030*VLOOKUP($O3030,매칭테이블!$G:$J,3,0)</f>
        <v/>
      </c>
      <c r="N3030" s="20">
        <f>VLOOKUP($O3030,매칭테이블!$G:$J,4,0)*H3030</f>
        <v/>
      </c>
      <c r="O3030" s="20">
        <f>F3030&amp;E3030&amp;G3030&amp;J3030</f>
        <v/>
      </c>
    </row>
    <row r="3031" ht="16.5" customHeight="1" s="17">
      <c r="B3031" s="16" t="n">
        <v>44221</v>
      </c>
      <c r="C3031" s="20">
        <f>TEXT(B3031,"aaa")</f>
        <v/>
      </c>
      <c r="E3031" s="20">
        <f>INDEX(매칭테이블!C:C,MATCH(RD!G3031,매칭테이블!D:D,0))</f>
        <v/>
      </c>
      <c r="F3031" s="20" t="inlineStr">
        <is>
          <t>카페24</t>
        </is>
      </c>
      <c r="G3031" s="20" t="inlineStr">
        <is>
          <t>유즈 솔리드퍼퓸 - 스테이포에버 002제품선택=커플추천스테이포에버 + 이그나이트 세트</t>
        </is>
      </c>
      <c r="H3031" s="20" t="n">
        <v>24</v>
      </c>
      <c r="I3031" s="20">
        <f>VLOOKUP(G3031,매칭테이블!D:E,2,0)</f>
        <v/>
      </c>
      <c r="J3031" s="20" t="n">
        <v>210101</v>
      </c>
      <c r="L3031" s="20">
        <f>VLOOKUP($O3031,매칭테이블!$G:$J,2,0)*H3031</f>
        <v/>
      </c>
      <c r="M3031" s="20">
        <f>L3031-L3031*VLOOKUP($O3031,매칭테이블!$G:$J,3,0)</f>
        <v/>
      </c>
      <c r="N3031" s="20">
        <f>VLOOKUP($O3031,매칭테이블!$G:$J,4,0)*H3031</f>
        <v/>
      </c>
      <c r="O3031" s="20">
        <f>F3031&amp;E3031&amp;G3031&amp;J3031</f>
        <v/>
      </c>
    </row>
    <row r="3032" ht="16.5" customHeight="1" s="17">
      <c r="B3032" s="16" t="n">
        <v>44221</v>
      </c>
      <c r="C3032" s="20">
        <f>TEXT(B3032,"aaa")</f>
        <v/>
      </c>
      <c r="E3032" s="20">
        <f>INDEX(매칭테이블!C:C,MATCH(RD!G3032,매칭테이블!D:D,0))</f>
        <v/>
      </c>
      <c r="F3032" s="20" t="inlineStr">
        <is>
          <t>카페24</t>
        </is>
      </c>
      <c r="G3032" s="20" t="inlineStr">
        <is>
          <t>유즈 솔리드퍼퓸 - 스테이포에버 002쇼핑백=선물용 쇼핑백</t>
        </is>
      </c>
      <c r="H3032" s="20" t="n">
        <v>8</v>
      </c>
      <c r="I3032" s="20">
        <f>VLOOKUP(G3032,매칭테이블!D:E,2,0)</f>
        <v/>
      </c>
      <c r="J3032" s="20" t="n">
        <v>210101</v>
      </c>
      <c r="L3032" s="20">
        <f>VLOOKUP($O3032,매칭테이블!$G:$J,2,0)*H3032</f>
        <v/>
      </c>
      <c r="M3032" s="20">
        <f>L3032-L3032*VLOOKUP($O3032,매칭테이블!$G:$J,3,0)</f>
        <v/>
      </c>
      <c r="N3032" s="20">
        <f>VLOOKUP($O3032,매칭테이블!$G:$J,4,0)*H3032</f>
        <v/>
      </c>
      <c r="O3032" s="20">
        <f>F3032&amp;E3032&amp;G3032&amp;J3032</f>
        <v/>
      </c>
    </row>
    <row r="3033" ht="16.5" customHeight="1" s="17">
      <c r="B3033" s="16" t="n">
        <v>44221</v>
      </c>
      <c r="C3033" s="20">
        <f>TEXT(B3033,"aaa")</f>
        <v/>
      </c>
      <c r="E3033" s="20">
        <f>INDEX(매칭테이블!C:C,MATCH(RD!G3033,매칭테이블!D:D,0))</f>
        <v/>
      </c>
      <c r="F3033" s="20" t="inlineStr">
        <is>
          <t>카페24</t>
        </is>
      </c>
      <c r="G3033" s="20" t="inlineStr">
        <is>
          <t>유즈 솔리드퍼퓸 - 이그나이트 001제품선택=이그나이트 솔리드퍼퓸 - 30ml</t>
        </is>
      </c>
      <c r="H3033" s="20" t="n">
        <v>11</v>
      </c>
      <c r="I3033" s="20">
        <f>VLOOKUP(G3033,매칭테이블!D:E,2,0)</f>
        <v/>
      </c>
      <c r="J3033" s="20" t="n">
        <v>210101</v>
      </c>
      <c r="L3033" s="20">
        <f>VLOOKUP($O3033,매칭테이블!$G:$J,2,0)*H3033</f>
        <v/>
      </c>
      <c r="M3033" s="20">
        <f>L3033-L3033*VLOOKUP($O3033,매칭테이블!$G:$J,3,0)</f>
        <v/>
      </c>
      <c r="N3033" s="20">
        <f>VLOOKUP($O3033,매칭테이블!$G:$J,4,0)*H3033</f>
        <v/>
      </c>
      <c r="O3033" s="20">
        <f>F3033&amp;E3033&amp;G3033&amp;J3033</f>
        <v/>
      </c>
    </row>
    <row r="3034" ht="16.5" customHeight="1" s="17">
      <c r="B3034" s="16" t="n">
        <v>44222</v>
      </c>
      <c r="C3034" s="20">
        <f>TEXT(B3034,"aaa")</f>
        <v/>
      </c>
      <c r="E3034" s="20">
        <f>INDEX(매칭테이블!C:C,MATCH(RD!G3034,매칭테이블!D:D,0))</f>
        <v/>
      </c>
      <c r="F3034" s="20" t="inlineStr">
        <is>
          <t>카페24</t>
        </is>
      </c>
      <c r="G3034" s="20" t="inlineStr">
        <is>
          <t>솔리드퍼퓸 스테이포에버 002 30ml</t>
        </is>
      </c>
      <c r="H3034" s="20" t="n">
        <v>1</v>
      </c>
      <c r="I3034" s="20">
        <f>VLOOKUP(G3034,매칭테이블!D:E,2,0)</f>
        <v/>
      </c>
      <c r="J3034" s="20" t="n">
        <v>210101</v>
      </c>
      <c r="L3034" s="20">
        <f>VLOOKUP($O3034,매칭테이블!$G:$J,2,0)*H3034</f>
        <v/>
      </c>
      <c r="M3034" s="20">
        <f>L3034-L3034*VLOOKUP($O3034,매칭테이블!$G:$J,3,0)</f>
        <v/>
      </c>
      <c r="N3034" s="20">
        <f>VLOOKUP($O3034,매칭테이블!$G:$J,4,0)*H3034</f>
        <v/>
      </c>
      <c r="O3034" s="20">
        <f>F3034&amp;E3034&amp;G3034&amp;J3034</f>
        <v/>
      </c>
    </row>
    <row r="3035" ht="16.5" customHeight="1" s="17">
      <c r="B3035" s="16" t="n">
        <v>44222</v>
      </c>
      <c r="C3035" s="20">
        <f>TEXT(B3035,"aaa")</f>
        <v/>
      </c>
      <c r="E3035" s="20">
        <f>INDEX(매칭테이블!C:C,MATCH(RD!G3035,매칭테이블!D:D,0))</f>
        <v/>
      </c>
      <c r="F3035" s="20" t="inlineStr">
        <is>
          <t>카페24</t>
        </is>
      </c>
      <c r="G3035" s="20" t="inlineStr">
        <is>
          <t>유즈 솔리드퍼퓸 - 30ml향=이그나이트 001 SOLID PERFUME, 세트 선택=1개</t>
        </is>
      </c>
      <c r="H3035" s="20" t="n">
        <v>1</v>
      </c>
      <c r="I3035" s="20">
        <f>VLOOKUP(G3035,매칭테이블!D:E,2,0)</f>
        <v/>
      </c>
      <c r="J3035" s="20" t="n">
        <v>210101</v>
      </c>
      <c r="L3035" s="20">
        <f>VLOOKUP($O3035,매칭테이블!$G:$J,2,0)*H3035</f>
        <v/>
      </c>
      <c r="M3035" s="20">
        <f>L3035-L3035*VLOOKUP($O3035,매칭테이블!$G:$J,3,0)</f>
        <v/>
      </c>
      <c r="N3035" s="20">
        <f>VLOOKUP($O3035,매칭테이블!$G:$J,4,0)*H3035</f>
        <v/>
      </c>
      <c r="O3035" s="20">
        <f>F3035&amp;E3035&amp;G3035&amp;J3035</f>
        <v/>
      </c>
    </row>
    <row r="3036" ht="16.5" customHeight="1" s="17">
      <c r="B3036" s="16" t="n">
        <v>44222</v>
      </c>
      <c r="C3036" s="20">
        <f>TEXT(B3036,"aaa")</f>
        <v/>
      </c>
      <c r="E3036" s="20">
        <f>INDEX(매칭테이블!C:C,MATCH(RD!G3036,매칭테이블!D:D,0))</f>
        <v/>
      </c>
      <c r="F3036" s="20" t="inlineStr">
        <is>
          <t>카페24</t>
        </is>
      </c>
      <c r="G3036" s="20" t="inlineStr">
        <is>
          <t>유즈 솔리드퍼퓸 - 30ml향=스테이포에버 002 SOLID PERFUME, 세트 선택=1개</t>
        </is>
      </c>
      <c r="H3036" s="20" t="n">
        <v>10</v>
      </c>
      <c r="I3036" s="20">
        <f>VLOOKUP(G3036,매칭테이블!D:E,2,0)</f>
        <v/>
      </c>
      <c r="J3036" s="20" t="n">
        <v>210101</v>
      </c>
      <c r="L3036" s="20">
        <f>VLOOKUP($O3036,매칭테이블!$G:$J,2,0)*H3036</f>
        <v/>
      </c>
      <c r="M3036" s="20">
        <f>L3036-L3036*VLOOKUP($O3036,매칭테이블!$G:$J,3,0)</f>
        <v/>
      </c>
      <c r="N3036" s="20">
        <f>VLOOKUP($O3036,매칭테이블!$G:$J,4,0)*H3036</f>
        <v/>
      </c>
      <c r="O3036" s="20">
        <f>F3036&amp;E3036&amp;G3036&amp;J3036</f>
        <v/>
      </c>
    </row>
    <row r="3037" ht="16.5" customHeight="1" s="17">
      <c r="B3037" s="16" t="n">
        <v>44222</v>
      </c>
      <c r="C3037" s="20">
        <f>TEXT(B3037,"aaa")</f>
        <v/>
      </c>
      <c r="E3037" s="20">
        <f>INDEX(매칭테이블!C:C,MATCH(RD!G3037,매칭테이블!D:D,0))</f>
        <v/>
      </c>
      <c r="F3037" s="20" t="inlineStr">
        <is>
          <t>카페24</t>
        </is>
      </c>
      <c r="G3037" s="20" t="inlineStr">
        <is>
          <t>유즈 솔리드퍼퓸 - 30ml향=스테이포에버 002 SOLID PERFUME, 세트 선택=best 2개 (28% 할인)</t>
        </is>
      </c>
      <c r="H3037" s="20" t="n">
        <v>7</v>
      </c>
      <c r="I3037" s="20">
        <f>VLOOKUP(G3037,매칭테이블!D:E,2,0)</f>
        <v/>
      </c>
      <c r="J3037" s="20" t="n">
        <v>210101</v>
      </c>
      <c r="L3037" s="20">
        <f>VLOOKUP($O3037,매칭테이블!$G:$J,2,0)*H3037</f>
        <v/>
      </c>
      <c r="M3037" s="20">
        <f>L3037-L3037*VLOOKUP($O3037,매칭테이블!$G:$J,3,0)</f>
        <v/>
      </c>
      <c r="N3037" s="20">
        <f>VLOOKUP($O3037,매칭테이블!$G:$J,4,0)*H3037</f>
        <v/>
      </c>
      <c r="O3037" s="20">
        <f>F3037&amp;E3037&amp;G3037&amp;J3037</f>
        <v/>
      </c>
    </row>
    <row r="3038" ht="16.5" customHeight="1" s="17">
      <c r="B3038" s="16" t="n">
        <v>44222</v>
      </c>
      <c r="C3038" s="20">
        <f>TEXT(B3038,"aaa")</f>
        <v/>
      </c>
      <c r="E3038" s="20">
        <f>INDEX(매칭테이블!C:C,MATCH(RD!G3038,매칭테이블!D:D,0))</f>
        <v/>
      </c>
      <c r="F3038" s="20" t="inlineStr">
        <is>
          <t>카페24</t>
        </is>
      </c>
      <c r="G3038" s="20" t="inlineStr">
        <is>
          <t>유즈 솔리드퍼퓸 - 30ml향=커플세트(이그나이트 + 스테이포에버), 세트 선택=1 SET</t>
        </is>
      </c>
      <c r="H3038" s="20" t="n">
        <v>11</v>
      </c>
      <c r="I3038" s="20">
        <f>VLOOKUP(G3038,매칭테이블!D:E,2,0)</f>
        <v/>
      </c>
      <c r="J3038" s="20" t="n">
        <v>210101</v>
      </c>
      <c r="L3038" s="20">
        <f>VLOOKUP($O3038,매칭테이블!$G:$J,2,0)*H3038</f>
        <v/>
      </c>
      <c r="M3038" s="20">
        <f>L3038-L3038*VLOOKUP($O3038,매칭테이블!$G:$J,3,0)</f>
        <v/>
      </c>
      <c r="N3038" s="20">
        <f>VLOOKUP($O3038,매칭테이블!$G:$J,4,0)*H3038</f>
        <v/>
      </c>
      <c r="O3038" s="20">
        <f>F3038&amp;E3038&amp;G3038&amp;J3038</f>
        <v/>
      </c>
    </row>
    <row r="3039" ht="16.5" customHeight="1" s="17">
      <c r="B3039" s="16" t="n">
        <v>44222</v>
      </c>
      <c r="C3039" s="20">
        <f>TEXT(B3039,"aaa")</f>
        <v/>
      </c>
      <c r="E3039" s="20">
        <f>INDEX(매칭테이블!C:C,MATCH(RD!G3039,매칭테이블!D:D,0))</f>
        <v/>
      </c>
      <c r="F3039" s="20" t="inlineStr">
        <is>
          <t>카페24</t>
        </is>
      </c>
      <c r="G3039" s="20" t="inlineStr">
        <is>
          <t>유즈 솔리드퍼퓸 - 30ml향=커플세트(이그나이트 + 스테이포에버), 세트 선택=2 SET (42% 할인)</t>
        </is>
      </c>
      <c r="H3039" s="20" t="n">
        <v>2</v>
      </c>
      <c r="I3039" s="20">
        <f>VLOOKUP(G3039,매칭테이블!D:E,2,0)</f>
        <v/>
      </c>
      <c r="J3039" s="20" t="n">
        <v>210101</v>
      </c>
      <c r="L3039" s="20">
        <f>VLOOKUP($O3039,매칭테이블!$G:$J,2,0)*H3039</f>
        <v/>
      </c>
      <c r="M3039" s="20">
        <f>L3039-L3039*VLOOKUP($O3039,매칭테이블!$G:$J,3,0)</f>
        <v/>
      </c>
      <c r="N3039" s="20">
        <f>VLOOKUP($O3039,매칭테이블!$G:$J,4,0)*H3039</f>
        <v/>
      </c>
      <c r="O3039" s="20">
        <f>F3039&amp;E3039&amp;G3039&amp;J3039</f>
        <v/>
      </c>
    </row>
    <row r="3040" ht="16.5" customHeight="1" s="17">
      <c r="B3040" s="16" t="n">
        <v>44222</v>
      </c>
      <c r="C3040" s="20">
        <f>TEXT(B3040,"aaa")</f>
        <v/>
      </c>
      <c r="E3040" s="20">
        <f>INDEX(매칭테이블!C:C,MATCH(RD!G3040,매칭테이블!D:D,0))</f>
        <v/>
      </c>
      <c r="F3040" s="20" t="inlineStr">
        <is>
          <t>카페24</t>
        </is>
      </c>
      <c r="G3040" s="20" t="inlineStr">
        <is>
          <t>유즈 솔리드퍼퓸 - 스테이포에버 002제품선택=스테이포에버 1개</t>
        </is>
      </c>
      <c r="H3040" s="20" t="n">
        <v>224</v>
      </c>
      <c r="I3040" s="20">
        <f>VLOOKUP(G3040,매칭테이블!D:E,2,0)</f>
        <v/>
      </c>
      <c r="J3040" s="20" t="n">
        <v>210101</v>
      </c>
      <c r="L3040" s="20">
        <f>VLOOKUP($O3040,매칭테이블!$G:$J,2,0)*H3040</f>
        <v/>
      </c>
      <c r="M3040" s="20">
        <f>L3040-L3040*VLOOKUP($O3040,매칭테이블!$G:$J,3,0)</f>
        <v/>
      </c>
      <c r="N3040" s="20">
        <f>VLOOKUP($O3040,매칭테이블!$G:$J,4,0)*H3040</f>
        <v/>
      </c>
      <c r="O3040" s="20">
        <f>F3040&amp;E3040&amp;G3040&amp;J3040</f>
        <v/>
      </c>
    </row>
    <row r="3041" ht="16.5" customHeight="1" s="17">
      <c r="B3041" s="16" t="n">
        <v>44222</v>
      </c>
      <c r="C3041" s="20">
        <f>TEXT(B3041,"aaa")</f>
        <v/>
      </c>
      <c r="E3041" s="20">
        <f>INDEX(매칭테이블!C:C,MATCH(RD!G3041,매칭테이블!D:D,0))</f>
        <v/>
      </c>
      <c r="F3041" s="20" t="inlineStr">
        <is>
          <t>카페24</t>
        </is>
      </c>
      <c r="G3041" s="20" t="inlineStr">
        <is>
          <t>유즈 솔리드퍼퓸 - 스테이포에버 002제품선택=best스테이포에버 2개[28% 할인]</t>
        </is>
      </c>
      <c r="H3041" s="20" t="n">
        <v>123</v>
      </c>
      <c r="I3041" s="20">
        <f>VLOOKUP(G3041,매칭테이블!D:E,2,0)</f>
        <v/>
      </c>
      <c r="J3041" s="20" t="n">
        <v>210101</v>
      </c>
      <c r="L3041" s="20">
        <f>VLOOKUP($O3041,매칭테이블!$G:$J,2,0)*H3041</f>
        <v/>
      </c>
      <c r="M3041" s="20">
        <f>L3041-L3041*VLOOKUP($O3041,매칭테이블!$G:$J,3,0)</f>
        <v/>
      </c>
      <c r="N3041" s="20">
        <f>VLOOKUP($O3041,매칭테이블!$G:$J,4,0)*H3041</f>
        <v/>
      </c>
      <c r="O3041" s="20">
        <f>F3041&amp;E3041&amp;G3041&amp;J3041</f>
        <v/>
      </c>
    </row>
    <row r="3042" ht="16.5" customHeight="1" s="17">
      <c r="B3042" s="16" t="n">
        <v>44222</v>
      </c>
      <c r="C3042" s="20">
        <f>TEXT(B3042,"aaa")</f>
        <v/>
      </c>
      <c r="E3042" s="20">
        <f>INDEX(매칭테이블!C:C,MATCH(RD!G3042,매칭테이블!D:D,0))</f>
        <v/>
      </c>
      <c r="F3042" s="20" t="inlineStr">
        <is>
          <t>카페24</t>
        </is>
      </c>
      <c r="G3042" s="20" t="inlineStr">
        <is>
          <t>유즈 솔리드퍼퓸 - 스테이포에버 002제품선택=커플추천스테이포에버 + 이그나이트 세트</t>
        </is>
      </c>
      <c r="H3042" s="20" t="n">
        <v>18</v>
      </c>
      <c r="I3042" s="20">
        <f>VLOOKUP(G3042,매칭테이블!D:E,2,0)</f>
        <v/>
      </c>
      <c r="J3042" s="20" t="n">
        <v>210101</v>
      </c>
      <c r="L3042" s="20">
        <f>VLOOKUP($O3042,매칭테이블!$G:$J,2,0)*H3042</f>
        <v/>
      </c>
      <c r="M3042" s="20">
        <f>L3042-L3042*VLOOKUP($O3042,매칭테이블!$G:$J,3,0)</f>
        <v/>
      </c>
      <c r="N3042" s="20">
        <f>VLOOKUP($O3042,매칭테이블!$G:$J,4,0)*H3042</f>
        <v/>
      </c>
      <c r="O3042" s="20">
        <f>F3042&amp;E3042&amp;G3042&amp;J3042</f>
        <v/>
      </c>
    </row>
    <row r="3043" ht="16.5" customHeight="1" s="17">
      <c r="B3043" s="16" t="n">
        <v>44222</v>
      </c>
      <c r="C3043" s="20">
        <f>TEXT(B3043,"aaa")</f>
        <v/>
      </c>
      <c r="E3043" s="20">
        <f>INDEX(매칭테이블!C:C,MATCH(RD!G3043,매칭테이블!D:D,0))</f>
        <v/>
      </c>
      <c r="F3043" s="20" t="inlineStr">
        <is>
          <t>카페24</t>
        </is>
      </c>
      <c r="G3043" s="20" t="inlineStr">
        <is>
          <t>유즈 솔리드퍼퓸 - 스테이포에버 002쇼핑백=선물용 쇼핑백</t>
        </is>
      </c>
      <c r="H3043" s="20" t="n">
        <v>13</v>
      </c>
      <c r="I3043" s="20">
        <f>VLOOKUP(G3043,매칭테이블!D:E,2,0)</f>
        <v/>
      </c>
      <c r="J3043" s="20" t="n">
        <v>210101</v>
      </c>
      <c r="L3043" s="20">
        <f>VLOOKUP($O3043,매칭테이블!$G:$J,2,0)*H3043</f>
        <v/>
      </c>
      <c r="M3043" s="20">
        <f>L3043-L3043*VLOOKUP($O3043,매칭테이블!$G:$J,3,0)</f>
        <v/>
      </c>
      <c r="N3043" s="20">
        <f>VLOOKUP($O3043,매칭테이블!$G:$J,4,0)*H3043</f>
        <v/>
      </c>
      <c r="O3043" s="20">
        <f>F3043&amp;E3043&amp;G3043&amp;J3043</f>
        <v/>
      </c>
    </row>
    <row r="3044" ht="16.5" customHeight="1" s="17">
      <c r="B3044" s="16" t="n">
        <v>44222</v>
      </c>
      <c r="C3044" s="20">
        <f>TEXT(B3044,"aaa")</f>
        <v/>
      </c>
      <c r="E3044" s="20">
        <f>INDEX(매칭테이블!C:C,MATCH(RD!G3044,매칭테이블!D:D,0))</f>
        <v/>
      </c>
      <c r="F3044" s="20" t="inlineStr">
        <is>
          <t>카페24</t>
        </is>
      </c>
      <c r="G3044" s="20" t="inlineStr">
        <is>
          <t>유즈 솔리드퍼퓸 - 이그나이트 001제품선택=이그나이트 솔리드퍼퓸 - 30ml</t>
        </is>
      </c>
      <c r="H3044" s="20" t="n">
        <v>3</v>
      </c>
      <c r="I3044" s="20">
        <f>VLOOKUP(G3044,매칭테이블!D:E,2,0)</f>
        <v/>
      </c>
      <c r="J3044" s="20" t="n">
        <v>210101</v>
      </c>
      <c r="L3044" s="20">
        <f>VLOOKUP($O3044,매칭테이블!$G:$J,2,0)*H3044</f>
        <v/>
      </c>
      <c r="M3044" s="20">
        <f>L3044-L3044*VLOOKUP($O3044,매칭테이블!$G:$J,3,0)</f>
        <v/>
      </c>
      <c r="N3044" s="20">
        <f>VLOOKUP($O3044,매칭테이블!$G:$J,4,0)*H3044</f>
        <v/>
      </c>
      <c r="O3044" s="20">
        <f>F3044&amp;E3044&amp;G3044&amp;J3044</f>
        <v/>
      </c>
    </row>
    <row r="3045" ht="16.5" customHeight="1" s="17">
      <c r="B3045" s="16" t="n">
        <v>44223</v>
      </c>
      <c r="C3045" s="20">
        <f>TEXT(B3045,"aaa")</f>
        <v/>
      </c>
      <c r="E3045" s="20">
        <f>INDEX(매칭테이블!C:C,MATCH(RD!G3045,매칭테이블!D:D,0))</f>
        <v/>
      </c>
      <c r="F3045" s="20" t="inlineStr">
        <is>
          <t>카페24</t>
        </is>
      </c>
      <c r="G3045" s="20" t="inlineStr">
        <is>
          <t>유즈 솔리드퍼퓸 - 30ml향=이그나이트 001 SOLID PERFUME, 세트 선택=best 2개 (28% 할인)</t>
        </is>
      </c>
      <c r="H3045" s="20" t="n">
        <v>1</v>
      </c>
      <c r="I3045" s="20">
        <f>VLOOKUP(G3045,매칭테이블!D:E,2,0)</f>
        <v/>
      </c>
      <c r="J3045" s="20" t="n">
        <v>210101</v>
      </c>
      <c r="L3045" s="20">
        <f>VLOOKUP($O3045,매칭테이블!$G:$J,2,0)*H3045</f>
        <v/>
      </c>
      <c r="M3045" s="20">
        <f>L3045-L3045*VLOOKUP($O3045,매칭테이블!$G:$J,3,0)</f>
        <v/>
      </c>
      <c r="N3045" s="20">
        <f>VLOOKUP($O3045,매칭테이블!$G:$J,4,0)*H3045</f>
        <v/>
      </c>
      <c r="O3045" s="20">
        <f>F3045&amp;E3045&amp;G3045&amp;J3045</f>
        <v/>
      </c>
    </row>
    <row r="3046" ht="16.5" customHeight="1" s="17">
      <c r="B3046" s="16" t="n">
        <v>44223</v>
      </c>
      <c r="C3046" s="20">
        <f>TEXT(B3046,"aaa")</f>
        <v/>
      </c>
      <c r="E3046" s="20">
        <f>INDEX(매칭테이블!C:C,MATCH(RD!G3046,매칭테이블!D:D,0))</f>
        <v/>
      </c>
      <c r="F3046" s="20" t="inlineStr">
        <is>
          <t>카페24</t>
        </is>
      </c>
      <c r="G3046" s="20" t="inlineStr">
        <is>
          <t>유즈 솔리드퍼퓸 - 30ml향=스테이포에버 002 SOLID PERFUME, 세트 선택=1개</t>
        </is>
      </c>
      <c r="H3046" s="20" t="n">
        <v>9</v>
      </c>
      <c r="I3046" s="20">
        <f>VLOOKUP(G3046,매칭테이블!D:E,2,0)</f>
        <v/>
      </c>
      <c r="J3046" s="20" t="n">
        <v>210101</v>
      </c>
      <c r="L3046" s="20">
        <f>VLOOKUP($O3046,매칭테이블!$G:$J,2,0)*H3046</f>
        <v/>
      </c>
      <c r="M3046" s="20">
        <f>L3046-L3046*VLOOKUP($O3046,매칭테이블!$G:$J,3,0)</f>
        <v/>
      </c>
      <c r="N3046" s="20">
        <f>VLOOKUP($O3046,매칭테이블!$G:$J,4,0)*H3046</f>
        <v/>
      </c>
      <c r="O3046" s="20">
        <f>F3046&amp;E3046&amp;G3046&amp;J3046</f>
        <v/>
      </c>
    </row>
    <row r="3047" ht="16.5" customHeight="1" s="17">
      <c r="B3047" s="16" t="n">
        <v>44223</v>
      </c>
      <c r="C3047" s="20">
        <f>TEXT(B3047,"aaa")</f>
        <v/>
      </c>
      <c r="E3047" s="20">
        <f>INDEX(매칭테이블!C:C,MATCH(RD!G3047,매칭테이블!D:D,0))</f>
        <v/>
      </c>
      <c r="F3047" s="20" t="inlineStr">
        <is>
          <t>카페24</t>
        </is>
      </c>
      <c r="G3047" s="20" t="inlineStr">
        <is>
          <t>유즈 솔리드퍼퓸 - 30ml향=스테이포에버 002 SOLID PERFUME, 세트 선택=best 2개 (28% 할인)</t>
        </is>
      </c>
      <c r="H3047" s="20" t="n">
        <v>5</v>
      </c>
      <c r="I3047" s="20">
        <f>VLOOKUP(G3047,매칭테이블!D:E,2,0)</f>
        <v/>
      </c>
      <c r="J3047" s="20" t="n">
        <v>210101</v>
      </c>
      <c r="L3047" s="20">
        <f>VLOOKUP($O3047,매칭테이블!$G:$J,2,0)*H3047</f>
        <v/>
      </c>
      <c r="M3047" s="20">
        <f>L3047-L3047*VLOOKUP($O3047,매칭테이블!$G:$J,3,0)</f>
        <v/>
      </c>
      <c r="N3047" s="20">
        <f>VLOOKUP($O3047,매칭테이블!$G:$J,4,0)*H3047</f>
        <v/>
      </c>
      <c r="O3047" s="20">
        <f>F3047&amp;E3047&amp;G3047&amp;J3047</f>
        <v/>
      </c>
    </row>
    <row r="3048" ht="16.5" customHeight="1" s="17">
      <c r="B3048" s="16" t="n">
        <v>44223</v>
      </c>
      <c r="C3048" s="20">
        <f>TEXT(B3048,"aaa")</f>
        <v/>
      </c>
      <c r="E3048" s="20">
        <f>INDEX(매칭테이블!C:C,MATCH(RD!G3048,매칭테이블!D:D,0))</f>
        <v/>
      </c>
      <c r="F3048" s="20" t="inlineStr">
        <is>
          <t>카페24</t>
        </is>
      </c>
      <c r="G3048" s="20" t="inlineStr">
        <is>
          <t>유즈 솔리드퍼퓸 - 30ml향=커플세트(이그나이트 + 스테이포에버), 세트 선택=1 SET</t>
        </is>
      </c>
      <c r="H3048" s="20" t="n">
        <v>8</v>
      </c>
      <c r="I3048" s="20">
        <f>VLOOKUP(G3048,매칭테이블!D:E,2,0)</f>
        <v/>
      </c>
      <c r="J3048" s="20" t="n">
        <v>210101</v>
      </c>
      <c r="L3048" s="20">
        <f>VLOOKUP($O3048,매칭테이블!$G:$J,2,0)*H3048</f>
        <v/>
      </c>
      <c r="M3048" s="20">
        <f>L3048-L3048*VLOOKUP($O3048,매칭테이블!$G:$J,3,0)</f>
        <v/>
      </c>
      <c r="N3048" s="20">
        <f>VLOOKUP($O3048,매칭테이블!$G:$J,4,0)*H3048</f>
        <v/>
      </c>
      <c r="O3048" s="20">
        <f>F3048&amp;E3048&amp;G3048&amp;J3048</f>
        <v/>
      </c>
    </row>
    <row r="3049" ht="16.5" customHeight="1" s="17">
      <c r="B3049" s="16" t="n">
        <v>44223</v>
      </c>
      <c r="C3049" s="20">
        <f>TEXT(B3049,"aaa")</f>
        <v/>
      </c>
      <c r="E3049" s="20">
        <f>INDEX(매칭테이블!C:C,MATCH(RD!G3049,매칭테이블!D:D,0))</f>
        <v/>
      </c>
      <c r="F3049" s="20" t="inlineStr">
        <is>
          <t>카페24</t>
        </is>
      </c>
      <c r="G3049" s="20" t="inlineStr">
        <is>
          <t>유즈 솔리드퍼퓸 - 30ml향=커플세트(이그나이트 + 스테이포에버), 세트 선택=2 SET (42% 할인)</t>
        </is>
      </c>
      <c r="H3049" s="20" t="n">
        <v>2</v>
      </c>
      <c r="I3049" s="20">
        <f>VLOOKUP(G3049,매칭테이블!D:E,2,0)</f>
        <v/>
      </c>
      <c r="J3049" s="20" t="n">
        <v>210101</v>
      </c>
      <c r="L3049" s="20">
        <f>VLOOKUP($O3049,매칭테이블!$G:$J,2,0)*H3049</f>
        <v/>
      </c>
      <c r="M3049" s="20">
        <f>L3049-L3049*VLOOKUP($O3049,매칭테이블!$G:$J,3,0)</f>
        <v/>
      </c>
      <c r="N3049" s="20">
        <f>VLOOKUP($O3049,매칭테이블!$G:$J,4,0)*H3049</f>
        <v/>
      </c>
      <c r="O3049" s="20">
        <f>F3049&amp;E3049&amp;G3049&amp;J3049</f>
        <v/>
      </c>
    </row>
    <row r="3050" ht="16.5" customHeight="1" s="17">
      <c r="B3050" s="16" t="n">
        <v>44223</v>
      </c>
      <c r="C3050" s="20">
        <f>TEXT(B3050,"aaa")</f>
        <v/>
      </c>
      <c r="E3050" s="20">
        <f>INDEX(매칭테이블!C:C,MATCH(RD!G3050,매칭테이블!D:D,0))</f>
        <v/>
      </c>
      <c r="F3050" s="20" t="inlineStr">
        <is>
          <t>카페24</t>
        </is>
      </c>
      <c r="G3050" s="20" t="inlineStr">
        <is>
          <t>유즈 솔리드퍼퓸 - 스테이포에버 002제품선택=스테이포에버 1개</t>
        </is>
      </c>
      <c r="H3050" s="20" t="n">
        <v>274</v>
      </c>
      <c r="I3050" s="20">
        <f>VLOOKUP(G3050,매칭테이블!D:E,2,0)</f>
        <v/>
      </c>
      <c r="J3050" s="20" t="n">
        <v>210101</v>
      </c>
      <c r="L3050" s="20">
        <f>VLOOKUP($O3050,매칭테이블!$G:$J,2,0)*H3050</f>
        <v/>
      </c>
      <c r="M3050" s="20">
        <f>L3050-L3050*VLOOKUP($O3050,매칭테이블!$G:$J,3,0)</f>
        <v/>
      </c>
      <c r="N3050" s="20">
        <f>VLOOKUP($O3050,매칭테이블!$G:$J,4,0)*H3050</f>
        <v/>
      </c>
      <c r="O3050" s="20">
        <f>F3050&amp;E3050&amp;G3050&amp;J3050</f>
        <v/>
      </c>
    </row>
    <row r="3051" ht="16.5" customHeight="1" s="17">
      <c r="B3051" s="16" t="n">
        <v>44223</v>
      </c>
      <c r="C3051" s="20">
        <f>TEXT(B3051,"aaa")</f>
        <v/>
      </c>
      <c r="E3051" s="20">
        <f>INDEX(매칭테이블!C:C,MATCH(RD!G3051,매칭테이블!D:D,0))</f>
        <v/>
      </c>
      <c r="F3051" s="20" t="inlineStr">
        <is>
          <t>카페24</t>
        </is>
      </c>
      <c r="G3051" s="20" t="inlineStr">
        <is>
          <t>유즈 솔리드퍼퓸 - 스테이포에버 002제품선택=best스테이포에버 2개[28% 할인]</t>
        </is>
      </c>
      <c r="H3051" s="20" t="n">
        <v>138</v>
      </c>
      <c r="I3051" s="20">
        <f>VLOOKUP(G3051,매칭테이블!D:E,2,0)</f>
        <v/>
      </c>
      <c r="J3051" s="20" t="n">
        <v>210101</v>
      </c>
      <c r="L3051" s="20">
        <f>VLOOKUP($O3051,매칭테이블!$G:$J,2,0)*H3051</f>
        <v/>
      </c>
      <c r="M3051" s="20">
        <f>L3051-L3051*VLOOKUP($O3051,매칭테이블!$G:$J,3,0)</f>
        <v/>
      </c>
      <c r="N3051" s="20">
        <f>VLOOKUP($O3051,매칭테이블!$G:$J,4,0)*H3051</f>
        <v/>
      </c>
      <c r="O3051" s="20">
        <f>F3051&amp;E3051&amp;G3051&amp;J3051</f>
        <v/>
      </c>
    </row>
    <row r="3052" ht="16.5" customHeight="1" s="17">
      <c r="B3052" s="16" t="n">
        <v>44223</v>
      </c>
      <c r="C3052" s="20">
        <f>TEXT(B3052,"aaa")</f>
        <v/>
      </c>
      <c r="E3052" s="20">
        <f>INDEX(매칭테이블!C:C,MATCH(RD!G3052,매칭테이블!D:D,0))</f>
        <v/>
      </c>
      <c r="F3052" s="20" t="inlineStr">
        <is>
          <t>카페24</t>
        </is>
      </c>
      <c r="G3052" s="20" t="inlineStr">
        <is>
          <t>유즈 솔리드퍼퓸 - 스테이포에버 002제품선택=커플추천스테이포에버 + 이그나이트 세트</t>
        </is>
      </c>
      <c r="H3052" s="20" t="n">
        <v>17</v>
      </c>
      <c r="I3052" s="20">
        <f>VLOOKUP(G3052,매칭테이블!D:E,2,0)</f>
        <v/>
      </c>
      <c r="J3052" s="20" t="n">
        <v>210101</v>
      </c>
      <c r="L3052" s="20">
        <f>VLOOKUP($O3052,매칭테이블!$G:$J,2,0)*H3052</f>
        <v/>
      </c>
      <c r="M3052" s="20">
        <f>L3052-L3052*VLOOKUP($O3052,매칭테이블!$G:$J,3,0)</f>
        <v/>
      </c>
      <c r="N3052" s="20">
        <f>VLOOKUP($O3052,매칭테이블!$G:$J,4,0)*H3052</f>
        <v/>
      </c>
      <c r="O3052" s="20">
        <f>F3052&amp;E3052&amp;G3052&amp;J3052</f>
        <v/>
      </c>
    </row>
    <row r="3053" ht="16.5" customHeight="1" s="17">
      <c r="B3053" s="16" t="n">
        <v>44223</v>
      </c>
      <c r="C3053" s="20">
        <f>TEXT(B3053,"aaa")</f>
        <v/>
      </c>
      <c r="E3053" s="20">
        <f>INDEX(매칭테이블!C:C,MATCH(RD!G3053,매칭테이블!D:D,0))</f>
        <v/>
      </c>
      <c r="F3053" s="20" t="inlineStr">
        <is>
          <t>카페24</t>
        </is>
      </c>
      <c r="G3053" s="20" t="inlineStr">
        <is>
          <t>유즈 솔리드퍼퓸 - 스테이포에버 002쇼핑백=선물용 쇼핑백</t>
        </is>
      </c>
      <c r="H3053" s="20" t="n">
        <v>10</v>
      </c>
      <c r="I3053" s="20">
        <f>VLOOKUP(G3053,매칭테이블!D:E,2,0)</f>
        <v/>
      </c>
      <c r="J3053" s="20" t="n">
        <v>210101</v>
      </c>
      <c r="L3053" s="20">
        <f>VLOOKUP($O3053,매칭테이블!$G:$J,2,0)*H3053</f>
        <v/>
      </c>
      <c r="M3053" s="20">
        <f>L3053-L3053*VLOOKUP($O3053,매칭테이블!$G:$J,3,0)</f>
        <v/>
      </c>
      <c r="N3053" s="20">
        <f>VLOOKUP($O3053,매칭테이블!$G:$J,4,0)*H3053</f>
        <v/>
      </c>
      <c r="O3053" s="20">
        <f>F3053&amp;E3053&amp;G3053&amp;J3053</f>
        <v/>
      </c>
    </row>
    <row r="3054" ht="16.5" customHeight="1" s="17">
      <c r="B3054" s="16" t="n">
        <v>44223</v>
      </c>
      <c r="C3054" s="20">
        <f>TEXT(B3054,"aaa")</f>
        <v/>
      </c>
      <c r="E3054" s="20">
        <f>INDEX(매칭테이블!C:C,MATCH(RD!G3054,매칭테이블!D:D,0))</f>
        <v/>
      </c>
      <c r="F3054" s="20" t="inlineStr">
        <is>
          <t>카페24</t>
        </is>
      </c>
      <c r="G3054" s="20" t="inlineStr">
        <is>
          <t>유즈 솔리드퍼퓸 - 이그나이트 001제품선택=이그나이트 솔리드퍼퓸 - 30ml</t>
        </is>
      </c>
      <c r="H3054" s="20" t="n">
        <v>1</v>
      </c>
      <c r="I3054" s="20">
        <f>VLOOKUP(G3054,매칭테이블!D:E,2,0)</f>
        <v/>
      </c>
      <c r="J3054" s="20" t="n">
        <v>210101</v>
      </c>
      <c r="L3054" s="20">
        <f>VLOOKUP($O3054,매칭테이블!$G:$J,2,0)*H3054</f>
        <v/>
      </c>
      <c r="M3054" s="20">
        <f>L3054-L3054*VLOOKUP($O3054,매칭테이블!$G:$J,3,0)</f>
        <v/>
      </c>
      <c r="N3054" s="20">
        <f>VLOOKUP($O3054,매칭테이블!$G:$J,4,0)*H3054</f>
        <v/>
      </c>
      <c r="O3054" s="20">
        <f>F3054&amp;E3054&amp;G3054&amp;J3054</f>
        <v/>
      </c>
    </row>
    <row r="3055" ht="16.5" customHeight="1" s="17">
      <c r="B3055" s="16" t="n">
        <v>44223</v>
      </c>
      <c r="C3055" s="20">
        <f>TEXT(B3055,"aaa")</f>
        <v/>
      </c>
      <c r="E3055" s="20">
        <f>INDEX(매칭테이블!C:C,MATCH(RD!G3055,매칭테이블!D:D,0))</f>
        <v/>
      </c>
      <c r="F3055" s="20" t="inlineStr">
        <is>
          <t>카페24</t>
        </is>
      </c>
      <c r="G3055" s="20" t="inlineStr">
        <is>
          <t>유즈 솔리드퍼퓸 - 이그나이트 001제품선택=이그나이트 2개 세트</t>
        </is>
      </c>
      <c r="H3055" s="20" t="n">
        <v>1</v>
      </c>
      <c r="I3055" s="20">
        <f>VLOOKUP(G3055,매칭테이블!D:E,2,0)</f>
        <v/>
      </c>
      <c r="J3055" s="20" t="n">
        <v>210101</v>
      </c>
      <c r="L3055" s="20">
        <f>VLOOKUP($O3055,매칭테이블!$G:$J,2,0)*H3055</f>
        <v/>
      </c>
      <c r="M3055" s="20">
        <f>L3055-L3055*VLOOKUP($O3055,매칭테이블!$G:$J,3,0)</f>
        <v/>
      </c>
      <c r="N3055" s="20">
        <f>VLOOKUP($O3055,매칭테이블!$G:$J,4,0)*H3055</f>
        <v/>
      </c>
      <c r="O3055" s="20">
        <f>F3055&amp;E3055&amp;G3055&amp;J3055</f>
        <v/>
      </c>
    </row>
    <row r="3056" ht="16.5" customHeight="1" s="17">
      <c r="B3056" s="16" t="n">
        <v>44224</v>
      </c>
      <c r="C3056" s="20">
        <f>TEXT(B3056,"aaa")</f>
        <v/>
      </c>
      <c r="E3056" s="20">
        <f>INDEX(매칭테이블!C:C,MATCH(RD!G3056,매칭테이블!D:D,0))</f>
        <v/>
      </c>
      <c r="F3056" s="20" t="inlineStr">
        <is>
          <t>카페24</t>
        </is>
      </c>
      <c r="G3056" s="20" t="inlineStr">
        <is>
          <t>솔리드퍼퓸 세트향=이그나이트 001 SOLID PERFUME, 세트 선택=1개</t>
        </is>
      </c>
      <c r="H3056" s="20" t="n">
        <v>1</v>
      </c>
      <c r="I3056" s="20">
        <f>VLOOKUP(G3056,매칭테이블!D:E,2,0)</f>
        <v/>
      </c>
      <c r="J3056" s="20" t="n">
        <v>210101</v>
      </c>
      <c r="L3056" s="20">
        <f>VLOOKUP($O3056,매칭테이블!$G:$J,2,0)*H3056</f>
        <v/>
      </c>
      <c r="M3056" s="20">
        <f>L3056-L3056*VLOOKUP($O3056,매칭테이블!$G:$J,3,0)</f>
        <v/>
      </c>
      <c r="N3056" s="20">
        <f>VLOOKUP($O3056,매칭테이블!$G:$J,4,0)*H3056</f>
        <v/>
      </c>
      <c r="O3056" s="20">
        <f>F3056&amp;E3056&amp;G3056&amp;J3056</f>
        <v/>
      </c>
    </row>
    <row r="3057" ht="16.5" customHeight="1" s="17">
      <c r="B3057" s="16" t="n">
        <v>44224</v>
      </c>
      <c r="C3057" s="20">
        <f>TEXT(B3057,"aaa")</f>
        <v/>
      </c>
      <c r="E3057" s="20">
        <f>INDEX(매칭테이블!C:C,MATCH(RD!G3057,매칭테이블!D:D,0))</f>
        <v/>
      </c>
      <c r="F3057" s="20" t="inlineStr">
        <is>
          <t>카페24</t>
        </is>
      </c>
      <c r="G3057" s="20" t="inlineStr">
        <is>
          <t>솔리드퍼퓸 세트향=스테이포에버 002 SOLID PERFUME, 세트 선택=1개</t>
        </is>
      </c>
      <c r="H3057" s="20" t="n">
        <v>9</v>
      </c>
      <c r="I3057" s="20">
        <f>VLOOKUP(G3057,매칭테이블!D:E,2,0)</f>
        <v/>
      </c>
      <c r="J3057" s="20" t="n">
        <v>210101</v>
      </c>
      <c r="L3057" s="20">
        <f>VLOOKUP($O3057,매칭테이블!$G:$J,2,0)*H3057</f>
        <v/>
      </c>
      <c r="M3057" s="20">
        <f>L3057-L3057*VLOOKUP($O3057,매칭테이블!$G:$J,3,0)</f>
        <v/>
      </c>
      <c r="N3057" s="20">
        <f>VLOOKUP($O3057,매칭테이블!$G:$J,4,0)*H3057</f>
        <v/>
      </c>
      <c r="O3057" s="20">
        <f>F3057&amp;E3057&amp;G3057&amp;J3057</f>
        <v/>
      </c>
    </row>
    <row r="3058" ht="16.5" customHeight="1" s="17">
      <c r="B3058" s="16" t="n">
        <v>44224</v>
      </c>
      <c r="C3058" s="20">
        <f>TEXT(B3058,"aaa")</f>
        <v/>
      </c>
      <c r="E3058" s="20">
        <f>INDEX(매칭테이블!C:C,MATCH(RD!G3058,매칭테이블!D:D,0))</f>
        <v/>
      </c>
      <c r="F3058" s="20" t="inlineStr">
        <is>
          <t>카페24</t>
        </is>
      </c>
      <c r="G3058" s="20" t="inlineStr">
        <is>
          <t>솔리드퍼퓸 세트향=스테이포에버 002 SOLID PERFUME, 세트 선택=best 2개 (28% 할인)</t>
        </is>
      </c>
      <c r="H3058" s="20" t="n">
        <v>4</v>
      </c>
      <c r="I3058" s="20">
        <f>VLOOKUP(G3058,매칭테이블!D:E,2,0)</f>
        <v/>
      </c>
      <c r="J3058" s="20" t="n">
        <v>210101</v>
      </c>
      <c r="L3058" s="20">
        <f>VLOOKUP($O3058,매칭테이블!$G:$J,2,0)*H3058</f>
        <v/>
      </c>
      <c r="M3058" s="20">
        <f>L3058-L3058*VLOOKUP($O3058,매칭테이블!$G:$J,3,0)</f>
        <v/>
      </c>
      <c r="N3058" s="20">
        <f>VLOOKUP($O3058,매칭테이블!$G:$J,4,0)*H3058</f>
        <v/>
      </c>
      <c r="O3058" s="20">
        <f>F3058&amp;E3058&amp;G3058&amp;J3058</f>
        <v/>
      </c>
    </row>
    <row r="3059" ht="16.5" customHeight="1" s="17">
      <c r="B3059" s="16" t="n">
        <v>44224</v>
      </c>
      <c r="C3059" s="20">
        <f>TEXT(B3059,"aaa")</f>
        <v/>
      </c>
      <c r="E3059" s="20">
        <f>INDEX(매칭테이블!C:C,MATCH(RD!G3059,매칭테이블!D:D,0))</f>
        <v/>
      </c>
      <c r="F3059" s="20" t="inlineStr">
        <is>
          <t>카페24</t>
        </is>
      </c>
      <c r="G3059" s="20" t="inlineStr">
        <is>
          <t>솔리드퍼퓸 세트향=커플세트(이그나이트 + 스테이포에버), 세트 선택=1 SET</t>
        </is>
      </c>
      <c r="H3059" s="20" t="n">
        <v>12</v>
      </c>
      <c r="I3059" s="20">
        <f>VLOOKUP(G3059,매칭테이블!D:E,2,0)</f>
        <v/>
      </c>
      <c r="J3059" s="20" t="n">
        <v>210101</v>
      </c>
      <c r="L3059" s="20">
        <f>VLOOKUP($O3059,매칭테이블!$G:$J,2,0)*H3059</f>
        <v/>
      </c>
      <c r="M3059" s="20">
        <f>L3059-L3059*VLOOKUP($O3059,매칭테이블!$G:$J,3,0)</f>
        <v/>
      </c>
      <c r="N3059" s="20">
        <f>VLOOKUP($O3059,매칭테이블!$G:$J,4,0)*H3059</f>
        <v/>
      </c>
      <c r="O3059" s="20">
        <f>F3059&amp;E3059&amp;G3059&amp;J3059</f>
        <v/>
      </c>
    </row>
    <row r="3060" ht="16.5" customHeight="1" s="17">
      <c r="B3060" s="16" t="n">
        <v>44224</v>
      </c>
      <c r="C3060" s="20">
        <f>TEXT(B3060,"aaa")</f>
        <v/>
      </c>
      <c r="E3060" s="20">
        <f>INDEX(매칭테이블!C:C,MATCH(RD!G3060,매칭테이블!D:D,0))</f>
        <v/>
      </c>
      <c r="F3060" s="20" t="inlineStr">
        <is>
          <t>카페24</t>
        </is>
      </c>
      <c r="G3060" s="20" t="inlineStr">
        <is>
          <t>솔리드퍼퓸 스테이포에버 002제품선택=스테이포에버 1개</t>
        </is>
      </c>
      <c r="H3060" s="20" t="n">
        <v>181</v>
      </c>
      <c r="I3060" s="20">
        <f>VLOOKUP(G3060,매칭테이블!D:E,2,0)</f>
        <v/>
      </c>
      <c r="J3060" s="20" t="n">
        <v>210101</v>
      </c>
      <c r="L3060" s="20">
        <f>VLOOKUP($O3060,매칭테이블!$G:$J,2,0)*H3060</f>
        <v/>
      </c>
      <c r="M3060" s="20">
        <f>L3060-L3060*VLOOKUP($O3060,매칭테이블!$G:$J,3,0)</f>
        <v/>
      </c>
      <c r="N3060" s="20">
        <f>VLOOKUP($O3060,매칭테이블!$G:$J,4,0)*H3060</f>
        <v/>
      </c>
      <c r="O3060" s="20">
        <f>F3060&amp;E3060&amp;G3060&amp;J3060</f>
        <v/>
      </c>
    </row>
    <row r="3061" ht="16.5" customHeight="1" s="17">
      <c r="B3061" s="16" t="n">
        <v>44224</v>
      </c>
      <c r="C3061" s="20">
        <f>TEXT(B3061,"aaa")</f>
        <v/>
      </c>
      <c r="E3061" s="20">
        <f>INDEX(매칭테이블!C:C,MATCH(RD!G3061,매칭테이블!D:D,0))</f>
        <v/>
      </c>
      <c r="F3061" s="20" t="inlineStr">
        <is>
          <t>카페24</t>
        </is>
      </c>
      <c r="G3061" s="20" t="inlineStr">
        <is>
          <t>솔리드퍼퓸 스테이포에버 002제품선택=best스테이포에버 2개[28% 할인]</t>
        </is>
      </c>
      <c r="H3061" s="20" t="n">
        <v>79</v>
      </c>
      <c r="I3061" s="20">
        <f>VLOOKUP(G3061,매칭테이블!D:E,2,0)</f>
        <v/>
      </c>
      <c r="J3061" s="20" t="n">
        <v>210101</v>
      </c>
      <c r="L3061" s="20">
        <f>VLOOKUP($O3061,매칭테이블!$G:$J,2,0)*H3061</f>
        <v/>
      </c>
      <c r="M3061" s="20">
        <f>L3061-L3061*VLOOKUP($O3061,매칭테이블!$G:$J,3,0)</f>
        <v/>
      </c>
      <c r="N3061" s="20">
        <f>VLOOKUP($O3061,매칭테이블!$G:$J,4,0)*H3061</f>
        <v/>
      </c>
      <c r="O3061" s="20">
        <f>F3061&amp;E3061&amp;G3061&amp;J3061</f>
        <v/>
      </c>
    </row>
    <row r="3062" ht="16.5" customHeight="1" s="17">
      <c r="B3062" s="16" t="n">
        <v>44224</v>
      </c>
      <c r="C3062" s="20">
        <f>TEXT(B3062,"aaa")</f>
        <v/>
      </c>
      <c r="E3062" s="20">
        <f>INDEX(매칭테이블!C:C,MATCH(RD!G3062,매칭테이블!D:D,0))</f>
        <v/>
      </c>
      <c r="F3062" s="20" t="inlineStr">
        <is>
          <t>카페24</t>
        </is>
      </c>
      <c r="G3062" s="20" t="inlineStr">
        <is>
          <t>솔리드퍼퓸 스테이포에버 002제품선택=커플추천스테이포에버 + 이그나이트 세트</t>
        </is>
      </c>
      <c r="H3062" s="20" t="n">
        <v>16</v>
      </c>
      <c r="I3062" s="20">
        <f>VLOOKUP(G3062,매칭테이블!D:E,2,0)</f>
        <v/>
      </c>
      <c r="J3062" s="20" t="n">
        <v>210101</v>
      </c>
      <c r="L3062" s="20">
        <f>VLOOKUP($O3062,매칭테이블!$G:$J,2,0)*H3062</f>
        <v/>
      </c>
      <c r="M3062" s="20">
        <f>L3062-L3062*VLOOKUP($O3062,매칭테이블!$G:$J,3,0)</f>
        <v/>
      </c>
      <c r="N3062" s="20">
        <f>VLOOKUP($O3062,매칭테이블!$G:$J,4,0)*H3062</f>
        <v/>
      </c>
      <c r="O3062" s="20">
        <f>F3062&amp;E3062&amp;G3062&amp;J3062</f>
        <v/>
      </c>
    </row>
    <row r="3063" ht="16.5" customHeight="1" s="17">
      <c r="B3063" s="16" t="n">
        <v>44224</v>
      </c>
      <c r="C3063" s="20">
        <f>TEXT(B3063,"aaa")</f>
        <v/>
      </c>
      <c r="E3063" s="20">
        <f>INDEX(매칭테이블!C:C,MATCH(RD!G3063,매칭테이블!D:D,0))</f>
        <v/>
      </c>
      <c r="F3063" s="20" t="inlineStr">
        <is>
          <t>카페24</t>
        </is>
      </c>
      <c r="G3063" s="20" t="inlineStr">
        <is>
          <t>솔리드퍼퓸 스테이포에버 002쇼핑백=선물용 쇼핑백</t>
        </is>
      </c>
      <c r="H3063" s="20" t="n">
        <v>7</v>
      </c>
      <c r="I3063" s="20">
        <f>VLOOKUP(G3063,매칭테이블!D:E,2,0)</f>
        <v/>
      </c>
      <c r="J3063" s="20" t="n">
        <v>210101</v>
      </c>
      <c r="L3063" s="20">
        <f>VLOOKUP($O3063,매칭테이블!$G:$J,2,0)*H3063</f>
        <v/>
      </c>
      <c r="M3063" s="20">
        <f>L3063-L3063*VLOOKUP($O3063,매칭테이블!$G:$J,3,0)</f>
        <v/>
      </c>
      <c r="N3063" s="20">
        <f>VLOOKUP($O3063,매칭테이블!$G:$J,4,0)*H3063</f>
        <v/>
      </c>
      <c r="O3063" s="20">
        <f>F3063&amp;E3063&amp;G3063&amp;J3063</f>
        <v/>
      </c>
    </row>
    <row r="3064" ht="16.5" customHeight="1" s="17">
      <c r="B3064" s="16" t="n">
        <v>44224</v>
      </c>
      <c r="C3064" s="20">
        <f>TEXT(B3064,"aaa")</f>
        <v/>
      </c>
      <c r="E3064" s="20">
        <f>INDEX(매칭테이블!C:C,MATCH(RD!G3064,매칭테이블!D:D,0))</f>
        <v/>
      </c>
      <c r="F3064" s="20" t="inlineStr">
        <is>
          <t>카페24</t>
        </is>
      </c>
      <c r="G3064" s="20" t="inlineStr">
        <is>
          <t>솔리드퍼퓸 스테이포에버 002 30ml</t>
        </is>
      </c>
      <c r="H3064" s="20" t="n">
        <v>1</v>
      </c>
      <c r="I3064" s="20">
        <f>VLOOKUP(G3064,매칭테이블!D:E,2,0)</f>
        <v/>
      </c>
      <c r="J3064" s="20" t="n">
        <v>210101</v>
      </c>
      <c r="L3064" s="20">
        <f>VLOOKUP($O3064,매칭테이블!$G:$J,2,0)*H3064</f>
        <v/>
      </c>
      <c r="M3064" s="20">
        <f>L3064-L3064*VLOOKUP($O3064,매칭테이블!$G:$J,3,0)</f>
        <v/>
      </c>
      <c r="N3064" s="20">
        <f>VLOOKUP($O3064,매칭테이블!$G:$J,4,0)*H3064</f>
        <v/>
      </c>
      <c r="O3064" s="20">
        <f>F3064&amp;E3064&amp;G3064&amp;J3064</f>
        <v/>
      </c>
    </row>
    <row r="3065" ht="16.5" customHeight="1" s="17">
      <c r="B3065" s="16" t="n">
        <v>44224</v>
      </c>
      <c r="C3065" s="20">
        <f>TEXT(B3065,"aaa")</f>
        <v/>
      </c>
      <c r="E3065" s="20">
        <f>INDEX(매칭테이블!C:C,MATCH(RD!G3065,매칭테이블!D:D,0))</f>
        <v/>
      </c>
      <c r="F3065" s="20" t="inlineStr">
        <is>
          <t>카페24</t>
        </is>
      </c>
      <c r="G3065" s="20" t="inlineStr">
        <is>
          <t>솔리드퍼퓸 이그나이트 001제품선택=이그나이트 솔리드퍼퓸 - 30ml</t>
        </is>
      </c>
      <c r="H3065" s="20" t="n">
        <v>1</v>
      </c>
      <c r="I3065" s="20">
        <f>VLOOKUP(G3065,매칭테이블!D:E,2,0)</f>
        <v/>
      </c>
      <c r="J3065" s="20" t="n">
        <v>210101</v>
      </c>
      <c r="L3065" s="20">
        <f>VLOOKUP($O3065,매칭테이블!$G:$J,2,0)*H3065</f>
        <v/>
      </c>
      <c r="M3065" s="20">
        <f>L3065-L3065*VLOOKUP($O3065,매칭테이블!$G:$J,3,0)</f>
        <v/>
      </c>
      <c r="N3065" s="20">
        <f>VLOOKUP($O3065,매칭테이블!$G:$J,4,0)*H3065</f>
        <v/>
      </c>
      <c r="O3065" s="20">
        <f>F3065&amp;E3065&amp;G3065&amp;J3065</f>
        <v/>
      </c>
    </row>
    <row r="3066" ht="16.5" customHeight="1" s="17">
      <c r="B3066" s="16" t="n">
        <v>44224</v>
      </c>
      <c r="C3066" s="20">
        <f>TEXT(B3066,"aaa")</f>
        <v/>
      </c>
      <c r="E3066" s="20">
        <f>INDEX(매칭테이블!C:C,MATCH(RD!G3066,매칭테이블!D:D,0))</f>
        <v/>
      </c>
      <c r="F3066" s="20" t="inlineStr">
        <is>
          <t>카페24</t>
        </is>
      </c>
      <c r="G3066" s="20" t="inlineStr">
        <is>
          <t>유즈 솔리드퍼퓸 - 30ml향=스테이포에버 002 SOLID PERFUME, 세트 선택=1개</t>
        </is>
      </c>
      <c r="H3066" s="20" t="n">
        <v>6</v>
      </c>
      <c r="I3066" s="20">
        <f>VLOOKUP(G3066,매칭테이블!D:E,2,0)</f>
        <v/>
      </c>
      <c r="J3066" s="20" t="n">
        <v>210101</v>
      </c>
      <c r="L3066" s="20">
        <f>VLOOKUP($O3066,매칭테이블!$G:$J,2,0)*H3066</f>
        <v/>
      </c>
      <c r="M3066" s="20">
        <f>L3066-L3066*VLOOKUP($O3066,매칭테이블!$G:$J,3,0)</f>
        <v/>
      </c>
      <c r="N3066" s="20">
        <f>VLOOKUP($O3066,매칭테이블!$G:$J,4,0)*H3066</f>
        <v/>
      </c>
      <c r="O3066" s="20">
        <f>F3066&amp;E3066&amp;G3066&amp;J3066</f>
        <v/>
      </c>
    </row>
    <row r="3067" ht="16.5" customHeight="1" s="17">
      <c r="B3067" s="16" t="n">
        <v>44224</v>
      </c>
      <c r="C3067" s="20">
        <f>TEXT(B3067,"aaa")</f>
        <v/>
      </c>
      <c r="E3067" s="20">
        <f>INDEX(매칭테이블!C:C,MATCH(RD!G3067,매칭테이블!D:D,0))</f>
        <v/>
      </c>
      <c r="F3067" s="20" t="inlineStr">
        <is>
          <t>카페24</t>
        </is>
      </c>
      <c r="G3067" s="20" t="inlineStr">
        <is>
          <t>유즈 솔리드퍼퓸 - 30ml향=커플세트(이그나이트 + 스테이포에버), 세트 선택=1 SET</t>
        </is>
      </c>
      <c r="H3067" s="20" t="n">
        <v>2</v>
      </c>
      <c r="I3067" s="20">
        <f>VLOOKUP(G3067,매칭테이블!D:E,2,0)</f>
        <v/>
      </c>
      <c r="J3067" s="20" t="n">
        <v>210101</v>
      </c>
      <c r="L3067" s="20">
        <f>VLOOKUP($O3067,매칭테이블!$G:$J,2,0)*H3067</f>
        <v/>
      </c>
      <c r="M3067" s="20">
        <f>L3067-L3067*VLOOKUP($O3067,매칭테이블!$G:$J,3,0)</f>
        <v/>
      </c>
      <c r="N3067" s="20">
        <f>VLOOKUP($O3067,매칭테이블!$G:$J,4,0)*H3067</f>
        <v/>
      </c>
      <c r="O3067" s="20">
        <f>F3067&amp;E3067&amp;G3067&amp;J3067</f>
        <v/>
      </c>
    </row>
    <row r="3068" ht="16.5" customHeight="1" s="17">
      <c r="B3068" s="16" t="n">
        <v>44224</v>
      </c>
      <c r="C3068" s="20">
        <f>TEXT(B3068,"aaa")</f>
        <v/>
      </c>
      <c r="E3068" s="20">
        <f>INDEX(매칭테이블!C:C,MATCH(RD!G3068,매칭테이블!D:D,0))</f>
        <v/>
      </c>
      <c r="F3068" s="20" t="inlineStr">
        <is>
          <t>카페24</t>
        </is>
      </c>
      <c r="G3068" s="20" t="inlineStr">
        <is>
          <t>유즈 솔리드퍼퓸 - 스테이포에버 002제품선택=스테이포에버 1개</t>
        </is>
      </c>
      <c r="H3068" s="20" t="n">
        <v>75</v>
      </c>
      <c r="I3068" s="20">
        <f>VLOOKUP(G3068,매칭테이블!D:E,2,0)</f>
        <v/>
      </c>
      <c r="J3068" s="20" t="n">
        <v>210101</v>
      </c>
      <c r="L3068" s="20">
        <f>VLOOKUP($O3068,매칭테이블!$G:$J,2,0)*H3068</f>
        <v/>
      </c>
      <c r="M3068" s="20">
        <f>L3068-L3068*VLOOKUP($O3068,매칭테이블!$G:$J,3,0)</f>
        <v/>
      </c>
      <c r="N3068" s="20">
        <f>VLOOKUP($O3068,매칭테이블!$G:$J,4,0)*H3068</f>
        <v/>
      </c>
      <c r="O3068" s="20">
        <f>F3068&amp;E3068&amp;G3068&amp;J3068</f>
        <v/>
      </c>
    </row>
    <row r="3069" ht="16.5" customHeight="1" s="17">
      <c r="B3069" s="16" t="n">
        <v>44224</v>
      </c>
      <c r="C3069" s="20">
        <f>TEXT(B3069,"aaa")</f>
        <v/>
      </c>
      <c r="E3069" s="20">
        <f>INDEX(매칭테이블!C:C,MATCH(RD!G3069,매칭테이블!D:D,0))</f>
        <v/>
      </c>
      <c r="F3069" s="20" t="inlineStr">
        <is>
          <t>카페24</t>
        </is>
      </c>
      <c r="G3069" s="20" t="inlineStr">
        <is>
          <t>유즈 솔리드퍼퓸 - 스테이포에버 002제품선택=best스테이포에버 2개[28% 할인]</t>
        </is>
      </c>
      <c r="H3069" s="20" t="n">
        <v>28</v>
      </c>
      <c r="I3069" s="20">
        <f>VLOOKUP(G3069,매칭테이블!D:E,2,0)</f>
        <v/>
      </c>
      <c r="J3069" s="20" t="n">
        <v>210101</v>
      </c>
      <c r="L3069" s="20">
        <f>VLOOKUP($O3069,매칭테이블!$G:$J,2,0)*H3069</f>
        <v/>
      </c>
      <c r="M3069" s="20">
        <f>L3069-L3069*VLOOKUP($O3069,매칭테이블!$G:$J,3,0)</f>
        <v/>
      </c>
      <c r="N3069" s="20">
        <f>VLOOKUP($O3069,매칭테이블!$G:$J,4,0)*H3069</f>
        <v/>
      </c>
      <c r="O3069" s="20">
        <f>F3069&amp;E3069&amp;G3069&amp;J3069</f>
        <v/>
      </c>
    </row>
    <row r="3070" ht="16.5" customHeight="1" s="17">
      <c r="B3070" s="16" t="n">
        <v>44224</v>
      </c>
      <c r="C3070" s="20">
        <f>TEXT(B3070,"aaa")</f>
        <v/>
      </c>
      <c r="E3070" s="20">
        <f>INDEX(매칭테이블!C:C,MATCH(RD!G3070,매칭테이블!D:D,0))</f>
        <v/>
      </c>
      <c r="F3070" s="20" t="inlineStr">
        <is>
          <t>카페24</t>
        </is>
      </c>
      <c r="G3070" s="20" t="inlineStr">
        <is>
          <t>유즈 솔리드퍼퓸 - 스테이포에버 002제품선택=커플추천스테이포에버 + 이그나이트 세트</t>
        </is>
      </c>
      <c r="H3070" s="20" t="n">
        <v>7</v>
      </c>
      <c r="I3070" s="20">
        <f>VLOOKUP(G3070,매칭테이블!D:E,2,0)</f>
        <v/>
      </c>
      <c r="J3070" s="20" t="n">
        <v>210101</v>
      </c>
      <c r="L3070" s="20">
        <f>VLOOKUP($O3070,매칭테이블!$G:$J,2,0)*H3070</f>
        <v/>
      </c>
      <c r="M3070" s="20">
        <f>L3070-L3070*VLOOKUP($O3070,매칭테이블!$G:$J,3,0)</f>
        <v/>
      </c>
      <c r="N3070" s="20">
        <f>VLOOKUP($O3070,매칭테이블!$G:$J,4,0)*H3070</f>
        <v/>
      </c>
      <c r="O3070" s="20">
        <f>F3070&amp;E3070&amp;G3070&amp;J3070</f>
        <v/>
      </c>
    </row>
    <row r="3071" ht="16.5" customHeight="1" s="17">
      <c r="B3071" s="16" t="n">
        <v>44224</v>
      </c>
      <c r="C3071" s="20">
        <f>TEXT(B3071,"aaa")</f>
        <v/>
      </c>
      <c r="E3071" s="20">
        <f>INDEX(매칭테이블!C:C,MATCH(RD!G3071,매칭테이블!D:D,0))</f>
        <v/>
      </c>
      <c r="F3071" s="20" t="inlineStr">
        <is>
          <t>카페24</t>
        </is>
      </c>
      <c r="G3071" s="20" t="inlineStr">
        <is>
          <t>유즈 솔리드퍼퓸 - 스테이포에버 002쇼핑백=선물용 쇼핑백</t>
        </is>
      </c>
      <c r="H3071" s="20" t="n">
        <v>1</v>
      </c>
      <c r="I3071" s="20">
        <f>VLOOKUP(G3071,매칭테이블!D:E,2,0)</f>
        <v/>
      </c>
      <c r="J3071" s="20" t="n">
        <v>210101</v>
      </c>
      <c r="L3071" s="20">
        <f>VLOOKUP($O3071,매칭테이블!$G:$J,2,0)*H3071</f>
        <v/>
      </c>
      <c r="M3071" s="20">
        <f>L3071-L3071*VLOOKUP($O3071,매칭테이블!$G:$J,3,0)</f>
        <v/>
      </c>
      <c r="N3071" s="20">
        <f>VLOOKUP($O3071,매칭테이블!$G:$J,4,0)*H3071</f>
        <v/>
      </c>
      <c r="O3071" s="20">
        <f>F3071&amp;E3071&amp;G3071&amp;J3071</f>
        <v/>
      </c>
    </row>
    <row r="3072" ht="16.5" customHeight="1" s="17">
      <c r="B3072" s="16" t="n">
        <v>44224</v>
      </c>
      <c r="C3072" s="20">
        <f>TEXT(B3072,"aaa")</f>
        <v/>
      </c>
      <c r="E3072" s="20">
        <f>INDEX(매칭테이블!C:C,MATCH(RD!G3072,매칭테이블!D:D,0))</f>
        <v/>
      </c>
      <c r="F3072" s="20" t="inlineStr">
        <is>
          <t>카페24</t>
        </is>
      </c>
      <c r="G3072" s="20" t="inlineStr">
        <is>
          <t>유즈 솔리드퍼퓸 - 이그나이트 001제품선택=이그나이트 솔리드퍼퓸 - 30ml</t>
        </is>
      </c>
      <c r="H3072" s="20" t="n">
        <v>1</v>
      </c>
      <c r="I3072" s="20">
        <f>VLOOKUP(G3072,매칭테이블!D:E,2,0)</f>
        <v/>
      </c>
      <c r="J3072" s="20" t="n">
        <v>210101</v>
      </c>
      <c r="L3072" s="20">
        <f>VLOOKUP($O3072,매칭테이블!$G:$J,2,0)*H3072</f>
        <v/>
      </c>
      <c r="M3072" s="20">
        <f>L3072-L3072*VLOOKUP($O3072,매칭테이블!$G:$J,3,0)</f>
        <v/>
      </c>
      <c r="N3072" s="20">
        <f>VLOOKUP($O3072,매칭테이블!$G:$J,4,0)*H3072</f>
        <v/>
      </c>
      <c r="O3072" s="20">
        <f>F3072&amp;E3072&amp;G3072&amp;J3072</f>
        <v/>
      </c>
    </row>
    <row r="3073" ht="16.5" customHeight="1" s="17">
      <c r="B3073" s="16" t="n">
        <v>44224</v>
      </c>
      <c r="C3073" s="20">
        <f>TEXT(B3073,"aaa")</f>
        <v/>
      </c>
      <c r="E3073" s="20">
        <f>INDEX(매칭테이블!C:C,MATCH(RD!G3073,매칭테이블!D:D,0))</f>
        <v/>
      </c>
      <c r="F3073" s="20" t="inlineStr">
        <is>
          <t>카페24</t>
        </is>
      </c>
      <c r="G3073" s="20" t="inlineStr">
        <is>
          <t>유즈 솔리드퍼퓸 - 이그나이트 001제품선택=이그나이트 2개 세트</t>
        </is>
      </c>
      <c r="H3073" s="20" t="n">
        <v>1</v>
      </c>
      <c r="I3073" s="20">
        <f>VLOOKUP(G3073,매칭테이블!D:E,2,0)</f>
        <v/>
      </c>
      <c r="J3073" s="20" t="n">
        <v>210101</v>
      </c>
      <c r="L3073" s="20">
        <f>VLOOKUP($O3073,매칭테이블!$G:$J,2,0)*H3073</f>
        <v/>
      </c>
      <c r="M3073" s="20">
        <f>L3073-L3073*VLOOKUP($O3073,매칭테이블!$G:$J,3,0)</f>
        <v/>
      </c>
      <c r="N3073" s="20">
        <f>VLOOKUP($O3073,매칭테이블!$G:$J,4,0)*H3073</f>
        <v/>
      </c>
      <c r="O3073" s="20">
        <f>F3073&amp;E3073&amp;G3073&amp;J3073</f>
        <v/>
      </c>
    </row>
    <row r="3074" ht="16.5" customHeight="1" s="17">
      <c r="B3074" s="16" t="n">
        <v>44225</v>
      </c>
      <c r="C3074" s="20">
        <f>TEXT(B3074,"aaa")</f>
        <v/>
      </c>
      <c r="E3074" s="20">
        <f>INDEX(매칭테이블!C:C,MATCH(RD!G3074,매칭테이블!D:D,0))</f>
        <v/>
      </c>
      <c r="F3074" s="20" t="inlineStr">
        <is>
          <t>유즈 CS</t>
        </is>
      </c>
      <c r="G3074" s="20" t="inlineStr">
        <is>
          <t>솔리드퍼퓸 스테이포에버 002 30ml</t>
        </is>
      </c>
      <c r="H3074" s="20" t="n">
        <v>1</v>
      </c>
      <c r="I3074" s="20">
        <f>VLOOKUP(G3074,매칭테이블!D:E,2,0)</f>
        <v/>
      </c>
      <c r="J3074" s="20" t="n">
        <v>210101</v>
      </c>
      <c r="L3074" s="20">
        <f>VLOOKUP($O3074,매칭테이블!$G:$J,2,0)*H3074</f>
        <v/>
      </c>
      <c r="M3074" s="20">
        <f>L3074-L3074*VLOOKUP($O3074,매칭테이블!$G:$J,3,0)</f>
        <v/>
      </c>
      <c r="N3074" s="20">
        <f>VLOOKUP($O3074,매칭테이블!$G:$J,4,0)*H3074</f>
        <v/>
      </c>
      <c r="O3074" s="20">
        <f>F3074&amp;E3074&amp;G3074&amp;J3074</f>
        <v/>
      </c>
    </row>
    <row r="3075" ht="16.5" customHeight="1" s="17">
      <c r="B3075" s="16" t="n">
        <v>44225</v>
      </c>
      <c r="C3075" s="20">
        <f>TEXT(B3075,"aaa")</f>
        <v/>
      </c>
      <c r="E3075" s="20">
        <f>INDEX(매칭테이블!C:C,MATCH(RD!G3075,매칭테이블!D:D,0))</f>
        <v/>
      </c>
      <c r="F3075" s="20" t="inlineStr">
        <is>
          <t>카페24</t>
        </is>
      </c>
      <c r="G3075" s="20" t="inlineStr">
        <is>
          <t>솔리드퍼퓸 세트향=이그나이트 001 SOLID PERFUME, 세트 선택=1개</t>
        </is>
      </c>
      <c r="H3075" s="20" t="n">
        <v>3</v>
      </c>
      <c r="I3075" s="20">
        <f>VLOOKUP(G3075,매칭테이블!D:E,2,0)</f>
        <v/>
      </c>
      <c r="J3075" s="20" t="n">
        <v>210101</v>
      </c>
      <c r="L3075" s="20">
        <f>VLOOKUP($O3075,매칭테이블!$G:$J,2,0)*H3075</f>
        <v/>
      </c>
      <c r="M3075" s="20">
        <f>L3075-L3075*VLOOKUP($O3075,매칭테이블!$G:$J,3,0)</f>
        <v/>
      </c>
      <c r="N3075" s="20">
        <f>VLOOKUP($O3075,매칭테이블!$G:$J,4,0)*H3075</f>
        <v/>
      </c>
      <c r="O3075" s="20">
        <f>F3075&amp;E3075&amp;G3075&amp;J3075</f>
        <v/>
      </c>
    </row>
    <row r="3076" ht="16.5" customHeight="1" s="17">
      <c r="B3076" s="16" t="n">
        <v>44225</v>
      </c>
      <c r="C3076" s="20">
        <f>TEXT(B3076,"aaa")</f>
        <v/>
      </c>
      <c r="E3076" s="20">
        <f>INDEX(매칭테이블!C:C,MATCH(RD!G3076,매칭테이블!D:D,0))</f>
        <v/>
      </c>
      <c r="F3076" s="20" t="inlineStr">
        <is>
          <t>카페24</t>
        </is>
      </c>
      <c r="G3076" s="20" t="inlineStr">
        <is>
          <t>솔리드퍼퓸 세트향=스테이포에버 002 SOLID PERFUME, 세트 선택=1개</t>
        </is>
      </c>
      <c r="H3076" s="20" t="n">
        <v>12</v>
      </c>
      <c r="I3076" s="20">
        <f>VLOOKUP(G3076,매칭테이블!D:E,2,0)</f>
        <v/>
      </c>
      <c r="J3076" s="20" t="n">
        <v>210101</v>
      </c>
      <c r="L3076" s="20">
        <f>VLOOKUP($O3076,매칭테이블!$G:$J,2,0)*H3076</f>
        <v/>
      </c>
      <c r="M3076" s="20">
        <f>L3076-L3076*VLOOKUP($O3076,매칭테이블!$G:$J,3,0)</f>
        <v/>
      </c>
      <c r="N3076" s="20">
        <f>VLOOKUP($O3076,매칭테이블!$G:$J,4,0)*H3076</f>
        <v/>
      </c>
      <c r="O3076" s="20">
        <f>F3076&amp;E3076&amp;G3076&amp;J3076</f>
        <v/>
      </c>
    </row>
    <row r="3077" ht="16.5" customHeight="1" s="17">
      <c r="B3077" s="16" t="n">
        <v>44225</v>
      </c>
      <c r="C3077" s="20">
        <f>TEXT(B3077,"aaa")</f>
        <v/>
      </c>
      <c r="E3077" s="20">
        <f>INDEX(매칭테이블!C:C,MATCH(RD!G3077,매칭테이블!D:D,0))</f>
        <v/>
      </c>
      <c r="F3077" s="20" t="inlineStr">
        <is>
          <t>카페24</t>
        </is>
      </c>
      <c r="G3077" s="20" t="inlineStr">
        <is>
          <t>솔리드퍼퓸 세트향=스테이포에버 002 SOLID PERFUME, 세트 선택=best 2개 (28% 할인)</t>
        </is>
      </c>
      <c r="H3077" s="20" t="n">
        <v>4</v>
      </c>
      <c r="I3077" s="20">
        <f>VLOOKUP(G3077,매칭테이블!D:E,2,0)</f>
        <v/>
      </c>
      <c r="J3077" s="20" t="n">
        <v>210101</v>
      </c>
      <c r="L3077" s="20">
        <f>VLOOKUP($O3077,매칭테이블!$G:$J,2,0)*H3077</f>
        <v/>
      </c>
      <c r="M3077" s="20">
        <f>L3077-L3077*VLOOKUP($O3077,매칭테이블!$G:$J,3,0)</f>
        <v/>
      </c>
      <c r="N3077" s="20">
        <f>VLOOKUP($O3077,매칭테이블!$G:$J,4,0)*H3077</f>
        <v/>
      </c>
      <c r="O3077" s="20">
        <f>F3077&amp;E3077&amp;G3077&amp;J3077</f>
        <v/>
      </c>
    </row>
    <row r="3078" ht="16.5" customHeight="1" s="17">
      <c r="B3078" s="16" t="n">
        <v>44225</v>
      </c>
      <c r="C3078" s="20">
        <f>TEXT(B3078,"aaa")</f>
        <v/>
      </c>
      <c r="E3078" s="20">
        <f>INDEX(매칭테이블!C:C,MATCH(RD!G3078,매칭테이블!D:D,0))</f>
        <v/>
      </c>
      <c r="F3078" s="20" t="inlineStr">
        <is>
          <t>카페24</t>
        </is>
      </c>
      <c r="G3078" s="20" t="inlineStr">
        <is>
          <t>솔리드퍼퓸 세트향=커플세트(이그나이트 + 스테이포에버), 세트 선택=1 SET</t>
        </is>
      </c>
      <c r="H3078" s="20" t="n">
        <v>8</v>
      </c>
      <c r="I3078" s="20">
        <f>VLOOKUP(G3078,매칭테이블!D:E,2,0)</f>
        <v/>
      </c>
      <c r="J3078" s="20" t="n">
        <v>210101</v>
      </c>
      <c r="L3078" s="20">
        <f>VLOOKUP($O3078,매칭테이블!$G:$J,2,0)*H3078</f>
        <v/>
      </c>
      <c r="M3078" s="20">
        <f>L3078-L3078*VLOOKUP($O3078,매칭테이블!$G:$J,3,0)</f>
        <v/>
      </c>
      <c r="N3078" s="20">
        <f>VLOOKUP($O3078,매칭테이블!$G:$J,4,0)*H3078</f>
        <v/>
      </c>
      <c r="O3078" s="20">
        <f>F3078&amp;E3078&amp;G3078&amp;J3078</f>
        <v/>
      </c>
    </row>
    <row r="3079" ht="16.5" customHeight="1" s="17">
      <c r="B3079" s="16" t="n">
        <v>44225</v>
      </c>
      <c r="C3079" s="20">
        <f>TEXT(B3079,"aaa")</f>
        <v/>
      </c>
      <c r="E3079" s="20">
        <f>INDEX(매칭테이블!C:C,MATCH(RD!G3079,매칭테이블!D:D,0))</f>
        <v/>
      </c>
      <c r="F3079" s="20" t="inlineStr">
        <is>
          <t>카페24</t>
        </is>
      </c>
      <c r="G3079" s="20" t="inlineStr">
        <is>
          <t>솔리드퍼퓸 스테이포에버 002제품선택=스테이포에버 1개</t>
        </is>
      </c>
      <c r="H3079" s="20" t="n">
        <v>214</v>
      </c>
      <c r="I3079" s="20">
        <f>VLOOKUP(G3079,매칭테이블!D:E,2,0)</f>
        <v/>
      </c>
      <c r="J3079" s="20" t="n">
        <v>210101</v>
      </c>
      <c r="L3079" s="20">
        <f>VLOOKUP($O3079,매칭테이블!$G:$J,2,0)*H3079</f>
        <v/>
      </c>
      <c r="M3079" s="20">
        <f>L3079-L3079*VLOOKUP($O3079,매칭테이블!$G:$J,3,0)</f>
        <v/>
      </c>
      <c r="N3079" s="20">
        <f>VLOOKUP($O3079,매칭테이블!$G:$J,4,0)*H3079</f>
        <v/>
      </c>
      <c r="O3079" s="20">
        <f>F3079&amp;E3079&amp;G3079&amp;J3079</f>
        <v/>
      </c>
    </row>
    <row r="3080" ht="16.5" customHeight="1" s="17">
      <c r="B3080" s="16" t="n">
        <v>44225</v>
      </c>
      <c r="C3080" s="20">
        <f>TEXT(B3080,"aaa")</f>
        <v/>
      </c>
      <c r="E3080" s="20">
        <f>INDEX(매칭테이블!C:C,MATCH(RD!G3080,매칭테이블!D:D,0))</f>
        <v/>
      </c>
      <c r="F3080" s="20" t="inlineStr">
        <is>
          <t>카페24</t>
        </is>
      </c>
      <c r="G3080" s="20" t="inlineStr">
        <is>
          <t>솔리드퍼퓸 스테이포에버 002제품선택=best스테이포에버 2개[28% 할인]</t>
        </is>
      </c>
      <c r="H3080" s="20" t="n">
        <v>121</v>
      </c>
      <c r="I3080" s="20">
        <f>VLOOKUP(G3080,매칭테이블!D:E,2,0)</f>
        <v/>
      </c>
      <c r="J3080" s="20" t="n">
        <v>210101</v>
      </c>
      <c r="L3080" s="20">
        <f>VLOOKUP($O3080,매칭테이블!$G:$J,2,0)*H3080</f>
        <v/>
      </c>
      <c r="M3080" s="20">
        <f>L3080-L3080*VLOOKUP($O3080,매칭테이블!$G:$J,3,0)</f>
        <v/>
      </c>
      <c r="N3080" s="20">
        <f>VLOOKUP($O3080,매칭테이블!$G:$J,4,0)*H3080</f>
        <v/>
      </c>
      <c r="O3080" s="20">
        <f>F3080&amp;E3080&amp;G3080&amp;J3080</f>
        <v/>
      </c>
    </row>
    <row r="3081" ht="16.5" customHeight="1" s="17">
      <c r="B3081" s="16" t="n">
        <v>44225</v>
      </c>
      <c r="C3081" s="20">
        <f>TEXT(B3081,"aaa")</f>
        <v/>
      </c>
      <c r="E3081" s="20">
        <f>INDEX(매칭테이블!C:C,MATCH(RD!G3081,매칭테이블!D:D,0))</f>
        <v/>
      </c>
      <c r="F3081" s="20" t="inlineStr">
        <is>
          <t>카페24</t>
        </is>
      </c>
      <c r="G3081" s="20" t="inlineStr">
        <is>
          <t>솔리드퍼퓸 스테이포에버 002제품선택=커플추천스테이포에버 + 이그나이트 세트</t>
        </is>
      </c>
      <c r="H3081" s="20" t="n">
        <v>14</v>
      </c>
      <c r="I3081" s="20">
        <f>VLOOKUP(G3081,매칭테이블!D:E,2,0)</f>
        <v/>
      </c>
      <c r="J3081" s="20" t="n">
        <v>210101</v>
      </c>
      <c r="L3081" s="20">
        <f>VLOOKUP($O3081,매칭테이블!$G:$J,2,0)*H3081</f>
        <v/>
      </c>
      <c r="M3081" s="20">
        <f>L3081-L3081*VLOOKUP($O3081,매칭테이블!$G:$J,3,0)</f>
        <v/>
      </c>
      <c r="N3081" s="20">
        <f>VLOOKUP($O3081,매칭테이블!$G:$J,4,0)*H3081</f>
        <v/>
      </c>
      <c r="O3081" s="20">
        <f>F3081&amp;E3081&amp;G3081&amp;J3081</f>
        <v/>
      </c>
    </row>
    <row r="3082" ht="16.5" customHeight="1" s="17">
      <c r="B3082" s="16" t="n">
        <v>44225</v>
      </c>
      <c r="C3082" s="20">
        <f>TEXT(B3082,"aaa")</f>
        <v/>
      </c>
      <c r="E3082" s="20">
        <f>INDEX(매칭테이블!C:C,MATCH(RD!G3082,매칭테이블!D:D,0))</f>
        <v/>
      </c>
      <c r="F3082" s="20" t="inlineStr">
        <is>
          <t>카페24</t>
        </is>
      </c>
      <c r="G3082" s="20" t="inlineStr">
        <is>
          <t>솔리드퍼퓸 스테이포에버 002쇼핑백=선물용 쇼핑백</t>
        </is>
      </c>
      <c r="H3082" s="20" t="n">
        <v>7</v>
      </c>
      <c r="I3082" s="20">
        <f>VLOOKUP(G3082,매칭테이블!D:E,2,0)</f>
        <v/>
      </c>
      <c r="J3082" s="20" t="n">
        <v>210101</v>
      </c>
      <c r="L3082" s="20">
        <f>VLOOKUP($O3082,매칭테이블!$G:$J,2,0)*H3082</f>
        <v/>
      </c>
      <c r="M3082" s="20">
        <f>L3082-L3082*VLOOKUP($O3082,매칭테이블!$G:$J,3,0)</f>
        <v/>
      </c>
      <c r="N3082" s="20">
        <f>VLOOKUP($O3082,매칭테이블!$G:$J,4,0)*H3082</f>
        <v/>
      </c>
      <c r="O3082" s="20">
        <f>F3082&amp;E3082&amp;G3082&amp;J3082</f>
        <v/>
      </c>
    </row>
    <row r="3083" ht="16.5" customHeight="1" s="17">
      <c r="B3083" s="16" t="n">
        <v>44225</v>
      </c>
      <c r="C3083" s="20">
        <f>TEXT(B3083,"aaa")</f>
        <v/>
      </c>
      <c r="E3083" s="20">
        <f>INDEX(매칭테이블!C:C,MATCH(RD!G3083,매칭테이블!D:D,0))</f>
        <v/>
      </c>
      <c r="F3083" s="20" t="inlineStr">
        <is>
          <t>카페24</t>
        </is>
      </c>
      <c r="G3083" s="20" t="inlineStr">
        <is>
          <t>솔리드퍼퓸 이그나이트 001제품선택=이그나이트 솔리드퍼퓸 - 30ml</t>
        </is>
      </c>
      <c r="H3083" s="20" t="n">
        <v>4</v>
      </c>
      <c r="I3083" s="20">
        <f>VLOOKUP(G3083,매칭테이블!D:E,2,0)</f>
        <v/>
      </c>
      <c r="J3083" s="20" t="n">
        <v>210101</v>
      </c>
      <c r="L3083" s="20">
        <f>VLOOKUP($O3083,매칭테이블!$G:$J,2,0)*H3083</f>
        <v/>
      </c>
      <c r="M3083" s="20">
        <f>L3083-L3083*VLOOKUP($O3083,매칭테이블!$G:$J,3,0)</f>
        <v/>
      </c>
      <c r="N3083" s="20">
        <f>VLOOKUP($O3083,매칭테이블!$G:$J,4,0)*H3083</f>
        <v/>
      </c>
      <c r="O3083" s="20">
        <f>F3083&amp;E3083&amp;G3083&amp;J3083</f>
        <v/>
      </c>
    </row>
    <row r="3084" ht="16.5" customHeight="1" s="17">
      <c r="B3084" s="16" t="n">
        <v>44225</v>
      </c>
      <c r="C3084" s="20">
        <f>TEXT(B3084,"aaa")</f>
        <v/>
      </c>
      <c r="E3084" s="20">
        <f>INDEX(매칭테이블!C:C,MATCH(RD!G3084,매칭테이블!D:D,0))</f>
        <v/>
      </c>
      <c r="F3084" s="20" t="inlineStr">
        <is>
          <t>카페24</t>
        </is>
      </c>
      <c r="G3084" s="20" t="inlineStr">
        <is>
          <t>솔리드퍼퓸 이그나이트 001제품선택=이그나이트 2개 세트</t>
        </is>
      </c>
      <c r="H3084" s="20" t="n">
        <v>1</v>
      </c>
      <c r="I3084" s="20">
        <f>VLOOKUP(G3084,매칭테이블!D:E,2,0)</f>
        <v/>
      </c>
      <c r="J3084" s="20" t="n">
        <v>210101</v>
      </c>
      <c r="L3084" s="20">
        <f>VLOOKUP($O3084,매칭테이블!$G:$J,2,0)*H3084</f>
        <v/>
      </c>
      <c r="M3084" s="20">
        <f>L3084-L3084*VLOOKUP($O3084,매칭테이블!$G:$J,3,0)</f>
        <v/>
      </c>
      <c r="N3084" s="20">
        <f>VLOOKUP($O3084,매칭테이블!$G:$J,4,0)*H3084</f>
        <v/>
      </c>
      <c r="O3084" s="20">
        <f>F3084&amp;E3084&amp;G3084&amp;J3084</f>
        <v/>
      </c>
    </row>
    <row r="3085" ht="16.5" customHeight="1" s="17">
      <c r="B3085" s="16" t="n">
        <v>44225</v>
      </c>
      <c r="C3085" s="20">
        <f>TEXT(B3085,"aaa")</f>
        <v/>
      </c>
      <c r="E3085" s="20">
        <f>INDEX(매칭테이블!C:C,MATCH(RD!G3085,매칭테이블!D:D,0))</f>
        <v/>
      </c>
      <c r="F3085" s="20" t="inlineStr">
        <is>
          <t>카페24</t>
        </is>
      </c>
      <c r="G3085" s="20" t="inlineStr">
        <is>
          <t>솔리드퍼퓸 이그나이트 001쇼핑백=선물용 쇼핑백</t>
        </is>
      </c>
      <c r="H3085" s="20" t="n">
        <v>1</v>
      </c>
      <c r="I3085" s="20">
        <f>VLOOKUP(G3085,매칭테이블!D:E,2,0)</f>
        <v/>
      </c>
      <c r="J3085" s="20" t="n">
        <v>210101</v>
      </c>
      <c r="L3085" s="20">
        <f>VLOOKUP($O3085,매칭테이블!$G:$J,2,0)*H3085</f>
        <v/>
      </c>
      <c r="M3085" s="20">
        <f>L3085-L3085*VLOOKUP($O3085,매칭테이블!$G:$J,3,0)</f>
        <v/>
      </c>
      <c r="N3085" s="20">
        <f>VLOOKUP($O3085,매칭테이블!$G:$J,4,0)*H3085</f>
        <v/>
      </c>
      <c r="O3085" s="20">
        <f>F3085&amp;E3085&amp;G3085&amp;J3085</f>
        <v/>
      </c>
    </row>
    <row r="3086" ht="16.5" customHeight="1" s="17">
      <c r="B3086" s="16" t="n">
        <v>44225</v>
      </c>
      <c r="C3086" s="20">
        <f>TEXT(B3086,"aaa")</f>
        <v/>
      </c>
      <c r="E3086" s="20">
        <f>INDEX(매칭테이블!C:C,MATCH(RD!G3086,매칭테이블!D:D,0))</f>
        <v/>
      </c>
      <c r="F3086" s="20" t="inlineStr">
        <is>
          <t>카페24</t>
        </is>
      </c>
      <c r="G3086" s="20" t="inlineStr">
        <is>
          <t>유즈 솔리드퍼퓸 - 스테이포에버 002제품선택=스테이포에버 1개</t>
        </is>
      </c>
      <c r="H3086" s="20" t="n">
        <v>2</v>
      </c>
      <c r="I3086" s="20">
        <f>VLOOKUP(G3086,매칭테이블!D:E,2,0)</f>
        <v/>
      </c>
      <c r="J3086" s="20" t="n">
        <v>210101</v>
      </c>
      <c r="L3086" s="20">
        <f>VLOOKUP($O3086,매칭테이블!$G:$J,2,0)*H3086</f>
        <v/>
      </c>
      <c r="M3086" s="20">
        <f>L3086-L3086*VLOOKUP($O3086,매칭테이블!$G:$J,3,0)</f>
        <v/>
      </c>
      <c r="N3086" s="20">
        <f>VLOOKUP($O3086,매칭테이블!$G:$J,4,0)*H3086</f>
        <v/>
      </c>
      <c r="O3086" s="20">
        <f>F3086&amp;E3086&amp;G3086&amp;J3086</f>
        <v/>
      </c>
    </row>
    <row r="3087" ht="16.5" customHeight="1" s="17">
      <c r="B3087" s="16" t="n">
        <v>44225</v>
      </c>
      <c r="C3087" s="20">
        <f>TEXT(B3087,"aaa")</f>
        <v/>
      </c>
      <c r="E3087" s="20">
        <f>INDEX(매칭테이블!C:C,MATCH(RD!G3087,매칭테이블!D:D,0))</f>
        <v/>
      </c>
      <c r="F3087" s="20" t="inlineStr">
        <is>
          <t>카페24</t>
        </is>
      </c>
      <c r="G3087" s="20" t="inlineStr">
        <is>
          <t>유즈 솔리드퍼퓸 - 스테이포에버 002제품선택=best스테이포에버 2개[28% 할인]</t>
        </is>
      </c>
      <c r="H3087" s="20" t="n">
        <v>2</v>
      </c>
      <c r="I3087" s="20">
        <f>VLOOKUP(G3087,매칭테이블!D:E,2,0)</f>
        <v/>
      </c>
      <c r="J3087" s="20" t="n">
        <v>210101</v>
      </c>
      <c r="L3087" s="20">
        <f>VLOOKUP($O3087,매칭테이블!$G:$J,2,0)*H3087</f>
        <v/>
      </c>
      <c r="M3087" s="20">
        <f>L3087-L3087*VLOOKUP($O3087,매칭테이블!$G:$J,3,0)</f>
        <v/>
      </c>
      <c r="N3087" s="20">
        <f>VLOOKUP($O3087,매칭테이블!$G:$J,4,0)*H3087</f>
        <v/>
      </c>
      <c r="O3087" s="20">
        <f>F3087&amp;E3087&amp;G3087&amp;J3087</f>
        <v/>
      </c>
    </row>
    <row r="3088" ht="16.5" customHeight="1" s="17">
      <c r="B3088" s="16" t="n">
        <v>44226</v>
      </c>
      <c r="C3088" s="20">
        <f>TEXT(B3088,"aaa")</f>
        <v/>
      </c>
      <c r="E3088" s="20">
        <f>INDEX(매칭테이블!C:C,MATCH(RD!G3088,매칭테이블!D:D,0))</f>
        <v/>
      </c>
      <c r="F3088" s="20" t="inlineStr">
        <is>
          <t>카페24</t>
        </is>
      </c>
      <c r="G3088" s="20" t="inlineStr">
        <is>
          <t>솔리드퍼퓸 세트향=이그나이트 001 SOLID PERFUME, 세트 선택=1개</t>
        </is>
      </c>
      <c r="H3088" s="20" t="n">
        <v>1</v>
      </c>
      <c r="I3088" s="20">
        <f>VLOOKUP(G3088,매칭테이블!D:E,2,0)</f>
        <v/>
      </c>
      <c r="J3088" s="20" t="n">
        <v>210101</v>
      </c>
      <c r="L3088" s="20">
        <f>VLOOKUP($O3088,매칭테이블!$G:$J,2,0)*H3088</f>
        <v/>
      </c>
      <c r="M3088" s="20">
        <f>L3088-L3088*VLOOKUP($O3088,매칭테이블!$G:$J,3,0)</f>
        <v/>
      </c>
      <c r="N3088" s="20">
        <f>VLOOKUP($O3088,매칭테이블!$G:$J,4,0)*H3088</f>
        <v/>
      </c>
      <c r="O3088" s="20">
        <f>F3088&amp;E3088&amp;G3088&amp;J3088</f>
        <v/>
      </c>
    </row>
    <row r="3089" ht="16.5" customHeight="1" s="17">
      <c r="B3089" s="16" t="n">
        <v>44226</v>
      </c>
      <c r="C3089" s="20">
        <f>TEXT(B3089,"aaa")</f>
        <v/>
      </c>
      <c r="E3089" s="20">
        <f>INDEX(매칭테이블!C:C,MATCH(RD!G3089,매칭테이블!D:D,0))</f>
        <v/>
      </c>
      <c r="F3089" s="20" t="inlineStr">
        <is>
          <t>카페24</t>
        </is>
      </c>
      <c r="G3089" s="20" t="inlineStr">
        <is>
          <t>솔리드퍼퓸 세트향=스테이포에버 002 SOLID PERFUME, 세트 선택=1개</t>
        </is>
      </c>
      <c r="H3089" s="20" t="n">
        <v>5</v>
      </c>
      <c r="I3089" s="20">
        <f>VLOOKUP(G3089,매칭테이블!D:E,2,0)</f>
        <v/>
      </c>
      <c r="J3089" s="20" t="n">
        <v>210101</v>
      </c>
      <c r="L3089" s="20">
        <f>VLOOKUP($O3089,매칭테이블!$G:$J,2,0)*H3089</f>
        <v/>
      </c>
      <c r="M3089" s="20">
        <f>L3089-L3089*VLOOKUP($O3089,매칭테이블!$G:$J,3,0)</f>
        <v/>
      </c>
      <c r="N3089" s="20">
        <f>VLOOKUP($O3089,매칭테이블!$G:$J,4,0)*H3089</f>
        <v/>
      </c>
      <c r="O3089" s="20">
        <f>F3089&amp;E3089&amp;G3089&amp;J3089</f>
        <v/>
      </c>
    </row>
    <row r="3090" ht="16.5" customHeight="1" s="17">
      <c r="B3090" s="16" t="n">
        <v>44226</v>
      </c>
      <c r="C3090" s="20">
        <f>TEXT(B3090,"aaa")</f>
        <v/>
      </c>
      <c r="E3090" s="20">
        <f>INDEX(매칭테이블!C:C,MATCH(RD!G3090,매칭테이블!D:D,0))</f>
        <v/>
      </c>
      <c r="F3090" s="20" t="inlineStr">
        <is>
          <t>카페24</t>
        </is>
      </c>
      <c r="G3090" s="20" t="inlineStr">
        <is>
          <t>솔리드퍼퓸 세트향=스테이포에버 002 SOLID PERFUME, 세트 선택=best 2개 (28% 할인)</t>
        </is>
      </c>
      <c r="H3090" s="20" t="n">
        <v>6</v>
      </c>
      <c r="I3090" s="20">
        <f>VLOOKUP(G3090,매칭테이블!D:E,2,0)</f>
        <v/>
      </c>
      <c r="J3090" s="20" t="n">
        <v>210101</v>
      </c>
      <c r="L3090" s="20">
        <f>VLOOKUP($O3090,매칭테이블!$G:$J,2,0)*H3090</f>
        <v/>
      </c>
      <c r="M3090" s="20">
        <f>L3090-L3090*VLOOKUP($O3090,매칭테이블!$G:$J,3,0)</f>
        <v/>
      </c>
      <c r="N3090" s="20">
        <f>VLOOKUP($O3090,매칭테이블!$G:$J,4,0)*H3090</f>
        <v/>
      </c>
      <c r="O3090" s="20">
        <f>F3090&amp;E3090&amp;G3090&amp;J3090</f>
        <v/>
      </c>
    </row>
    <row r="3091" ht="16.5" customHeight="1" s="17">
      <c r="B3091" s="16" t="n">
        <v>44226</v>
      </c>
      <c r="C3091" s="20">
        <f>TEXT(B3091,"aaa")</f>
        <v/>
      </c>
      <c r="E3091" s="20">
        <f>INDEX(매칭테이블!C:C,MATCH(RD!G3091,매칭테이블!D:D,0))</f>
        <v/>
      </c>
      <c r="F3091" s="20" t="inlineStr">
        <is>
          <t>카페24</t>
        </is>
      </c>
      <c r="G3091" s="20" t="inlineStr">
        <is>
          <t>솔리드퍼퓸 세트향=커플세트(이그나이트 + 스테이포에버), 세트 선택=1 SET</t>
        </is>
      </c>
      <c r="H3091" s="20" t="n">
        <v>10</v>
      </c>
      <c r="I3091" s="20">
        <f>VLOOKUP(G3091,매칭테이블!D:E,2,0)</f>
        <v/>
      </c>
      <c r="J3091" s="20" t="n">
        <v>210101</v>
      </c>
      <c r="L3091" s="20">
        <f>VLOOKUP($O3091,매칭테이블!$G:$J,2,0)*H3091</f>
        <v/>
      </c>
      <c r="M3091" s="20">
        <f>L3091-L3091*VLOOKUP($O3091,매칭테이블!$G:$J,3,0)</f>
        <v/>
      </c>
      <c r="N3091" s="20">
        <f>VLOOKUP($O3091,매칭테이블!$G:$J,4,0)*H3091</f>
        <v/>
      </c>
      <c r="O3091" s="20">
        <f>F3091&amp;E3091&amp;G3091&amp;J3091</f>
        <v/>
      </c>
    </row>
    <row r="3092" ht="16.5" customHeight="1" s="17">
      <c r="B3092" s="16" t="n">
        <v>44226</v>
      </c>
      <c r="C3092" s="20">
        <f>TEXT(B3092,"aaa")</f>
        <v/>
      </c>
      <c r="E3092" s="20">
        <f>INDEX(매칭테이블!C:C,MATCH(RD!G3092,매칭테이블!D:D,0))</f>
        <v/>
      </c>
      <c r="F3092" s="20" t="inlineStr">
        <is>
          <t>카페24</t>
        </is>
      </c>
      <c r="G3092" s="20" t="inlineStr">
        <is>
          <t>솔리드퍼퓸 스테이포에버 002제품선택=스테이포에버 1개</t>
        </is>
      </c>
      <c r="H3092" s="20" t="n">
        <v>266</v>
      </c>
      <c r="I3092" s="20">
        <f>VLOOKUP(G3092,매칭테이블!D:E,2,0)</f>
        <v/>
      </c>
      <c r="J3092" s="20" t="n">
        <v>210101</v>
      </c>
      <c r="L3092" s="20">
        <f>VLOOKUP($O3092,매칭테이블!$G:$J,2,0)*H3092</f>
        <v/>
      </c>
      <c r="M3092" s="20">
        <f>L3092-L3092*VLOOKUP($O3092,매칭테이블!$G:$J,3,0)</f>
        <v/>
      </c>
      <c r="N3092" s="20">
        <f>VLOOKUP($O3092,매칭테이블!$G:$J,4,0)*H3092</f>
        <v/>
      </c>
      <c r="O3092" s="20">
        <f>F3092&amp;E3092&amp;G3092&amp;J3092</f>
        <v/>
      </c>
    </row>
    <row r="3093" ht="16.5" customHeight="1" s="17">
      <c r="B3093" s="16" t="n">
        <v>44226</v>
      </c>
      <c r="C3093" s="20">
        <f>TEXT(B3093,"aaa")</f>
        <v/>
      </c>
      <c r="E3093" s="20">
        <f>INDEX(매칭테이블!C:C,MATCH(RD!G3093,매칭테이블!D:D,0))</f>
        <v/>
      </c>
      <c r="F3093" s="20" t="inlineStr">
        <is>
          <t>카페24</t>
        </is>
      </c>
      <c r="G3093" s="20" t="inlineStr">
        <is>
          <t>솔리드퍼퓸 스테이포에버 002제품선택=best스테이포에버 2개[28% 할인]</t>
        </is>
      </c>
      <c r="H3093" s="20" t="n">
        <v>100</v>
      </c>
      <c r="I3093" s="20">
        <f>VLOOKUP(G3093,매칭테이블!D:E,2,0)</f>
        <v/>
      </c>
      <c r="J3093" s="20" t="n">
        <v>210101</v>
      </c>
      <c r="L3093" s="20">
        <f>VLOOKUP($O3093,매칭테이블!$G:$J,2,0)*H3093</f>
        <v/>
      </c>
      <c r="M3093" s="20">
        <f>L3093-L3093*VLOOKUP($O3093,매칭테이블!$G:$J,3,0)</f>
        <v/>
      </c>
      <c r="N3093" s="20">
        <f>VLOOKUP($O3093,매칭테이블!$G:$J,4,0)*H3093</f>
        <v/>
      </c>
      <c r="O3093" s="20">
        <f>F3093&amp;E3093&amp;G3093&amp;J3093</f>
        <v/>
      </c>
    </row>
    <row r="3094" ht="16.5" customHeight="1" s="17">
      <c r="B3094" s="16" t="n">
        <v>44226</v>
      </c>
      <c r="C3094" s="20">
        <f>TEXT(B3094,"aaa")</f>
        <v/>
      </c>
      <c r="E3094" s="20">
        <f>INDEX(매칭테이블!C:C,MATCH(RD!G3094,매칭테이블!D:D,0))</f>
        <v/>
      </c>
      <c r="F3094" s="20" t="inlineStr">
        <is>
          <t>카페24</t>
        </is>
      </c>
      <c r="G3094" s="20" t="inlineStr">
        <is>
          <t>솔리드퍼퓸 스테이포에버 002제품선택=커플추천스테이포에버 + 이그나이트 세트</t>
        </is>
      </c>
      <c r="H3094" s="20" t="n">
        <v>13</v>
      </c>
      <c r="I3094" s="20">
        <f>VLOOKUP(G3094,매칭테이블!D:E,2,0)</f>
        <v/>
      </c>
      <c r="J3094" s="20" t="n">
        <v>210101</v>
      </c>
      <c r="L3094" s="20">
        <f>VLOOKUP($O3094,매칭테이블!$G:$J,2,0)*H3094</f>
        <v/>
      </c>
      <c r="M3094" s="20">
        <f>L3094-L3094*VLOOKUP($O3094,매칭테이블!$G:$J,3,0)</f>
        <v/>
      </c>
      <c r="N3094" s="20">
        <f>VLOOKUP($O3094,매칭테이블!$G:$J,4,0)*H3094</f>
        <v/>
      </c>
      <c r="O3094" s="20">
        <f>F3094&amp;E3094&amp;G3094&amp;J3094</f>
        <v/>
      </c>
    </row>
    <row r="3095" ht="16.5" customHeight="1" s="17">
      <c r="B3095" s="16" t="n">
        <v>44226</v>
      </c>
      <c r="C3095" s="20">
        <f>TEXT(B3095,"aaa")</f>
        <v/>
      </c>
      <c r="E3095" s="20">
        <f>INDEX(매칭테이블!C:C,MATCH(RD!G3095,매칭테이블!D:D,0))</f>
        <v/>
      </c>
      <c r="F3095" s="20" t="inlineStr">
        <is>
          <t>카페24</t>
        </is>
      </c>
      <c r="G3095" s="20" t="inlineStr">
        <is>
          <t>솔리드퍼퓸 스테이포에버 002쇼핑백=선물용 쇼핑백</t>
        </is>
      </c>
      <c r="H3095" s="20" t="n">
        <v>16</v>
      </c>
      <c r="I3095" s="20">
        <f>VLOOKUP(G3095,매칭테이블!D:E,2,0)</f>
        <v/>
      </c>
      <c r="J3095" s="20" t="n">
        <v>210101</v>
      </c>
      <c r="L3095" s="20">
        <f>VLOOKUP($O3095,매칭테이블!$G:$J,2,0)*H3095</f>
        <v/>
      </c>
      <c r="M3095" s="20">
        <f>L3095-L3095*VLOOKUP($O3095,매칭테이블!$G:$J,3,0)</f>
        <v/>
      </c>
      <c r="N3095" s="20">
        <f>VLOOKUP($O3095,매칭테이블!$G:$J,4,0)*H3095</f>
        <v/>
      </c>
      <c r="O3095" s="20">
        <f>F3095&amp;E3095&amp;G3095&amp;J3095</f>
        <v/>
      </c>
    </row>
    <row r="3096" ht="16.5" customHeight="1" s="17">
      <c r="B3096" s="16" t="n">
        <v>44226</v>
      </c>
      <c r="C3096" s="20">
        <f>TEXT(B3096,"aaa")</f>
        <v/>
      </c>
      <c r="E3096" s="20">
        <f>INDEX(매칭테이블!C:C,MATCH(RD!G3096,매칭테이블!D:D,0))</f>
        <v/>
      </c>
      <c r="F3096" s="20" t="inlineStr">
        <is>
          <t>카페24</t>
        </is>
      </c>
      <c r="G3096" s="20" t="inlineStr">
        <is>
          <t>솔리드퍼퓸 이그나이트 001제품선택=이그나이트 솔리드퍼퓸 - 30ml</t>
        </is>
      </c>
      <c r="H3096" s="20" t="n">
        <v>3</v>
      </c>
      <c r="I3096" s="20">
        <f>VLOOKUP(G3096,매칭테이블!D:E,2,0)</f>
        <v/>
      </c>
      <c r="J3096" s="20" t="n">
        <v>210101</v>
      </c>
      <c r="L3096" s="20">
        <f>VLOOKUP($O3096,매칭테이블!$G:$J,2,0)*H3096</f>
        <v/>
      </c>
      <c r="M3096" s="20">
        <f>L3096-L3096*VLOOKUP($O3096,매칭테이블!$G:$J,3,0)</f>
        <v/>
      </c>
      <c r="N3096" s="20">
        <f>VLOOKUP($O3096,매칭테이블!$G:$J,4,0)*H3096</f>
        <v/>
      </c>
      <c r="O3096" s="20">
        <f>F3096&amp;E3096&amp;G3096&amp;J3096</f>
        <v/>
      </c>
    </row>
    <row r="3097" ht="16.5" customHeight="1" s="17">
      <c r="B3097" s="16" t="n">
        <v>44226</v>
      </c>
      <c r="C3097" s="20">
        <f>TEXT(B3097,"aaa")</f>
        <v/>
      </c>
      <c r="E3097" s="20">
        <f>INDEX(매칭테이블!C:C,MATCH(RD!G3097,매칭테이블!D:D,0))</f>
        <v/>
      </c>
      <c r="F3097" s="20" t="inlineStr">
        <is>
          <t>카페24</t>
        </is>
      </c>
      <c r="G3097" s="20" t="inlineStr">
        <is>
          <t>솔리드퍼퓸 이그나이트 001제품선택=이그나이트 2개 세트</t>
        </is>
      </c>
      <c r="H3097" s="20" t="n">
        <v>4</v>
      </c>
      <c r="I3097" s="20">
        <f>VLOOKUP(G3097,매칭테이블!D:E,2,0)</f>
        <v/>
      </c>
      <c r="J3097" s="20" t="n">
        <v>210101</v>
      </c>
      <c r="L3097" s="20">
        <f>VLOOKUP($O3097,매칭테이블!$G:$J,2,0)*H3097</f>
        <v/>
      </c>
      <c r="M3097" s="20">
        <f>L3097-L3097*VLOOKUP($O3097,매칭테이블!$G:$J,3,0)</f>
        <v/>
      </c>
      <c r="N3097" s="20">
        <f>VLOOKUP($O3097,매칭테이블!$G:$J,4,0)*H3097</f>
        <v/>
      </c>
      <c r="O3097" s="20">
        <f>F3097&amp;E3097&amp;G3097&amp;J3097</f>
        <v/>
      </c>
    </row>
    <row r="3098" ht="16.5" customHeight="1" s="17">
      <c r="B3098" s="16" t="n">
        <v>44226</v>
      </c>
      <c r="C3098" s="20">
        <f>TEXT(B3098,"aaa")</f>
        <v/>
      </c>
      <c r="E3098" s="20">
        <f>INDEX(매칭테이블!C:C,MATCH(RD!G3098,매칭테이블!D:D,0))</f>
        <v/>
      </c>
      <c r="F3098" s="20" t="inlineStr">
        <is>
          <t>카페24</t>
        </is>
      </c>
      <c r="G3098" s="20" t="inlineStr">
        <is>
          <t>유즈 솔리드퍼퓸 - 30ml향=이그나이트 001 SOLID PERFUME, 세트 선택=1개</t>
        </is>
      </c>
      <c r="H3098" s="20" t="n">
        <v>1</v>
      </c>
      <c r="I3098" s="20">
        <f>VLOOKUP(G3098,매칭테이블!D:E,2,0)</f>
        <v/>
      </c>
      <c r="J3098" s="20" t="n">
        <v>210101</v>
      </c>
      <c r="L3098" s="20">
        <f>VLOOKUP($O3098,매칭테이블!$G:$J,2,0)*H3098</f>
        <v/>
      </c>
      <c r="M3098" s="20">
        <f>L3098-L3098*VLOOKUP($O3098,매칭테이블!$G:$J,3,0)</f>
        <v/>
      </c>
      <c r="N3098" s="20">
        <f>VLOOKUP($O3098,매칭테이블!$G:$J,4,0)*H3098</f>
        <v/>
      </c>
      <c r="O3098" s="20">
        <f>F3098&amp;E3098&amp;G3098&amp;J3098</f>
        <v/>
      </c>
    </row>
    <row r="3099" ht="16.5" customHeight="1" s="17">
      <c r="B3099" s="16" t="n">
        <v>44227</v>
      </c>
      <c r="C3099" s="20">
        <f>TEXT(B3099,"aaa")</f>
        <v/>
      </c>
      <c r="E3099" s="20">
        <f>INDEX(매칭테이블!C:C,MATCH(RD!G3099,매칭테이블!D:D,0))</f>
        <v/>
      </c>
      <c r="F3099" s="20" t="inlineStr">
        <is>
          <t>카페24</t>
        </is>
      </c>
      <c r="G3099" s="20" t="inlineStr">
        <is>
          <t>솔리드퍼퓸 세트향=스테이포에버 002 SOLID PERFUME, 세트 선택=1개</t>
        </is>
      </c>
      <c r="H3099" s="20" t="n">
        <v>12</v>
      </c>
      <c r="I3099" s="20">
        <f>VLOOKUP(G3099,매칭테이블!D:E,2,0)</f>
        <v/>
      </c>
      <c r="J3099" s="20" t="n">
        <v>210101</v>
      </c>
      <c r="L3099" s="20">
        <f>VLOOKUP($O3099,매칭테이블!$G:$J,2,0)*H3099</f>
        <v/>
      </c>
      <c r="M3099" s="20">
        <f>L3099-L3099*VLOOKUP($O3099,매칭테이블!$G:$J,3,0)</f>
        <v/>
      </c>
      <c r="N3099" s="20">
        <f>VLOOKUP($O3099,매칭테이블!$G:$J,4,0)*H3099</f>
        <v/>
      </c>
      <c r="O3099" s="20">
        <f>F3099&amp;E3099&amp;G3099&amp;J3099</f>
        <v/>
      </c>
    </row>
    <row r="3100" ht="16.5" customHeight="1" s="17">
      <c r="B3100" s="16" t="n">
        <v>44227</v>
      </c>
      <c r="C3100" s="20">
        <f>TEXT(B3100,"aaa")</f>
        <v/>
      </c>
      <c r="E3100" s="20">
        <f>INDEX(매칭테이블!C:C,MATCH(RD!G3100,매칭테이블!D:D,0))</f>
        <v/>
      </c>
      <c r="F3100" s="20" t="inlineStr">
        <is>
          <t>카페24</t>
        </is>
      </c>
      <c r="G3100" s="20" t="inlineStr">
        <is>
          <t>솔리드퍼퓸 세트향=스테이포에버 002 SOLID PERFUME, 세트 선택=best 2개 (28% 할인)</t>
        </is>
      </c>
      <c r="H3100" s="20" t="n">
        <v>11</v>
      </c>
      <c r="I3100" s="20">
        <f>VLOOKUP(G3100,매칭테이블!D:E,2,0)</f>
        <v/>
      </c>
      <c r="J3100" s="20" t="n">
        <v>210101</v>
      </c>
      <c r="L3100" s="20">
        <f>VLOOKUP($O3100,매칭테이블!$G:$J,2,0)*H3100</f>
        <v/>
      </c>
      <c r="M3100" s="20">
        <f>L3100-L3100*VLOOKUP($O3100,매칭테이블!$G:$J,3,0)</f>
        <v/>
      </c>
      <c r="N3100" s="20">
        <f>VLOOKUP($O3100,매칭테이블!$G:$J,4,0)*H3100</f>
        <v/>
      </c>
      <c r="O3100" s="20">
        <f>F3100&amp;E3100&amp;G3100&amp;J3100</f>
        <v/>
      </c>
    </row>
    <row r="3101" ht="16.5" customHeight="1" s="17">
      <c r="B3101" s="16" t="n">
        <v>44227</v>
      </c>
      <c r="C3101" s="20">
        <f>TEXT(B3101,"aaa")</f>
        <v/>
      </c>
      <c r="E3101" s="20">
        <f>INDEX(매칭테이블!C:C,MATCH(RD!G3101,매칭테이블!D:D,0))</f>
        <v/>
      </c>
      <c r="F3101" s="20" t="inlineStr">
        <is>
          <t>카페24</t>
        </is>
      </c>
      <c r="G3101" s="20" t="inlineStr">
        <is>
          <t>솔리드퍼퓸 세트향=커플세트(이그나이트 + 스테이포에버), 세트 선택=1 SET</t>
        </is>
      </c>
      <c r="H3101" s="20" t="n">
        <v>15</v>
      </c>
      <c r="I3101" s="20">
        <f>VLOOKUP(G3101,매칭테이블!D:E,2,0)</f>
        <v/>
      </c>
      <c r="J3101" s="20" t="n">
        <v>210101</v>
      </c>
      <c r="L3101" s="20">
        <f>VLOOKUP($O3101,매칭테이블!$G:$J,2,0)*H3101</f>
        <v/>
      </c>
      <c r="M3101" s="20">
        <f>L3101-L3101*VLOOKUP($O3101,매칭테이블!$G:$J,3,0)</f>
        <v/>
      </c>
      <c r="N3101" s="20">
        <f>VLOOKUP($O3101,매칭테이블!$G:$J,4,0)*H3101</f>
        <v/>
      </c>
      <c r="O3101" s="20">
        <f>F3101&amp;E3101&amp;G3101&amp;J3101</f>
        <v/>
      </c>
    </row>
    <row r="3102" ht="16.5" customHeight="1" s="17">
      <c r="B3102" s="16" t="n">
        <v>44227</v>
      </c>
      <c r="C3102" s="20">
        <f>TEXT(B3102,"aaa")</f>
        <v/>
      </c>
      <c r="E3102" s="20">
        <f>INDEX(매칭테이블!C:C,MATCH(RD!G3102,매칭테이블!D:D,0))</f>
        <v/>
      </c>
      <c r="F3102" s="20" t="inlineStr">
        <is>
          <t>카페24</t>
        </is>
      </c>
      <c r="G3102" s="20" t="inlineStr">
        <is>
          <t>솔리드퍼퓸 세트향=커플세트(이그나이트 + 스테이포에버), 세트 선택=2 SET (42% 할인)</t>
        </is>
      </c>
      <c r="H3102" s="20" t="n">
        <v>3</v>
      </c>
      <c r="I3102" s="20">
        <f>VLOOKUP(G3102,매칭테이블!D:E,2,0)</f>
        <v/>
      </c>
      <c r="J3102" s="20" t="n">
        <v>210101</v>
      </c>
      <c r="L3102" s="20">
        <f>VLOOKUP($O3102,매칭테이블!$G:$J,2,0)*H3102</f>
        <v/>
      </c>
      <c r="M3102" s="20">
        <f>L3102-L3102*VLOOKUP($O3102,매칭테이블!$G:$J,3,0)</f>
        <v/>
      </c>
      <c r="N3102" s="20">
        <f>VLOOKUP($O3102,매칭테이블!$G:$J,4,0)*H3102</f>
        <v/>
      </c>
      <c r="O3102" s="20">
        <f>F3102&amp;E3102&amp;G3102&amp;J3102</f>
        <v/>
      </c>
    </row>
    <row r="3103" ht="16.5" customHeight="1" s="17">
      <c r="B3103" s="16" t="n">
        <v>44227</v>
      </c>
      <c r="C3103" s="20">
        <f>TEXT(B3103,"aaa")</f>
        <v/>
      </c>
      <c r="E3103" s="20">
        <f>INDEX(매칭테이블!C:C,MATCH(RD!G3103,매칭테이블!D:D,0))</f>
        <v/>
      </c>
      <c r="F3103" s="20" t="inlineStr">
        <is>
          <t>카페24</t>
        </is>
      </c>
      <c r="G3103" s="20" t="inlineStr">
        <is>
          <t>솔리드퍼퓸 스테이포에버 002제품선택=스테이포에버 1개</t>
        </is>
      </c>
      <c r="H3103" s="20" t="n">
        <v>270</v>
      </c>
      <c r="I3103" s="20">
        <f>VLOOKUP(G3103,매칭테이블!D:E,2,0)</f>
        <v/>
      </c>
      <c r="J3103" s="20" t="n">
        <v>210101</v>
      </c>
      <c r="L3103" s="20">
        <f>VLOOKUP($O3103,매칭테이블!$G:$J,2,0)*H3103</f>
        <v/>
      </c>
      <c r="M3103" s="20">
        <f>L3103-L3103*VLOOKUP($O3103,매칭테이블!$G:$J,3,0)</f>
        <v/>
      </c>
      <c r="N3103" s="20">
        <f>VLOOKUP($O3103,매칭테이블!$G:$J,4,0)*H3103</f>
        <v/>
      </c>
      <c r="O3103" s="20">
        <f>F3103&amp;E3103&amp;G3103&amp;J3103</f>
        <v/>
      </c>
    </row>
    <row r="3104" ht="16.5" customHeight="1" s="17">
      <c r="B3104" s="16" t="n">
        <v>44227</v>
      </c>
      <c r="C3104" s="20">
        <f>TEXT(B3104,"aaa")</f>
        <v/>
      </c>
      <c r="E3104" s="20">
        <f>INDEX(매칭테이블!C:C,MATCH(RD!G3104,매칭테이블!D:D,0))</f>
        <v/>
      </c>
      <c r="F3104" s="20" t="inlineStr">
        <is>
          <t>카페24</t>
        </is>
      </c>
      <c r="G3104" s="20" t="inlineStr">
        <is>
          <t>솔리드퍼퓸 스테이포에버 002제품선택=best스테이포에버 2개[28% 할인]</t>
        </is>
      </c>
      <c r="H3104" s="20" t="n">
        <v>139</v>
      </c>
      <c r="I3104" s="20">
        <f>VLOOKUP(G3104,매칭테이블!D:E,2,0)</f>
        <v/>
      </c>
      <c r="J3104" s="20" t="n">
        <v>210101</v>
      </c>
      <c r="L3104" s="20">
        <f>VLOOKUP($O3104,매칭테이블!$G:$J,2,0)*H3104</f>
        <v/>
      </c>
      <c r="M3104" s="20">
        <f>L3104-L3104*VLOOKUP($O3104,매칭테이블!$G:$J,3,0)</f>
        <v/>
      </c>
      <c r="N3104" s="20">
        <f>VLOOKUP($O3104,매칭테이블!$G:$J,4,0)*H3104</f>
        <v/>
      </c>
      <c r="O3104" s="20">
        <f>F3104&amp;E3104&amp;G3104&amp;J3104</f>
        <v/>
      </c>
    </row>
    <row r="3105" ht="16.5" customHeight="1" s="17">
      <c r="B3105" s="16" t="n">
        <v>44227</v>
      </c>
      <c r="C3105" s="20">
        <f>TEXT(B3105,"aaa")</f>
        <v/>
      </c>
      <c r="E3105" s="20">
        <f>INDEX(매칭테이블!C:C,MATCH(RD!G3105,매칭테이블!D:D,0))</f>
        <v/>
      </c>
      <c r="F3105" s="20" t="inlineStr">
        <is>
          <t>카페24</t>
        </is>
      </c>
      <c r="G3105" s="20" t="inlineStr">
        <is>
          <t>솔리드퍼퓸 스테이포에버 002제품선택=커플추천스테이포에버 + 이그나이트 세트</t>
        </is>
      </c>
      <c r="H3105" s="20" t="n">
        <v>18</v>
      </c>
      <c r="I3105" s="20">
        <f>VLOOKUP(G3105,매칭테이블!D:E,2,0)</f>
        <v/>
      </c>
      <c r="J3105" s="20" t="n">
        <v>210101</v>
      </c>
      <c r="L3105" s="20">
        <f>VLOOKUP($O3105,매칭테이블!$G:$J,2,0)*H3105</f>
        <v/>
      </c>
      <c r="M3105" s="20">
        <f>L3105-L3105*VLOOKUP($O3105,매칭테이블!$G:$J,3,0)</f>
        <v/>
      </c>
      <c r="N3105" s="20">
        <f>VLOOKUP($O3105,매칭테이블!$G:$J,4,0)*H3105</f>
        <v/>
      </c>
      <c r="O3105" s="20">
        <f>F3105&amp;E3105&amp;G3105&amp;J3105</f>
        <v/>
      </c>
    </row>
    <row r="3106" ht="16.5" customHeight="1" s="17">
      <c r="B3106" s="16" t="n">
        <v>44227</v>
      </c>
      <c r="C3106" s="20">
        <f>TEXT(B3106,"aaa")</f>
        <v/>
      </c>
      <c r="E3106" s="20">
        <f>INDEX(매칭테이블!C:C,MATCH(RD!G3106,매칭테이블!D:D,0))</f>
        <v/>
      </c>
      <c r="F3106" s="20" t="inlineStr">
        <is>
          <t>카페24</t>
        </is>
      </c>
      <c r="G3106" s="20" t="inlineStr">
        <is>
          <t>솔리드퍼퓸 스테이포에버 002쇼핑백=선물용 쇼핑백</t>
        </is>
      </c>
      <c r="H3106" s="20" t="n">
        <v>17</v>
      </c>
      <c r="I3106" s="20">
        <f>VLOOKUP(G3106,매칭테이블!D:E,2,0)</f>
        <v/>
      </c>
      <c r="J3106" s="20" t="n">
        <v>210101</v>
      </c>
      <c r="L3106" s="20">
        <f>VLOOKUP($O3106,매칭테이블!$G:$J,2,0)*H3106</f>
        <v/>
      </c>
      <c r="M3106" s="20">
        <f>L3106-L3106*VLOOKUP($O3106,매칭테이블!$G:$J,3,0)</f>
        <v/>
      </c>
      <c r="N3106" s="20">
        <f>VLOOKUP($O3106,매칭테이블!$G:$J,4,0)*H3106</f>
        <v/>
      </c>
      <c r="O3106" s="20">
        <f>F3106&amp;E3106&amp;G3106&amp;J3106</f>
        <v/>
      </c>
    </row>
    <row r="3107" ht="16.5" customHeight="1" s="17">
      <c r="B3107" s="16" t="n">
        <v>44227</v>
      </c>
      <c r="C3107" s="20">
        <f>TEXT(B3107,"aaa")</f>
        <v/>
      </c>
      <c r="E3107" s="20">
        <f>INDEX(매칭테이블!C:C,MATCH(RD!G3107,매칭테이블!D:D,0))</f>
        <v/>
      </c>
      <c r="F3107" s="20" t="inlineStr">
        <is>
          <t>카페24</t>
        </is>
      </c>
      <c r="G3107" s="20" t="inlineStr">
        <is>
          <t>솔리드퍼퓸 이그나이트 001제품선택=이그나이트 솔리드퍼퓸 - 30ml</t>
        </is>
      </c>
      <c r="H3107" s="20" t="n">
        <v>3</v>
      </c>
      <c r="I3107" s="20">
        <f>VLOOKUP(G3107,매칭테이블!D:E,2,0)</f>
        <v/>
      </c>
      <c r="J3107" s="20" t="n">
        <v>210101</v>
      </c>
      <c r="L3107" s="20">
        <f>VLOOKUP($O3107,매칭테이블!$G:$J,2,0)*H3107</f>
        <v/>
      </c>
      <c r="M3107" s="20">
        <f>L3107-L3107*VLOOKUP($O3107,매칭테이블!$G:$J,3,0)</f>
        <v/>
      </c>
      <c r="N3107" s="20">
        <f>VLOOKUP($O3107,매칭테이블!$G:$J,4,0)*H3107</f>
        <v/>
      </c>
      <c r="O3107" s="20">
        <f>F3107&amp;E3107&amp;G3107&amp;J3107</f>
        <v/>
      </c>
    </row>
    <row r="3108" ht="16.5" customHeight="1" s="17">
      <c r="B3108" s="16" t="n">
        <v>44227</v>
      </c>
      <c r="C3108" s="20">
        <f>TEXT(B3108,"aaa")</f>
        <v/>
      </c>
      <c r="E3108" s="20">
        <f>INDEX(매칭테이블!C:C,MATCH(RD!G3108,매칭테이블!D:D,0))</f>
        <v/>
      </c>
      <c r="F3108" s="20" t="inlineStr">
        <is>
          <t>카페24</t>
        </is>
      </c>
      <c r="G3108" s="20" t="inlineStr">
        <is>
          <t>솔리드퍼퓸 이그나이트 001제품선택=이그나이트 2개 세트</t>
        </is>
      </c>
      <c r="H3108" s="20" t="n">
        <v>1</v>
      </c>
      <c r="I3108" s="20">
        <f>VLOOKUP(G3108,매칭테이블!D:E,2,0)</f>
        <v/>
      </c>
      <c r="J3108" s="20" t="n">
        <v>210101</v>
      </c>
      <c r="L3108" s="20">
        <f>VLOOKUP($O3108,매칭테이블!$G:$J,2,0)*H3108</f>
        <v/>
      </c>
      <c r="M3108" s="20">
        <f>L3108-L3108*VLOOKUP($O3108,매칭테이블!$G:$J,3,0)</f>
        <v/>
      </c>
      <c r="N3108" s="20">
        <f>VLOOKUP($O3108,매칭테이블!$G:$J,4,0)*H3108</f>
        <v/>
      </c>
      <c r="O3108" s="20">
        <f>F3108&amp;E3108&amp;G3108&amp;J3108</f>
        <v/>
      </c>
    </row>
    <row r="3109" ht="16.5" customHeight="1" s="17">
      <c r="B3109" s="16" t="n">
        <v>44228</v>
      </c>
      <c r="C3109" s="20">
        <f>TEXT(B3109,"aaa")</f>
        <v/>
      </c>
      <c r="E3109" s="20">
        <f>INDEX(매칭테이블!C:C,MATCH(RD!G3109,매칭테이블!D:D,0))</f>
        <v/>
      </c>
      <c r="F3109" s="20" t="inlineStr">
        <is>
          <t>카페24</t>
        </is>
      </c>
      <c r="G3109" s="20" t="inlineStr">
        <is>
          <t>솔리드퍼퓸 세트향=이그나이트 001 SOLID PERFUME, 세트 선택=1개</t>
        </is>
      </c>
      <c r="H3109" s="20" t="n">
        <v>3</v>
      </c>
      <c r="I3109" s="20">
        <f>VLOOKUP(G3109,매칭테이블!D:E,2,0)</f>
        <v/>
      </c>
      <c r="J3109" s="20" t="n">
        <v>210101</v>
      </c>
      <c r="L3109" s="20">
        <f>VLOOKUP($O3109,매칭테이블!$G:$J,2,0)*H3109</f>
        <v/>
      </c>
      <c r="M3109" s="20">
        <f>L3109-L3109*VLOOKUP($O3109,매칭테이블!$G:$J,3,0)</f>
        <v/>
      </c>
      <c r="N3109" s="20">
        <f>VLOOKUP($O3109,매칭테이블!$G:$J,4,0)*H3109</f>
        <v/>
      </c>
      <c r="O3109" s="20">
        <f>F3109&amp;E3109&amp;G3109&amp;J3109</f>
        <v/>
      </c>
    </row>
    <row r="3110" ht="16.5" customHeight="1" s="17">
      <c r="B3110" s="16" t="n">
        <v>44228</v>
      </c>
      <c r="C3110" s="20">
        <f>TEXT(B3110,"aaa")</f>
        <v/>
      </c>
      <c r="E3110" s="20">
        <f>INDEX(매칭테이블!C:C,MATCH(RD!G3110,매칭테이블!D:D,0))</f>
        <v/>
      </c>
      <c r="F3110" s="20" t="inlineStr">
        <is>
          <t>카페24</t>
        </is>
      </c>
      <c r="G3110" s="20" t="inlineStr">
        <is>
          <t>솔리드퍼퓸 세트향=이그나이트 001 SOLID PERFUME, 세트 선택=best 2개 (28% 할인)</t>
        </is>
      </c>
      <c r="H3110" s="20" t="n">
        <v>1</v>
      </c>
      <c r="I3110" s="20">
        <f>VLOOKUP(G3110,매칭테이블!D:E,2,0)</f>
        <v/>
      </c>
      <c r="J3110" s="20" t="n">
        <v>210101</v>
      </c>
      <c r="L3110" s="20">
        <f>VLOOKUP($O3110,매칭테이블!$G:$J,2,0)*H3110</f>
        <v/>
      </c>
      <c r="M3110" s="20">
        <f>L3110-L3110*VLOOKUP($O3110,매칭테이블!$G:$J,3,0)</f>
        <v/>
      </c>
      <c r="N3110" s="20">
        <f>VLOOKUP($O3110,매칭테이블!$G:$J,4,0)*H3110</f>
        <v/>
      </c>
      <c r="O3110" s="20">
        <f>F3110&amp;E3110&amp;G3110&amp;J3110</f>
        <v/>
      </c>
    </row>
    <row r="3111" ht="16.5" customHeight="1" s="17">
      <c r="B3111" s="16" t="n">
        <v>44228</v>
      </c>
      <c r="C3111" s="20">
        <f>TEXT(B3111,"aaa")</f>
        <v/>
      </c>
      <c r="E3111" s="20">
        <f>INDEX(매칭테이블!C:C,MATCH(RD!G3111,매칭테이블!D:D,0))</f>
        <v/>
      </c>
      <c r="F3111" s="20" t="inlineStr">
        <is>
          <t>카페24</t>
        </is>
      </c>
      <c r="G3111" s="20" t="inlineStr">
        <is>
          <t>솔리드퍼퓸 세트향=스테이포에버 002 SOLID PERFUME, 세트 선택=1개</t>
        </is>
      </c>
      <c r="H3111" s="20" t="n">
        <v>12</v>
      </c>
      <c r="I3111" s="20">
        <f>VLOOKUP(G3111,매칭테이블!D:E,2,0)</f>
        <v/>
      </c>
      <c r="J3111" s="20" t="n">
        <v>210101</v>
      </c>
      <c r="L3111" s="20">
        <f>VLOOKUP($O3111,매칭테이블!$G:$J,2,0)*H3111</f>
        <v/>
      </c>
      <c r="M3111" s="20">
        <f>L3111-L3111*VLOOKUP($O3111,매칭테이블!$G:$J,3,0)</f>
        <v/>
      </c>
      <c r="N3111" s="20">
        <f>VLOOKUP($O3111,매칭테이블!$G:$J,4,0)*H3111</f>
        <v/>
      </c>
      <c r="O3111" s="20">
        <f>F3111&amp;E3111&amp;G3111&amp;J3111</f>
        <v/>
      </c>
    </row>
    <row r="3112" ht="16.5" customHeight="1" s="17">
      <c r="B3112" s="16" t="n">
        <v>44228</v>
      </c>
      <c r="C3112" s="20">
        <f>TEXT(B3112,"aaa")</f>
        <v/>
      </c>
      <c r="E3112" s="20">
        <f>INDEX(매칭테이블!C:C,MATCH(RD!G3112,매칭테이블!D:D,0))</f>
        <v/>
      </c>
      <c r="F3112" s="20" t="inlineStr">
        <is>
          <t>카페24</t>
        </is>
      </c>
      <c r="G3112" s="20" t="inlineStr">
        <is>
          <t>솔리드퍼퓸 세트향=스테이포에버 002 SOLID PERFUME, 세트 선택=best 2개 (28% 할인)</t>
        </is>
      </c>
      <c r="H3112" s="20" t="n">
        <v>4</v>
      </c>
      <c r="I3112" s="20">
        <f>VLOOKUP(G3112,매칭테이블!D:E,2,0)</f>
        <v/>
      </c>
      <c r="J3112" s="20" t="n">
        <v>210101</v>
      </c>
      <c r="L3112" s="20">
        <f>VLOOKUP($O3112,매칭테이블!$G:$J,2,0)*H3112</f>
        <v/>
      </c>
      <c r="M3112" s="20">
        <f>L3112-L3112*VLOOKUP($O3112,매칭테이블!$G:$J,3,0)</f>
        <v/>
      </c>
      <c r="N3112" s="20">
        <f>VLOOKUP($O3112,매칭테이블!$G:$J,4,0)*H3112</f>
        <v/>
      </c>
      <c r="O3112" s="20">
        <f>F3112&amp;E3112&amp;G3112&amp;J3112</f>
        <v/>
      </c>
    </row>
    <row r="3113" ht="16.5" customHeight="1" s="17">
      <c r="B3113" s="16" t="n">
        <v>44228</v>
      </c>
      <c r="C3113" s="20">
        <f>TEXT(B3113,"aaa")</f>
        <v/>
      </c>
      <c r="E3113" s="20">
        <f>INDEX(매칭테이블!C:C,MATCH(RD!G3113,매칭테이블!D:D,0))</f>
        <v/>
      </c>
      <c r="F3113" s="20" t="inlineStr">
        <is>
          <t>카페24</t>
        </is>
      </c>
      <c r="G3113" s="20" t="inlineStr">
        <is>
          <t>솔리드퍼퓸 세트향=커플세트(이그나이트 + 스테이포에버), 세트 선택=1 SET</t>
        </is>
      </c>
      <c r="H3113" s="20" t="n">
        <v>9</v>
      </c>
      <c r="I3113" s="20">
        <f>VLOOKUP(G3113,매칭테이블!D:E,2,0)</f>
        <v/>
      </c>
      <c r="J3113" s="20" t="n">
        <v>210101</v>
      </c>
      <c r="L3113" s="20">
        <f>VLOOKUP($O3113,매칭테이블!$G:$J,2,0)*H3113</f>
        <v/>
      </c>
      <c r="M3113" s="20">
        <f>L3113-L3113*VLOOKUP($O3113,매칭테이블!$G:$J,3,0)</f>
        <v/>
      </c>
      <c r="N3113" s="20">
        <f>VLOOKUP($O3113,매칭테이블!$G:$J,4,0)*H3113</f>
        <v/>
      </c>
      <c r="O3113" s="20">
        <f>F3113&amp;E3113&amp;G3113&amp;J3113</f>
        <v/>
      </c>
    </row>
    <row r="3114" ht="16.5" customHeight="1" s="17">
      <c r="B3114" s="16" t="n">
        <v>44228</v>
      </c>
      <c r="C3114" s="20">
        <f>TEXT(B3114,"aaa")</f>
        <v/>
      </c>
      <c r="E3114" s="20">
        <f>INDEX(매칭테이블!C:C,MATCH(RD!G3114,매칭테이블!D:D,0))</f>
        <v/>
      </c>
      <c r="F3114" s="20" t="inlineStr">
        <is>
          <t>카페24</t>
        </is>
      </c>
      <c r="G3114" s="20" t="inlineStr">
        <is>
          <t>솔리드퍼퓸 세트향=커플세트(이그나이트 + 스테이포에버), 세트 선택=2 SET (42% 할인)</t>
        </is>
      </c>
      <c r="H3114" s="20" t="n">
        <v>1</v>
      </c>
      <c r="I3114" s="20">
        <f>VLOOKUP(G3114,매칭테이블!D:E,2,0)</f>
        <v/>
      </c>
      <c r="J3114" s="20" t="n">
        <v>210101</v>
      </c>
      <c r="L3114" s="20">
        <f>VLOOKUP($O3114,매칭테이블!$G:$J,2,0)*H3114</f>
        <v/>
      </c>
      <c r="M3114" s="20">
        <f>L3114-L3114*VLOOKUP($O3114,매칭테이블!$G:$J,3,0)</f>
        <v/>
      </c>
      <c r="N3114" s="20">
        <f>VLOOKUP($O3114,매칭테이블!$G:$J,4,0)*H3114</f>
        <v/>
      </c>
      <c r="O3114" s="20">
        <f>F3114&amp;E3114&amp;G3114&amp;J3114</f>
        <v/>
      </c>
    </row>
    <row r="3115" ht="16.5" customHeight="1" s="17">
      <c r="B3115" s="16" t="n">
        <v>44228</v>
      </c>
      <c r="C3115" s="20">
        <f>TEXT(B3115,"aaa")</f>
        <v/>
      </c>
      <c r="E3115" s="20">
        <f>INDEX(매칭테이블!C:C,MATCH(RD!G3115,매칭테이블!D:D,0))</f>
        <v/>
      </c>
      <c r="F3115" s="20" t="inlineStr">
        <is>
          <t>카페24</t>
        </is>
      </c>
      <c r="G3115" s="20" t="inlineStr">
        <is>
          <t>솔리드퍼퓸 스테이포에버 002제품선택=스테이포에버 1개</t>
        </is>
      </c>
      <c r="H3115" s="20" t="n">
        <v>291</v>
      </c>
      <c r="I3115" s="20">
        <f>VLOOKUP(G3115,매칭테이블!D:E,2,0)</f>
        <v/>
      </c>
      <c r="J3115" s="20" t="n">
        <v>210101</v>
      </c>
      <c r="L3115" s="20">
        <f>VLOOKUP($O3115,매칭테이블!$G:$J,2,0)*H3115</f>
        <v/>
      </c>
      <c r="M3115" s="20">
        <f>L3115-L3115*VLOOKUP($O3115,매칭테이블!$G:$J,3,0)</f>
        <v/>
      </c>
      <c r="N3115" s="20">
        <f>VLOOKUP($O3115,매칭테이블!$G:$J,4,0)*H3115</f>
        <v/>
      </c>
      <c r="O3115" s="20">
        <f>F3115&amp;E3115&amp;G3115&amp;J3115</f>
        <v/>
      </c>
    </row>
    <row r="3116" ht="16.5" customHeight="1" s="17">
      <c r="B3116" s="16" t="n">
        <v>44228</v>
      </c>
      <c r="C3116" s="20">
        <f>TEXT(B3116,"aaa")</f>
        <v/>
      </c>
      <c r="E3116" s="20">
        <f>INDEX(매칭테이블!C:C,MATCH(RD!G3116,매칭테이블!D:D,0))</f>
        <v/>
      </c>
      <c r="F3116" s="20" t="inlineStr">
        <is>
          <t>카페24</t>
        </is>
      </c>
      <c r="G3116" s="20" t="inlineStr">
        <is>
          <t>솔리드퍼퓸 스테이포에버 002제품선택=best스테이포에버 2개[28% 할인]</t>
        </is>
      </c>
      <c r="H3116" s="20" t="n">
        <v>123</v>
      </c>
      <c r="I3116" s="20">
        <f>VLOOKUP(G3116,매칭테이블!D:E,2,0)</f>
        <v/>
      </c>
      <c r="J3116" s="20" t="n">
        <v>210101</v>
      </c>
      <c r="L3116" s="20">
        <f>VLOOKUP($O3116,매칭테이블!$G:$J,2,0)*H3116</f>
        <v/>
      </c>
      <c r="M3116" s="20">
        <f>L3116-L3116*VLOOKUP($O3116,매칭테이블!$G:$J,3,0)</f>
        <v/>
      </c>
      <c r="N3116" s="20">
        <f>VLOOKUP($O3116,매칭테이블!$G:$J,4,0)*H3116</f>
        <v/>
      </c>
      <c r="O3116" s="20">
        <f>F3116&amp;E3116&amp;G3116&amp;J3116</f>
        <v/>
      </c>
    </row>
    <row r="3117" ht="16.5" customHeight="1" s="17">
      <c r="B3117" s="16" t="n">
        <v>44228</v>
      </c>
      <c r="C3117" s="20">
        <f>TEXT(B3117,"aaa")</f>
        <v/>
      </c>
      <c r="E3117" s="20">
        <f>INDEX(매칭테이블!C:C,MATCH(RD!G3117,매칭테이블!D:D,0))</f>
        <v/>
      </c>
      <c r="F3117" s="20" t="inlineStr">
        <is>
          <t>카페24</t>
        </is>
      </c>
      <c r="G3117" s="20" t="inlineStr">
        <is>
          <t>솔리드퍼퓸 스테이포에버 002제품선택=커플추천스테이포에버 + 이그나이트 세트</t>
        </is>
      </c>
      <c r="H3117" s="20" t="n">
        <v>14</v>
      </c>
      <c r="I3117" s="20">
        <f>VLOOKUP(G3117,매칭테이블!D:E,2,0)</f>
        <v/>
      </c>
      <c r="J3117" s="20" t="n">
        <v>210101</v>
      </c>
      <c r="L3117" s="20">
        <f>VLOOKUP($O3117,매칭테이블!$G:$J,2,0)*H3117</f>
        <v/>
      </c>
      <c r="M3117" s="20">
        <f>L3117-L3117*VLOOKUP($O3117,매칭테이블!$G:$J,3,0)</f>
        <v/>
      </c>
      <c r="N3117" s="20">
        <f>VLOOKUP($O3117,매칭테이블!$G:$J,4,0)*H3117</f>
        <v/>
      </c>
      <c r="O3117" s="20">
        <f>F3117&amp;E3117&amp;G3117&amp;J3117</f>
        <v/>
      </c>
    </row>
    <row r="3118" ht="16.5" customHeight="1" s="17">
      <c r="B3118" s="16" t="n">
        <v>44228</v>
      </c>
      <c r="C3118" s="20">
        <f>TEXT(B3118,"aaa")</f>
        <v/>
      </c>
      <c r="E3118" s="20">
        <f>INDEX(매칭테이블!C:C,MATCH(RD!G3118,매칭테이블!D:D,0))</f>
        <v/>
      </c>
      <c r="F3118" s="20" t="inlineStr">
        <is>
          <t>카페24</t>
        </is>
      </c>
      <c r="G3118" s="20" t="inlineStr">
        <is>
          <t>솔리드퍼퓸 스테이포에버 002쇼핑백=선물용 쇼핑백</t>
        </is>
      </c>
      <c r="H3118" s="20" t="n">
        <v>7</v>
      </c>
      <c r="I3118" s="20">
        <f>VLOOKUP(G3118,매칭테이블!D:E,2,0)</f>
        <v/>
      </c>
      <c r="J3118" s="20" t="n">
        <v>210101</v>
      </c>
      <c r="L3118" s="20">
        <f>VLOOKUP($O3118,매칭테이블!$G:$J,2,0)*H3118</f>
        <v/>
      </c>
      <c r="M3118" s="20">
        <f>L3118-L3118*VLOOKUP($O3118,매칭테이블!$G:$J,3,0)</f>
        <v/>
      </c>
      <c r="N3118" s="20">
        <f>VLOOKUP($O3118,매칭테이블!$G:$J,4,0)*H3118</f>
        <v/>
      </c>
      <c r="O3118" s="20">
        <f>F3118&amp;E3118&amp;G3118&amp;J3118</f>
        <v/>
      </c>
    </row>
    <row r="3119" ht="16.5" customHeight="1" s="17">
      <c r="B3119" s="16" t="n">
        <v>44228</v>
      </c>
      <c r="C3119" s="20">
        <f>TEXT(B3119,"aaa")</f>
        <v/>
      </c>
      <c r="E3119" s="20">
        <f>INDEX(매칭테이블!C:C,MATCH(RD!G3119,매칭테이블!D:D,0))</f>
        <v/>
      </c>
      <c r="F3119" s="20" t="inlineStr">
        <is>
          <t>카페24</t>
        </is>
      </c>
      <c r="G3119" s="20" t="inlineStr">
        <is>
          <t>솔리드퍼퓸 스테이포에버 002 30ml</t>
        </is>
      </c>
      <c r="H3119" s="20" t="n">
        <v>2</v>
      </c>
      <c r="I3119" s="20">
        <f>VLOOKUP(G3119,매칭테이블!D:E,2,0)</f>
        <v/>
      </c>
      <c r="J3119" s="20" t="n">
        <v>210101</v>
      </c>
      <c r="L3119" s="20">
        <f>VLOOKUP($O3119,매칭테이블!$G:$J,2,0)*H3119</f>
        <v/>
      </c>
      <c r="M3119" s="20">
        <f>L3119-L3119*VLOOKUP($O3119,매칭테이블!$G:$J,3,0)</f>
        <v/>
      </c>
      <c r="N3119" s="20">
        <f>VLOOKUP($O3119,매칭테이블!$G:$J,4,0)*H3119</f>
        <v/>
      </c>
      <c r="O3119" s="20">
        <f>F3119&amp;E3119&amp;G3119&amp;J3119</f>
        <v/>
      </c>
    </row>
    <row r="3120" ht="16.5" customHeight="1" s="17">
      <c r="B3120" s="16" t="n">
        <v>44228</v>
      </c>
      <c r="C3120" s="20">
        <f>TEXT(B3120,"aaa")</f>
        <v/>
      </c>
      <c r="E3120" s="20">
        <f>INDEX(매칭테이블!C:C,MATCH(RD!G3120,매칭테이블!D:D,0))</f>
        <v/>
      </c>
      <c r="F3120" s="20" t="inlineStr">
        <is>
          <t>카페24</t>
        </is>
      </c>
      <c r="G3120" s="20" t="inlineStr">
        <is>
          <t>솔리드퍼퓸 이그나이트 001제품선택=이그나이트 솔리드퍼퓸 - 30ml</t>
        </is>
      </c>
      <c r="H3120" s="20" t="n">
        <v>2</v>
      </c>
      <c r="I3120" s="20">
        <f>VLOOKUP(G3120,매칭테이블!D:E,2,0)</f>
        <v/>
      </c>
      <c r="J3120" s="20" t="n">
        <v>210101</v>
      </c>
      <c r="L3120" s="20">
        <f>VLOOKUP($O3120,매칭테이블!$G:$J,2,0)*H3120</f>
        <v/>
      </c>
      <c r="M3120" s="20">
        <f>L3120-L3120*VLOOKUP($O3120,매칭테이블!$G:$J,3,0)</f>
        <v/>
      </c>
      <c r="N3120" s="20">
        <f>VLOOKUP($O3120,매칭테이블!$G:$J,4,0)*H3120</f>
        <v/>
      </c>
      <c r="O3120" s="20">
        <f>F3120&amp;E3120&amp;G3120&amp;J3120</f>
        <v/>
      </c>
    </row>
    <row r="3121" ht="16.5" customHeight="1" s="17">
      <c r="B3121" s="16" t="n">
        <v>44228</v>
      </c>
      <c r="C3121" s="20">
        <f>TEXT(B3121,"aaa")</f>
        <v/>
      </c>
      <c r="E3121" s="20">
        <f>INDEX(매칭테이블!C:C,MATCH(RD!G3121,매칭테이블!D:D,0))</f>
        <v/>
      </c>
      <c r="F3121" s="20" t="inlineStr">
        <is>
          <t>카페24</t>
        </is>
      </c>
      <c r="G3121" s="20" t="inlineStr">
        <is>
          <t>솔리드퍼퓸 이그나이트 001제품선택=이그나이트 2개 세트</t>
        </is>
      </c>
      <c r="H3121" s="20" t="n">
        <v>2</v>
      </c>
      <c r="I3121" s="20">
        <f>VLOOKUP(G3121,매칭테이블!D:E,2,0)</f>
        <v/>
      </c>
      <c r="J3121" s="20" t="n">
        <v>210101</v>
      </c>
      <c r="L3121" s="20">
        <f>VLOOKUP($O3121,매칭테이블!$G:$J,2,0)*H3121</f>
        <v/>
      </c>
      <c r="M3121" s="20">
        <f>L3121-L3121*VLOOKUP($O3121,매칭테이블!$G:$J,3,0)</f>
        <v/>
      </c>
      <c r="N3121" s="20">
        <f>VLOOKUP($O3121,매칭테이블!$G:$J,4,0)*H3121</f>
        <v/>
      </c>
      <c r="O3121" s="20">
        <f>F3121&amp;E3121&amp;G3121&amp;J3121</f>
        <v/>
      </c>
    </row>
    <row r="3122" ht="16.5" customHeight="1" s="17">
      <c r="B3122" s="16" t="n">
        <v>44228</v>
      </c>
      <c r="C3122" s="20">
        <f>TEXT(B3122,"aaa")</f>
        <v/>
      </c>
      <c r="E3122" s="20">
        <f>INDEX(매칭테이블!C:C,MATCH(RD!G3122,매칭테이블!D:D,0))</f>
        <v/>
      </c>
      <c r="F3122" s="20" t="inlineStr">
        <is>
          <t>카페24</t>
        </is>
      </c>
      <c r="G3122" s="20" t="inlineStr">
        <is>
          <t>솔리드퍼퓸 이그나이트 001 30ml</t>
        </is>
      </c>
      <c r="H3122" s="20" t="n">
        <v>1</v>
      </c>
      <c r="I3122" s="20">
        <f>VLOOKUP(G3122,매칭테이블!D:E,2,0)</f>
        <v/>
      </c>
      <c r="J3122" s="20" t="n">
        <v>210101</v>
      </c>
      <c r="L3122" s="20">
        <f>VLOOKUP($O3122,매칭테이블!$G:$J,2,0)*H3122</f>
        <v/>
      </c>
      <c r="M3122" s="20">
        <f>L3122-L3122*VLOOKUP($O3122,매칭테이블!$G:$J,3,0)</f>
        <v/>
      </c>
      <c r="N3122" s="20">
        <f>VLOOKUP($O3122,매칭테이블!$G:$J,4,0)*H3122</f>
        <v/>
      </c>
      <c r="O3122" s="20">
        <f>F3122&amp;E3122&amp;G3122&amp;J3122</f>
        <v/>
      </c>
    </row>
    <row r="3123" ht="16.5" customHeight="1" s="17">
      <c r="B3123" s="16" t="n">
        <v>44228</v>
      </c>
      <c r="C3123" s="20">
        <f>TEXT(B3123,"aaa")</f>
        <v/>
      </c>
      <c r="E3123" s="20">
        <f>INDEX(매칭테이블!C:C,MATCH(RD!G3123,매칭테이블!D:D,0))</f>
        <v/>
      </c>
      <c r="F3123" s="20" t="inlineStr">
        <is>
          <t>카페24</t>
        </is>
      </c>
      <c r="G3123" s="20" t="inlineStr">
        <is>
          <t>유즈 솔리드퍼퓸 - 스테이포에버 002제품선택=스테이포에버 1개</t>
        </is>
      </c>
      <c r="H3123" s="20" t="n">
        <v>1</v>
      </c>
      <c r="I3123" s="20">
        <f>VLOOKUP(G3123,매칭테이블!D:E,2,0)</f>
        <v/>
      </c>
      <c r="J3123" s="20" t="n">
        <v>210101</v>
      </c>
      <c r="L3123" s="20">
        <f>VLOOKUP($O3123,매칭테이블!$G:$J,2,0)*H3123</f>
        <v/>
      </c>
      <c r="M3123" s="20">
        <f>L3123-L3123*VLOOKUP($O3123,매칭테이블!$G:$J,3,0)</f>
        <v/>
      </c>
      <c r="N3123" s="20">
        <f>VLOOKUP($O3123,매칭테이블!$G:$J,4,0)*H3123</f>
        <v/>
      </c>
      <c r="O3123" s="20">
        <f>F3123&amp;E3123&amp;G3123&amp;J3123</f>
        <v/>
      </c>
    </row>
    <row r="3124" ht="16.5" customHeight="1" s="17">
      <c r="B3124" s="16" t="n">
        <v>44229</v>
      </c>
      <c r="C3124" s="20">
        <f>TEXT(B3124,"aaa")</f>
        <v/>
      </c>
      <c r="E3124" s="20">
        <f>INDEX(매칭테이블!C:C,MATCH(RD!G3124,매칭테이블!D:D,0))</f>
        <v/>
      </c>
      <c r="F3124" s="20" t="inlineStr">
        <is>
          <t>유즈 CS</t>
        </is>
      </c>
      <c r="G3124" s="20" t="inlineStr">
        <is>
          <t>솔리드퍼퓸 스테이포에버 002 30ml_CS</t>
        </is>
      </c>
      <c r="H3124" s="20" t="n">
        <v>1</v>
      </c>
      <c r="I3124" s="20">
        <f>VLOOKUP(G3124,매칭테이블!D:E,2,0)</f>
        <v/>
      </c>
      <c r="J3124" s="20" t="n">
        <v>210101</v>
      </c>
      <c r="L3124" s="20">
        <f>VLOOKUP($O3124,매칭테이블!$G:$J,2,0)*H3124</f>
        <v/>
      </c>
      <c r="M3124" s="20">
        <f>L3124-L3124*VLOOKUP($O3124,매칭테이블!$G:$J,3,0)</f>
        <v/>
      </c>
      <c r="N3124" s="20">
        <f>VLOOKUP($O3124,매칭테이블!$G:$J,4,0)*H3124</f>
        <v/>
      </c>
      <c r="O3124" s="20">
        <f>F3124&amp;E3124&amp;G3124&amp;J3124</f>
        <v/>
      </c>
    </row>
    <row r="3125" ht="16.5" customHeight="1" s="17">
      <c r="B3125" s="16" t="n">
        <v>44229</v>
      </c>
      <c r="C3125" s="20">
        <f>TEXT(B3125,"aaa")</f>
        <v/>
      </c>
      <c r="E3125" s="20">
        <f>INDEX(매칭테이블!C:C,MATCH(RD!G3125,매칭테이블!D:D,0))</f>
        <v/>
      </c>
      <c r="F3125" s="20" t="inlineStr">
        <is>
          <t>카페24</t>
        </is>
      </c>
      <c r="G3125" s="20" t="inlineStr">
        <is>
          <t>선물용 쇼핑백</t>
        </is>
      </c>
      <c r="H3125" s="20" t="n">
        <v>1</v>
      </c>
      <c r="I3125" s="20">
        <f>VLOOKUP(G3125,매칭테이블!D:E,2,0)</f>
        <v/>
      </c>
      <c r="J3125" s="20" t="n">
        <v>210101</v>
      </c>
      <c r="L3125" s="20">
        <f>VLOOKUP($O3125,매칭테이블!$G:$J,2,0)*H3125</f>
        <v/>
      </c>
      <c r="M3125" s="20">
        <f>L3125-L3125*VLOOKUP($O3125,매칭테이블!$G:$J,3,0)</f>
        <v/>
      </c>
      <c r="N3125" s="20">
        <f>VLOOKUP($O3125,매칭테이블!$G:$J,4,0)*H3125</f>
        <v/>
      </c>
      <c r="O3125" s="20">
        <f>F3125&amp;E3125&amp;G3125&amp;J3125</f>
        <v/>
      </c>
    </row>
    <row r="3126" ht="16.5" customHeight="1" s="17">
      <c r="B3126" s="16" t="n">
        <v>44229</v>
      </c>
      <c r="C3126" s="20">
        <f>TEXT(B3126,"aaa")</f>
        <v/>
      </c>
      <c r="E3126" s="20">
        <f>INDEX(매칭테이블!C:C,MATCH(RD!G3126,매칭테이블!D:D,0))</f>
        <v/>
      </c>
      <c r="F3126" s="20" t="inlineStr">
        <is>
          <t>카페24</t>
        </is>
      </c>
      <c r="G3126" s="20" t="inlineStr">
        <is>
          <t>솔리드퍼퓸 세트향=이그나이트 001 SOLID PERFUME, 세트 선택=1개</t>
        </is>
      </c>
      <c r="H3126" s="20" t="n">
        <v>4</v>
      </c>
      <c r="I3126" s="20">
        <f>VLOOKUP(G3126,매칭테이블!D:E,2,0)</f>
        <v/>
      </c>
      <c r="J3126" s="20" t="n">
        <v>210101</v>
      </c>
      <c r="L3126" s="20">
        <f>VLOOKUP($O3126,매칭테이블!$G:$J,2,0)*H3126</f>
        <v/>
      </c>
      <c r="M3126" s="20">
        <f>L3126-L3126*VLOOKUP($O3126,매칭테이블!$G:$J,3,0)</f>
        <v/>
      </c>
      <c r="N3126" s="20">
        <f>VLOOKUP($O3126,매칭테이블!$G:$J,4,0)*H3126</f>
        <v/>
      </c>
      <c r="O3126" s="20">
        <f>F3126&amp;E3126&amp;G3126&amp;J3126</f>
        <v/>
      </c>
    </row>
    <row r="3127" ht="16.5" customHeight="1" s="17">
      <c r="B3127" s="16" t="n">
        <v>44229</v>
      </c>
      <c r="C3127" s="20">
        <f>TEXT(B3127,"aaa")</f>
        <v/>
      </c>
      <c r="E3127" s="20">
        <f>INDEX(매칭테이블!C:C,MATCH(RD!G3127,매칭테이블!D:D,0))</f>
        <v/>
      </c>
      <c r="F3127" s="20" t="inlineStr">
        <is>
          <t>카페24</t>
        </is>
      </c>
      <c r="G3127" s="20" t="inlineStr">
        <is>
          <t>솔리드퍼퓸 세트향=스테이포에버 002 SOLID PERFUME, 세트 선택=1개</t>
        </is>
      </c>
      <c r="H3127" s="20" t="n">
        <v>11</v>
      </c>
      <c r="I3127" s="20">
        <f>VLOOKUP(G3127,매칭테이블!D:E,2,0)</f>
        <v/>
      </c>
      <c r="J3127" s="20" t="n">
        <v>210101</v>
      </c>
      <c r="L3127" s="20">
        <f>VLOOKUP($O3127,매칭테이블!$G:$J,2,0)*H3127</f>
        <v/>
      </c>
      <c r="M3127" s="20">
        <f>L3127-L3127*VLOOKUP($O3127,매칭테이블!$G:$J,3,0)</f>
        <v/>
      </c>
      <c r="N3127" s="20">
        <f>VLOOKUP($O3127,매칭테이블!$G:$J,4,0)*H3127</f>
        <v/>
      </c>
      <c r="O3127" s="20">
        <f>F3127&amp;E3127&amp;G3127&amp;J3127</f>
        <v/>
      </c>
    </row>
    <row r="3128" ht="16.5" customHeight="1" s="17">
      <c r="B3128" s="16" t="n">
        <v>44229</v>
      </c>
      <c r="C3128" s="20">
        <f>TEXT(B3128,"aaa")</f>
        <v/>
      </c>
      <c r="E3128" s="20">
        <f>INDEX(매칭테이블!C:C,MATCH(RD!G3128,매칭테이블!D:D,0))</f>
        <v/>
      </c>
      <c r="F3128" s="20" t="inlineStr">
        <is>
          <t>카페24</t>
        </is>
      </c>
      <c r="G3128" s="20" t="inlineStr">
        <is>
          <t>솔리드퍼퓸 세트향=스테이포에버 002 SOLID PERFUME, 세트 선택=best 2개 (28% 할인)</t>
        </is>
      </c>
      <c r="H3128" s="20" t="n">
        <v>9</v>
      </c>
      <c r="I3128" s="20">
        <f>VLOOKUP(G3128,매칭테이블!D:E,2,0)</f>
        <v/>
      </c>
      <c r="J3128" s="20" t="n">
        <v>210101</v>
      </c>
      <c r="L3128" s="20">
        <f>VLOOKUP($O3128,매칭테이블!$G:$J,2,0)*H3128</f>
        <v/>
      </c>
      <c r="M3128" s="20">
        <f>L3128-L3128*VLOOKUP($O3128,매칭테이블!$G:$J,3,0)</f>
        <v/>
      </c>
      <c r="N3128" s="20">
        <f>VLOOKUP($O3128,매칭테이블!$G:$J,4,0)*H3128</f>
        <v/>
      </c>
      <c r="O3128" s="20">
        <f>F3128&amp;E3128&amp;G3128&amp;J3128</f>
        <v/>
      </c>
    </row>
    <row r="3129" ht="16.5" customHeight="1" s="17">
      <c r="B3129" s="16" t="n">
        <v>44229</v>
      </c>
      <c r="C3129" s="20">
        <f>TEXT(B3129,"aaa")</f>
        <v/>
      </c>
      <c r="E3129" s="20">
        <f>INDEX(매칭테이블!C:C,MATCH(RD!G3129,매칭테이블!D:D,0))</f>
        <v/>
      </c>
      <c r="F3129" s="20" t="inlineStr">
        <is>
          <t>카페24</t>
        </is>
      </c>
      <c r="G3129" s="20" t="inlineStr">
        <is>
          <t>솔리드퍼퓸 세트향=커플세트(이그나이트 + 스테이포에버), 세트 선택=1 SET</t>
        </is>
      </c>
      <c r="H3129" s="20" t="n">
        <v>5</v>
      </c>
      <c r="I3129" s="20">
        <f>VLOOKUP(G3129,매칭테이블!D:E,2,0)</f>
        <v/>
      </c>
      <c r="J3129" s="20" t="n">
        <v>210101</v>
      </c>
      <c r="L3129" s="20">
        <f>VLOOKUP($O3129,매칭테이블!$G:$J,2,0)*H3129</f>
        <v/>
      </c>
      <c r="M3129" s="20">
        <f>L3129-L3129*VLOOKUP($O3129,매칭테이블!$G:$J,3,0)</f>
        <v/>
      </c>
      <c r="N3129" s="20">
        <f>VLOOKUP($O3129,매칭테이블!$G:$J,4,0)*H3129</f>
        <v/>
      </c>
      <c r="O3129" s="20">
        <f>F3129&amp;E3129&amp;G3129&amp;J3129</f>
        <v/>
      </c>
    </row>
    <row r="3130" ht="16.5" customHeight="1" s="17">
      <c r="B3130" s="16" t="n">
        <v>44229</v>
      </c>
      <c r="C3130" s="20">
        <f>TEXT(B3130,"aaa")</f>
        <v/>
      </c>
      <c r="E3130" s="20">
        <f>INDEX(매칭테이블!C:C,MATCH(RD!G3130,매칭테이블!D:D,0))</f>
        <v/>
      </c>
      <c r="F3130" s="20" t="inlineStr">
        <is>
          <t>카페24</t>
        </is>
      </c>
      <c r="G3130" s="20" t="inlineStr">
        <is>
          <t>솔리드퍼퓸 세트향=커플세트(이그나이트 + 스테이포에버), 세트 선택=2 SET (42% 할인)</t>
        </is>
      </c>
      <c r="H3130" s="20" t="n">
        <v>1</v>
      </c>
      <c r="I3130" s="20">
        <f>VLOOKUP(G3130,매칭테이블!D:E,2,0)</f>
        <v/>
      </c>
      <c r="J3130" s="20" t="n">
        <v>210101</v>
      </c>
      <c r="L3130" s="20">
        <f>VLOOKUP($O3130,매칭테이블!$G:$J,2,0)*H3130</f>
        <v/>
      </c>
      <c r="M3130" s="20">
        <f>L3130-L3130*VLOOKUP($O3130,매칭테이블!$G:$J,3,0)</f>
        <v/>
      </c>
      <c r="N3130" s="20">
        <f>VLOOKUP($O3130,매칭테이블!$G:$J,4,0)*H3130</f>
        <v/>
      </c>
      <c r="O3130" s="20">
        <f>F3130&amp;E3130&amp;G3130&amp;J3130</f>
        <v/>
      </c>
    </row>
    <row r="3131" ht="16.5" customHeight="1" s="17">
      <c r="B3131" s="16" t="n">
        <v>44229</v>
      </c>
      <c r="C3131" s="20">
        <f>TEXT(B3131,"aaa")</f>
        <v/>
      </c>
      <c r="E3131" s="20">
        <f>INDEX(매칭테이블!C:C,MATCH(RD!G3131,매칭테이블!D:D,0))</f>
        <v/>
      </c>
      <c r="F3131" s="20" t="inlineStr">
        <is>
          <t>카페24</t>
        </is>
      </c>
      <c r="G3131" s="20" t="inlineStr">
        <is>
          <t>솔리드퍼퓸 스테이포에버 002제품선택=스테이포에버 1개</t>
        </is>
      </c>
      <c r="H3131" s="20" t="n">
        <v>279</v>
      </c>
      <c r="I3131" s="20">
        <f>VLOOKUP(G3131,매칭테이블!D:E,2,0)</f>
        <v/>
      </c>
      <c r="J3131" s="20" t="n">
        <v>210101</v>
      </c>
      <c r="L3131" s="20">
        <f>VLOOKUP($O3131,매칭테이블!$G:$J,2,0)*H3131</f>
        <v/>
      </c>
      <c r="M3131" s="20">
        <f>L3131-L3131*VLOOKUP($O3131,매칭테이블!$G:$J,3,0)</f>
        <v/>
      </c>
      <c r="N3131" s="20">
        <f>VLOOKUP($O3131,매칭테이블!$G:$J,4,0)*H3131</f>
        <v/>
      </c>
      <c r="O3131" s="20">
        <f>F3131&amp;E3131&amp;G3131&amp;J3131</f>
        <v/>
      </c>
    </row>
    <row r="3132" ht="16.5" customHeight="1" s="17">
      <c r="B3132" s="16" t="n">
        <v>44229</v>
      </c>
      <c r="C3132" s="20">
        <f>TEXT(B3132,"aaa")</f>
        <v/>
      </c>
      <c r="E3132" s="20">
        <f>INDEX(매칭테이블!C:C,MATCH(RD!G3132,매칭테이블!D:D,0))</f>
        <v/>
      </c>
      <c r="F3132" s="20" t="inlineStr">
        <is>
          <t>카페24</t>
        </is>
      </c>
      <c r="G3132" s="20" t="inlineStr">
        <is>
          <t>솔리드퍼퓸 스테이포에버 002제품선택=best스테이포에버 2개[28% 할인]</t>
        </is>
      </c>
      <c r="H3132" s="20" t="n">
        <v>118</v>
      </c>
      <c r="I3132" s="20">
        <f>VLOOKUP(G3132,매칭테이블!D:E,2,0)</f>
        <v/>
      </c>
      <c r="J3132" s="20" t="n">
        <v>210101</v>
      </c>
      <c r="L3132" s="20">
        <f>VLOOKUP($O3132,매칭테이블!$G:$J,2,0)*H3132</f>
        <v/>
      </c>
      <c r="M3132" s="20">
        <f>L3132-L3132*VLOOKUP($O3132,매칭테이블!$G:$J,3,0)</f>
        <v/>
      </c>
      <c r="N3132" s="20">
        <f>VLOOKUP($O3132,매칭테이블!$G:$J,4,0)*H3132</f>
        <v/>
      </c>
      <c r="O3132" s="20">
        <f>F3132&amp;E3132&amp;G3132&amp;J3132</f>
        <v/>
      </c>
    </row>
    <row r="3133" ht="16.5" customHeight="1" s="17">
      <c r="B3133" s="16" t="n">
        <v>44229</v>
      </c>
      <c r="C3133" s="20">
        <f>TEXT(B3133,"aaa")</f>
        <v/>
      </c>
      <c r="E3133" s="20">
        <f>INDEX(매칭테이블!C:C,MATCH(RD!G3133,매칭테이블!D:D,0))</f>
        <v/>
      </c>
      <c r="F3133" s="20" t="inlineStr">
        <is>
          <t>카페24</t>
        </is>
      </c>
      <c r="G3133" s="20" t="inlineStr">
        <is>
          <t>솔리드퍼퓸 스테이포에버 002제품선택=커플추천스테이포에버 + 이그나이트 세트</t>
        </is>
      </c>
      <c r="H3133" s="20" t="n">
        <v>8</v>
      </c>
      <c r="I3133" s="20">
        <f>VLOOKUP(G3133,매칭테이블!D:E,2,0)</f>
        <v/>
      </c>
      <c r="J3133" s="20" t="n">
        <v>210101</v>
      </c>
      <c r="L3133" s="20">
        <f>VLOOKUP($O3133,매칭테이블!$G:$J,2,0)*H3133</f>
        <v/>
      </c>
      <c r="M3133" s="20">
        <f>L3133-L3133*VLOOKUP($O3133,매칭테이블!$G:$J,3,0)</f>
        <v/>
      </c>
      <c r="N3133" s="20">
        <f>VLOOKUP($O3133,매칭테이블!$G:$J,4,0)*H3133</f>
        <v/>
      </c>
      <c r="O3133" s="20">
        <f>F3133&amp;E3133&amp;G3133&amp;J3133</f>
        <v/>
      </c>
    </row>
    <row r="3134" ht="16.5" customHeight="1" s="17">
      <c r="B3134" s="16" t="n">
        <v>44229</v>
      </c>
      <c r="C3134" s="20">
        <f>TEXT(B3134,"aaa")</f>
        <v/>
      </c>
      <c r="E3134" s="20">
        <f>INDEX(매칭테이블!C:C,MATCH(RD!G3134,매칭테이블!D:D,0))</f>
        <v/>
      </c>
      <c r="F3134" s="20" t="inlineStr">
        <is>
          <t>카페24</t>
        </is>
      </c>
      <c r="G3134" s="20" t="inlineStr">
        <is>
          <t>솔리드퍼퓸 스테이포에버 002쇼핑백=선물용 쇼핑백</t>
        </is>
      </c>
      <c r="H3134" s="20" t="n">
        <v>6</v>
      </c>
      <c r="I3134" s="20">
        <f>VLOOKUP(G3134,매칭테이블!D:E,2,0)</f>
        <v/>
      </c>
      <c r="J3134" s="20" t="n">
        <v>210101</v>
      </c>
      <c r="L3134" s="20">
        <f>VLOOKUP($O3134,매칭테이블!$G:$J,2,0)*H3134</f>
        <v/>
      </c>
      <c r="M3134" s="20">
        <f>L3134-L3134*VLOOKUP($O3134,매칭테이블!$G:$J,3,0)</f>
        <v/>
      </c>
      <c r="N3134" s="20">
        <f>VLOOKUP($O3134,매칭테이블!$G:$J,4,0)*H3134</f>
        <v/>
      </c>
      <c r="O3134" s="20">
        <f>F3134&amp;E3134&amp;G3134&amp;J3134</f>
        <v/>
      </c>
    </row>
    <row r="3135" ht="16.5" customHeight="1" s="17">
      <c r="B3135" s="16" t="n">
        <v>44229</v>
      </c>
      <c r="C3135" s="20">
        <f>TEXT(B3135,"aaa")</f>
        <v/>
      </c>
      <c r="E3135" s="20">
        <f>INDEX(매칭테이블!C:C,MATCH(RD!G3135,매칭테이블!D:D,0))</f>
        <v/>
      </c>
      <c r="F3135" s="20" t="inlineStr">
        <is>
          <t>카페24</t>
        </is>
      </c>
      <c r="G3135" s="20" t="inlineStr">
        <is>
          <t>솔리드퍼퓸 이그나이트 001제품선택=이그나이트 솔리드퍼퓸 - 30ml</t>
        </is>
      </c>
      <c r="H3135" s="20" t="n">
        <v>6</v>
      </c>
      <c r="I3135" s="20">
        <f>VLOOKUP(G3135,매칭테이블!D:E,2,0)</f>
        <v/>
      </c>
      <c r="J3135" s="20" t="n">
        <v>210101</v>
      </c>
      <c r="L3135" s="20">
        <f>VLOOKUP($O3135,매칭테이블!$G:$J,2,0)*H3135</f>
        <v/>
      </c>
      <c r="M3135" s="20">
        <f>L3135-L3135*VLOOKUP($O3135,매칭테이블!$G:$J,3,0)</f>
        <v/>
      </c>
      <c r="N3135" s="20">
        <f>VLOOKUP($O3135,매칭테이블!$G:$J,4,0)*H3135</f>
        <v/>
      </c>
      <c r="O3135" s="20">
        <f>F3135&amp;E3135&amp;G3135&amp;J3135</f>
        <v/>
      </c>
    </row>
    <row r="3136" ht="16.5" customHeight="1" s="17">
      <c r="B3136" s="16" t="n">
        <v>44229</v>
      </c>
      <c r="C3136" s="20">
        <f>TEXT(B3136,"aaa")</f>
        <v/>
      </c>
      <c r="E3136" s="20">
        <f>INDEX(매칭테이블!C:C,MATCH(RD!G3136,매칭테이블!D:D,0))</f>
        <v/>
      </c>
      <c r="F3136" s="20" t="inlineStr">
        <is>
          <t>카페24</t>
        </is>
      </c>
      <c r="G3136" s="20" t="inlineStr">
        <is>
          <t>솔리드퍼퓸 이그나이트 001제품선택=이그나이트 2개 세트</t>
        </is>
      </c>
      <c r="H3136" s="20" t="n">
        <v>2</v>
      </c>
      <c r="I3136" s="20">
        <f>VLOOKUP(G3136,매칭테이블!D:E,2,0)</f>
        <v/>
      </c>
      <c r="J3136" s="20" t="n">
        <v>210101</v>
      </c>
      <c r="L3136" s="20">
        <f>VLOOKUP($O3136,매칭테이블!$G:$J,2,0)*H3136</f>
        <v/>
      </c>
      <c r="M3136" s="20">
        <f>L3136-L3136*VLOOKUP($O3136,매칭테이블!$G:$J,3,0)</f>
        <v/>
      </c>
      <c r="N3136" s="20">
        <f>VLOOKUP($O3136,매칭테이블!$G:$J,4,0)*H3136</f>
        <v/>
      </c>
      <c r="O3136" s="20">
        <f>F3136&amp;E3136&amp;G3136&amp;J3136</f>
        <v/>
      </c>
    </row>
    <row r="3137" ht="16.5" customHeight="1" s="17">
      <c r="B3137" s="16" t="n">
        <v>44229</v>
      </c>
      <c r="C3137" s="20">
        <f>TEXT(B3137,"aaa")</f>
        <v/>
      </c>
      <c r="E3137" s="20">
        <f>INDEX(매칭테이블!C:C,MATCH(RD!G3137,매칭테이블!D:D,0))</f>
        <v/>
      </c>
      <c r="F3137" s="20" t="inlineStr">
        <is>
          <t>카페24</t>
        </is>
      </c>
      <c r="G3137" s="20" t="inlineStr">
        <is>
          <t>유즈 솔리드퍼퓸 - 스테이포에버 002제품선택=스테이포에버 1개</t>
        </is>
      </c>
      <c r="H3137" s="20" t="n">
        <v>1</v>
      </c>
      <c r="I3137" s="20">
        <f>VLOOKUP(G3137,매칭테이블!D:E,2,0)</f>
        <v/>
      </c>
      <c r="J3137" s="20" t="n">
        <v>210101</v>
      </c>
      <c r="L3137" s="20">
        <f>VLOOKUP($O3137,매칭테이블!$G:$J,2,0)*H3137</f>
        <v/>
      </c>
      <c r="M3137" s="20">
        <f>L3137-L3137*VLOOKUP($O3137,매칭테이블!$G:$J,3,0)</f>
        <v/>
      </c>
      <c r="N3137" s="20">
        <f>VLOOKUP($O3137,매칭테이블!$G:$J,4,0)*H3137</f>
        <v/>
      </c>
      <c r="O3137" s="20">
        <f>F3137&amp;E3137&amp;G3137&amp;J3137</f>
        <v/>
      </c>
    </row>
    <row r="3138" ht="16.5" customHeight="1" s="17">
      <c r="B3138" s="16" t="n">
        <v>44229</v>
      </c>
      <c r="C3138" s="20">
        <f>TEXT(B3138,"aaa")</f>
        <v/>
      </c>
      <c r="E3138" s="20">
        <f>INDEX(매칭테이블!C:C,MATCH(RD!G3138,매칭테이블!D:D,0))</f>
        <v/>
      </c>
      <c r="F3138" s="20" t="inlineStr">
        <is>
          <t>카페24</t>
        </is>
      </c>
      <c r="G3138" s="20" t="inlineStr">
        <is>
          <t>유즈 솔리드퍼퓸 - 스테이포에버 002제품선택=커플추천스테이포에버 + 이그나이트 세트</t>
        </is>
      </c>
      <c r="H3138" s="20" t="n">
        <v>1</v>
      </c>
      <c r="I3138" s="20">
        <f>VLOOKUP(G3138,매칭테이블!D:E,2,0)</f>
        <v/>
      </c>
      <c r="J3138" s="20" t="n">
        <v>210101</v>
      </c>
      <c r="L3138" s="20">
        <f>VLOOKUP($O3138,매칭테이블!$G:$J,2,0)*H3138</f>
        <v/>
      </c>
      <c r="M3138" s="20">
        <f>L3138-L3138*VLOOKUP($O3138,매칭테이블!$G:$J,3,0)</f>
        <v/>
      </c>
      <c r="N3138" s="20">
        <f>VLOOKUP($O3138,매칭테이블!$G:$J,4,0)*H3138</f>
        <v/>
      </c>
      <c r="O3138" s="20">
        <f>F3138&amp;E3138&amp;G3138&amp;J3138</f>
        <v/>
      </c>
    </row>
    <row r="3139" ht="16.5" customHeight="1" s="17">
      <c r="B3139" s="16" t="n">
        <v>44230</v>
      </c>
      <c r="C3139" s="20">
        <f>TEXT(B3139,"aaa")</f>
        <v/>
      </c>
      <c r="E3139" s="20">
        <f>INDEX(매칭테이블!C:C,MATCH(RD!G3139,매칭테이블!D:D,0))</f>
        <v/>
      </c>
      <c r="F3139" s="20" t="inlineStr">
        <is>
          <t>유즈 CS</t>
        </is>
      </c>
      <c r="G3139" s="20" t="inlineStr">
        <is>
          <t>솔리드퍼퓸 스테이포에버 002 30ml</t>
        </is>
      </c>
      <c r="H3139" s="20" t="n">
        <v>3</v>
      </c>
      <c r="I3139" s="20">
        <f>VLOOKUP(G3139,매칭테이블!D:E,2,0)</f>
        <v/>
      </c>
      <c r="J3139" s="20" t="n">
        <v>210101</v>
      </c>
      <c r="L3139" s="20">
        <f>VLOOKUP($O3139,매칭테이블!$G:$J,2,0)*H3139</f>
        <v/>
      </c>
      <c r="M3139" s="20">
        <f>L3139-L3139*VLOOKUP($O3139,매칭테이블!$G:$J,3,0)</f>
        <v/>
      </c>
      <c r="N3139" s="20">
        <f>VLOOKUP($O3139,매칭테이블!$G:$J,4,0)*H3139</f>
        <v/>
      </c>
      <c r="O3139" s="20">
        <f>F3139&amp;E3139&amp;G3139&amp;J3139</f>
        <v/>
      </c>
    </row>
    <row r="3140" ht="16.5" customHeight="1" s="17">
      <c r="B3140" s="16" t="n">
        <v>44230</v>
      </c>
      <c r="C3140" s="20">
        <f>TEXT(B3140,"aaa")</f>
        <v/>
      </c>
      <c r="E3140" s="20">
        <f>INDEX(매칭테이블!C:C,MATCH(RD!G3140,매칭테이블!D:D,0))</f>
        <v/>
      </c>
      <c r="F3140" s="20" t="inlineStr">
        <is>
          <t>유즈 CS</t>
        </is>
      </c>
      <c r="G3140" s="20" t="inlineStr">
        <is>
          <t>솔리드퍼퓸 스테이포에버 002 30ml_CS</t>
        </is>
      </c>
      <c r="H3140" s="20" t="n">
        <v>6</v>
      </c>
      <c r="I3140" s="20">
        <f>VLOOKUP(G3140,매칭테이블!D:E,2,0)</f>
        <v/>
      </c>
      <c r="J3140" s="20" t="n">
        <v>210101</v>
      </c>
      <c r="L3140" s="20">
        <f>VLOOKUP($O3140,매칭테이블!$G:$J,2,0)*H3140</f>
        <v/>
      </c>
      <c r="M3140" s="20">
        <f>L3140-L3140*VLOOKUP($O3140,매칭테이블!$G:$J,3,0)</f>
        <v/>
      </c>
      <c r="N3140" s="20">
        <f>VLOOKUP($O3140,매칭테이블!$G:$J,4,0)*H3140</f>
        <v/>
      </c>
      <c r="O3140" s="20">
        <f>F3140&amp;E3140&amp;G3140&amp;J3140</f>
        <v/>
      </c>
    </row>
    <row r="3141" ht="16.5" customHeight="1" s="17">
      <c r="B3141" s="16" t="n">
        <v>44230</v>
      </c>
      <c r="C3141" s="20">
        <f>TEXT(B3141,"aaa")</f>
        <v/>
      </c>
      <c r="E3141" s="20">
        <f>INDEX(매칭테이블!C:C,MATCH(RD!G3141,매칭테이블!D:D,0))</f>
        <v/>
      </c>
      <c r="F3141" s="20" t="inlineStr">
        <is>
          <t>카페24</t>
        </is>
      </c>
      <c r="G3141" s="20" t="inlineStr">
        <is>
          <t>선물용 쇼핑백</t>
        </is>
      </c>
      <c r="H3141" s="20" t="n">
        <v>7</v>
      </c>
      <c r="I3141" s="20">
        <f>VLOOKUP(G3141,매칭테이블!D:E,2,0)</f>
        <v/>
      </c>
      <c r="J3141" s="20" t="n">
        <v>210101</v>
      </c>
      <c r="L3141" s="20">
        <f>VLOOKUP($O3141,매칭테이블!$G:$J,2,0)*H3141</f>
        <v/>
      </c>
      <c r="M3141" s="20">
        <f>L3141-L3141*VLOOKUP($O3141,매칭테이블!$G:$J,3,0)</f>
        <v/>
      </c>
      <c r="N3141" s="20">
        <f>VLOOKUP($O3141,매칭테이블!$G:$J,4,0)*H3141</f>
        <v/>
      </c>
      <c r="O3141" s="20">
        <f>F3141&amp;E3141&amp;G3141&amp;J3141</f>
        <v/>
      </c>
    </row>
    <row r="3142" ht="16.5" customHeight="1" s="17">
      <c r="B3142" s="16" t="n">
        <v>44230</v>
      </c>
      <c r="C3142" s="20">
        <f>TEXT(B3142,"aaa")</f>
        <v/>
      </c>
      <c r="E3142" s="20">
        <f>INDEX(매칭테이블!C:C,MATCH(RD!G3142,매칭테이블!D:D,0))</f>
        <v/>
      </c>
      <c r="F3142" s="20" t="inlineStr">
        <is>
          <t>카페24</t>
        </is>
      </c>
      <c r="G3142" s="20" t="inlineStr">
        <is>
          <t>솔리드퍼퓸 세트향=이그나이트 001 SOLID PERFUME, 세트 선택=1개</t>
        </is>
      </c>
      <c r="H3142" s="20" t="n">
        <v>5</v>
      </c>
      <c r="I3142" s="20">
        <f>VLOOKUP(G3142,매칭테이블!D:E,2,0)</f>
        <v/>
      </c>
      <c r="J3142" s="20" t="n">
        <v>210101</v>
      </c>
      <c r="L3142" s="20">
        <f>VLOOKUP($O3142,매칭테이블!$G:$J,2,0)*H3142</f>
        <v/>
      </c>
      <c r="M3142" s="20">
        <f>L3142-L3142*VLOOKUP($O3142,매칭테이블!$G:$J,3,0)</f>
        <v/>
      </c>
      <c r="N3142" s="20">
        <f>VLOOKUP($O3142,매칭테이블!$G:$J,4,0)*H3142</f>
        <v/>
      </c>
      <c r="O3142" s="20">
        <f>F3142&amp;E3142&amp;G3142&amp;J3142</f>
        <v/>
      </c>
    </row>
    <row r="3143" ht="16.5" customHeight="1" s="17">
      <c r="B3143" s="16" t="n">
        <v>44230</v>
      </c>
      <c r="C3143" s="20">
        <f>TEXT(B3143,"aaa")</f>
        <v/>
      </c>
      <c r="E3143" s="20">
        <f>INDEX(매칭테이블!C:C,MATCH(RD!G3143,매칭테이블!D:D,0))</f>
        <v/>
      </c>
      <c r="F3143" s="20" t="inlineStr">
        <is>
          <t>카페24</t>
        </is>
      </c>
      <c r="G3143" s="20" t="inlineStr">
        <is>
          <t>솔리드퍼퓸 세트향=이그나이트 001 SOLID PERFUME, 세트 선택=best 2개 (28% 할인)</t>
        </is>
      </c>
      <c r="H3143" s="20" t="n">
        <v>4</v>
      </c>
      <c r="I3143" s="20">
        <f>VLOOKUP(G3143,매칭테이블!D:E,2,0)</f>
        <v/>
      </c>
      <c r="J3143" s="20" t="n">
        <v>210101</v>
      </c>
      <c r="L3143" s="20">
        <f>VLOOKUP($O3143,매칭테이블!$G:$J,2,0)*H3143</f>
        <v/>
      </c>
      <c r="M3143" s="20">
        <f>L3143-L3143*VLOOKUP($O3143,매칭테이블!$G:$J,3,0)</f>
        <v/>
      </c>
      <c r="N3143" s="20">
        <f>VLOOKUP($O3143,매칭테이블!$G:$J,4,0)*H3143</f>
        <v/>
      </c>
      <c r="O3143" s="20">
        <f>F3143&amp;E3143&amp;G3143&amp;J3143</f>
        <v/>
      </c>
    </row>
    <row r="3144" ht="16.5" customHeight="1" s="17">
      <c r="B3144" s="16" t="n">
        <v>44230</v>
      </c>
      <c r="C3144" s="20">
        <f>TEXT(B3144,"aaa")</f>
        <v/>
      </c>
      <c r="E3144" s="20">
        <f>INDEX(매칭테이블!C:C,MATCH(RD!G3144,매칭테이블!D:D,0))</f>
        <v/>
      </c>
      <c r="F3144" s="20" t="inlineStr">
        <is>
          <t>카페24</t>
        </is>
      </c>
      <c r="G3144" s="20" t="inlineStr">
        <is>
          <t>솔리드퍼퓸 세트향=스테이포에버 002 SOLID PERFUME, 세트 선택=1개</t>
        </is>
      </c>
      <c r="H3144" s="20" t="n">
        <v>51</v>
      </c>
      <c r="I3144" s="20">
        <f>VLOOKUP(G3144,매칭테이블!D:E,2,0)</f>
        <v/>
      </c>
      <c r="J3144" s="20" t="n">
        <v>210101</v>
      </c>
      <c r="L3144" s="20">
        <f>VLOOKUP($O3144,매칭테이블!$G:$J,2,0)*H3144</f>
        <v/>
      </c>
      <c r="M3144" s="20">
        <f>L3144-L3144*VLOOKUP($O3144,매칭테이블!$G:$J,3,0)</f>
        <v/>
      </c>
      <c r="N3144" s="20">
        <f>VLOOKUP($O3144,매칭테이블!$G:$J,4,0)*H3144</f>
        <v/>
      </c>
      <c r="O3144" s="20">
        <f>F3144&amp;E3144&amp;G3144&amp;J3144</f>
        <v/>
      </c>
    </row>
    <row r="3145" ht="16.5" customHeight="1" s="17">
      <c r="B3145" s="16" t="n">
        <v>44230</v>
      </c>
      <c r="C3145" s="20">
        <f>TEXT(B3145,"aaa")</f>
        <v/>
      </c>
      <c r="E3145" s="20">
        <f>INDEX(매칭테이블!C:C,MATCH(RD!G3145,매칭테이블!D:D,0))</f>
        <v/>
      </c>
      <c r="F3145" s="20" t="inlineStr">
        <is>
          <t>카페24</t>
        </is>
      </c>
      <c r="G3145" s="20" t="inlineStr">
        <is>
          <t>솔리드퍼퓸 세트향=스테이포에버 002 SOLID PERFUME, 세트 선택=best 2개 (28% 할인)</t>
        </is>
      </c>
      <c r="H3145" s="20" t="n">
        <v>66</v>
      </c>
      <c r="I3145" s="20">
        <f>VLOOKUP(G3145,매칭테이블!D:E,2,0)</f>
        <v/>
      </c>
      <c r="J3145" s="20" t="n">
        <v>210101</v>
      </c>
      <c r="L3145" s="20">
        <f>VLOOKUP($O3145,매칭테이블!$G:$J,2,0)*H3145</f>
        <v/>
      </c>
      <c r="M3145" s="20">
        <f>L3145-L3145*VLOOKUP($O3145,매칭테이블!$G:$J,3,0)</f>
        <v/>
      </c>
      <c r="N3145" s="20">
        <f>VLOOKUP($O3145,매칭테이블!$G:$J,4,0)*H3145</f>
        <v/>
      </c>
      <c r="O3145" s="20">
        <f>F3145&amp;E3145&amp;G3145&amp;J3145</f>
        <v/>
      </c>
    </row>
    <row r="3146" ht="16.5" customHeight="1" s="17">
      <c r="B3146" s="16" t="n">
        <v>44230</v>
      </c>
      <c r="C3146" s="20">
        <f>TEXT(B3146,"aaa")</f>
        <v/>
      </c>
      <c r="E3146" s="20">
        <f>INDEX(매칭테이블!C:C,MATCH(RD!G3146,매칭테이블!D:D,0))</f>
        <v/>
      </c>
      <c r="F3146" s="20" t="inlineStr">
        <is>
          <t>카페24</t>
        </is>
      </c>
      <c r="G3146" s="20" t="inlineStr">
        <is>
          <t>솔리드퍼퓸 세트향=커플세트(이그나이트 + 스테이포에버), 세트 선택=1 SET</t>
        </is>
      </c>
      <c r="H3146" s="20" t="n">
        <v>52</v>
      </c>
      <c r="I3146" s="20">
        <f>VLOOKUP(G3146,매칭테이블!D:E,2,0)</f>
        <v/>
      </c>
      <c r="J3146" s="20" t="n">
        <v>210101</v>
      </c>
      <c r="L3146" s="20">
        <f>VLOOKUP($O3146,매칭테이블!$G:$J,2,0)*H3146</f>
        <v/>
      </c>
      <c r="M3146" s="20">
        <f>L3146-L3146*VLOOKUP($O3146,매칭테이블!$G:$J,3,0)</f>
        <v/>
      </c>
      <c r="N3146" s="20">
        <f>VLOOKUP($O3146,매칭테이블!$G:$J,4,0)*H3146</f>
        <v/>
      </c>
      <c r="O3146" s="20">
        <f>F3146&amp;E3146&amp;G3146&amp;J3146</f>
        <v/>
      </c>
    </row>
    <row r="3147" ht="16.5" customHeight="1" s="17">
      <c r="B3147" s="16" t="n">
        <v>44230</v>
      </c>
      <c r="C3147" s="20">
        <f>TEXT(B3147,"aaa")</f>
        <v/>
      </c>
      <c r="E3147" s="20">
        <f>INDEX(매칭테이블!C:C,MATCH(RD!G3147,매칭테이블!D:D,0))</f>
        <v/>
      </c>
      <c r="F3147" s="20" t="inlineStr">
        <is>
          <t>카페24</t>
        </is>
      </c>
      <c r="G3147" s="20" t="inlineStr">
        <is>
          <t>솔리드퍼퓸 세트향=커플세트(이그나이트 + 스테이포에버), 세트 선택=2 SET (42% 할인)</t>
        </is>
      </c>
      <c r="H3147" s="20" t="n">
        <v>9</v>
      </c>
      <c r="I3147" s="20">
        <f>VLOOKUP(G3147,매칭테이블!D:E,2,0)</f>
        <v/>
      </c>
      <c r="J3147" s="20" t="n">
        <v>210101</v>
      </c>
      <c r="L3147" s="20">
        <f>VLOOKUP($O3147,매칭테이블!$G:$J,2,0)*H3147</f>
        <v/>
      </c>
      <c r="M3147" s="20">
        <f>L3147-L3147*VLOOKUP($O3147,매칭테이블!$G:$J,3,0)</f>
        <v/>
      </c>
      <c r="N3147" s="20">
        <f>VLOOKUP($O3147,매칭테이블!$G:$J,4,0)*H3147</f>
        <v/>
      </c>
      <c r="O3147" s="20">
        <f>F3147&amp;E3147&amp;G3147&amp;J3147</f>
        <v/>
      </c>
    </row>
    <row r="3148" ht="16.5" customHeight="1" s="17">
      <c r="B3148" s="16" t="n">
        <v>44230</v>
      </c>
      <c r="C3148" s="20">
        <f>TEXT(B3148,"aaa")</f>
        <v/>
      </c>
      <c r="E3148" s="20">
        <f>INDEX(매칭테이블!C:C,MATCH(RD!G3148,매칭테이블!D:D,0))</f>
        <v/>
      </c>
      <c r="F3148" s="20" t="inlineStr">
        <is>
          <t>카페24</t>
        </is>
      </c>
      <c r="G3148" s="20" t="inlineStr">
        <is>
          <t>솔리드퍼퓸 스테이포에버 002제품선택=스테이포에버 1개</t>
        </is>
      </c>
      <c r="H3148" s="20" t="n">
        <v>279</v>
      </c>
      <c r="I3148" s="20">
        <f>VLOOKUP(G3148,매칭테이블!D:E,2,0)</f>
        <v/>
      </c>
      <c r="J3148" s="20" t="n">
        <v>210101</v>
      </c>
      <c r="L3148" s="20">
        <f>VLOOKUP($O3148,매칭테이블!$G:$J,2,0)*H3148</f>
        <v/>
      </c>
      <c r="M3148" s="20">
        <f>L3148-L3148*VLOOKUP($O3148,매칭테이블!$G:$J,3,0)</f>
        <v/>
      </c>
      <c r="N3148" s="20">
        <f>VLOOKUP($O3148,매칭테이블!$G:$J,4,0)*H3148</f>
        <v/>
      </c>
      <c r="O3148" s="20">
        <f>F3148&amp;E3148&amp;G3148&amp;J3148</f>
        <v/>
      </c>
    </row>
    <row r="3149" ht="16.5" customHeight="1" s="17">
      <c r="B3149" s="16" t="n">
        <v>44230</v>
      </c>
      <c r="C3149" s="20">
        <f>TEXT(B3149,"aaa")</f>
        <v/>
      </c>
      <c r="E3149" s="20">
        <f>INDEX(매칭테이블!C:C,MATCH(RD!G3149,매칭테이블!D:D,0))</f>
        <v/>
      </c>
      <c r="F3149" s="20" t="inlineStr">
        <is>
          <t>카페24</t>
        </is>
      </c>
      <c r="G3149" s="20" t="inlineStr">
        <is>
          <t>솔리드퍼퓸 스테이포에버 002제품선택=best스테이포에버 2개[28% 할인]</t>
        </is>
      </c>
      <c r="H3149" s="20" t="n">
        <v>162</v>
      </c>
      <c r="I3149" s="20">
        <f>VLOOKUP(G3149,매칭테이블!D:E,2,0)</f>
        <v/>
      </c>
      <c r="J3149" s="20" t="n">
        <v>210101</v>
      </c>
      <c r="L3149" s="20">
        <f>VLOOKUP($O3149,매칭테이블!$G:$J,2,0)*H3149</f>
        <v/>
      </c>
      <c r="M3149" s="20">
        <f>L3149-L3149*VLOOKUP($O3149,매칭테이블!$G:$J,3,0)</f>
        <v/>
      </c>
      <c r="N3149" s="20">
        <f>VLOOKUP($O3149,매칭테이블!$G:$J,4,0)*H3149</f>
        <v/>
      </c>
      <c r="O3149" s="20">
        <f>F3149&amp;E3149&amp;G3149&amp;J3149</f>
        <v/>
      </c>
    </row>
    <row r="3150" ht="16.5" customHeight="1" s="17">
      <c r="B3150" s="16" t="n">
        <v>44230</v>
      </c>
      <c r="C3150" s="20">
        <f>TEXT(B3150,"aaa")</f>
        <v/>
      </c>
      <c r="E3150" s="20">
        <f>INDEX(매칭테이블!C:C,MATCH(RD!G3150,매칭테이블!D:D,0))</f>
        <v/>
      </c>
      <c r="F3150" s="20" t="inlineStr">
        <is>
          <t>카페24</t>
        </is>
      </c>
      <c r="G3150" s="20" t="inlineStr">
        <is>
          <t>솔리드퍼퓸 스테이포에버 002제품선택=커플추천스테이포에버 + 이그나이트 세트</t>
        </is>
      </c>
      <c r="H3150" s="20" t="n">
        <v>24</v>
      </c>
      <c r="I3150" s="20">
        <f>VLOOKUP(G3150,매칭테이블!D:E,2,0)</f>
        <v/>
      </c>
      <c r="J3150" s="20" t="n">
        <v>210101</v>
      </c>
      <c r="L3150" s="20">
        <f>VLOOKUP($O3150,매칭테이블!$G:$J,2,0)*H3150</f>
        <v/>
      </c>
      <c r="M3150" s="20">
        <f>L3150-L3150*VLOOKUP($O3150,매칭테이블!$G:$J,3,0)</f>
        <v/>
      </c>
      <c r="N3150" s="20">
        <f>VLOOKUP($O3150,매칭테이블!$G:$J,4,0)*H3150</f>
        <v/>
      </c>
      <c r="O3150" s="20">
        <f>F3150&amp;E3150&amp;G3150&amp;J3150</f>
        <v/>
      </c>
    </row>
    <row r="3151" ht="16.5" customHeight="1" s="17">
      <c r="B3151" s="16" t="n">
        <v>44230</v>
      </c>
      <c r="C3151" s="20">
        <f>TEXT(B3151,"aaa")</f>
        <v/>
      </c>
      <c r="E3151" s="20">
        <f>INDEX(매칭테이블!C:C,MATCH(RD!G3151,매칭테이블!D:D,0))</f>
        <v/>
      </c>
      <c r="F3151" s="20" t="inlineStr">
        <is>
          <t>카페24</t>
        </is>
      </c>
      <c r="G3151" s="20" t="inlineStr">
        <is>
          <t>솔리드퍼퓸 스테이포에버 002쇼핑백=선물용 쇼핑백</t>
        </is>
      </c>
      <c r="H3151" s="20" t="n">
        <v>10</v>
      </c>
      <c r="I3151" s="20">
        <f>VLOOKUP(G3151,매칭테이블!D:E,2,0)</f>
        <v/>
      </c>
      <c r="J3151" s="20" t="n">
        <v>210101</v>
      </c>
      <c r="L3151" s="20">
        <f>VLOOKUP($O3151,매칭테이블!$G:$J,2,0)*H3151</f>
        <v/>
      </c>
      <c r="M3151" s="20">
        <f>L3151-L3151*VLOOKUP($O3151,매칭테이블!$G:$J,3,0)</f>
        <v/>
      </c>
      <c r="N3151" s="20">
        <f>VLOOKUP($O3151,매칭테이블!$G:$J,4,0)*H3151</f>
        <v/>
      </c>
      <c r="O3151" s="20">
        <f>F3151&amp;E3151&amp;G3151&amp;J3151</f>
        <v/>
      </c>
    </row>
    <row r="3152" ht="16.5" customHeight="1" s="17">
      <c r="B3152" s="16" t="n">
        <v>44230</v>
      </c>
      <c r="C3152" s="20">
        <f>TEXT(B3152,"aaa")</f>
        <v/>
      </c>
      <c r="E3152" s="20">
        <f>INDEX(매칭테이블!C:C,MATCH(RD!G3152,매칭테이블!D:D,0))</f>
        <v/>
      </c>
      <c r="F3152" s="20" t="inlineStr">
        <is>
          <t>카페24</t>
        </is>
      </c>
      <c r="G3152" s="20" t="inlineStr">
        <is>
          <t>솔리드퍼퓸 이그나이트 001제품선택=이그나이트 솔리드퍼퓸 - 30ml</t>
        </is>
      </c>
      <c r="H3152" s="20" t="n">
        <v>4</v>
      </c>
      <c r="I3152" s="20">
        <f>VLOOKUP(G3152,매칭테이블!D:E,2,0)</f>
        <v/>
      </c>
      <c r="J3152" s="20" t="n">
        <v>210101</v>
      </c>
      <c r="L3152" s="20">
        <f>VLOOKUP($O3152,매칭테이블!$G:$J,2,0)*H3152</f>
        <v/>
      </c>
      <c r="M3152" s="20">
        <f>L3152-L3152*VLOOKUP($O3152,매칭테이블!$G:$J,3,0)</f>
        <v/>
      </c>
      <c r="N3152" s="20">
        <f>VLOOKUP($O3152,매칭테이블!$G:$J,4,0)*H3152</f>
        <v/>
      </c>
      <c r="O3152" s="20">
        <f>F3152&amp;E3152&amp;G3152&amp;J3152</f>
        <v/>
      </c>
    </row>
    <row r="3153" ht="16.5" customHeight="1" s="17">
      <c r="B3153" s="16" t="n">
        <v>44230</v>
      </c>
      <c r="C3153" s="20">
        <f>TEXT(B3153,"aaa")</f>
        <v/>
      </c>
      <c r="E3153" s="20">
        <f>INDEX(매칭테이블!C:C,MATCH(RD!G3153,매칭테이블!D:D,0))</f>
        <v/>
      </c>
      <c r="F3153" s="20" t="inlineStr">
        <is>
          <t>카페24</t>
        </is>
      </c>
      <c r="G3153" s="20" t="inlineStr">
        <is>
          <t>솔리드퍼퓸 이그나이트 001쇼핑백=선물용 쇼핑백</t>
        </is>
      </c>
      <c r="H3153" s="20" t="n">
        <v>2</v>
      </c>
      <c r="I3153" s="20">
        <f>VLOOKUP(G3153,매칭테이블!D:E,2,0)</f>
        <v/>
      </c>
      <c r="J3153" s="20" t="n">
        <v>210101</v>
      </c>
      <c r="L3153" s="20">
        <f>VLOOKUP($O3153,매칭테이블!$G:$J,2,0)*H3153</f>
        <v/>
      </c>
      <c r="M3153" s="20">
        <f>L3153-L3153*VLOOKUP($O3153,매칭테이블!$G:$J,3,0)</f>
        <v/>
      </c>
      <c r="N3153" s="20">
        <f>VLOOKUP($O3153,매칭테이블!$G:$J,4,0)*H3153</f>
        <v/>
      </c>
      <c r="O3153" s="20">
        <f>F3153&amp;E3153&amp;G3153&amp;J3153</f>
        <v/>
      </c>
    </row>
    <row r="3154" ht="16.5" customHeight="1" s="17">
      <c r="B3154" s="16" t="n">
        <v>44230</v>
      </c>
      <c r="C3154" s="20">
        <f>TEXT(B3154,"aaa")</f>
        <v/>
      </c>
      <c r="E3154" s="20">
        <f>INDEX(매칭테이블!C:C,MATCH(RD!G3154,매칭테이블!D:D,0))</f>
        <v/>
      </c>
      <c r="F3154" s="20" t="inlineStr">
        <is>
          <t>카페24</t>
        </is>
      </c>
      <c r="G3154" s="20" t="inlineStr">
        <is>
          <t>유즈 솔리드퍼퓸 - 스테이포에버 002제품선택=스테이포에버 1개</t>
        </is>
      </c>
      <c r="H3154" s="20" t="n">
        <v>1</v>
      </c>
      <c r="I3154" s="20">
        <f>VLOOKUP(G3154,매칭테이블!D:E,2,0)</f>
        <v/>
      </c>
      <c r="J3154" s="20" t="n">
        <v>210101</v>
      </c>
      <c r="L3154" s="20">
        <f>VLOOKUP($O3154,매칭테이블!$G:$J,2,0)*H3154</f>
        <v/>
      </c>
      <c r="M3154" s="20">
        <f>L3154-L3154*VLOOKUP($O3154,매칭테이블!$G:$J,3,0)</f>
        <v/>
      </c>
      <c r="N3154" s="20">
        <f>VLOOKUP($O3154,매칭테이블!$G:$J,4,0)*H3154</f>
        <v/>
      </c>
      <c r="O3154" s="20">
        <f>F3154&amp;E3154&amp;G3154&amp;J3154</f>
        <v/>
      </c>
    </row>
    <row r="3155" ht="16.5" customHeight="1" s="17">
      <c r="B3155" s="16" t="n">
        <v>44231</v>
      </c>
      <c r="C3155" s="20">
        <f>TEXT(B3155,"aaa")</f>
        <v/>
      </c>
      <c r="E3155" s="20">
        <f>INDEX(매칭테이블!C:C,MATCH(RD!G3155,매칭테이블!D:D,0))</f>
        <v/>
      </c>
      <c r="F3155" s="20" t="inlineStr">
        <is>
          <t>유즈 CS</t>
        </is>
      </c>
      <c r="G3155" s="20" t="inlineStr">
        <is>
          <t>솔리드퍼퓸 스테이포에버 002 30ml_CS</t>
        </is>
      </c>
      <c r="H3155" s="20" t="n">
        <v>1</v>
      </c>
      <c r="I3155" s="20">
        <f>VLOOKUP(G3155,매칭테이블!D:E,2,0)</f>
        <v/>
      </c>
      <c r="J3155" s="20" t="n">
        <v>210101</v>
      </c>
      <c r="L3155" s="20">
        <f>VLOOKUP($O3155,매칭테이블!$G:$J,2,0)*H3155</f>
        <v/>
      </c>
      <c r="M3155" s="20">
        <f>L3155-L3155*VLOOKUP($O3155,매칭테이블!$G:$J,3,0)</f>
        <v/>
      </c>
      <c r="N3155" s="20">
        <f>VLOOKUP($O3155,매칭테이블!$G:$J,4,0)*H3155</f>
        <v/>
      </c>
      <c r="O3155" s="20">
        <f>F3155&amp;E3155&amp;G3155&amp;J3155</f>
        <v/>
      </c>
    </row>
    <row r="3156" ht="16.5" customHeight="1" s="17">
      <c r="B3156" s="16" t="n">
        <v>44231</v>
      </c>
      <c r="C3156" s="20">
        <f>TEXT(B3156,"aaa")</f>
        <v/>
      </c>
      <c r="E3156" s="20">
        <f>INDEX(매칭테이블!C:C,MATCH(RD!G3156,매칭테이블!D:D,0))</f>
        <v/>
      </c>
      <c r="F3156" s="20" t="inlineStr">
        <is>
          <t>카페24</t>
        </is>
      </c>
      <c r="G3156" s="20" t="inlineStr">
        <is>
          <t>선물용 쇼핑백</t>
        </is>
      </c>
      <c r="H3156" s="20" t="n">
        <v>1</v>
      </c>
      <c r="I3156" s="20">
        <f>VLOOKUP(G3156,매칭테이블!D:E,2,0)</f>
        <v/>
      </c>
      <c r="J3156" s="20" t="n">
        <v>210101</v>
      </c>
      <c r="L3156" s="20">
        <f>VLOOKUP($O3156,매칭테이블!$G:$J,2,0)*H3156</f>
        <v/>
      </c>
      <c r="M3156" s="20">
        <f>L3156-L3156*VLOOKUP($O3156,매칭테이블!$G:$J,3,0)</f>
        <v/>
      </c>
      <c r="N3156" s="20">
        <f>VLOOKUP($O3156,매칭테이블!$G:$J,4,0)*H3156</f>
        <v/>
      </c>
      <c r="O3156" s="20">
        <f>F3156&amp;E3156&amp;G3156&amp;J3156</f>
        <v/>
      </c>
    </row>
    <row r="3157" ht="16.5" customHeight="1" s="17">
      <c r="B3157" s="16" t="n">
        <v>44231</v>
      </c>
      <c r="C3157" s="20">
        <f>TEXT(B3157,"aaa")</f>
        <v/>
      </c>
      <c r="E3157" s="20">
        <f>INDEX(매칭테이블!C:C,MATCH(RD!G3157,매칭테이블!D:D,0))</f>
        <v/>
      </c>
      <c r="F3157" s="20" t="inlineStr">
        <is>
          <t>카페24</t>
        </is>
      </c>
      <c r="G3157" s="20" t="inlineStr">
        <is>
          <t>솔리드퍼퓸 세트향=이그나이트 001 SOLID PERFUME, 세트 선택=1개</t>
        </is>
      </c>
      <c r="H3157" s="20" t="n">
        <v>2</v>
      </c>
      <c r="I3157" s="20">
        <f>VLOOKUP(G3157,매칭테이블!D:E,2,0)</f>
        <v/>
      </c>
      <c r="J3157" s="20" t="n">
        <v>210101</v>
      </c>
      <c r="L3157" s="20">
        <f>VLOOKUP($O3157,매칭테이블!$G:$J,2,0)*H3157</f>
        <v/>
      </c>
      <c r="M3157" s="20">
        <f>L3157-L3157*VLOOKUP($O3157,매칭테이블!$G:$J,3,0)</f>
        <v/>
      </c>
      <c r="N3157" s="20">
        <f>VLOOKUP($O3157,매칭테이블!$G:$J,4,0)*H3157</f>
        <v/>
      </c>
      <c r="O3157" s="20">
        <f>F3157&amp;E3157&amp;G3157&amp;J3157</f>
        <v/>
      </c>
    </row>
    <row r="3158" ht="16.5" customHeight="1" s="17">
      <c r="B3158" s="16" t="n">
        <v>44231</v>
      </c>
      <c r="C3158" s="20">
        <f>TEXT(B3158,"aaa")</f>
        <v/>
      </c>
      <c r="E3158" s="20">
        <f>INDEX(매칭테이블!C:C,MATCH(RD!G3158,매칭테이블!D:D,0))</f>
        <v/>
      </c>
      <c r="F3158" s="20" t="inlineStr">
        <is>
          <t>카페24</t>
        </is>
      </c>
      <c r="G3158" s="20" t="inlineStr">
        <is>
          <t>솔리드퍼퓸 세트향=이그나이트 001 SOLID PERFUME, 세트 선택=best 2개 (28% 할인)</t>
        </is>
      </c>
      <c r="H3158" s="20" t="n">
        <v>1</v>
      </c>
      <c r="I3158" s="20">
        <f>VLOOKUP(G3158,매칭테이블!D:E,2,0)</f>
        <v/>
      </c>
      <c r="J3158" s="20" t="n">
        <v>210101</v>
      </c>
      <c r="L3158" s="20">
        <f>VLOOKUP($O3158,매칭테이블!$G:$J,2,0)*H3158</f>
        <v/>
      </c>
      <c r="M3158" s="20">
        <f>L3158-L3158*VLOOKUP($O3158,매칭테이블!$G:$J,3,0)</f>
        <v/>
      </c>
      <c r="N3158" s="20">
        <f>VLOOKUP($O3158,매칭테이블!$G:$J,4,0)*H3158</f>
        <v/>
      </c>
      <c r="O3158" s="20">
        <f>F3158&amp;E3158&amp;G3158&amp;J3158</f>
        <v/>
      </c>
    </row>
    <row r="3159" ht="16.5" customHeight="1" s="17">
      <c r="B3159" s="16" t="n">
        <v>44231</v>
      </c>
      <c r="C3159" s="20">
        <f>TEXT(B3159,"aaa")</f>
        <v/>
      </c>
      <c r="E3159" s="20">
        <f>INDEX(매칭테이블!C:C,MATCH(RD!G3159,매칭테이블!D:D,0))</f>
        <v/>
      </c>
      <c r="F3159" s="20" t="inlineStr">
        <is>
          <t>카페24</t>
        </is>
      </c>
      <c r="G3159" s="20" t="inlineStr">
        <is>
          <t>솔리드퍼퓸 세트향=스테이포에버 002 SOLID PERFUME, 세트 선택=1개</t>
        </is>
      </c>
      <c r="H3159" s="20" t="n">
        <v>21</v>
      </c>
      <c r="I3159" s="20">
        <f>VLOOKUP(G3159,매칭테이블!D:E,2,0)</f>
        <v/>
      </c>
      <c r="J3159" s="20" t="n">
        <v>210101</v>
      </c>
      <c r="L3159" s="20">
        <f>VLOOKUP($O3159,매칭테이블!$G:$J,2,0)*H3159</f>
        <v/>
      </c>
      <c r="M3159" s="20">
        <f>L3159-L3159*VLOOKUP($O3159,매칭테이블!$G:$J,3,0)</f>
        <v/>
      </c>
      <c r="N3159" s="20">
        <f>VLOOKUP($O3159,매칭테이블!$G:$J,4,0)*H3159</f>
        <v/>
      </c>
      <c r="O3159" s="20">
        <f>F3159&amp;E3159&amp;G3159&amp;J3159</f>
        <v/>
      </c>
    </row>
    <row r="3160" ht="16.5" customHeight="1" s="17">
      <c r="B3160" s="16" t="n">
        <v>44231</v>
      </c>
      <c r="C3160" s="20">
        <f>TEXT(B3160,"aaa")</f>
        <v/>
      </c>
      <c r="E3160" s="20">
        <f>INDEX(매칭테이블!C:C,MATCH(RD!G3160,매칭테이블!D:D,0))</f>
        <v/>
      </c>
      <c r="F3160" s="20" t="inlineStr">
        <is>
          <t>카페24</t>
        </is>
      </c>
      <c r="G3160" s="20" t="inlineStr">
        <is>
          <t>솔리드퍼퓸 세트향=스테이포에버 002 SOLID PERFUME, 세트 선택=best 2개 (28% 할인)</t>
        </is>
      </c>
      <c r="H3160" s="20" t="n">
        <v>6</v>
      </c>
      <c r="I3160" s="20">
        <f>VLOOKUP(G3160,매칭테이블!D:E,2,0)</f>
        <v/>
      </c>
      <c r="J3160" s="20" t="n">
        <v>210101</v>
      </c>
      <c r="L3160" s="20">
        <f>VLOOKUP($O3160,매칭테이블!$G:$J,2,0)*H3160</f>
        <v/>
      </c>
      <c r="M3160" s="20">
        <f>L3160-L3160*VLOOKUP($O3160,매칭테이블!$G:$J,3,0)</f>
        <v/>
      </c>
      <c r="N3160" s="20">
        <f>VLOOKUP($O3160,매칭테이블!$G:$J,4,0)*H3160</f>
        <v/>
      </c>
      <c r="O3160" s="20">
        <f>F3160&amp;E3160&amp;G3160&amp;J3160</f>
        <v/>
      </c>
    </row>
    <row r="3161" ht="16.5" customHeight="1" s="17">
      <c r="B3161" s="16" t="n">
        <v>44231</v>
      </c>
      <c r="C3161" s="20">
        <f>TEXT(B3161,"aaa")</f>
        <v/>
      </c>
      <c r="E3161" s="20">
        <f>INDEX(매칭테이블!C:C,MATCH(RD!G3161,매칭테이블!D:D,0))</f>
        <v/>
      </c>
      <c r="F3161" s="20" t="inlineStr">
        <is>
          <t>카페24</t>
        </is>
      </c>
      <c r="G3161" s="20" t="inlineStr">
        <is>
          <t>솔리드퍼퓸 세트향=커플세트(이그나이트 + 스테이포에버), 세트 선택=1 SET</t>
        </is>
      </c>
      <c r="H3161" s="20" t="n">
        <v>21</v>
      </c>
      <c r="I3161" s="20">
        <f>VLOOKUP(G3161,매칭테이블!D:E,2,0)</f>
        <v/>
      </c>
      <c r="J3161" s="20" t="n">
        <v>210101</v>
      </c>
      <c r="L3161" s="20">
        <f>VLOOKUP($O3161,매칭테이블!$G:$J,2,0)*H3161</f>
        <v/>
      </c>
      <c r="M3161" s="20">
        <f>L3161-L3161*VLOOKUP($O3161,매칭테이블!$G:$J,3,0)</f>
        <v/>
      </c>
      <c r="N3161" s="20">
        <f>VLOOKUP($O3161,매칭테이블!$G:$J,4,0)*H3161</f>
        <v/>
      </c>
      <c r="O3161" s="20">
        <f>F3161&amp;E3161&amp;G3161&amp;J3161</f>
        <v/>
      </c>
    </row>
    <row r="3162" ht="16.5" customHeight="1" s="17">
      <c r="B3162" s="16" t="n">
        <v>44231</v>
      </c>
      <c r="C3162" s="20">
        <f>TEXT(B3162,"aaa")</f>
        <v/>
      </c>
      <c r="E3162" s="20">
        <f>INDEX(매칭테이블!C:C,MATCH(RD!G3162,매칭테이블!D:D,0))</f>
        <v/>
      </c>
      <c r="F3162" s="20" t="inlineStr">
        <is>
          <t>카페24</t>
        </is>
      </c>
      <c r="G3162" s="20" t="inlineStr">
        <is>
          <t>솔리드퍼퓸 세트향=커플세트(이그나이트 + 스테이포에버), 세트 선택=2 SET (42% 할인)</t>
        </is>
      </c>
      <c r="H3162" s="20" t="n">
        <v>1</v>
      </c>
      <c r="I3162" s="20">
        <f>VLOOKUP(G3162,매칭테이블!D:E,2,0)</f>
        <v/>
      </c>
      <c r="J3162" s="20" t="n">
        <v>210101</v>
      </c>
      <c r="L3162" s="20">
        <f>VLOOKUP($O3162,매칭테이블!$G:$J,2,0)*H3162</f>
        <v/>
      </c>
      <c r="M3162" s="20">
        <f>L3162-L3162*VLOOKUP($O3162,매칭테이블!$G:$J,3,0)</f>
        <v/>
      </c>
      <c r="N3162" s="20">
        <f>VLOOKUP($O3162,매칭테이블!$G:$J,4,0)*H3162</f>
        <v/>
      </c>
      <c r="O3162" s="20">
        <f>F3162&amp;E3162&amp;G3162&amp;J3162</f>
        <v/>
      </c>
    </row>
    <row r="3163" ht="16.5" customHeight="1" s="17">
      <c r="B3163" s="16" t="n">
        <v>44231</v>
      </c>
      <c r="C3163" s="20">
        <f>TEXT(B3163,"aaa")</f>
        <v/>
      </c>
      <c r="E3163" s="20">
        <f>INDEX(매칭테이블!C:C,MATCH(RD!G3163,매칭테이블!D:D,0))</f>
        <v/>
      </c>
      <c r="F3163" s="20" t="inlineStr">
        <is>
          <t>카페24</t>
        </is>
      </c>
      <c r="G3163" s="20" t="inlineStr">
        <is>
          <t>솔리드퍼퓸 스테이포에버 002제품선택=스테이포에버 1개</t>
        </is>
      </c>
      <c r="H3163" s="20" t="n">
        <v>221</v>
      </c>
      <c r="I3163" s="20">
        <f>VLOOKUP(G3163,매칭테이블!D:E,2,0)</f>
        <v/>
      </c>
      <c r="J3163" s="20" t="n">
        <v>210101</v>
      </c>
      <c r="L3163" s="20">
        <f>VLOOKUP($O3163,매칭테이블!$G:$J,2,0)*H3163</f>
        <v/>
      </c>
      <c r="M3163" s="20">
        <f>L3163-L3163*VLOOKUP($O3163,매칭테이블!$G:$J,3,0)</f>
        <v/>
      </c>
      <c r="N3163" s="20">
        <f>VLOOKUP($O3163,매칭테이블!$G:$J,4,0)*H3163</f>
        <v/>
      </c>
      <c r="O3163" s="20">
        <f>F3163&amp;E3163&amp;G3163&amp;J3163</f>
        <v/>
      </c>
    </row>
    <row r="3164" ht="16.5" customHeight="1" s="17">
      <c r="B3164" s="16" t="n">
        <v>44231</v>
      </c>
      <c r="C3164" s="20">
        <f>TEXT(B3164,"aaa")</f>
        <v/>
      </c>
      <c r="E3164" s="20">
        <f>INDEX(매칭테이블!C:C,MATCH(RD!G3164,매칭테이블!D:D,0))</f>
        <v/>
      </c>
      <c r="F3164" s="20" t="inlineStr">
        <is>
          <t>카페24</t>
        </is>
      </c>
      <c r="G3164" s="20" t="inlineStr">
        <is>
          <t>솔리드퍼퓸 스테이포에버 002제품선택=best스테이포에버 2개[28% 할인]</t>
        </is>
      </c>
      <c r="H3164" s="20" t="n">
        <v>141</v>
      </c>
      <c r="I3164" s="20">
        <f>VLOOKUP(G3164,매칭테이블!D:E,2,0)</f>
        <v/>
      </c>
      <c r="J3164" s="20" t="n">
        <v>210101</v>
      </c>
      <c r="L3164" s="20">
        <f>VLOOKUP($O3164,매칭테이블!$G:$J,2,0)*H3164</f>
        <v/>
      </c>
      <c r="M3164" s="20">
        <f>L3164-L3164*VLOOKUP($O3164,매칭테이블!$G:$J,3,0)</f>
        <v/>
      </c>
      <c r="N3164" s="20">
        <f>VLOOKUP($O3164,매칭테이블!$G:$J,4,0)*H3164</f>
        <v/>
      </c>
      <c r="O3164" s="20">
        <f>F3164&amp;E3164&amp;G3164&amp;J3164</f>
        <v/>
      </c>
    </row>
    <row r="3165" ht="16.5" customHeight="1" s="17">
      <c r="B3165" s="16" t="n">
        <v>44231</v>
      </c>
      <c r="C3165" s="20">
        <f>TEXT(B3165,"aaa")</f>
        <v/>
      </c>
      <c r="E3165" s="20">
        <f>INDEX(매칭테이블!C:C,MATCH(RD!G3165,매칭테이블!D:D,0))</f>
        <v/>
      </c>
      <c r="F3165" s="20" t="inlineStr">
        <is>
          <t>카페24</t>
        </is>
      </c>
      <c r="G3165" s="20" t="inlineStr">
        <is>
          <t>솔리드퍼퓸 스테이포에버 002제품선택=커플추천스테이포에버 + 이그나이트 세트</t>
        </is>
      </c>
      <c r="H3165" s="20" t="n">
        <v>17</v>
      </c>
      <c r="I3165" s="20">
        <f>VLOOKUP(G3165,매칭테이블!D:E,2,0)</f>
        <v/>
      </c>
      <c r="J3165" s="20" t="n">
        <v>210101</v>
      </c>
      <c r="L3165" s="20">
        <f>VLOOKUP($O3165,매칭테이블!$G:$J,2,0)*H3165</f>
        <v/>
      </c>
      <c r="M3165" s="20">
        <f>L3165-L3165*VLOOKUP($O3165,매칭테이블!$G:$J,3,0)</f>
        <v/>
      </c>
      <c r="N3165" s="20">
        <f>VLOOKUP($O3165,매칭테이블!$G:$J,4,0)*H3165</f>
        <v/>
      </c>
      <c r="O3165" s="20">
        <f>F3165&amp;E3165&amp;G3165&amp;J3165</f>
        <v/>
      </c>
    </row>
    <row r="3166" ht="16.5" customHeight="1" s="17">
      <c r="B3166" s="16" t="n">
        <v>44231</v>
      </c>
      <c r="C3166" s="20">
        <f>TEXT(B3166,"aaa")</f>
        <v/>
      </c>
      <c r="E3166" s="20">
        <f>INDEX(매칭테이블!C:C,MATCH(RD!G3166,매칭테이블!D:D,0))</f>
        <v/>
      </c>
      <c r="F3166" s="20" t="inlineStr">
        <is>
          <t>카페24</t>
        </is>
      </c>
      <c r="G3166" s="20" t="inlineStr">
        <is>
          <t>솔리드퍼퓸 스테이포에버 002쇼핑백=선물용 쇼핑백</t>
        </is>
      </c>
      <c r="H3166" s="20" t="n">
        <v>9</v>
      </c>
      <c r="I3166" s="20">
        <f>VLOOKUP(G3166,매칭테이블!D:E,2,0)</f>
        <v/>
      </c>
      <c r="J3166" s="20" t="n">
        <v>210101</v>
      </c>
      <c r="L3166" s="20">
        <f>VLOOKUP($O3166,매칭테이블!$G:$J,2,0)*H3166</f>
        <v/>
      </c>
      <c r="M3166" s="20">
        <f>L3166-L3166*VLOOKUP($O3166,매칭테이블!$G:$J,3,0)</f>
        <v/>
      </c>
      <c r="N3166" s="20">
        <f>VLOOKUP($O3166,매칭테이블!$G:$J,4,0)*H3166</f>
        <v/>
      </c>
      <c r="O3166" s="20">
        <f>F3166&amp;E3166&amp;G3166&amp;J3166</f>
        <v/>
      </c>
    </row>
    <row r="3167" ht="16.5" customHeight="1" s="17">
      <c r="B3167" s="16" t="n">
        <v>44231</v>
      </c>
      <c r="C3167" s="20">
        <f>TEXT(B3167,"aaa")</f>
        <v/>
      </c>
      <c r="E3167" s="20">
        <f>INDEX(매칭테이블!C:C,MATCH(RD!G3167,매칭테이블!D:D,0))</f>
        <v/>
      </c>
      <c r="F3167" s="20" t="inlineStr">
        <is>
          <t>카페24</t>
        </is>
      </c>
      <c r="G3167" s="20" t="inlineStr">
        <is>
          <t>솔리드퍼퓸 스테이포에버 002 30ml</t>
        </is>
      </c>
      <c r="H3167" s="20" t="n">
        <v>4</v>
      </c>
      <c r="I3167" s="20">
        <f>VLOOKUP(G3167,매칭테이블!D:E,2,0)</f>
        <v/>
      </c>
      <c r="J3167" s="20" t="n">
        <v>210101</v>
      </c>
      <c r="L3167" s="20">
        <f>VLOOKUP($O3167,매칭테이블!$G:$J,2,0)*H3167</f>
        <v/>
      </c>
      <c r="M3167" s="20">
        <f>L3167-L3167*VLOOKUP($O3167,매칭테이블!$G:$J,3,0)</f>
        <v/>
      </c>
      <c r="N3167" s="20">
        <f>VLOOKUP($O3167,매칭테이블!$G:$J,4,0)*H3167</f>
        <v/>
      </c>
      <c r="O3167" s="20">
        <f>F3167&amp;E3167&amp;G3167&amp;J3167</f>
        <v/>
      </c>
    </row>
    <row r="3168" ht="16.5" customHeight="1" s="17">
      <c r="B3168" s="16" t="n">
        <v>44231</v>
      </c>
      <c r="C3168" s="20">
        <f>TEXT(B3168,"aaa")</f>
        <v/>
      </c>
      <c r="E3168" s="20">
        <f>INDEX(매칭테이블!C:C,MATCH(RD!G3168,매칭테이블!D:D,0))</f>
        <v/>
      </c>
      <c r="F3168" s="20" t="inlineStr">
        <is>
          <t>카페24</t>
        </is>
      </c>
      <c r="G3168" s="20" t="inlineStr">
        <is>
          <t>솔리드퍼퓸 이그나이트 001제품선택=이그나이트 솔리드퍼퓸 - 30ml</t>
        </is>
      </c>
      <c r="H3168" s="20" t="n">
        <v>5</v>
      </c>
      <c r="I3168" s="20">
        <f>VLOOKUP(G3168,매칭테이블!D:E,2,0)</f>
        <v/>
      </c>
      <c r="J3168" s="20" t="n">
        <v>210101</v>
      </c>
      <c r="L3168" s="20">
        <f>VLOOKUP($O3168,매칭테이블!$G:$J,2,0)*H3168</f>
        <v/>
      </c>
      <c r="M3168" s="20">
        <f>L3168-L3168*VLOOKUP($O3168,매칭테이블!$G:$J,3,0)</f>
        <v/>
      </c>
      <c r="N3168" s="20">
        <f>VLOOKUP($O3168,매칭테이블!$G:$J,4,0)*H3168</f>
        <v/>
      </c>
      <c r="O3168" s="20">
        <f>F3168&amp;E3168&amp;G3168&amp;J3168</f>
        <v/>
      </c>
    </row>
    <row r="3169" ht="16.5" customHeight="1" s="17">
      <c r="B3169" s="16" t="n">
        <v>44231</v>
      </c>
      <c r="C3169" s="20">
        <f>TEXT(B3169,"aaa")</f>
        <v/>
      </c>
      <c r="E3169" s="20">
        <f>INDEX(매칭테이블!C:C,MATCH(RD!G3169,매칭테이블!D:D,0))</f>
        <v/>
      </c>
      <c r="F3169" s="20" t="inlineStr">
        <is>
          <t>카페24</t>
        </is>
      </c>
      <c r="G3169" s="20" t="inlineStr">
        <is>
          <t>솔리드퍼퓸 이그나이트 001제품선택=이그나이트 2개 세트</t>
        </is>
      </c>
      <c r="H3169" s="20" t="n">
        <v>1</v>
      </c>
      <c r="I3169" s="20">
        <f>VLOOKUP(G3169,매칭테이블!D:E,2,0)</f>
        <v/>
      </c>
      <c r="J3169" s="20" t="n">
        <v>210101</v>
      </c>
      <c r="L3169" s="20">
        <f>VLOOKUP($O3169,매칭테이블!$G:$J,2,0)*H3169</f>
        <v/>
      </c>
      <c r="M3169" s="20">
        <f>L3169-L3169*VLOOKUP($O3169,매칭테이블!$G:$J,3,0)</f>
        <v/>
      </c>
      <c r="N3169" s="20">
        <f>VLOOKUP($O3169,매칭테이블!$G:$J,4,0)*H3169</f>
        <v/>
      </c>
      <c r="O3169" s="20">
        <f>F3169&amp;E3169&amp;G3169&amp;J3169</f>
        <v/>
      </c>
    </row>
    <row r="3170" ht="16.5" customHeight="1" s="17">
      <c r="B3170" s="16" t="n">
        <v>44231</v>
      </c>
      <c r="C3170" s="20">
        <f>TEXT(B3170,"aaa")</f>
        <v/>
      </c>
      <c r="E3170" s="20">
        <f>INDEX(매칭테이블!C:C,MATCH(RD!G3170,매칭테이블!D:D,0))</f>
        <v/>
      </c>
      <c r="F3170" s="20" t="inlineStr">
        <is>
          <t>카페24</t>
        </is>
      </c>
      <c r="G3170" s="20" t="inlineStr">
        <is>
          <t>솔리드퍼퓸 이그나이트 001쇼핑백=선물용 쇼핑백</t>
        </is>
      </c>
      <c r="H3170" s="20" t="n">
        <v>3</v>
      </c>
      <c r="I3170" s="20">
        <f>VLOOKUP(G3170,매칭테이블!D:E,2,0)</f>
        <v/>
      </c>
      <c r="J3170" s="20" t="n">
        <v>210101</v>
      </c>
      <c r="L3170" s="20">
        <f>VLOOKUP($O3170,매칭테이블!$G:$J,2,0)*H3170</f>
        <v/>
      </c>
      <c r="M3170" s="20">
        <f>L3170-L3170*VLOOKUP($O3170,매칭테이블!$G:$J,3,0)</f>
        <v/>
      </c>
      <c r="N3170" s="20">
        <f>VLOOKUP($O3170,매칭테이블!$G:$J,4,0)*H3170</f>
        <v/>
      </c>
      <c r="O3170" s="20">
        <f>F3170&amp;E3170&amp;G3170&amp;J3170</f>
        <v/>
      </c>
    </row>
    <row r="3171" ht="16.5" customHeight="1" s="17">
      <c r="B3171" s="16" t="n">
        <v>44232</v>
      </c>
      <c r="C3171" s="20">
        <f>TEXT(B3171,"aaa")</f>
        <v/>
      </c>
      <c r="E3171" s="20">
        <f>INDEX(매칭테이블!C:C,MATCH(RD!G3171,매칭테이블!D:D,0))</f>
        <v/>
      </c>
      <c r="F3171" s="20" t="inlineStr">
        <is>
          <t>카페24</t>
        </is>
      </c>
      <c r="G3171" s="20" t="inlineStr">
        <is>
          <t>선물용 쇼핑백</t>
        </is>
      </c>
      <c r="H3171" s="20" t="n">
        <v>1</v>
      </c>
      <c r="I3171" s="20">
        <f>VLOOKUP(G3171,매칭테이블!D:E,2,0)</f>
        <v/>
      </c>
      <c r="J3171" s="20" t="n">
        <v>210101</v>
      </c>
      <c r="L3171" s="20">
        <f>VLOOKUP($O3171,매칭테이블!$G:$J,2,0)*H3171</f>
        <v/>
      </c>
      <c r="M3171" s="20">
        <f>L3171-L3171*VLOOKUP($O3171,매칭테이블!$G:$J,3,0)</f>
        <v/>
      </c>
      <c r="N3171" s="20">
        <f>VLOOKUP($O3171,매칭테이블!$G:$J,4,0)*H3171</f>
        <v/>
      </c>
      <c r="O3171" s="20">
        <f>F3171&amp;E3171&amp;G3171&amp;J3171</f>
        <v/>
      </c>
    </row>
    <row r="3172" ht="16.5" customHeight="1" s="17">
      <c r="B3172" s="16" t="n">
        <v>44232</v>
      </c>
      <c r="C3172" s="20">
        <f>TEXT(B3172,"aaa")</f>
        <v/>
      </c>
      <c r="E3172" s="20">
        <f>INDEX(매칭테이블!C:C,MATCH(RD!G3172,매칭테이블!D:D,0))</f>
        <v/>
      </c>
      <c r="F3172" s="20" t="inlineStr">
        <is>
          <t>카페24</t>
        </is>
      </c>
      <c r="G3172" s="20" t="inlineStr">
        <is>
          <t>솔리드퍼퓸 세트향=이그나이트 001 SOLID PERFUME, 세트 선택=1개</t>
        </is>
      </c>
      <c r="H3172" s="20" t="n">
        <v>3</v>
      </c>
      <c r="I3172" s="20">
        <f>VLOOKUP(G3172,매칭테이블!D:E,2,0)</f>
        <v/>
      </c>
      <c r="J3172" s="20" t="n">
        <v>210101</v>
      </c>
      <c r="L3172" s="20">
        <f>VLOOKUP($O3172,매칭테이블!$G:$J,2,0)*H3172</f>
        <v/>
      </c>
      <c r="M3172" s="20">
        <f>L3172-L3172*VLOOKUP($O3172,매칭테이블!$G:$J,3,0)</f>
        <v/>
      </c>
      <c r="N3172" s="20">
        <f>VLOOKUP($O3172,매칭테이블!$G:$J,4,0)*H3172</f>
        <v/>
      </c>
      <c r="O3172" s="20">
        <f>F3172&amp;E3172&amp;G3172&amp;J3172</f>
        <v/>
      </c>
    </row>
    <row r="3173" ht="16.5" customHeight="1" s="17">
      <c r="B3173" s="16" t="n">
        <v>44232</v>
      </c>
      <c r="C3173" s="20">
        <f>TEXT(B3173,"aaa")</f>
        <v/>
      </c>
      <c r="E3173" s="20">
        <f>INDEX(매칭테이블!C:C,MATCH(RD!G3173,매칭테이블!D:D,0))</f>
        <v/>
      </c>
      <c r="F3173" s="20" t="inlineStr">
        <is>
          <t>카페24</t>
        </is>
      </c>
      <c r="G3173" s="20" t="inlineStr">
        <is>
          <t>솔리드퍼퓸 세트향=이그나이트 001 SOLID PERFUME, 세트 선택=best 2개 (28% 할인)</t>
        </is>
      </c>
      <c r="H3173" s="20" t="n">
        <v>5</v>
      </c>
      <c r="I3173" s="20">
        <f>VLOOKUP(G3173,매칭테이블!D:E,2,0)</f>
        <v/>
      </c>
      <c r="J3173" s="20" t="n">
        <v>210101</v>
      </c>
      <c r="L3173" s="20">
        <f>VLOOKUP($O3173,매칭테이블!$G:$J,2,0)*H3173</f>
        <v/>
      </c>
      <c r="M3173" s="20">
        <f>L3173-L3173*VLOOKUP($O3173,매칭테이블!$G:$J,3,0)</f>
        <v/>
      </c>
      <c r="N3173" s="20">
        <f>VLOOKUP($O3173,매칭테이블!$G:$J,4,0)*H3173</f>
        <v/>
      </c>
      <c r="O3173" s="20">
        <f>F3173&amp;E3173&amp;G3173&amp;J3173</f>
        <v/>
      </c>
    </row>
    <row r="3174" ht="16.5" customHeight="1" s="17">
      <c r="B3174" s="16" t="n">
        <v>44232</v>
      </c>
      <c r="C3174" s="20">
        <f>TEXT(B3174,"aaa")</f>
        <v/>
      </c>
      <c r="E3174" s="20">
        <f>INDEX(매칭테이블!C:C,MATCH(RD!G3174,매칭테이블!D:D,0))</f>
        <v/>
      </c>
      <c r="F3174" s="20" t="inlineStr">
        <is>
          <t>카페24</t>
        </is>
      </c>
      <c r="G3174" s="20" t="inlineStr">
        <is>
          <t>솔리드퍼퓸 세트향=스테이포에버 002 SOLID PERFUME, 세트 선택=1개</t>
        </is>
      </c>
      <c r="H3174" s="20" t="n">
        <v>11</v>
      </c>
      <c r="I3174" s="20">
        <f>VLOOKUP(G3174,매칭테이블!D:E,2,0)</f>
        <v/>
      </c>
      <c r="J3174" s="20" t="n">
        <v>210101</v>
      </c>
      <c r="L3174" s="20">
        <f>VLOOKUP($O3174,매칭테이블!$G:$J,2,0)*H3174</f>
        <v/>
      </c>
      <c r="M3174" s="20">
        <f>L3174-L3174*VLOOKUP($O3174,매칭테이블!$G:$J,3,0)</f>
        <v/>
      </c>
      <c r="N3174" s="20">
        <f>VLOOKUP($O3174,매칭테이블!$G:$J,4,0)*H3174</f>
        <v/>
      </c>
      <c r="O3174" s="20">
        <f>F3174&amp;E3174&amp;G3174&amp;J3174</f>
        <v/>
      </c>
    </row>
    <row r="3175" ht="16.5" customHeight="1" s="17">
      <c r="B3175" s="16" t="n">
        <v>44232</v>
      </c>
      <c r="C3175" s="20">
        <f>TEXT(B3175,"aaa")</f>
        <v/>
      </c>
      <c r="E3175" s="20">
        <f>INDEX(매칭테이블!C:C,MATCH(RD!G3175,매칭테이블!D:D,0))</f>
        <v/>
      </c>
      <c r="F3175" s="20" t="inlineStr">
        <is>
          <t>카페24</t>
        </is>
      </c>
      <c r="G3175" s="20" t="inlineStr">
        <is>
          <t>솔리드퍼퓸 세트향=스테이포에버 002 SOLID PERFUME, 세트 선택=best 2개 (28% 할인)</t>
        </is>
      </c>
      <c r="H3175" s="20" t="n">
        <v>13</v>
      </c>
      <c r="I3175" s="20">
        <f>VLOOKUP(G3175,매칭테이블!D:E,2,0)</f>
        <v/>
      </c>
      <c r="J3175" s="20" t="n">
        <v>210101</v>
      </c>
      <c r="L3175" s="20">
        <f>VLOOKUP($O3175,매칭테이블!$G:$J,2,0)*H3175</f>
        <v/>
      </c>
      <c r="M3175" s="20">
        <f>L3175-L3175*VLOOKUP($O3175,매칭테이블!$G:$J,3,0)</f>
        <v/>
      </c>
      <c r="N3175" s="20">
        <f>VLOOKUP($O3175,매칭테이블!$G:$J,4,0)*H3175</f>
        <v/>
      </c>
      <c r="O3175" s="20">
        <f>F3175&amp;E3175&amp;G3175&amp;J3175</f>
        <v/>
      </c>
    </row>
    <row r="3176" ht="16.5" customHeight="1" s="17">
      <c r="B3176" s="16" t="n">
        <v>44232</v>
      </c>
      <c r="C3176" s="20">
        <f>TEXT(B3176,"aaa")</f>
        <v/>
      </c>
      <c r="E3176" s="20">
        <f>INDEX(매칭테이블!C:C,MATCH(RD!G3176,매칭테이블!D:D,0))</f>
        <v/>
      </c>
      <c r="F3176" s="20" t="inlineStr">
        <is>
          <t>카페24</t>
        </is>
      </c>
      <c r="G3176" s="20" t="inlineStr">
        <is>
          <t>솔리드퍼퓸 세트향=커플세트(이그나이트 + 스테이포에버), 세트 선택=1 SET</t>
        </is>
      </c>
      <c r="H3176" s="20" t="n">
        <v>15</v>
      </c>
      <c r="I3176" s="20">
        <f>VLOOKUP(G3176,매칭테이블!D:E,2,0)</f>
        <v/>
      </c>
      <c r="J3176" s="20" t="n">
        <v>210101</v>
      </c>
      <c r="L3176" s="20">
        <f>VLOOKUP($O3176,매칭테이블!$G:$J,2,0)*H3176</f>
        <v/>
      </c>
      <c r="M3176" s="20">
        <f>L3176-L3176*VLOOKUP($O3176,매칭테이블!$G:$J,3,0)</f>
        <v/>
      </c>
      <c r="N3176" s="20">
        <f>VLOOKUP($O3176,매칭테이블!$G:$J,4,0)*H3176</f>
        <v/>
      </c>
      <c r="O3176" s="20">
        <f>F3176&amp;E3176&amp;G3176&amp;J3176</f>
        <v/>
      </c>
    </row>
    <row r="3177" ht="16.5" customHeight="1" s="17">
      <c r="B3177" s="16" t="n">
        <v>44232</v>
      </c>
      <c r="C3177" s="20">
        <f>TEXT(B3177,"aaa")</f>
        <v/>
      </c>
      <c r="E3177" s="20">
        <f>INDEX(매칭테이블!C:C,MATCH(RD!G3177,매칭테이블!D:D,0))</f>
        <v/>
      </c>
      <c r="F3177" s="20" t="inlineStr">
        <is>
          <t>카페24</t>
        </is>
      </c>
      <c r="G3177" s="20" t="inlineStr">
        <is>
          <t>솔리드퍼퓸 세트향=커플세트(이그나이트 + 스테이포에버), 세트 선택=2 SET (42% 할인)</t>
        </is>
      </c>
      <c r="H3177" s="20" t="n">
        <v>1</v>
      </c>
      <c r="I3177" s="20">
        <f>VLOOKUP(G3177,매칭테이블!D:E,2,0)</f>
        <v/>
      </c>
      <c r="J3177" s="20" t="n">
        <v>210101</v>
      </c>
      <c r="L3177" s="20">
        <f>VLOOKUP($O3177,매칭테이블!$G:$J,2,0)*H3177</f>
        <v/>
      </c>
      <c r="M3177" s="20">
        <f>L3177-L3177*VLOOKUP($O3177,매칭테이블!$G:$J,3,0)</f>
        <v/>
      </c>
      <c r="N3177" s="20">
        <f>VLOOKUP($O3177,매칭테이블!$G:$J,4,0)*H3177</f>
        <v/>
      </c>
      <c r="O3177" s="20">
        <f>F3177&amp;E3177&amp;G3177&amp;J3177</f>
        <v/>
      </c>
    </row>
    <row r="3178" ht="16.5" customHeight="1" s="17">
      <c r="B3178" s="16" t="n">
        <v>44232</v>
      </c>
      <c r="C3178" s="20">
        <f>TEXT(B3178,"aaa")</f>
        <v/>
      </c>
      <c r="E3178" s="20">
        <f>INDEX(매칭테이블!C:C,MATCH(RD!G3178,매칭테이블!D:D,0))</f>
        <v/>
      </c>
      <c r="F3178" s="20" t="inlineStr">
        <is>
          <t>카페24</t>
        </is>
      </c>
      <c r="G3178" s="20" t="inlineStr">
        <is>
          <t>솔리드퍼퓸 스테이포에버 002제품선택=스테이포에버 1개</t>
        </is>
      </c>
      <c r="H3178" s="20" t="n">
        <v>174</v>
      </c>
      <c r="I3178" s="20">
        <f>VLOOKUP(G3178,매칭테이블!D:E,2,0)</f>
        <v/>
      </c>
      <c r="J3178" s="20" t="n">
        <v>210101</v>
      </c>
      <c r="L3178" s="20">
        <f>VLOOKUP($O3178,매칭테이블!$G:$J,2,0)*H3178</f>
        <v/>
      </c>
      <c r="M3178" s="20">
        <f>L3178-L3178*VLOOKUP($O3178,매칭테이블!$G:$J,3,0)</f>
        <v/>
      </c>
      <c r="N3178" s="20">
        <f>VLOOKUP($O3178,매칭테이블!$G:$J,4,0)*H3178</f>
        <v/>
      </c>
      <c r="O3178" s="20">
        <f>F3178&amp;E3178&amp;G3178&amp;J3178</f>
        <v/>
      </c>
    </row>
    <row r="3179" ht="16.5" customHeight="1" s="17">
      <c r="B3179" s="16" t="n">
        <v>44232</v>
      </c>
      <c r="C3179" s="20">
        <f>TEXT(B3179,"aaa")</f>
        <v/>
      </c>
      <c r="E3179" s="20">
        <f>INDEX(매칭테이블!C:C,MATCH(RD!G3179,매칭테이블!D:D,0))</f>
        <v/>
      </c>
      <c r="F3179" s="20" t="inlineStr">
        <is>
          <t>카페24</t>
        </is>
      </c>
      <c r="G3179" s="20" t="inlineStr">
        <is>
          <t>솔리드퍼퓸 스테이포에버 002제품선택=best스테이포에버 2개[28% 할인]</t>
        </is>
      </c>
      <c r="H3179" s="20" t="n">
        <v>117</v>
      </c>
      <c r="I3179" s="20">
        <f>VLOOKUP(G3179,매칭테이블!D:E,2,0)</f>
        <v/>
      </c>
      <c r="J3179" s="20" t="n">
        <v>210101</v>
      </c>
      <c r="L3179" s="20">
        <f>VLOOKUP($O3179,매칭테이블!$G:$J,2,0)*H3179</f>
        <v/>
      </c>
      <c r="M3179" s="20">
        <f>L3179-L3179*VLOOKUP($O3179,매칭테이블!$G:$J,3,0)</f>
        <v/>
      </c>
      <c r="N3179" s="20">
        <f>VLOOKUP($O3179,매칭테이블!$G:$J,4,0)*H3179</f>
        <v/>
      </c>
      <c r="O3179" s="20">
        <f>F3179&amp;E3179&amp;G3179&amp;J3179</f>
        <v/>
      </c>
    </row>
    <row r="3180" ht="16.5" customHeight="1" s="17">
      <c r="B3180" s="16" t="n">
        <v>44232</v>
      </c>
      <c r="C3180" s="20">
        <f>TEXT(B3180,"aaa")</f>
        <v/>
      </c>
      <c r="E3180" s="20">
        <f>INDEX(매칭테이블!C:C,MATCH(RD!G3180,매칭테이블!D:D,0))</f>
        <v/>
      </c>
      <c r="F3180" s="20" t="inlineStr">
        <is>
          <t>카페24</t>
        </is>
      </c>
      <c r="G3180" s="20" t="inlineStr">
        <is>
          <t>솔리드퍼퓸 스테이포에버 002제품선택=커플추천스테이포에버 + 이그나이트 세트</t>
        </is>
      </c>
      <c r="H3180" s="20" t="n">
        <v>16</v>
      </c>
      <c r="I3180" s="20">
        <f>VLOOKUP(G3180,매칭테이블!D:E,2,0)</f>
        <v/>
      </c>
      <c r="J3180" s="20" t="n">
        <v>210101</v>
      </c>
      <c r="L3180" s="20">
        <f>VLOOKUP($O3180,매칭테이블!$G:$J,2,0)*H3180</f>
        <v/>
      </c>
      <c r="M3180" s="20">
        <f>L3180-L3180*VLOOKUP($O3180,매칭테이블!$G:$J,3,0)</f>
        <v/>
      </c>
      <c r="N3180" s="20">
        <f>VLOOKUP($O3180,매칭테이블!$G:$J,4,0)*H3180</f>
        <v/>
      </c>
      <c r="O3180" s="20">
        <f>F3180&amp;E3180&amp;G3180&amp;J3180</f>
        <v/>
      </c>
    </row>
    <row r="3181" ht="16.5" customHeight="1" s="17">
      <c r="B3181" s="16" t="n">
        <v>44232</v>
      </c>
      <c r="C3181" s="20">
        <f>TEXT(B3181,"aaa")</f>
        <v/>
      </c>
      <c r="E3181" s="20">
        <f>INDEX(매칭테이블!C:C,MATCH(RD!G3181,매칭테이블!D:D,0))</f>
        <v/>
      </c>
      <c r="F3181" s="20" t="inlineStr">
        <is>
          <t>카페24</t>
        </is>
      </c>
      <c r="G3181" s="20" t="inlineStr">
        <is>
          <t>솔리드퍼퓸 스테이포에버 002쇼핑백=선물용 쇼핑백</t>
        </is>
      </c>
      <c r="H3181" s="20" t="n">
        <v>8</v>
      </c>
      <c r="I3181" s="20">
        <f>VLOOKUP(G3181,매칭테이블!D:E,2,0)</f>
        <v/>
      </c>
      <c r="J3181" s="20" t="n">
        <v>210101</v>
      </c>
      <c r="L3181" s="20">
        <f>VLOOKUP($O3181,매칭테이블!$G:$J,2,0)*H3181</f>
        <v/>
      </c>
      <c r="M3181" s="20">
        <f>L3181-L3181*VLOOKUP($O3181,매칭테이블!$G:$J,3,0)</f>
        <v/>
      </c>
      <c r="N3181" s="20">
        <f>VLOOKUP($O3181,매칭테이블!$G:$J,4,0)*H3181</f>
        <v/>
      </c>
      <c r="O3181" s="20">
        <f>F3181&amp;E3181&amp;G3181&amp;J3181</f>
        <v/>
      </c>
    </row>
    <row r="3182" ht="16.5" customHeight="1" s="17">
      <c r="B3182" s="16" t="n">
        <v>44232</v>
      </c>
      <c r="C3182" s="20">
        <f>TEXT(B3182,"aaa")</f>
        <v/>
      </c>
      <c r="E3182" s="20">
        <f>INDEX(매칭테이블!C:C,MATCH(RD!G3182,매칭테이블!D:D,0))</f>
        <v/>
      </c>
      <c r="F3182" s="20" t="inlineStr">
        <is>
          <t>카페24</t>
        </is>
      </c>
      <c r="G3182" s="20" t="inlineStr">
        <is>
          <t>솔리드퍼퓸 이그나이트 001제품선택=이그나이트 2개 세트</t>
        </is>
      </c>
      <c r="H3182" s="20" t="n">
        <v>1</v>
      </c>
      <c r="I3182" s="20">
        <f>VLOOKUP(G3182,매칭테이블!D:E,2,0)</f>
        <v/>
      </c>
      <c r="J3182" s="20" t="n">
        <v>210101</v>
      </c>
      <c r="L3182" s="20">
        <f>VLOOKUP($O3182,매칭테이블!$G:$J,2,0)*H3182</f>
        <v/>
      </c>
      <c r="M3182" s="20">
        <f>L3182-L3182*VLOOKUP($O3182,매칭테이블!$G:$J,3,0)</f>
        <v/>
      </c>
      <c r="N3182" s="20">
        <f>VLOOKUP($O3182,매칭테이블!$G:$J,4,0)*H3182</f>
        <v/>
      </c>
      <c r="O3182" s="20">
        <f>F3182&amp;E3182&amp;G3182&amp;J3182</f>
        <v/>
      </c>
    </row>
    <row r="3183" ht="16.5" customHeight="1" s="17">
      <c r="B3183" s="16" t="n">
        <v>44233</v>
      </c>
      <c r="C3183" s="20">
        <f>TEXT(B3183,"aaa")</f>
        <v/>
      </c>
      <c r="E3183" s="20">
        <f>INDEX(매칭테이블!C:C,MATCH(RD!G3183,매칭테이블!D:D,0))</f>
        <v/>
      </c>
      <c r="F3183" s="20" t="inlineStr">
        <is>
          <t>카페24</t>
        </is>
      </c>
      <c r="G3183" s="20" t="inlineStr">
        <is>
          <t>솔리드퍼퓸 세트향=이그나이트 001 SOLID PERFUME, 세트 선택=1개</t>
        </is>
      </c>
      <c r="H3183" s="20" t="n">
        <v>5</v>
      </c>
      <c r="I3183" s="20">
        <f>VLOOKUP(G3183,매칭테이블!D:E,2,0)</f>
        <v/>
      </c>
      <c r="J3183" s="20" t="n">
        <v>210101</v>
      </c>
      <c r="L3183" s="20">
        <f>VLOOKUP($O3183,매칭테이블!$G:$J,2,0)*H3183</f>
        <v/>
      </c>
      <c r="M3183" s="20">
        <f>L3183-L3183*VLOOKUP($O3183,매칭테이블!$G:$J,3,0)</f>
        <v/>
      </c>
      <c r="N3183" s="20">
        <f>VLOOKUP($O3183,매칭테이블!$G:$J,4,0)*H3183</f>
        <v/>
      </c>
      <c r="O3183" s="20">
        <f>F3183&amp;E3183&amp;G3183&amp;J3183</f>
        <v/>
      </c>
    </row>
    <row r="3184" ht="16.5" customHeight="1" s="17">
      <c r="B3184" s="16" t="n">
        <v>44233</v>
      </c>
      <c r="C3184" s="20">
        <f>TEXT(B3184,"aaa")</f>
        <v/>
      </c>
      <c r="E3184" s="20">
        <f>INDEX(매칭테이블!C:C,MATCH(RD!G3184,매칭테이블!D:D,0))</f>
        <v/>
      </c>
      <c r="F3184" s="20" t="inlineStr">
        <is>
          <t>카페24</t>
        </is>
      </c>
      <c r="G3184" s="20" t="inlineStr">
        <is>
          <t>솔리드퍼퓸 세트향=스테이포에버 002 SOLID PERFUME, 세트 선택=1개</t>
        </is>
      </c>
      <c r="H3184" s="20" t="n">
        <v>12</v>
      </c>
      <c r="I3184" s="20">
        <f>VLOOKUP(G3184,매칭테이블!D:E,2,0)</f>
        <v/>
      </c>
      <c r="J3184" s="20" t="n">
        <v>210101</v>
      </c>
      <c r="L3184" s="20">
        <f>VLOOKUP($O3184,매칭테이블!$G:$J,2,0)*H3184</f>
        <v/>
      </c>
      <c r="M3184" s="20">
        <f>L3184-L3184*VLOOKUP($O3184,매칭테이블!$G:$J,3,0)</f>
        <v/>
      </c>
      <c r="N3184" s="20">
        <f>VLOOKUP($O3184,매칭테이블!$G:$J,4,0)*H3184</f>
        <v/>
      </c>
      <c r="O3184" s="20">
        <f>F3184&amp;E3184&amp;G3184&amp;J3184</f>
        <v/>
      </c>
    </row>
    <row r="3185" ht="16.5" customHeight="1" s="17">
      <c r="B3185" s="16" t="n">
        <v>44233</v>
      </c>
      <c r="C3185" s="20">
        <f>TEXT(B3185,"aaa")</f>
        <v/>
      </c>
      <c r="E3185" s="20">
        <f>INDEX(매칭테이블!C:C,MATCH(RD!G3185,매칭테이블!D:D,0))</f>
        <v/>
      </c>
      <c r="F3185" s="20" t="inlineStr">
        <is>
          <t>카페24</t>
        </is>
      </c>
      <c r="G3185" s="20" t="inlineStr">
        <is>
          <t>솔리드퍼퓸 세트향=스테이포에버 002 SOLID PERFUME, 세트 선택=best 2개 (28% 할인)</t>
        </is>
      </c>
      <c r="H3185" s="20" t="n">
        <v>11</v>
      </c>
      <c r="I3185" s="20">
        <f>VLOOKUP(G3185,매칭테이블!D:E,2,0)</f>
        <v/>
      </c>
      <c r="J3185" s="20" t="n">
        <v>210101</v>
      </c>
      <c r="L3185" s="20">
        <f>VLOOKUP($O3185,매칭테이블!$G:$J,2,0)*H3185</f>
        <v/>
      </c>
      <c r="M3185" s="20">
        <f>L3185-L3185*VLOOKUP($O3185,매칭테이블!$G:$J,3,0)</f>
        <v/>
      </c>
      <c r="N3185" s="20">
        <f>VLOOKUP($O3185,매칭테이블!$G:$J,4,0)*H3185</f>
        <v/>
      </c>
      <c r="O3185" s="20">
        <f>F3185&amp;E3185&amp;G3185&amp;J3185</f>
        <v/>
      </c>
    </row>
    <row r="3186" ht="16.5" customHeight="1" s="17">
      <c r="B3186" s="16" t="n">
        <v>44233</v>
      </c>
      <c r="C3186" s="20">
        <f>TEXT(B3186,"aaa")</f>
        <v/>
      </c>
      <c r="E3186" s="20">
        <f>INDEX(매칭테이블!C:C,MATCH(RD!G3186,매칭테이블!D:D,0))</f>
        <v/>
      </c>
      <c r="F3186" s="20" t="inlineStr">
        <is>
          <t>카페24</t>
        </is>
      </c>
      <c r="G3186" s="20" t="inlineStr">
        <is>
          <t>솔리드퍼퓸 세트향=커플세트(이그나이트 + 스테이포에버), 세트 선택=1 SET</t>
        </is>
      </c>
      <c r="H3186" s="20" t="n">
        <v>25</v>
      </c>
      <c r="I3186" s="20">
        <f>VLOOKUP(G3186,매칭테이블!D:E,2,0)</f>
        <v/>
      </c>
      <c r="J3186" s="20" t="n">
        <v>210101</v>
      </c>
      <c r="L3186" s="20">
        <f>VLOOKUP($O3186,매칭테이블!$G:$J,2,0)*H3186</f>
        <v/>
      </c>
      <c r="M3186" s="20">
        <f>L3186-L3186*VLOOKUP($O3186,매칭테이블!$G:$J,3,0)</f>
        <v/>
      </c>
      <c r="N3186" s="20">
        <f>VLOOKUP($O3186,매칭테이블!$G:$J,4,0)*H3186</f>
        <v/>
      </c>
      <c r="O3186" s="20">
        <f>F3186&amp;E3186&amp;G3186&amp;J3186</f>
        <v/>
      </c>
    </row>
    <row r="3187" ht="16.5" customHeight="1" s="17">
      <c r="B3187" s="16" t="n">
        <v>44233</v>
      </c>
      <c r="C3187" s="20">
        <f>TEXT(B3187,"aaa")</f>
        <v/>
      </c>
      <c r="E3187" s="20">
        <f>INDEX(매칭테이블!C:C,MATCH(RD!G3187,매칭테이블!D:D,0))</f>
        <v/>
      </c>
      <c r="F3187" s="20" t="inlineStr">
        <is>
          <t>카페24</t>
        </is>
      </c>
      <c r="G3187" s="20" t="inlineStr">
        <is>
          <t>솔리드퍼퓸 세트향=커플세트(이그나이트 + 스테이포에버), 세트 선택=2 SET (42% 할인)</t>
        </is>
      </c>
      <c r="H3187" s="20" t="n">
        <v>2</v>
      </c>
      <c r="I3187" s="20">
        <f>VLOOKUP(G3187,매칭테이블!D:E,2,0)</f>
        <v/>
      </c>
      <c r="J3187" s="20" t="n">
        <v>210101</v>
      </c>
      <c r="L3187" s="20">
        <f>VLOOKUP($O3187,매칭테이블!$G:$J,2,0)*H3187</f>
        <v/>
      </c>
      <c r="M3187" s="20">
        <f>L3187-L3187*VLOOKUP($O3187,매칭테이블!$G:$J,3,0)</f>
        <v/>
      </c>
      <c r="N3187" s="20">
        <f>VLOOKUP($O3187,매칭테이블!$G:$J,4,0)*H3187</f>
        <v/>
      </c>
      <c r="O3187" s="20">
        <f>F3187&amp;E3187&amp;G3187&amp;J3187</f>
        <v/>
      </c>
    </row>
    <row r="3188" ht="16.5" customHeight="1" s="17">
      <c r="B3188" s="16" t="n">
        <v>44233</v>
      </c>
      <c r="C3188" s="20">
        <f>TEXT(B3188,"aaa")</f>
        <v/>
      </c>
      <c r="E3188" s="20">
        <f>INDEX(매칭테이블!C:C,MATCH(RD!G3188,매칭테이블!D:D,0))</f>
        <v/>
      </c>
      <c r="F3188" s="20" t="inlineStr">
        <is>
          <t>카페24</t>
        </is>
      </c>
      <c r="G3188" s="20" t="inlineStr">
        <is>
          <t>솔리드퍼퓸 스테이포에버 002제품선택=스테이포에버 1개</t>
        </is>
      </c>
      <c r="H3188" s="20" t="n">
        <v>187</v>
      </c>
      <c r="I3188" s="20">
        <f>VLOOKUP(G3188,매칭테이블!D:E,2,0)</f>
        <v/>
      </c>
      <c r="J3188" s="20" t="n">
        <v>210101</v>
      </c>
      <c r="L3188" s="20">
        <f>VLOOKUP($O3188,매칭테이블!$G:$J,2,0)*H3188</f>
        <v/>
      </c>
      <c r="M3188" s="20">
        <f>L3188-L3188*VLOOKUP($O3188,매칭테이블!$G:$J,3,0)</f>
        <v/>
      </c>
      <c r="N3188" s="20">
        <f>VLOOKUP($O3188,매칭테이블!$G:$J,4,0)*H3188</f>
        <v/>
      </c>
      <c r="O3188" s="20">
        <f>F3188&amp;E3188&amp;G3188&amp;J3188</f>
        <v/>
      </c>
    </row>
    <row r="3189" ht="16.5" customHeight="1" s="17">
      <c r="B3189" s="16" t="n">
        <v>44233</v>
      </c>
      <c r="C3189" s="20">
        <f>TEXT(B3189,"aaa")</f>
        <v/>
      </c>
      <c r="E3189" s="20">
        <f>INDEX(매칭테이블!C:C,MATCH(RD!G3189,매칭테이블!D:D,0))</f>
        <v/>
      </c>
      <c r="F3189" s="20" t="inlineStr">
        <is>
          <t>카페24</t>
        </is>
      </c>
      <c r="G3189" s="20" t="inlineStr">
        <is>
          <t>솔리드퍼퓸 스테이포에버 002제품선택=best스테이포에버 2개[28% 할인]</t>
        </is>
      </c>
      <c r="H3189" s="20" t="n">
        <v>134</v>
      </c>
      <c r="I3189" s="20">
        <f>VLOOKUP(G3189,매칭테이블!D:E,2,0)</f>
        <v/>
      </c>
      <c r="J3189" s="20" t="n">
        <v>210101</v>
      </c>
      <c r="L3189" s="20">
        <f>VLOOKUP($O3189,매칭테이블!$G:$J,2,0)*H3189</f>
        <v/>
      </c>
      <c r="M3189" s="20">
        <f>L3189-L3189*VLOOKUP($O3189,매칭테이블!$G:$J,3,0)</f>
        <v/>
      </c>
      <c r="N3189" s="20">
        <f>VLOOKUP($O3189,매칭테이블!$G:$J,4,0)*H3189</f>
        <v/>
      </c>
      <c r="O3189" s="20">
        <f>F3189&amp;E3189&amp;G3189&amp;J3189</f>
        <v/>
      </c>
    </row>
    <row r="3190" ht="16.5" customHeight="1" s="17">
      <c r="B3190" s="16" t="n">
        <v>44233</v>
      </c>
      <c r="C3190" s="20">
        <f>TEXT(B3190,"aaa")</f>
        <v/>
      </c>
      <c r="E3190" s="20">
        <f>INDEX(매칭테이블!C:C,MATCH(RD!G3190,매칭테이블!D:D,0))</f>
        <v/>
      </c>
      <c r="F3190" s="20" t="inlineStr">
        <is>
          <t>카페24</t>
        </is>
      </c>
      <c r="G3190" s="20" t="inlineStr">
        <is>
          <t>솔리드퍼퓸 스테이포에버 002제품선택=커플추천스테이포에버 + 이그나이트 세트</t>
        </is>
      </c>
      <c r="H3190" s="20" t="n">
        <v>15</v>
      </c>
      <c r="I3190" s="20">
        <f>VLOOKUP(G3190,매칭테이블!D:E,2,0)</f>
        <v/>
      </c>
      <c r="J3190" s="20" t="n">
        <v>210101</v>
      </c>
      <c r="L3190" s="20">
        <f>VLOOKUP($O3190,매칭테이블!$G:$J,2,0)*H3190</f>
        <v/>
      </c>
      <c r="M3190" s="20">
        <f>L3190-L3190*VLOOKUP($O3190,매칭테이블!$G:$J,3,0)</f>
        <v/>
      </c>
      <c r="N3190" s="20">
        <f>VLOOKUP($O3190,매칭테이블!$G:$J,4,0)*H3190</f>
        <v/>
      </c>
      <c r="O3190" s="20">
        <f>F3190&amp;E3190&amp;G3190&amp;J3190</f>
        <v/>
      </c>
    </row>
    <row r="3191" ht="16.5" customHeight="1" s="17">
      <c r="B3191" s="16" t="n">
        <v>44233</v>
      </c>
      <c r="C3191" s="20">
        <f>TEXT(B3191,"aaa")</f>
        <v/>
      </c>
      <c r="E3191" s="20">
        <f>INDEX(매칭테이블!C:C,MATCH(RD!G3191,매칭테이블!D:D,0))</f>
        <v/>
      </c>
      <c r="F3191" s="20" t="inlineStr">
        <is>
          <t>카페24</t>
        </is>
      </c>
      <c r="G3191" s="20" t="inlineStr">
        <is>
          <t>솔리드퍼퓸 스테이포에버 002쇼핑백=선물용 쇼핑백</t>
        </is>
      </c>
      <c r="H3191" s="20" t="n">
        <v>5</v>
      </c>
      <c r="I3191" s="20">
        <f>VLOOKUP(G3191,매칭테이블!D:E,2,0)</f>
        <v/>
      </c>
      <c r="J3191" s="20" t="n">
        <v>210101</v>
      </c>
      <c r="L3191" s="20">
        <f>VLOOKUP($O3191,매칭테이블!$G:$J,2,0)*H3191</f>
        <v/>
      </c>
      <c r="M3191" s="20">
        <f>L3191-L3191*VLOOKUP($O3191,매칭테이블!$G:$J,3,0)</f>
        <v/>
      </c>
      <c r="N3191" s="20">
        <f>VLOOKUP($O3191,매칭테이블!$G:$J,4,0)*H3191</f>
        <v/>
      </c>
      <c r="O3191" s="20">
        <f>F3191&amp;E3191&amp;G3191&amp;J3191</f>
        <v/>
      </c>
    </row>
    <row r="3192" ht="16.5" customHeight="1" s="17">
      <c r="B3192" s="16" t="n">
        <v>44233</v>
      </c>
      <c r="C3192" s="20">
        <f>TEXT(B3192,"aaa")</f>
        <v/>
      </c>
      <c r="E3192" s="20">
        <f>INDEX(매칭테이블!C:C,MATCH(RD!G3192,매칭테이블!D:D,0))</f>
        <v/>
      </c>
      <c r="F3192" s="20" t="inlineStr">
        <is>
          <t>카페24</t>
        </is>
      </c>
      <c r="G3192" s="20" t="inlineStr">
        <is>
          <t>솔리드퍼퓸 이그나이트 001제품선택=이그나이트 2개 세트</t>
        </is>
      </c>
      <c r="H3192" s="20" t="n">
        <v>2</v>
      </c>
      <c r="I3192" s="20">
        <f>VLOOKUP(G3192,매칭테이블!D:E,2,0)</f>
        <v/>
      </c>
      <c r="J3192" s="20" t="n">
        <v>210101</v>
      </c>
      <c r="L3192" s="20">
        <f>VLOOKUP($O3192,매칭테이블!$G:$J,2,0)*H3192</f>
        <v/>
      </c>
      <c r="M3192" s="20">
        <f>L3192-L3192*VLOOKUP($O3192,매칭테이블!$G:$J,3,0)</f>
        <v/>
      </c>
      <c r="N3192" s="20">
        <f>VLOOKUP($O3192,매칭테이블!$G:$J,4,0)*H3192</f>
        <v/>
      </c>
      <c r="O3192" s="20">
        <f>F3192&amp;E3192&amp;G3192&amp;J3192</f>
        <v/>
      </c>
    </row>
    <row r="3193" ht="16.5" customHeight="1" s="17">
      <c r="B3193" s="16" t="n">
        <v>44234</v>
      </c>
      <c r="C3193" s="20">
        <f>TEXT(B3193,"aaa")</f>
        <v/>
      </c>
      <c r="E3193" s="20">
        <f>INDEX(매칭테이블!C:C,MATCH(RD!G3193,매칭테이블!D:D,0))</f>
        <v/>
      </c>
      <c r="F3193" s="20" t="inlineStr">
        <is>
          <t>카페24</t>
        </is>
      </c>
      <c r="G3193" s="20" t="inlineStr">
        <is>
          <t>솔리드퍼퓸 세트향=이그나이트 001 SOLID PERFUME, 세트 선택=1개</t>
        </is>
      </c>
      <c r="H3193" s="20" t="n">
        <v>2</v>
      </c>
      <c r="I3193" s="20">
        <f>VLOOKUP(G3193,매칭테이블!D:E,2,0)</f>
        <v/>
      </c>
      <c r="J3193" s="20" t="n">
        <v>210101</v>
      </c>
      <c r="L3193" s="20">
        <f>VLOOKUP($O3193,매칭테이블!$G:$J,2,0)*H3193</f>
        <v/>
      </c>
      <c r="M3193" s="20">
        <f>L3193-L3193*VLOOKUP($O3193,매칭테이블!$G:$J,3,0)</f>
        <v/>
      </c>
      <c r="N3193" s="20">
        <f>VLOOKUP($O3193,매칭테이블!$G:$J,4,0)*H3193</f>
        <v/>
      </c>
      <c r="O3193" s="20">
        <f>F3193&amp;E3193&amp;G3193&amp;J3193</f>
        <v/>
      </c>
    </row>
    <row r="3194" ht="16.5" customHeight="1" s="17">
      <c r="B3194" s="16" t="n">
        <v>44234</v>
      </c>
      <c r="C3194" s="20">
        <f>TEXT(B3194,"aaa")</f>
        <v/>
      </c>
      <c r="E3194" s="20">
        <f>INDEX(매칭테이블!C:C,MATCH(RD!G3194,매칭테이블!D:D,0))</f>
        <v/>
      </c>
      <c r="F3194" s="20" t="inlineStr">
        <is>
          <t>카페24</t>
        </is>
      </c>
      <c r="G3194" s="20" t="inlineStr">
        <is>
          <t>솔리드퍼퓸 세트향=스테이포에버 002 SOLID PERFUME, 세트 선택=1개</t>
        </is>
      </c>
      <c r="H3194" s="20" t="n">
        <v>15</v>
      </c>
      <c r="I3194" s="20">
        <f>VLOOKUP(G3194,매칭테이블!D:E,2,0)</f>
        <v/>
      </c>
      <c r="J3194" s="20" t="n">
        <v>210101</v>
      </c>
      <c r="L3194" s="20">
        <f>VLOOKUP($O3194,매칭테이블!$G:$J,2,0)*H3194</f>
        <v/>
      </c>
      <c r="M3194" s="20">
        <f>L3194-L3194*VLOOKUP($O3194,매칭테이블!$G:$J,3,0)</f>
        <v/>
      </c>
      <c r="N3194" s="20">
        <f>VLOOKUP($O3194,매칭테이블!$G:$J,4,0)*H3194</f>
        <v/>
      </c>
      <c r="O3194" s="20">
        <f>F3194&amp;E3194&amp;G3194&amp;J3194</f>
        <v/>
      </c>
    </row>
    <row r="3195" ht="16.5" customHeight="1" s="17">
      <c r="B3195" s="16" t="n">
        <v>44234</v>
      </c>
      <c r="C3195" s="20">
        <f>TEXT(B3195,"aaa")</f>
        <v/>
      </c>
      <c r="E3195" s="20">
        <f>INDEX(매칭테이블!C:C,MATCH(RD!G3195,매칭테이블!D:D,0))</f>
        <v/>
      </c>
      <c r="F3195" s="20" t="inlineStr">
        <is>
          <t>카페24</t>
        </is>
      </c>
      <c r="G3195" s="20" t="inlineStr">
        <is>
          <t>솔리드퍼퓸 세트향=스테이포에버 002 SOLID PERFUME, 세트 선택=best 2개 (28% 할인)</t>
        </is>
      </c>
      <c r="H3195" s="20" t="n">
        <v>9</v>
      </c>
      <c r="I3195" s="20">
        <f>VLOOKUP(G3195,매칭테이블!D:E,2,0)</f>
        <v/>
      </c>
      <c r="J3195" s="20" t="n">
        <v>210101</v>
      </c>
      <c r="L3195" s="20">
        <f>VLOOKUP($O3195,매칭테이블!$G:$J,2,0)*H3195</f>
        <v/>
      </c>
      <c r="M3195" s="20">
        <f>L3195-L3195*VLOOKUP($O3195,매칭테이블!$G:$J,3,0)</f>
        <v/>
      </c>
      <c r="N3195" s="20">
        <f>VLOOKUP($O3195,매칭테이블!$G:$J,4,0)*H3195</f>
        <v/>
      </c>
      <c r="O3195" s="20">
        <f>F3195&amp;E3195&amp;G3195&amp;J3195</f>
        <v/>
      </c>
    </row>
    <row r="3196" ht="16.5" customHeight="1" s="17">
      <c r="B3196" s="16" t="n">
        <v>44234</v>
      </c>
      <c r="C3196" s="20">
        <f>TEXT(B3196,"aaa")</f>
        <v/>
      </c>
      <c r="E3196" s="20">
        <f>INDEX(매칭테이블!C:C,MATCH(RD!G3196,매칭테이블!D:D,0))</f>
        <v/>
      </c>
      <c r="F3196" s="20" t="inlineStr">
        <is>
          <t>카페24</t>
        </is>
      </c>
      <c r="G3196" s="20" t="inlineStr">
        <is>
          <t>솔리드퍼퓸 세트향=커플세트(이그나이트 + 스테이포에버), 세트 선택=1 SET</t>
        </is>
      </c>
      <c r="H3196" s="20" t="n">
        <v>19</v>
      </c>
      <c r="I3196" s="20">
        <f>VLOOKUP(G3196,매칭테이블!D:E,2,0)</f>
        <v/>
      </c>
      <c r="J3196" s="20" t="n">
        <v>210101</v>
      </c>
      <c r="L3196" s="20">
        <f>VLOOKUP($O3196,매칭테이블!$G:$J,2,0)*H3196</f>
        <v/>
      </c>
      <c r="M3196" s="20">
        <f>L3196-L3196*VLOOKUP($O3196,매칭테이블!$G:$J,3,0)</f>
        <v/>
      </c>
      <c r="N3196" s="20">
        <f>VLOOKUP($O3196,매칭테이블!$G:$J,4,0)*H3196</f>
        <v/>
      </c>
      <c r="O3196" s="20">
        <f>F3196&amp;E3196&amp;G3196&amp;J3196</f>
        <v/>
      </c>
    </row>
    <row r="3197" ht="16.5" customHeight="1" s="17">
      <c r="B3197" s="16" t="n">
        <v>44234</v>
      </c>
      <c r="C3197" s="20">
        <f>TEXT(B3197,"aaa")</f>
        <v/>
      </c>
      <c r="E3197" s="20">
        <f>INDEX(매칭테이블!C:C,MATCH(RD!G3197,매칭테이블!D:D,0))</f>
        <v/>
      </c>
      <c r="F3197" s="20" t="inlineStr">
        <is>
          <t>카페24</t>
        </is>
      </c>
      <c r="G3197" s="20" t="inlineStr">
        <is>
          <t>솔리드퍼퓸 세트향=커플세트(이그나이트 + 스테이포에버), 세트 선택=2 SET (42% 할인)</t>
        </is>
      </c>
      <c r="H3197" s="20" t="n">
        <v>1</v>
      </c>
      <c r="I3197" s="20">
        <f>VLOOKUP(G3197,매칭테이블!D:E,2,0)</f>
        <v/>
      </c>
      <c r="J3197" s="20" t="n">
        <v>210101</v>
      </c>
      <c r="L3197" s="20">
        <f>VLOOKUP($O3197,매칭테이블!$G:$J,2,0)*H3197</f>
        <v/>
      </c>
      <c r="M3197" s="20">
        <f>L3197-L3197*VLOOKUP($O3197,매칭테이블!$G:$J,3,0)</f>
        <v/>
      </c>
      <c r="N3197" s="20">
        <f>VLOOKUP($O3197,매칭테이블!$G:$J,4,0)*H3197</f>
        <v/>
      </c>
      <c r="O3197" s="20">
        <f>F3197&amp;E3197&amp;G3197&amp;J3197</f>
        <v/>
      </c>
    </row>
    <row r="3198" ht="16.5" customHeight="1" s="17">
      <c r="B3198" s="16" t="n">
        <v>44234</v>
      </c>
      <c r="C3198" s="20">
        <f>TEXT(B3198,"aaa")</f>
        <v/>
      </c>
      <c r="E3198" s="20">
        <f>INDEX(매칭테이블!C:C,MATCH(RD!G3198,매칭테이블!D:D,0))</f>
        <v/>
      </c>
      <c r="F3198" s="20" t="inlineStr">
        <is>
          <t>카페24</t>
        </is>
      </c>
      <c r="G3198" s="20" t="inlineStr">
        <is>
          <t>솔리드퍼퓸 스테이포에버 002제품선택=스테이포에버 1개</t>
        </is>
      </c>
      <c r="H3198" s="20" t="n">
        <v>236</v>
      </c>
      <c r="I3198" s="20">
        <f>VLOOKUP(G3198,매칭테이블!D:E,2,0)</f>
        <v/>
      </c>
      <c r="J3198" s="20" t="n">
        <v>210101</v>
      </c>
      <c r="L3198" s="20">
        <f>VLOOKUP($O3198,매칭테이블!$G:$J,2,0)*H3198</f>
        <v/>
      </c>
      <c r="M3198" s="20">
        <f>L3198-L3198*VLOOKUP($O3198,매칭테이블!$G:$J,3,0)</f>
        <v/>
      </c>
      <c r="N3198" s="20">
        <f>VLOOKUP($O3198,매칭테이블!$G:$J,4,0)*H3198</f>
        <v/>
      </c>
      <c r="O3198" s="20">
        <f>F3198&amp;E3198&amp;G3198&amp;J3198</f>
        <v/>
      </c>
    </row>
    <row r="3199" ht="16.5" customHeight="1" s="17">
      <c r="B3199" s="16" t="n">
        <v>44234</v>
      </c>
      <c r="C3199" s="20">
        <f>TEXT(B3199,"aaa")</f>
        <v/>
      </c>
      <c r="E3199" s="20">
        <f>INDEX(매칭테이블!C:C,MATCH(RD!G3199,매칭테이블!D:D,0))</f>
        <v/>
      </c>
      <c r="F3199" s="20" t="inlineStr">
        <is>
          <t>카페24</t>
        </is>
      </c>
      <c r="G3199" s="20" t="inlineStr">
        <is>
          <t>솔리드퍼퓸 스테이포에버 002제품선택=best스테이포에버 2개[28% 할인]</t>
        </is>
      </c>
      <c r="H3199" s="20" t="n">
        <v>150</v>
      </c>
      <c r="I3199" s="20">
        <f>VLOOKUP(G3199,매칭테이블!D:E,2,0)</f>
        <v/>
      </c>
      <c r="J3199" s="20" t="n">
        <v>210101</v>
      </c>
      <c r="L3199" s="20">
        <f>VLOOKUP($O3199,매칭테이블!$G:$J,2,0)*H3199</f>
        <v/>
      </c>
      <c r="M3199" s="20">
        <f>L3199-L3199*VLOOKUP($O3199,매칭테이블!$G:$J,3,0)</f>
        <v/>
      </c>
      <c r="N3199" s="20">
        <f>VLOOKUP($O3199,매칭테이블!$G:$J,4,0)*H3199</f>
        <v/>
      </c>
      <c r="O3199" s="20">
        <f>F3199&amp;E3199&amp;G3199&amp;J3199</f>
        <v/>
      </c>
    </row>
    <row r="3200" ht="16.5" customHeight="1" s="17">
      <c r="B3200" s="16" t="n">
        <v>44234</v>
      </c>
      <c r="C3200" s="20">
        <f>TEXT(B3200,"aaa")</f>
        <v/>
      </c>
      <c r="E3200" s="20">
        <f>INDEX(매칭테이블!C:C,MATCH(RD!G3200,매칭테이블!D:D,0))</f>
        <v/>
      </c>
      <c r="F3200" s="20" t="inlineStr">
        <is>
          <t>카페24</t>
        </is>
      </c>
      <c r="G3200" s="20" t="inlineStr">
        <is>
          <t>솔리드퍼퓸 스테이포에버 002제품선택=커플추천스테이포에버 + 이그나이트 세트</t>
        </is>
      </c>
      <c r="H3200" s="20" t="n">
        <v>18</v>
      </c>
      <c r="I3200" s="20">
        <f>VLOOKUP(G3200,매칭테이블!D:E,2,0)</f>
        <v/>
      </c>
      <c r="J3200" s="20" t="n">
        <v>210101</v>
      </c>
      <c r="L3200" s="20">
        <f>VLOOKUP($O3200,매칭테이블!$G:$J,2,0)*H3200</f>
        <v/>
      </c>
      <c r="M3200" s="20">
        <f>L3200-L3200*VLOOKUP($O3200,매칭테이블!$G:$J,3,0)</f>
        <v/>
      </c>
      <c r="N3200" s="20">
        <f>VLOOKUP($O3200,매칭테이블!$G:$J,4,0)*H3200</f>
        <v/>
      </c>
      <c r="O3200" s="20">
        <f>F3200&amp;E3200&amp;G3200&amp;J3200</f>
        <v/>
      </c>
    </row>
    <row r="3201" ht="16.5" customHeight="1" s="17">
      <c r="B3201" s="16" t="n">
        <v>44234</v>
      </c>
      <c r="C3201" s="20">
        <f>TEXT(B3201,"aaa")</f>
        <v/>
      </c>
      <c r="E3201" s="20">
        <f>INDEX(매칭테이블!C:C,MATCH(RD!G3201,매칭테이블!D:D,0))</f>
        <v/>
      </c>
      <c r="F3201" s="20" t="inlineStr">
        <is>
          <t>카페24</t>
        </is>
      </c>
      <c r="G3201" s="20" t="inlineStr">
        <is>
          <t>솔리드퍼퓸 스테이포에버 002쇼핑백=선물용 쇼핑백</t>
        </is>
      </c>
      <c r="H3201" s="20" t="n">
        <v>13</v>
      </c>
      <c r="I3201" s="20">
        <f>VLOOKUP(G3201,매칭테이블!D:E,2,0)</f>
        <v/>
      </c>
      <c r="J3201" s="20" t="n">
        <v>210101</v>
      </c>
      <c r="L3201" s="20">
        <f>VLOOKUP($O3201,매칭테이블!$G:$J,2,0)*H3201</f>
        <v/>
      </c>
      <c r="M3201" s="20">
        <f>L3201-L3201*VLOOKUP($O3201,매칭테이블!$G:$J,3,0)</f>
        <v/>
      </c>
      <c r="N3201" s="20">
        <f>VLOOKUP($O3201,매칭테이블!$G:$J,4,0)*H3201</f>
        <v/>
      </c>
      <c r="O3201" s="20">
        <f>F3201&amp;E3201&amp;G3201&amp;J3201</f>
        <v/>
      </c>
    </row>
    <row r="3202" ht="16.5" customHeight="1" s="17">
      <c r="B3202" s="16" t="n">
        <v>44235</v>
      </c>
      <c r="C3202" s="20">
        <f>TEXT(B3202,"aaa")</f>
        <v/>
      </c>
      <c r="E3202" s="20">
        <f>INDEX(매칭테이블!C:C,MATCH(RD!G3202,매칭테이블!D:D,0))</f>
        <v/>
      </c>
      <c r="F3202" s="20" t="inlineStr">
        <is>
          <t>유즈 CS</t>
        </is>
      </c>
      <c r="G3202" s="20" t="inlineStr">
        <is>
          <t>솔리드퍼퓸 스테이포에버 002 30ml_CS</t>
        </is>
      </c>
      <c r="H3202" s="20" t="n">
        <v>1</v>
      </c>
      <c r="I3202" s="20">
        <f>VLOOKUP(G3202,매칭테이블!D:E,2,0)</f>
        <v/>
      </c>
      <c r="J3202" s="20" t="n">
        <v>210101</v>
      </c>
      <c r="L3202" s="20">
        <f>VLOOKUP($O3202,매칭테이블!$G:$J,2,0)*H3202</f>
        <v/>
      </c>
      <c r="M3202" s="20">
        <f>L3202-L3202*VLOOKUP($O3202,매칭테이블!$G:$J,3,0)</f>
        <v/>
      </c>
      <c r="N3202" s="20">
        <f>VLOOKUP($O3202,매칭테이블!$G:$J,4,0)*H3202</f>
        <v/>
      </c>
      <c r="O3202" s="20">
        <f>F3202&amp;E3202&amp;G3202&amp;J3202</f>
        <v/>
      </c>
    </row>
    <row r="3203" ht="16.5" customHeight="1" s="17">
      <c r="B3203" s="16" t="n">
        <v>44235</v>
      </c>
      <c r="C3203" s="20">
        <f>TEXT(B3203,"aaa")</f>
        <v/>
      </c>
      <c r="E3203" s="20">
        <f>INDEX(매칭테이블!C:C,MATCH(RD!G3203,매칭테이블!D:D,0))</f>
        <v/>
      </c>
      <c r="F3203" s="20" t="inlineStr">
        <is>
          <t>카페24</t>
        </is>
      </c>
      <c r="G3203" s="20" t="inlineStr">
        <is>
          <t>솔리드퍼퓸 세트향=이그나이트 001 SOLID PERFUME, 세트 선택=best 2개 (28% 할인)</t>
        </is>
      </c>
      <c r="H3203" s="20" t="n">
        <v>2</v>
      </c>
      <c r="I3203" s="20">
        <f>VLOOKUP(G3203,매칭테이블!D:E,2,0)</f>
        <v/>
      </c>
      <c r="J3203" s="20" t="n">
        <v>210101</v>
      </c>
      <c r="L3203" s="20">
        <f>VLOOKUP($O3203,매칭테이블!$G:$J,2,0)*H3203</f>
        <v/>
      </c>
      <c r="M3203" s="20">
        <f>L3203-L3203*VLOOKUP($O3203,매칭테이블!$G:$J,3,0)</f>
        <v/>
      </c>
      <c r="N3203" s="20">
        <f>VLOOKUP($O3203,매칭테이블!$G:$J,4,0)*H3203</f>
        <v/>
      </c>
      <c r="O3203" s="20">
        <f>F3203&amp;E3203&amp;G3203&amp;J3203</f>
        <v/>
      </c>
    </row>
    <row r="3204" ht="16.5" customHeight="1" s="17">
      <c r="B3204" s="16" t="n">
        <v>44235</v>
      </c>
      <c r="C3204" s="20">
        <f>TEXT(B3204,"aaa")</f>
        <v/>
      </c>
      <c r="E3204" s="20">
        <f>INDEX(매칭테이블!C:C,MATCH(RD!G3204,매칭테이블!D:D,0))</f>
        <v/>
      </c>
      <c r="F3204" s="20" t="inlineStr">
        <is>
          <t>카페24</t>
        </is>
      </c>
      <c r="G3204" s="20" t="inlineStr">
        <is>
          <t>솔리드퍼퓸 세트향=스테이포에버 002 SOLID PERFUME, 세트 선택=1개</t>
        </is>
      </c>
      <c r="H3204" s="20" t="n">
        <v>4</v>
      </c>
      <c r="I3204" s="20">
        <f>VLOOKUP(G3204,매칭테이블!D:E,2,0)</f>
        <v/>
      </c>
      <c r="J3204" s="20" t="n">
        <v>210101</v>
      </c>
      <c r="L3204" s="20">
        <f>VLOOKUP($O3204,매칭테이블!$G:$J,2,0)*H3204</f>
        <v/>
      </c>
      <c r="M3204" s="20">
        <f>L3204-L3204*VLOOKUP($O3204,매칭테이블!$G:$J,3,0)</f>
        <v/>
      </c>
      <c r="N3204" s="20">
        <f>VLOOKUP($O3204,매칭테이블!$G:$J,4,0)*H3204</f>
        <v/>
      </c>
      <c r="O3204" s="20">
        <f>F3204&amp;E3204&amp;G3204&amp;J3204</f>
        <v/>
      </c>
    </row>
    <row r="3205" ht="16.5" customHeight="1" s="17">
      <c r="B3205" s="16" t="n">
        <v>44235</v>
      </c>
      <c r="C3205" s="20">
        <f>TEXT(B3205,"aaa")</f>
        <v/>
      </c>
      <c r="E3205" s="20">
        <f>INDEX(매칭테이블!C:C,MATCH(RD!G3205,매칭테이블!D:D,0))</f>
        <v/>
      </c>
      <c r="F3205" s="20" t="inlineStr">
        <is>
          <t>카페24</t>
        </is>
      </c>
      <c r="G3205" s="20" t="inlineStr">
        <is>
          <t>솔리드퍼퓸 세트향=스테이포에버 002 SOLID PERFUME, 세트 선택=best 2개 (28% 할인)</t>
        </is>
      </c>
      <c r="H3205" s="20" t="n">
        <v>8</v>
      </c>
      <c r="I3205" s="20">
        <f>VLOOKUP(G3205,매칭테이블!D:E,2,0)</f>
        <v/>
      </c>
      <c r="J3205" s="20" t="n">
        <v>210101</v>
      </c>
      <c r="L3205" s="20">
        <f>VLOOKUP($O3205,매칭테이블!$G:$J,2,0)*H3205</f>
        <v/>
      </c>
      <c r="M3205" s="20">
        <f>L3205-L3205*VLOOKUP($O3205,매칭테이블!$G:$J,3,0)</f>
        <v/>
      </c>
      <c r="N3205" s="20">
        <f>VLOOKUP($O3205,매칭테이블!$G:$J,4,0)*H3205</f>
        <v/>
      </c>
      <c r="O3205" s="20">
        <f>F3205&amp;E3205&amp;G3205&amp;J3205</f>
        <v/>
      </c>
    </row>
    <row r="3206" ht="16.5" customHeight="1" s="17">
      <c r="B3206" s="16" t="n">
        <v>44235</v>
      </c>
      <c r="C3206" s="20">
        <f>TEXT(B3206,"aaa")</f>
        <v/>
      </c>
      <c r="E3206" s="20">
        <f>INDEX(매칭테이블!C:C,MATCH(RD!G3206,매칭테이블!D:D,0))</f>
        <v/>
      </c>
      <c r="F3206" s="20" t="inlineStr">
        <is>
          <t>카페24</t>
        </is>
      </c>
      <c r="G3206" s="20" t="inlineStr">
        <is>
          <t>솔리드퍼퓸 세트향=커플세트(이그나이트 + 스테이포에버), 세트 선택=1 SET</t>
        </is>
      </c>
      <c r="H3206" s="20" t="n">
        <v>13</v>
      </c>
      <c r="I3206" s="20">
        <f>VLOOKUP(G3206,매칭테이블!D:E,2,0)</f>
        <v/>
      </c>
      <c r="J3206" s="20" t="n">
        <v>210101</v>
      </c>
      <c r="L3206" s="20">
        <f>VLOOKUP($O3206,매칭테이블!$G:$J,2,0)*H3206</f>
        <v/>
      </c>
      <c r="M3206" s="20">
        <f>L3206-L3206*VLOOKUP($O3206,매칭테이블!$G:$J,3,0)</f>
        <v/>
      </c>
      <c r="N3206" s="20">
        <f>VLOOKUP($O3206,매칭테이블!$G:$J,4,0)*H3206</f>
        <v/>
      </c>
      <c r="O3206" s="20">
        <f>F3206&amp;E3206&amp;G3206&amp;J3206</f>
        <v/>
      </c>
    </row>
    <row r="3207" ht="16.5" customHeight="1" s="17">
      <c r="B3207" s="16" t="n">
        <v>44235</v>
      </c>
      <c r="C3207" s="20">
        <f>TEXT(B3207,"aaa")</f>
        <v/>
      </c>
      <c r="E3207" s="20">
        <f>INDEX(매칭테이블!C:C,MATCH(RD!G3207,매칭테이블!D:D,0))</f>
        <v/>
      </c>
      <c r="F3207" s="20" t="inlineStr">
        <is>
          <t>카페24</t>
        </is>
      </c>
      <c r="G3207" s="20" t="inlineStr">
        <is>
          <t>솔리드퍼퓸 세트향=커플세트(이그나이트 + 스테이포에버), 세트 선택=2 SET (42% 할인)</t>
        </is>
      </c>
      <c r="H3207" s="20" t="n">
        <v>2</v>
      </c>
      <c r="I3207" s="20">
        <f>VLOOKUP(G3207,매칭테이블!D:E,2,0)</f>
        <v/>
      </c>
      <c r="J3207" s="20" t="n">
        <v>210101</v>
      </c>
      <c r="L3207" s="20">
        <f>VLOOKUP($O3207,매칭테이블!$G:$J,2,0)*H3207</f>
        <v/>
      </c>
      <c r="M3207" s="20">
        <f>L3207-L3207*VLOOKUP($O3207,매칭테이블!$G:$J,3,0)</f>
        <v/>
      </c>
      <c r="N3207" s="20">
        <f>VLOOKUP($O3207,매칭테이블!$G:$J,4,0)*H3207</f>
        <v/>
      </c>
      <c r="O3207" s="20">
        <f>F3207&amp;E3207&amp;G3207&amp;J3207</f>
        <v/>
      </c>
    </row>
    <row r="3208" ht="16.5" customHeight="1" s="17">
      <c r="B3208" s="16" t="n">
        <v>44235</v>
      </c>
      <c r="C3208" s="20">
        <f>TEXT(B3208,"aaa")</f>
        <v/>
      </c>
      <c r="E3208" s="20">
        <f>INDEX(매칭테이블!C:C,MATCH(RD!G3208,매칭테이블!D:D,0))</f>
        <v/>
      </c>
      <c r="F3208" s="20" t="inlineStr">
        <is>
          <t>카페24</t>
        </is>
      </c>
      <c r="G3208" s="20" t="inlineStr">
        <is>
          <t>솔리드퍼퓸 스테이포에버 002제품선택=스테이포에버 1개</t>
        </is>
      </c>
      <c r="H3208" s="20" t="n">
        <v>170</v>
      </c>
      <c r="I3208" s="20">
        <f>VLOOKUP(G3208,매칭테이블!D:E,2,0)</f>
        <v/>
      </c>
      <c r="J3208" s="20" t="n">
        <v>210101</v>
      </c>
      <c r="L3208" s="20">
        <f>VLOOKUP($O3208,매칭테이블!$G:$J,2,0)*H3208</f>
        <v/>
      </c>
      <c r="M3208" s="20">
        <f>L3208-L3208*VLOOKUP($O3208,매칭테이블!$G:$J,3,0)</f>
        <v/>
      </c>
      <c r="N3208" s="20">
        <f>VLOOKUP($O3208,매칭테이블!$G:$J,4,0)*H3208</f>
        <v/>
      </c>
      <c r="O3208" s="20">
        <f>F3208&amp;E3208&amp;G3208&amp;J3208</f>
        <v/>
      </c>
    </row>
    <row r="3209" ht="16.5" customHeight="1" s="17">
      <c r="B3209" s="16" t="n">
        <v>44235</v>
      </c>
      <c r="C3209" s="20">
        <f>TEXT(B3209,"aaa")</f>
        <v/>
      </c>
      <c r="E3209" s="20">
        <f>INDEX(매칭테이블!C:C,MATCH(RD!G3209,매칭테이블!D:D,0))</f>
        <v/>
      </c>
      <c r="F3209" s="20" t="inlineStr">
        <is>
          <t>카페24</t>
        </is>
      </c>
      <c r="G3209" s="20" t="inlineStr">
        <is>
          <t>솔리드퍼퓸 스테이포에버 002제품선택=best스테이포에버 2개[28% 할인]</t>
        </is>
      </c>
      <c r="H3209" s="20" t="n">
        <v>94</v>
      </c>
      <c r="I3209" s="20">
        <f>VLOOKUP(G3209,매칭테이블!D:E,2,0)</f>
        <v/>
      </c>
      <c r="J3209" s="20" t="n">
        <v>210101</v>
      </c>
      <c r="L3209" s="20">
        <f>VLOOKUP($O3209,매칭테이블!$G:$J,2,0)*H3209</f>
        <v/>
      </c>
      <c r="M3209" s="20">
        <f>L3209-L3209*VLOOKUP($O3209,매칭테이블!$G:$J,3,0)</f>
        <v/>
      </c>
      <c r="N3209" s="20">
        <f>VLOOKUP($O3209,매칭테이블!$G:$J,4,0)*H3209</f>
        <v/>
      </c>
      <c r="O3209" s="20">
        <f>F3209&amp;E3209&amp;G3209&amp;J3209</f>
        <v/>
      </c>
    </row>
    <row r="3210" ht="16.5" customHeight="1" s="17">
      <c r="B3210" s="16" t="n">
        <v>44235</v>
      </c>
      <c r="C3210" s="20">
        <f>TEXT(B3210,"aaa")</f>
        <v/>
      </c>
      <c r="E3210" s="20">
        <f>INDEX(매칭테이블!C:C,MATCH(RD!G3210,매칭테이블!D:D,0))</f>
        <v/>
      </c>
      <c r="F3210" s="20" t="inlineStr">
        <is>
          <t>카페24</t>
        </is>
      </c>
      <c r="G3210" s="20" t="inlineStr">
        <is>
          <t>솔리드퍼퓸 스테이포에버 002제품선택=커플추천스테이포에버 + 이그나이트 세트</t>
        </is>
      </c>
      <c r="H3210" s="20" t="n">
        <v>9</v>
      </c>
      <c r="I3210" s="20">
        <f>VLOOKUP(G3210,매칭테이블!D:E,2,0)</f>
        <v/>
      </c>
      <c r="J3210" s="20" t="n">
        <v>210101</v>
      </c>
      <c r="L3210" s="20">
        <f>VLOOKUP($O3210,매칭테이블!$G:$J,2,0)*H3210</f>
        <v/>
      </c>
      <c r="M3210" s="20">
        <f>L3210-L3210*VLOOKUP($O3210,매칭테이블!$G:$J,3,0)</f>
        <v/>
      </c>
      <c r="N3210" s="20">
        <f>VLOOKUP($O3210,매칭테이블!$G:$J,4,0)*H3210</f>
        <v/>
      </c>
      <c r="O3210" s="20">
        <f>F3210&amp;E3210&amp;G3210&amp;J3210</f>
        <v/>
      </c>
    </row>
    <row r="3211" ht="16.5" customHeight="1" s="17">
      <c r="B3211" s="16" t="n">
        <v>44235</v>
      </c>
      <c r="C3211" s="20">
        <f>TEXT(B3211,"aaa")</f>
        <v/>
      </c>
      <c r="E3211" s="20">
        <f>INDEX(매칭테이블!C:C,MATCH(RD!G3211,매칭테이블!D:D,0))</f>
        <v/>
      </c>
      <c r="F3211" s="20" t="inlineStr">
        <is>
          <t>카페24</t>
        </is>
      </c>
      <c r="G3211" s="20" t="inlineStr">
        <is>
          <t>솔리드퍼퓸 스테이포에버 002쇼핑백=선물용 쇼핑백</t>
        </is>
      </c>
      <c r="H3211" s="20" t="n">
        <v>8</v>
      </c>
      <c r="I3211" s="20">
        <f>VLOOKUP(G3211,매칭테이블!D:E,2,0)</f>
        <v/>
      </c>
      <c r="J3211" s="20" t="n">
        <v>210101</v>
      </c>
      <c r="L3211" s="20">
        <f>VLOOKUP($O3211,매칭테이블!$G:$J,2,0)*H3211</f>
        <v/>
      </c>
      <c r="M3211" s="20">
        <f>L3211-L3211*VLOOKUP($O3211,매칭테이블!$G:$J,3,0)</f>
        <v/>
      </c>
      <c r="N3211" s="20">
        <f>VLOOKUP($O3211,매칭테이블!$G:$J,4,0)*H3211</f>
        <v/>
      </c>
      <c r="O3211" s="20">
        <f>F3211&amp;E3211&amp;G3211&amp;J3211</f>
        <v/>
      </c>
    </row>
    <row r="3212" ht="16.5" customHeight="1" s="17">
      <c r="B3212" s="16" t="n">
        <v>44235</v>
      </c>
      <c r="C3212" s="20">
        <f>TEXT(B3212,"aaa")</f>
        <v/>
      </c>
      <c r="E3212" s="20">
        <f>INDEX(매칭테이블!C:C,MATCH(RD!G3212,매칭테이블!D:D,0))</f>
        <v/>
      </c>
      <c r="F3212" s="20" t="inlineStr">
        <is>
          <t>카페24</t>
        </is>
      </c>
      <c r="G3212" s="20" t="inlineStr">
        <is>
          <t>솔리드퍼퓸 이그나이트 001제품선택=이그나이트 솔리드퍼퓸 - 30ml</t>
        </is>
      </c>
      <c r="H3212" s="20" t="n">
        <v>1</v>
      </c>
      <c r="I3212" s="20">
        <f>VLOOKUP(G3212,매칭테이블!D:E,2,0)</f>
        <v/>
      </c>
      <c r="J3212" s="20" t="n">
        <v>210101</v>
      </c>
      <c r="L3212" s="20">
        <f>VLOOKUP($O3212,매칭테이블!$G:$J,2,0)*H3212</f>
        <v/>
      </c>
      <c r="M3212" s="20">
        <f>L3212-L3212*VLOOKUP($O3212,매칭테이블!$G:$J,3,0)</f>
        <v/>
      </c>
      <c r="N3212" s="20">
        <f>VLOOKUP($O3212,매칭테이블!$G:$J,4,0)*H3212</f>
        <v/>
      </c>
      <c r="O3212" s="20">
        <f>F3212&amp;E3212&amp;G3212&amp;J3212</f>
        <v/>
      </c>
    </row>
    <row r="3213" ht="16.5" customHeight="1" s="17">
      <c r="B3213" s="16" t="n">
        <v>44236</v>
      </c>
      <c r="C3213" s="20">
        <f>TEXT(B3213,"aaa")</f>
        <v/>
      </c>
      <c r="E3213" s="20">
        <f>INDEX(매칭테이블!C:C,MATCH(RD!G3213,매칭테이블!D:D,0))</f>
        <v/>
      </c>
      <c r="F3213" s="20" t="inlineStr">
        <is>
          <t>유즈 CS</t>
        </is>
      </c>
      <c r="G3213" s="20" t="inlineStr">
        <is>
          <t>솔리드퍼퓸 스테이포에버 002 30ml</t>
        </is>
      </c>
      <c r="H3213" s="20" t="n">
        <v>1</v>
      </c>
      <c r="I3213" s="20">
        <f>VLOOKUP(G3213,매칭테이블!D:E,2,0)</f>
        <v/>
      </c>
      <c r="J3213" s="20" t="n">
        <v>210101</v>
      </c>
      <c r="L3213" s="20">
        <f>VLOOKUP($O3213,매칭테이블!$G:$J,2,0)*H3213</f>
        <v/>
      </c>
      <c r="M3213" s="20">
        <f>L3213-L3213*VLOOKUP($O3213,매칭테이블!$G:$J,3,0)</f>
        <v/>
      </c>
      <c r="N3213" s="20">
        <f>VLOOKUP($O3213,매칭테이블!$G:$J,4,0)*H3213</f>
        <v/>
      </c>
      <c r="O3213" s="20">
        <f>F3213&amp;E3213&amp;G3213&amp;J3213</f>
        <v/>
      </c>
    </row>
    <row r="3214" ht="16.5" customHeight="1" s="17">
      <c r="B3214" s="16" t="n">
        <v>44236</v>
      </c>
      <c r="C3214" s="20">
        <f>TEXT(B3214,"aaa")</f>
        <v/>
      </c>
      <c r="E3214" s="20">
        <f>INDEX(매칭테이블!C:C,MATCH(RD!G3214,매칭테이블!D:D,0))</f>
        <v/>
      </c>
      <c r="F3214" s="20" t="inlineStr">
        <is>
          <t>유즈 CS</t>
        </is>
      </c>
      <c r="G3214" s="20" t="inlineStr">
        <is>
          <t>솔리드퍼퓸 이그나이트 001 30ml_CS</t>
        </is>
      </c>
      <c r="H3214" s="20" t="n">
        <v>1</v>
      </c>
      <c r="I3214" s="20">
        <f>VLOOKUP(G3214,매칭테이블!D:E,2,0)</f>
        <v/>
      </c>
      <c r="J3214" s="20" t="n">
        <v>210101</v>
      </c>
      <c r="L3214" s="20">
        <f>VLOOKUP($O3214,매칭테이블!$G:$J,2,0)*H3214</f>
        <v/>
      </c>
      <c r="M3214" s="20">
        <f>L3214-L3214*VLOOKUP($O3214,매칭테이블!$G:$J,3,0)</f>
        <v/>
      </c>
      <c r="N3214" s="20">
        <f>VLOOKUP($O3214,매칭테이블!$G:$J,4,0)*H3214</f>
        <v/>
      </c>
      <c r="O3214" s="20">
        <f>F3214&amp;E3214&amp;G3214&amp;J3214</f>
        <v/>
      </c>
    </row>
    <row r="3215" ht="16.5" customHeight="1" s="17">
      <c r="B3215" s="16" t="n">
        <v>44236</v>
      </c>
      <c r="C3215" s="20">
        <f>TEXT(B3215,"aaa")</f>
        <v/>
      </c>
      <c r="E3215" s="20">
        <f>INDEX(매칭테이블!C:C,MATCH(RD!G3215,매칭테이블!D:D,0))</f>
        <v/>
      </c>
      <c r="F3215" s="20" t="inlineStr">
        <is>
          <t>카페24</t>
        </is>
      </c>
      <c r="G3215" s="20" t="inlineStr">
        <is>
          <t>솔리드퍼퓸 세트향=이그나이트 001 SOLID PERFUME, 세트 선택=1개</t>
        </is>
      </c>
      <c r="H3215" s="20" t="n">
        <v>2</v>
      </c>
      <c r="I3215" s="20">
        <f>VLOOKUP(G3215,매칭테이블!D:E,2,0)</f>
        <v/>
      </c>
      <c r="J3215" s="20" t="n">
        <v>210101</v>
      </c>
      <c r="L3215" s="20">
        <f>VLOOKUP($O3215,매칭테이블!$G:$J,2,0)*H3215</f>
        <v/>
      </c>
      <c r="M3215" s="20">
        <f>L3215-L3215*VLOOKUP($O3215,매칭테이블!$G:$J,3,0)</f>
        <v/>
      </c>
      <c r="N3215" s="20">
        <f>VLOOKUP($O3215,매칭테이블!$G:$J,4,0)*H3215</f>
        <v/>
      </c>
      <c r="O3215" s="20">
        <f>F3215&amp;E3215&amp;G3215&amp;J3215</f>
        <v/>
      </c>
    </row>
    <row r="3216" ht="16.5" customHeight="1" s="17">
      <c r="B3216" s="16" t="n">
        <v>44236</v>
      </c>
      <c r="C3216" s="20">
        <f>TEXT(B3216,"aaa")</f>
        <v/>
      </c>
      <c r="E3216" s="20">
        <f>INDEX(매칭테이블!C:C,MATCH(RD!G3216,매칭테이블!D:D,0))</f>
        <v/>
      </c>
      <c r="F3216" s="20" t="inlineStr">
        <is>
          <t>카페24</t>
        </is>
      </c>
      <c r="G3216" s="20" t="inlineStr">
        <is>
          <t>솔리드퍼퓸 세트향=스테이포에버 002 SOLID PERFUME, 세트 선택=1개</t>
        </is>
      </c>
      <c r="H3216" s="20" t="n">
        <v>11</v>
      </c>
      <c r="I3216" s="20">
        <f>VLOOKUP(G3216,매칭테이블!D:E,2,0)</f>
        <v/>
      </c>
      <c r="J3216" s="20" t="n">
        <v>210101</v>
      </c>
      <c r="L3216" s="20">
        <f>VLOOKUP($O3216,매칭테이블!$G:$J,2,0)*H3216</f>
        <v/>
      </c>
      <c r="M3216" s="20">
        <f>L3216-L3216*VLOOKUP($O3216,매칭테이블!$G:$J,3,0)</f>
        <v/>
      </c>
      <c r="N3216" s="20">
        <f>VLOOKUP($O3216,매칭테이블!$G:$J,4,0)*H3216</f>
        <v/>
      </c>
      <c r="O3216" s="20">
        <f>F3216&amp;E3216&amp;G3216&amp;J3216</f>
        <v/>
      </c>
    </row>
    <row r="3217" ht="16.5" customHeight="1" s="17">
      <c r="B3217" s="16" t="n">
        <v>44236</v>
      </c>
      <c r="C3217" s="20">
        <f>TEXT(B3217,"aaa")</f>
        <v/>
      </c>
      <c r="E3217" s="20">
        <f>INDEX(매칭테이블!C:C,MATCH(RD!G3217,매칭테이블!D:D,0))</f>
        <v/>
      </c>
      <c r="F3217" s="20" t="inlineStr">
        <is>
          <t>카페24</t>
        </is>
      </c>
      <c r="G3217" s="20" t="inlineStr">
        <is>
          <t>솔리드퍼퓸 세트향=스테이포에버 002 SOLID PERFUME, 세트 선택=best 2개 (28% 할인)</t>
        </is>
      </c>
      <c r="H3217" s="20" t="n">
        <v>10</v>
      </c>
      <c r="I3217" s="20">
        <f>VLOOKUP(G3217,매칭테이블!D:E,2,0)</f>
        <v/>
      </c>
      <c r="J3217" s="20" t="n">
        <v>210101</v>
      </c>
      <c r="L3217" s="20">
        <f>VLOOKUP($O3217,매칭테이블!$G:$J,2,0)*H3217</f>
        <v/>
      </c>
      <c r="M3217" s="20">
        <f>L3217-L3217*VLOOKUP($O3217,매칭테이블!$G:$J,3,0)</f>
        <v/>
      </c>
      <c r="N3217" s="20">
        <f>VLOOKUP($O3217,매칭테이블!$G:$J,4,0)*H3217</f>
        <v/>
      </c>
      <c r="O3217" s="20">
        <f>F3217&amp;E3217&amp;G3217&amp;J3217</f>
        <v/>
      </c>
    </row>
    <row r="3218" ht="16.5" customHeight="1" s="17">
      <c r="B3218" s="16" t="n">
        <v>44236</v>
      </c>
      <c r="C3218" s="20">
        <f>TEXT(B3218,"aaa")</f>
        <v/>
      </c>
      <c r="E3218" s="20">
        <f>INDEX(매칭테이블!C:C,MATCH(RD!G3218,매칭테이블!D:D,0))</f>
        <v/>
      </c>
      <c r="F3218" s="20" t="inlineStr">
        <is>
          <t>카페24</t>
        </is>
      </c>
      <c r="G3218" s="20" t="inlineStr">
        <is>
          <t>솔리드퍼퓸 세트향=커플세트(이그나이트 + 스테이포에버), 세트 선택=1 SET</t>
        </is>
      </c>
      <c r="H3218" s="20" t="n">
        <v>14</v>
      </c>
      <c r="I3218" s="20">
        <f>VLOOKUP(G3218,매칭테이블!D:E,2,0)</f>
        <v/>
      </c>
      <c r="J3218" s="20" t="n">
        <v>210101</v>
      </c>
      <c r="L3218" s="20">
        <f>VLOOKUP($O3218,매칭테이블!$G:$J,2,0)*H3218</f>
        <v/>
      </c>
      <c r="M3218" s="20">
        <f>L3218-L3218*VLOOKUP($O3218,매칭테이블!$G:$J,3,0)</f>
        <v/>
      </c>
      <c r="N3218" s="20">
        <f>VLOOKUP($O3218,매칭테이블!$G:$J,4,0)*H3218</f>
        <v/>
      </c>
      <c r="O3218" s="20">
        <f>F3218&amp;E3218&amp;G3218&amp;J3218</f>
        <v/>
      </c>
    </row>
    <row r="3219" ht="16.5" customHeight="1" s="17">
      <c r="B3219" s="16" t="n">
        <v>44236</v>
      </c>
      <c r="C3219" s="20">
        <f>TEXT(B3219,"aaa")</f>
        <v/>
      </c>
      <c r="E3219" s="20">
        <f>INDEX(매칭테이블!C:C,MATCH(RD!G3219,매칭테이블!D:D,0))</f>
        <v/>
      </c>
      <c r="F3219" s="20" t="inlineStr">
        <is>
          <t>카페24</t>
        </is>
      </c>
      <c r="G3219" s="20" t="inlineStr">
        <is>
          <t>솔리드퍼퓸 세트향=커플세트(이그나이트 + 스테이포에버), 세트 선택=2 SET (42% 할인)</t>
        </is>
      </c>
      <c r="H3219" s="20" t="n">
        <v>1</v>
      </c>
      <c r="I3219" s="20">
        <f>VLOOKUP(G3219,매칭테이블!D:E,2,0)</f>
        <v/>
      </c>
      <c r="J3219" s="20" t="n">
        <v>210101</v>
      </c>
      <c r="L3219" s="20">
        <f>VLOOKUP($O3219,매칭테이블!$G:$J,2,0)*H3219</f>
        <v/>
      </c>
      <c r="M3219" s="20">
        <f>L3219-L3219*VLOOKUP($O3219,매칭테이블!$G:$J,3,0)</f>
        <v/>
      </c>
      <c r="N3219" s="20">
        <f>VLOOKUP($O3219,매칭테이블!$G:$J,4,0)*H3219</f>
        <v/>
      </c>
      <c r="O3219" s="20">
        <f>F3219&amp;E3219&amp;G3219&amp;J3219</f>
        <v/>
      </c>
    </row>
    <row r="3220" ht="16.5" customHeight="1" s="17">
      <c r="B3220" s="16" t="n">
        <v>44236</v>
      </c>
      <c r="C3220" s="20">
        <f>TEXT(B3220,"aaa")</f>
        <v/>
      </c>
      <c r="E3220" s="20">
        <f>INDEX(매칭테이블!C:C,MATCH(RD!G3220,매칭테이블!D:D,0))</f>
        <v/>
      </c>
      <c r="F3220" s="20" t="inlineStr">
        <is>
          <t>카페24</t>
        </is>
      </c>
      <c r="G3220" s="20" t="inlineStr">
        <is>
          <t>솔리드퍼퓸 스테이포에버 002제품선택=스테이포에버 1개</t>
        </is>
      </c>
      <c r="H3220" s="20" t="n">
        <v>202</v>
      </c>
      <c r="I3220" s="20">
        <f>VLOOKUP(G3220,매칭테이블!D:E,2,0)</f>
        <v/>
      </c>
      <c r="J3220" s="20" t="n">
        <v>210101</v>
      </c>
      <c r="L3220" s="20">
        <f>VLOOKUP($O3220,매칭테이블!$G:$J,2,0)*H3220</f>
        <v/>
      </c>
      <c r="M3220" s="20">
        <f>L3220-L3220*VLOOKUP($O3220,매칭테이블!$G:$J,3,0)</f>
        <v/>
      </c>
      <c r="N3220" s="20">
        <f>VLOOKUP($O3220,매칭테이블!$G:$J,4,0)*H3220</f>
        <v/>
      </c>
      <c r="O3220" s="20">
        <f>F3220&amp;E3220&amp;G3220&amp;J3220</f>
        <v/>
      </c>
    </row>
    <row r="3221" ht="16.5" customHeight="1" s="17">
      <c r="B3221" s="16" t="n">
        <v>44236</v>
      </c>
      <c r="C3221" s="20">
        <f>TEXT(B3221,"aaa")</f>
        <v/>
      </c>
      <c r="E3221" s="20">
        <f>INDEX(매칭테이블!C:C,MATCH(RD!G3221,매칭테이블!D:D,0))</f>
        <v/>
      </c>
      <c r="F3221" s="20" t="inlineStr">
        <is>
          <t>카페24</t>
        </is>
      </c>
      <c r="G3221" s="20" t="inlineStr">
        <is>
          <t>솔리드퍼퓸 스테이포에버 002제품선택=best스테이포에버 2개[28% 할인]</t>
        </is>
      </c>
      <c r="H3221" s="20" t="n">
        <v>105</v>
      </c>
      <c r="I3221" s="20">
        <f>VLOOKUP(G3221,매칭테이블!D:E,2,0)</f>
        <v/>
      </c>
      <c r="J3221" s="20" t="n">
        <v>210101</v>
      </c>
      <c r="L3221" s="20">
        <f>VLOOKUP($O3221,매칭테이블!$G:$J,2,0)*H3221</f>
        <v/>
      </c>
      <c r="M3221" s="20">
        <f>L3221-L3221*VLOOKUP($O3221,매칭테이블!$G:$J,3,0)</f>
        <v/>
      </c>
      <c r="N3221" s="20">
        <f>VLOOKUP($O3221,매칭테이블!$G:$J,4,0)*H3221</f>
        <v/>
      </c>
      <c r="O3221" s="20">
        <f>F3221&amp;E3221&amp;G3221&amp;J3221</f>
        <v/>
      </c>
    </row>
    <row r="3222" ht="16.5" customHeight="1" s="17">
      <c r="B3222" s="16" t="n">
        <v>44236</v>
      </c>
      <c r="C3222" s="20">
        <f>TEXT(B3222,"aaa")</f>
        <v/>
      </c>
      <c r="E3222" s="20">
        <f>INDEX(매칭테이블!C:C,MATCH(RD!G3222,매칭테이블!D:D,0))</f>
        <v/>
      </c>
      <c r="F3222" s="20" t="inlineStr">
        <is>
          <t>카페24</t>
        </is>
      </c>
      <c r="G3222" s="20" t="inlineStr">
        <is>
          <t>솔리드퍼퓸 스테이포에버 002제품선택=커플추천스테이포에버 + 이그나이트 세트</t>
        </is>
      </c>
      <c r="H3222" s="20" t="n">
        <v>5</v>
      </c>
      <c r="I3222" s="20">
        <f>VLOOKUP(G3222,매칭테이블!D:E,2,0)</f>
        <v/>
      </c>
      <c r="J3222" s="20" t="n">
        <v>210101</v>
      </c>
      <c r="L3222" s="20">
        <f>VLOOKUP($O3222,매칭테이블!$G:$J,2,0)*H3222</f>
        <v/>
      </c>
      <c r="M3222" s="20">
        <f>L3222-L3222*VLOOKUP($O3222,매칭테이블!$G:$J,3,0)</f>
        <v/>
      </c>
      <c r="N3222" s="20">
        <f>VLOOKUP($O3222,매칭테이블!$G:$J,4,0)*H3222</f>
        <v/>
      </c>
      <c r="O3222" s="20">
        <f>F3222&amp;E3222&amp;G3222&amp;J3222</f>
        <v/>
      </c>
    </row>
    <row r="3223" ht="16.5" customHeight="1" s="17">
      <c r="B3223" s="16" t="n">
        <v>44236</v>
      </c>
      <c r="C3223" s="20">
        <f>TEXT(B3223,"aaa")</f>
        <v/>
      </c>
      <c r="E3223" s="20">
        <f>INDEX(매칭테이블!C:C,MATCH(RD!G3223,매칭테이블!D:D,0))</f>
        <v/>
      </c>
      <c r="F3223" s="20" t="inlineStr">
        <is>
          <t>카페24</t>
        </is>
      </c>
      <c r="G3223" s="20" t="inlineStr">
        <is>
          <t>솔리드퍼퓸 스테이포에버 002쇼핑백=선물용 쇼핑백</t>
        </is>
      </c>
      <c r="H3223" s="20" t="n">
        <v>8</v>
      </c>
      <c r="I3223" s="20">
        <f>VLOOKUP(G3223,매칭테이블!D:E,2,0)</f>
        <v/>
      </c>
      <c r="J3223" s="20" t="n">
        <v>210101</v>
      </c>
      <c r="L3223" s="20">
        <f>VLOOKUP($O3223,매칭테이블!$G:$J,2,0)*H3223</f>
        <v/>
      </c>
      <c r="M3223" s="20">
        <f>L3223-L3223*VLOOKUP($O3223,매칭테이블!$G:$J,3,0)</f>
        <v/>
      </c>
      <c r="N3223" s="20">
        <f>VLOOKUP($O3223,매칭테이블!$G:$J,4,0)*H3223</f>
        <v/>
      </c>
      <c r="O3223" s="20">
        <f>F3223&amp;E3223&amp;G3223&amp;J3223</f>
        <v/>
      </c>
    </row>
    <row r="3224" ht="16.5" customHeight="1" s="17">
      <c r="A3224" s="20" t="inlineStr">
        <is>
          <t>승무원 키워드</t>
        </is>
      </c>
      <c r="B3224" s="16" t="inlineStr">
        <is>
          <t>2021-02-16</t>
        </is>
      </c>
      <c r="C3224" s="20" t="inlineStr">
        <is>
          <t>화</t>
        </is>
      </c>
      <c r="K3224" s="20" t="n">
        <v>1200440.909090909</v>
      </c>
    </row>
    <row r="3225" ht="16.5" customHeight="1" s="17">
      <c r="A3225" s="20" t="inlineStr">
        <is>
          <t>[승은 TEST 2] 스테이포에버_카드뉴스</t>
        </is>
      </c>
      <c r="B3225" s="16" t="inlineStr">
        <is>
          <t>2021-02-16</t>
        </is>
      </c>
      <c r="C3225" s="20" t="inlineStr">
        <is>
          <t>화</t>
        </is>
      </c>
      <c r="K3225" s="20" t="n">
        <v>54014.54545454545</v>
      </c>
    </row>
    <row r="3226" ht="16.5" customHeight="1" s="17">
      <c r="A3226" s="20" t="inlineStr">
        <is>
          <t>[승은 TEST] 스테이포에버_카드뉴스</t>
        </is>
      </c>
      <c r="B3226" s="16" t="inlineStr">
        <is>
          <t>2021-02-16</t>
        </is>
      </c>
      <c r="C3226" s="20" t="inlineStr">
        <is>
          <t>화</t>
        </is>
      </c>
      <c r="K3226" s="20" t="n">
        <v>445436.3636363636</v>
      </c>
    </row>
    <row r="3227" ht="16.5" customHeight="1" s="17">
      <c r="A3227" s="20" t="inlineStr">
        <is>
          <t>[테스트]아줌마</t>
        </is>
      </c>
      <c r="B3227" s="16" t="inlineStr">
        <is>
          <t>2021-02-16</t>
        </is>
      </c>
      <c r="C3227" s="20" t="inlineStr">
        <is>
          <t>화</t>
        </is>
      </c>
      <c r="K3227" s="20" t="n">
        <v>221690</v>
      </c>
    </row>
    <row r="3228" ht="16.5" customHeight="1" s="17">
      <c r="A3228" s="20" t="inlineStr">
        <is>
          <t>[키워드 확장 테스트]스테이포에버_이미지</t>
        </is>
      </c>
      <c r="B3228" s="16" t="inlineStr">
        <is>
          <t>2021-02-16</t>
        </is>
      </c>
      <c r="C3228" s="20" t="inlineStr">
        <is>
          <t>화</t>
        </is>
      </c>
      <c r="K3228" s="20" t="n">
        <v>195051.8181818182</v>
      </c>
    </row>
    <row r="3229" ht="16.5" customHeight="1" s="17">
      <c r="A3229" s="20" t="inlineStr">
        <is>
          <t>[재입고]스테이포에버_이미지</t>
        </is>
      </c>
      <c r="B3229" s="16" t="inlineStr">
        <is>
          <t>2021-02-16</t>
        </is>
      </c>
      <c r="C3229" s="20" t="inlineStr">
        <is>
          <t>화</t>
        </is>
      </c>
      <c r="K3229" s="20" t="n">
        <v>134789.0909090909</v>
      </c>
    </row>
    <row r="3230" ht="16.5" customHeight="1" s="17">
      <c r="A3230" s="20" t="inlineStr">
        <is>
          <t>[승무원]숏폼_영상</t>
        </is>
      </c>
      <c r="B3230" s="16" t="inlineStr">
        <is>
          <t>2021-02-16</t>
        </is>
      </c>
      <c r="C3230" s="20" t="inlineStr">
        <is>
          <t>화</t>
        </is>
      </c>
      <c r="K3230" s="20" t="n">
        <v>89664.54545454544</v>
      </c>
    </row>
    <row r="3231" ht="16.5" customHeight="1" s="17">
      <c r="A3231" s="20" t="inlineStr">
        <is>
          <t>[재입고]스테이포에버_영상</t>
        </is>
      </c>
      <c r="B3231" s="16" t="inlineStr">
        <is>
          <t>2021-02-16</t>
        </is>
      </c>
      <c r="C3231" s="20" t="inlineStr">
        <is>
          <t>화</t>
        </is>
      </c>
      <c r="K3231" s="20" t="n">
        <v>178779.0909090909</v>
      </c>
    </row>
    <row r="3232" ht="16.5" customHeight="1" s="17">
      <c r="A3232" s="20" t="inlineStr">
        <is>
          <t>[필라테스]스테이포에버_카드뉴스</t>
        </is>
      </c>
      <c r="B3232" s="16" t="inlineStr">
        <is>
          <t>2021-02-16</t>
        </is>
      </c>
      <c r="C3232" s="20" t="inlineStr">
        <is>
          <t>화</t>
        </is>
      </c>
      <c r="K3232" s="20" t="n">
        <v>44394.54545454545</v>
      </c>
    </row>
    <row r="3233" ht="16.5" customHeight="1" s="17">
      <c r="A3233" s="20" t="inlineStr">
        <is>
          <t>[젊줌마]스테이포에버_영상</t>
        </is>
      </c>
      <c r="B3233" s="16" t="inlineStr">
        <is>
          <t>2021-02-16</t>
        </is>
      </c>
      <c r="C3233" s="20" t="inlineStr">
        <is>
          <t>화</t>
        </is>
      </c>
      <c r="K3233" s="20" t="n">
        <v>88520</v>
      </c>
    </row>
    <row r="3234" ht="16.5" customHeight="1" s="17">
      <c r="A3234" s="20" t="inlineStr">
        <is>
          <t>[이성소구]스테이포에버_영상</t>
        </is>
      </c>
      <c r="B3234" s="16" t="inlineStr">
        <is>
          <t>2021-02-16</t>
        </is>
      </c>
      <c r="C3234" s="20" t="inlineStr">
        <is>
          <t>화</t>
        </is>
      </c>
      <c r="K3234" s="20" t="n">
        <v>26793.63636363636</v>
      </c>
    </row>
    <row r="3235" ht="16.5" customHeight="1" s="17">
      <c r="A3235" s="20" t="inlineStr">
        <is>
          <t>[승무원]2019년썰 카드뉴스+ 향묘사_영상</t>
        </is>
      </c>
      <c r="B3235" s="16" t="inlineStr">
        <is>
          <t>2021-02-16</t>
        </is>
      </c>
      <c r="C3235" s="20" t="inlineStr">
        <is>
          <t>화</t>
        </is>
      </c>
      <c r="K3235" s="20" t="n">
        <v>179623.6363636364</v>
      </c>
    </row>
    <row r="3236" ht="16.5" customHeight="1" s="17">
      <c r="A3236" s="20" t="inlineStr">
        <is>
          <t>[승무원어피]스테이포에버_이미지</t>
        </is>
      </c>
      <c r="B3236" s="16" t="inlineStr">
        <is>
          <t>2021-02-16</t>
        </is>
      </c>
      <c r="C3236" s="20" t="inlineStr">
        <is>
          <t>화</t>
        </is>
      </c>
      <c r="K3236" s="20" t="n">
        <v>89134.54545454544</v>
      </c>
    </row>
    <row r="3237" ht="16.5" customHeight="1" s="17">
      <c r="A3237" s="20" t="inlineStr">
        <is>
          <t>[다현]스테이포에버_이미지</t>
        </is>
      </c>
      <c r="B3237" s="16" t="inlineStr">
        <is>
          <t>2021-02-16</t>
        </is>
      </c>
      <c r="C3237" s="20" t="inlineStr">
        <is>
          <t>화</t>
        </is>
      </c>
      <c r="K3237" s="20" t="n">
        <v>266406.3636363636</v>
      </c>
    </row>
    <row r="3238" ht="16.5" customHeight="1" s="17">
      <c r="A3238" s="20" t="inlineStr">
        <is>
          <t>[승무원]스테이포에버_카드뉴스</t>
        </is>
      </c>
      <c r="B3238" s="16" t="inlineStr">
        <is>
          <t>2021-02-16</t>
        </is>
      </c>
      <c r="C3238" s="20" t="inlineStr">
        <is>
          <t>화</t>
        </is>
      </c>
      <c r="K3238" s="20" t="n">
        <v>267565.4545454545</v>
      </c>
    </row>
    <row r="3239" ht="16.5" customHeight="1" s="17">
      <c r="A3239" s="20" t="inlineStr">
        <is>
          <t>[후기타입]스테이포에버_영상</t>
        </is>
      </c>
      <c r="B3239" s="16" t="inlineStr">
        <is>
          <t>2021-02-16</t>
        </is>
      </c>
      <c r="C3239" s="20" t="inlineStr">
        <is>
          <t>화</t>
        </is>
      </c>
      <c r="K3239" s="20" t="n">
        <v>133039.0909090909</v>
      </c>
    </row>
    <row r="3240" ht="16.5" customHeight="1" s="17">
      <c r="A3240" s="20" t="inlineStr">
        <is>
          <t>전환_스테이포에버</t>
        </is>
      </c>
      <c r="B3240" s="16" t="inlineStr">
        <is>
          <t>2021-02-16</t>
        </is>
      </c>
      <c r="C3240" s="20" t="inlineStr">
        <is>
          <t>화</t>
        </is>
      </c>
      <c r="K3240" s="20" t="n">
        <v>133605.4545454545</v>
      </c>
    </row>
    <row r="3241" ht="16.5" customHeight="1" s="17">
      <c r="A3241" s="20" t="inlineStr">
        <is>
          <t>[권태기커플]스테이포에버_영상</t>
        </is>
      </c>
      <c r="B3241" s="16" t="inlineStr">
        <is>
          <t>2021-02-16</t>
        </is>
      </c>
      <c r="C3241" s="20" t="inlineStr">
        <is>
          <t>화</t>
        </is>
      </c>
      <c r="K3241" s="20" t="n">
        <v>134044.5454545454</v>
      </c>
    </row>
    <row r="3242" ht="16.5" customHeight="1" s="17">
      <c r="A3242" s="20" t="inlineStr">
        <is>
          <t>동영상캠페인_승무원_2019년썰</t>
        </is>
      </c>
      <c r="B3242" s="16" t="inlineStr">
        <is>
          <t>2021-02-16</t>
        </is>
      </c>
      <c r="C3242" s="20" t="inlineStr">
        <is>
          <t>화</t>
        </is>
      </c>
      <c r="K3242" s="20" t="n">
        <v>419360</v>
      </c>
    </row>
    <row r="3243" ht="16.5" customHeight="1" s="17">
      <c r="A3243" s="20" t="inlineStr">
        <is>
          <t>웹사이트 트래픽 서치</t>
        </is>
      </c>
      <c r="B3243" s="16" t="inlineStr">
        <is>
          <t>2021-02-16</t>
        </is>
      </c>
      <c r="C3243" s="20" t="inlineStr">
        <is>
          <t>화</t>
        </is>
      </c>
      <c r="K3243" s="20" t="n">
        <v>67999</v>
      </c>
    </row>
    <row r="3244" ht="16.5" customHeight="1" s="17">
      <c r="A3244" s="20" t="inlineStr">
        <is>
          <t>동영상캠페인_승무원_보이는 라디오</t>
        </is>
      </c>
      <c r="B3244" s="16" t="inlineStr">
        <is>
          <t>2021-02-16</t>
        </is>
      </c>
      <c r="C3244" s="20" t="inlineStr">
        <is>
          <t>화</t>
        </is>
      </c>
      <c r="K3244" s="20" t="n">
        <v>510274</v>
      </c>
    </row>
    <row r="3245" ht="16.5" customHeight="1" s="17">
      <c r="A3245" s="20" t="inlineStr">
        <is>
          <t>"디스커버리 배너_승무원,할인_리마케팅"</t>
        </is>
      </c>
      <c r="B3245" s="16" t="inlineStr">
        <is>
          <t>2021-02-16</t>
        </is>
      </c>
      <c r="C3245" s="20" t="inlineStr">
        <is>
          <t>화</t>
        </is>
      </c>
      <c r="K3245" s="20" t="n">
        <v>483966</v>
      </c>
    </row>
    <row r="3246" ht="16.5" customHeight="1" s="17">
      <c r="A3246" s="20" t="inlineStr">
        <is>
          <t>동영상캠페인_승무원_써니스카이</t>
        </is>
      </c>
      <c r="B3246" s="16" t="inlineStr">
        <is>
          <t>2021-02-16</t>
        </is>
      </c>
      <c r="C3246" s="20" t="inlineStr">
        <is>
          <t>화</t>
        </is>
      </c>
      <c r="K3246" s="20" t="n">
        <v>509477</v>
      </c>
    </row>
    <row r="3247" ht="16.5" customHeight="1" s="17">
      <c r="A3247" s="20" t="inlineStr">
        <is>
          <t>동영상캠페인_필라테스_자기관리</t>
        </is>
      </c>
      <c r="B3247" s="16" t="inlineStr">
        <is>
          <t>2021-02-16</t>
        </is>
      </c>
      <c r="C3247" s="20" t="inlineStr">
        <is>
          <t>화</t>
        </is>
      </c>
      <c r="K3247" s="20" t="n">
        <v>308913</v>
      </c>
    </row>
    <row r="3248" ht="16.5" customHeight="1" s="17">
      <c r="A3248" s="20" t="inlineStr">
        <is>
          <t>동영상캠페인_승무원_비누향 나는 승무원에게</t>
        </is>
      </c>
      <c r="B3248" s="16" t="inlineStr">
        <is>
          <t>2021-02-16</t>
        </is>
      </c>
      <c r="C3248" s="20" t="inlineStr">
        <is>
          <t>화</t>
        </is>
      </c>
      <c r="K3248" s="20" t="n">
        <v>516104</v>
      </c>
    </row>
    <row r="3249" ht="16.5" customHeight="1" s="17">
      <c r="A3249" s="20" t="inlineStr">
        <is>
          <t>쇼핑검색_고체향수</t>
        </is>
      </c>
      <c r="B3249" s="16" t="inlineStr">
        <is>
          <t>2021-02-16</t>
        </is>
      </c>
      <c r="C3249" s="20" t="inlineStr">
        <is>
          <t>화</t>
        </is>
      </c>
      <c r="K3249" s="20" t="n">
        <v>1880</v>
      </c>
    </row>
    <row r="3250" ht="16.5" customHeight="1" s="17">
      <c r="A3250" s="20" t="inlineStr">
        <is>
          <t>쇼핑검색_고체향수세부키워드</t>
        </is>
      </c>
      <c r="B3250" s="16" t="inlineStr">
        <is>
          <t>2021-02-16</t>
        </is>
      </c>
      <c r="C3250" s="20" t="inlineStr">
        <is>
          <t>화</t>
        </is>
      </c>
      <c r="K3250" s="20" t="n">
        <v>58619.99999999999</v>
      </c>
    </row>
    <row r="3251" ht="16.5" customHeight="1" s="17">
      <c r="A3251" s="20" t="inlineStr">
        <is>
          <t>쇼핑검색_고체향수세부키워드2</t>
        </is>
      </c>
      <c r="B3251" s="16" t="inlineStr">
        <is>
          <t>2021-02-16</t>
        </is>
      </c>
      <c r="C3251" s="20" t="inlineStr">
        <is>
          <t>화</t>
        </is>
      </c>
      <c r="K3251" s="20" t="n">
        <v>2800</v>
      </c>
    </row>
    <row r="3252" ht="16.5" customHeight="1" s="17">
      <c r="A3252" s="20" t="inlineStr">
        <is>
          <t>모바일 브검</t>
        </is>
      </c>
      <c r="B3252" s="16" t="inlineStr">
        <is>
          <t>2021-02-16</t>
        </is>
      </c>
      <c r="C3252" s="20" t="inlineStr">
        <is>
          <t>화</t>
        </is>
      </c>
      <c r="K3252" s="20" t="n">
        <v>0</v>
      </c>
    </row>
    <row r="3253" ht="16.5" customHeight="1" s="17">
      <c r="A3253" s="20" t="inlineStr">
        <is>
          <t>고체향수_승무원 어피_Npay 추적</t>
        </is>
      </c>
      <c r="B3253" s="16" t="inlineStr">
        <is>
          <t>2021-02-16</t>
        </is>
      </c>
      <c r="C3253" s="20" t="inlineStr">
        <is>
          <t>화</t>
        </is>
      </c>
      <c r="K3253" s="20" t="n">
        <v>91219.99999999999</v>
      </c>
    </row>
    <row r="3254" ht="16.5" customHeight="1" s="17">
      <c r="A3254" s="20" t="inlineStr">
        <is>
          <t>고체향수_Npay 추적</t>
        </is>
      </c>
      <c r="B3254" s="16" t="inlineStr">
        <is>
          <t>2021-02-16</t>
        </is>
      </c>
      <c r="C3254" s="20" t="inlineStr">
        <is>
          <t>화</t>
        </is>
      </c>
      <c r="K3254" s="20" t="n">
        <v>413219.9999999999</v>
      </c>
    </row>
    <row r="3255" ht="16.5" customHeight="1" s="17">
      <c r="A3255" s="20" t="inlineStr">
        <is>
          <t>승무원 키워드</t>
        </is>
      </c>
      <c r="B3255" s="16" t="inlineStr">
        <is>
          <t>2021-02-16</t>
        </is>
      </c>
      <c r="C3255" s="20" t="inlineStr">
        <is>
          <t>화</t>
        </is>
      </c>
      <c r="K3255" s="20" t="n">
        <v>1200440.909090909</v>
      </c>
    </row>
    <row r="3256" ht="16.5" customHeight="1" s="17">
      <c r="A3256" s="20" t="inlineStr">
        <is>
          <t>[승은 TEST 2] 스테이포에버_카드뉴스</t>
        </is>
      </c>
      <c r="B3256" s="16" t="inlineStr">
        <is>
          <t>2021-02-16</t>
        </is>
      </c>
      <c r="C3256" s="20" t="inlineStr">
        <is>
          <t>화</t>
        </is>
      </c>
      <c r="K3256" s="20" t="n">
        <v>54014.54545454545</v>
      </c>
    </row>
    <row r="3257" ht="16.5" customHeight="1" s="17">
      <c r="A3257" s="20" t="inlineStr">
        <is>
          <t>[승은 TEST] 스테이포에버_카드뉴스</t>
        </is>
      </c>
      <c r="B3257" s="16" t="inlineStr">
        <is>
          <t>2021-02-16</t>
        </is>
      </c>
      <c r="C3257" s="20" t="inlineStr">
        <is>
          <t>화</t>
        </is>
      </c>
      <c r="K3257" s="20" t="n">
        <v>445436.3636363636</v>
      </c>
    </row>
    <row r="3258" ht="16.5" customHeight="1" s="17">
      <c r="A3258" s="20" t="inlineStr">
        <is>
          <t>[테스트]아줌마</t>
        </is>
      </c>
      <c r="B3258" s="16" t="inlineStr">
        <is>
          <t>2021-02-16</t>
        </is>
      </c>
      <c r="C3258" s="20" t="inlineStr">
        <is>
          <t>화</t>
        </is>
      </c>
      <c r="K3258" s="20" t="n">
        <v>221690</v>
      </c>
    </row>
    <row r="3259" ht="16.5" customHeight="1" s="17">
      <c r="A3259" s="20" t="inlineStr">
        <is>
          <t>[키워드 확장 테스트]스테이포에버_이미지</t>
        </is>
      </c>
      <c r="B3259" s="16" t="inlineStr">
        <is>
          <t>2021-02-16</t>
        </is>
      </c>
      <c r="C3259" s="20" t="inlineStr">
        <is>
          <t>화</t>
        </is>
      </c>
      <c r="K3259" s="20" t="n">
        <v>195064.5454545454</v>
      </c>
    </row>
    <row r="3260" ht="16.5" customHeight="1" s="17">
      <c r="A3260" s="20" t="inlineStr">
        <is>
          <t>[재입고]스테이포에버_이미지</t>
        </is>
      </c>
      <c r="B3260" s="16" t="inlineStr">
        <is>
          <t>2021-02-16</t>
        </is>
      </c>
      <c r="C3260" s="20" t="inlineStr">
        <is>
          <t>화</t>
        </is>
      </c>
      <c r="K3260" s="20" t="n">
        <v>134789.0909090909</v>
      </c>
    </row>
    <row r="3261" ht="16.5" customHeight="1" s="17">
      <c r="A3261" s="20" t="inlineStr">
        <is>
          <t>[승무원]숏폼_영상</t>
        </is>
      </c>
      <c r="B3261" s="16" t="inlineStr">
        <is>
          <t>2021-02-16</t>
        </is>
      </c>
      <c r="C3261" s="20" t="inlineStr">
        <is>
          <t>화</t>
        </is>
      </c>
      <c r="K3261" s="20" t="n">
        <v>89664.54545454544</v>
      </c>
    </row>
    <row r="3262" ht="16.5" customHeight="1" s="17">
      <c r="A3262" s="20" t="inlineStr">
        <is>
          <t>[재입고]스테이포에버_영상</t>
        </is>
      </c>
      <c r="B3262" s="16" t="inlineStr">
        <is>
          <t>2021-02-16</t>
        </is>
      </c>
      <c r="C3262" s="20" t="inlineStr">
        <is>
          <t>화</t>
        </is>
      </c>
      <c r="K3262" s="20" t="n">
        <v>178779.0909090909</v>
      </c>
    </row>
    <row r="3263" ht="16.5" customHeight="1" s="17">
      <c r="A3263" s="20" t="inlineStr">
        <is>
          <t>[필라테스]스테이포에버_카드뉴스</t>
        </is>
      </c>
      <c r="B3263" s="16" t="inlineStr">
        <is>
          <t>2021-02-16</t>
        </is>
      </c>
      <c r="C3263" s="20" t="inlineStr">
        <is>
          <t>화</t>
        </is>
      </c>
      <c r="K3263" s="20" t="n">
        <v>44394.54545454545</v>
      </c>
    </row>
    <row r="3264" ht="16.5" customHeight="1" s="17">
      <c r="A3264" s="20" t="inlineStr">
        <is>
          <t>[젊줌마]스테이포에버_영상</t>
        </is>
      </c>
      <c r="B3264" s="16" t="inlineStr">
        <is>
          <t>2021-02-16</t>
        </is>
      </c>
      <c r="C3264" s="20" t="inlineStr">
        <is>
          <t>화</t>
        </is>
      </c>
      <c r="K3264" s="20" t="n">
        <v>88520</v>
      </c>
    </row>
    <row r="3265" ht="16.5" customHeight="1" s="17">
      <c r="A3265" s="20" t="inlineStr">
        <is>
          <t>[이성소구]스테이포에버_영상</t>
        </is>
      </c>
      <c r="B3265" s="16" t="inlineStr">
        <is>
          <t>2021-02-16</t>
        </is>
      </c>
      <c r="C3265" s="20" t="inlineStr">
        <is>
          <t>화</t>
        </is>
      </c>
      <c r="K3265" s="20" t="n">
        <v>26793.63636363636</v>
      </c>
    </row>
    <row r="3266" ht="16.5" customHeight="1" s="17">
      <c r="A3266" s="20" t="inlineStr">
        <is>
          <t>[승무원]2019년썰 카드뉴스+ 향묘사_영상</t>
        </is>
      </c>
      <c r="B3266" s="16" t="inlineStr">
        <is>
          <t>2021-02-16</t>
        </is>
      </c>
      <c r="C3266" s="20" t="inlineStr">
        <is>
          <t>화</t>
        </is>
      </c>
      <c r="K3266" s="20" t="n">
        <v>179652.7272727273</v>
      </c>
    </row>
    <row r="3267" ht="16.5" customHeight="1" s="17">
      <c r="A3267" s="20" t="inlineStr">
        <is>
          <t>[승무원어피]스테이포에버_이미지</t>
        </is>
      </c>
      <c r="B3267" s="16" t="inlineStr">
        <is>
          <t>2021-02-16</t>
        </is>
      </c>
      <c r="C3267" s="20" t="inlineStr">
        <is>
          <t>화</t>
        </is>
      </c>
      <c r="K3267" s="20" t="n">
        <v>89134.54545454544</v>
      </c>
    </row>
    <row r="3268" ht="16.5" customHeight="1" s="17">
      <c r="A3268" s="20" t="inlineStr">
        <is>
          <t>[다현]스테이포에버_이미지</t>
        </is>
      </c>
      <c r="B3268" s="16" t="inlineStr">
        <is>
          <t>2021-02-16</t>
        </is>
      </c>
      <c r="C3268" s="20" t="inlineStr">
        <is>
          <t>화</t>
        </is>
      </c>
      <c r="K3268" s="20" t="n">
        <v>266406.3636363636</v>
      </c>
    </row>
    <row r="3269" ht="16.5" customHeight="1" s="17">
      <c r="A3269" s="20" t="inlineStr">
        <is>
          <t>[승무원]스테이포에버_카드뉴스</t>
        </is>
      </c>
      <c r="B3269" s="16" t="inlineStr">
        <is>
          <t>2021-02-16</t>
        </is>
      </c>
      <c r="C3269" s="20" t="inlineStr">
        <is>
          <t>화</t>
        </is>
      </c>
      <c r="K3269" s="20" t="n">
        <v>267565.4545454545</v>
      </c>
    </row>
    <row r="3270" ht="16.5" customHeight="1" s="17">
      <c r="A3270" s="20" t="inlineStr">
        <is>
          <t>[후기타입]스테이포에버_영상</t>
        </is>
      </c>
      <c r="B3270" s="16" t="inlineStr">
        <is>
          <t>2021-02-16</t>
        </is>
      </c>
      <c r="C3270" s="20" t="inlineStr">
        <is>
          <t>화</t>
        </is>
      </c>
      <c r="K3270" s="20" t="n">
        <v>133039.0909090909</v>
      </c>
    </row>
    <row r="3271" ht="16.5" customHeight="1" s="17">
      <c r="A3271" s="20" t="inlineStr">
        <is>
          <t>전환_스테이포에버</t>
        </is>
      </c>
      <c r="B3271" s="16" t="inlineStr">
        <is>
          <t>2021-02-16</t>
        </is>
      </c>
      <c r="C3271" s="20" t="inlineStr">
        <is>
          <t>화</t>
        </is>
      </c>
      <c r="K3271" s="20" t="n">
        <v>133605.4545454545</v>
      </c>
    </row>
    <row r="3272" ht="16.5" customHeight="1" s="17">
      <c r="A3272" s="20" t="inlineStr">
        <is>
          <t>[권태기커플]스테이포에버_영상</t>
        </is>
      </c>
      <c r="B3272" s="16" t="inlineStr">
        <is>
          <t>2021-02-16</t>
        </is>
      </c>
      <c r="C3272" s="20" t="inlineStr">
        <is>
          <t>화</t>
        </is>
      </c>
      <c r="K3272" s="20" t="n">
        <v>134044.5454545454</v>
      </c>
    </row>
    <row r="3273" ht="16.5" customHeight="1" s="17">
      <c r="A3273" s="20" t="inlineStr">
        <is>
          <t>동영상캠페인_승무원_2019년썰</t>
        </is>
      </c>
      <c r="B3273" s="16" t="inlineStr">
        <is>
          <t>2021-02-16</t>
        </is>
      </c>
      <c r="C3273" s="20" t="inlineStr">
        <is>
          <t>화</t>
        </is>
      </c>
      <c r="K3273" s="20" t="n">
        <v>419360</v>
      </c>
    </row>
    <row r="3274" ht="16.5" customHeight="1" s="17">
      <c r="A3274" s="20" t="inlineStr">
        <is>
          <t>웹사이트 트래픽 서치</t>
        </is>
      </c>
      <c r="B3274" s="16" t="inlineStr">
        <is>
          <t>2021-02-16</t>
        </is>
      </c>
      <c r="C3274" s="20" t="inlineStr">
        <is>
          <t>화</t>
        </is>
      </c>
      <c r="K3274" s="20" t="n">
        <v>67999</v>
      </c>
    </row>
    <row r="3275" ht="16.5" customHeight="1" s="17">
      <c r="A3275" s="20" t="inlineStr">
        <is>
          <t>동영상캠페인_승무원_보이는 라디오</t>
        </is>
      </c>
      <c r="B3275" s="16" t="inlineStr">
        <is>
          <t>2021-02-16</t>
        </is>
      </c>
      <c r="C3275" s="20" t="inlineStr">
        <is>
          <t>화</t>
        </is>
      </c>
      <c r="K3275" s="20" t="n">
        <v>510274</v>
      </c>
    </row>
    <row r="3276" ht="16.5" customHeight="1" s="17">
      <c r="A3276" s="20" t="inlineStr">
        <is>
          <t>"디스커버리 배너_승무원,할인_리마케팅"</t>
        </is>
      </c>
      <c r="B3276" s="16" t="inlineStr">
        <is>
          <t>2021-02-16</t>
        </is>
      </c>
      <c r="C3276" s="20" t="inlineStr">
        <is>
          <t>화</t>
        </is>
      </c>
      <c r="K3276" s="20" t="n">
        <v>483966</v>
      </c>
    </row>
    <row r="3277" ht="16.5" customHeight="1" s="17">
      <c r="A3277" s="20" t="inlineStr">
        <is>
          <t>동영상캠페인_승무원_써니스카이</t>
        </is>
      </c>
      <c r="B3277" s="16" t="inlineStr">
        <is>
          <t>2021-02-16</t>
        </is>
      </c>
      <c r="C3277" s="20" t="inlineStr">
        <is>
          <t>화</t>
        </is>
      </c>
      <c r="K3277" s="20" t="n">
        <v>509477</v>
      </c>
    </row>
    <row r="3278" ht="16.5" customHeight="1" s="17">
      <c r="A3278" s="20" t="inlineStr">
        <is>
          <t>동영상캠페인_필라테스_자기관리</t>
        </is>
      </c>
      <c r="B3278" s="16" t="inlineStr">
        <is>
          <t>2021-02-16</t>
        </is>
      </c>
      <c r="C3278" s="20" t="inlineStr">
        <is>
          <t>화</t>
        </is>
      </c>
      <c r="K3278" s="20" t="n">
        <v>308913</v>
      </c>
    </row>
    <row r="3279" ht="16.5" customHeight="1" s="17">
      <c r="A3279" s="20" t="inlineStr">
        <is>
          <t>동영상캠페인_승무원_비누향 나는 승무원에게</t>
        </is>
      </c>
      <c r="B3279" s="16" t="inlineStr">
        <is>
          <t>2021-02-16</t>
        </is>
      </c>
      <c r="C3279" s="20" t="inlineStr">
        <is>
          <t>화</t>
        </is>
      </c>
      <c r="K3279" s="20" t="n">
        <v>516104</v>
      </c>
    </row>
    <row r="3280" ht="16.5" customHeight="1" s="17">
      <c r="A3280" s="20" t="inlineStr">
        <is>
          <t>쇼핑검색_고체향수</t>
        </is>
      </c>
      <c r="B3280" s="16" t="inlineStr">
        <is>
          <t>2021-02-16</t>
        </is>
      </c>
      <c r="C3280" s="20" t="inlineStr">
        <is>
          <t>화</t>
        </is>
      </c>
      <c r="K3280" s="20" t="n">
        <v>1880</v>
      </c>
    </row>
    <row r="3281" ht="16.5" customHeight="1" s="17">
      <c r="A3281" s="20" t="inlineStr">
        <is>
          <t>쇼핑검색_고체향수세부키워드</t>
        </is>
      </c>
      <c r="B3281" s="16" t="inlineStr">
        <is>
          <t>2021-02-16</t>
        </is>
      </c>
      <c r="C3281" s="20" t="inlineStr">
        <is>
          <t>화</t>
        </is>
      </c>
      <c r="K3281" s="20" t="n">
        <v>58619.99999999999</v>
      </c>
    </row>
    <row r="3282" ht="16.5" customHeight="1" s="17">
      <c r="A3282" s="20" t="inlineStr">
        <is>
          <t>쇼핑검색_고체향수세부키워드2</t>
        </is>
      </c>
      <c r="B3282" s="16" t="inlineStr">
        <is>
          <t>2021-02-16</t>
        </is>
      </c>
      <c r="C3282" s="20" t="inlineStr">
        <is>
          <t>화</t>
        </is>
      </c>
      <c r="K3282" s="20" t="n">
        <v>2800</v>
      </c>
    </row>
    <row r="3283" ht="16.5" customHeight="1" s="17">
      <c r="A3283" s="20" t="inlineStr">
        <is>
          <t>모바일 브검</t>
        </is>
      </c>
      <c r="B3283" s="16" t="inlineStr">
        <is>
          <t>2021-02-16</t>
        </is>
      </c>
      <c r="C3283" s="20" t="inlineStr">
        <is>
          <t>화</t>
        </is>
      </c>
      <c r="K3283" s="20" t="n">
        <v>0</v>
      </c>
    </row>
    <row r="3284" ht="16.5" customHeight="1" s="17">
      <c r="A3284" s="20" t="inlineStr">
        <is>
          <t>고체향수_승무원 어피_Npay 추적</t>
        </is>
      </c>
      <c r="B3284" s="16" t="inlineStr">
        <is>
          <t>2021-02-16</t>
        </is>
      </c>
      <c r="C3284" s="20" t="inlineStr">
        <is>
          <t>화</t>
        </is>
      </c>
      <c r="K3284" s="20" t="n">
        <v>91219.99999999999</v>
      </c>
    </row>
    <row r="3285" ht="16.5" customHeight="1" s="17">
      <c r="A3285" s="20" t="inlineStr">
        <is>
          <t>고체향수_Npay 추적</t>
        </is>
      </c>
      <c r="B3285" s="16" t="inlineStr">
        <is>
          <t>2021-02-16</t>
        </is>
      </c>
      <c r="C3285" s="20" t="inlineStr">
        <is>
          <t>화</t>
        </is>
      </c>
      <c r="K3285" s="20" t="n">
        <v>413219.9999999999</v>
      </c>
    </row>
    <row r="3286" ht="16.5" customHeight="1" s="17">
      <c r="A3286" s="20" t="inlineStr">
        <is>
          <t>승무원 키워드</t>
        </is>
      </c>
      <c r="B3286" s="16" t="inlineStr">
        <is>
          <t>2021-02-16</t>
        </is>
      </c>
      <c r="C3286" s="20" t="inlineStr">
        <is>
          <t>화</t>
        </is>
      </c>
      <c r="K3286" s="20" t="n">
        <v>1200440.909090909</v>
      </c>
    </row>
    <row r="3287" ht="16.5" customHeight="1" s="17">
      <c r="A3287" s="20" t="inlineStr">
        <is>
          <t>[승은 TEST 2] 스테이포에버_카드뉴스</t>
        </is>
      </c>
      <c r="B3287" s="16" t="inlineStr">
        <is>
          <t>2021-02-16</t>
        </is>
      </c>
      <c r="C3287" s="20" t="inlineStr">
        <is>
          <t>화</t>
        </is>
      </c>
      <c r="K3287" s="20" t="n">
        <v>59416</v>
      </c>
    </row>
    <row r="3288" ht="16.5" customHeight="1" s="17">
      <c r="A3288" s="20" t="inlineStr">
        <is>
          <t>[승은 TEST] 스테이포에버_카드뉴스</t>
        </is>
      </c>
      <c r="B3288" s="16" t="inlineStr">
        <is>
          <t>2021-02-16</t>
        </is>
      </c>
      <c r="C3288" s="20" t="inlineStr">
        <is>
          <t>화</t>
        </is>
      </c>
      <c r="K3288" s="20" t="n">
        <v>489980</v>
      </c>
    </row>
    <row r="3289" ht="16.5" customHeight="1" s="17">
      <c r="A3289" s="20" t="inlineStr">
        <is>
          <t>[테스트]아줌마</t>
        </is>
      </c>
      <c r="B3289" s="16" t="inlineStr">
        <is>
          <t>2021-02-16</t>
        </is>
      </c>
      <c r="C3289" s="20" t="inlineStr">
        <is>
          <t>화</t>
        </is>
      </c>
      <c r="K3289" s="20" t="n">
        <v>243859</v>
      </c>
    </row>
    <row r="3290" ht="16.5" customHeight="1" s="17">
      <c r="A3290" s="20" t="inlineStr">
        <is>
          <t>[키워드 확장 테스트]스테이포에버_이미지</t>
        </is>
      </c>
      <c r="B3290" s="16" t="inlineStr">
        <is>
          <t>2021-02-16</t>
        </is>
      </c>
      <c r="C3290" s="20" t="inlineStr">
        <is>
          <t>화</t>
        </is>
      </c>
      <c r="K3290" s="20" t="n">
        <v>214571</v>
      </c>
    </row>
    <row r="3291" ht="16.5" customHeight="1" s="17">
      <c r="A3291" s="20" t="inlineStr">
        <is>
          <t>[재입고]스테이포에버_이미지</t>
        </is>
      </c>
      <c r="B3291" s="16" t="inlineStr">
        <is>
          <t>2021-02-16</t>
        </is>
      </c>
      <c r="C3291" s="20" t="inlineStr">
        <is>
          <t>화</t>
        </is>
      </c>
      <c r="K3291" s="20" t="n">
        <v>148268</v>
      </c>
    </row>
    <row r="3292" ht="16.5" customHeight="1" s="17">
      <c r="A3292" s="20" t="inlineStr">
        <is>
          <t>[승무원]숏폼_영상</t>
        </is>
      </c>
      <c r="B3292" s="16" t="inlineStr">
        <is>
          <t>2021-02-16</t>
        </is>
      </c>
      <c r="C3292" s="20" t="inlineStr">
        <is>
          <t>화</t>
        </is>
      </c>
      <c r="K3292" s="20" t="n">
        <v>98631</v>
      </c>
    </row>
    <row r="3293" ht="16.5" customHeight="1" s="17">
      <c r="A3293" s="20" t="inlineStr">
        <is>
          <t>[재입고]스테이포에버_영상</t>
        </is>
      </c>
      <c r="B3293" s="16" t="inlineStr">
        <is>
          <t>2021-02-16</t>
        </is>
      </c>
      <c r="C3293" s="20" t="inlineStr">
        <is>
          <t>화</t>
        </is>
      </c>
      <c r="K3293" s="20" t="n">
        <v>196657</v>
      </c>
    </row>
    <row r="3294" ht="16.5" customHeight="1" s="17">
      <c r="A3294" s="20" t="inlineStr">
        <is>
          <t>[필라테스]스테이포에버_카드뉴스</t>
        </is>
      </c>
      <c r="B3294" s="16" t="inlineStr">
        <is>
          <t>2021-02-16</t>
        </is>
      </c>
      <c r="C3294" s="20" t="inlineStr">
        <is>
          <t>화</t>
        </is>
      </c>
      <c r="K3294" s="20" t="n">
        <v>48834</v>
      </c>
    </row>
    <row r="3295" ht="16.5" customHeight="1" s="17">
      <c r="A3295" s="20" t="inlineStr">
        <is>
          <t>[젊줌마]스테이포에버_영상</t>
        </is>
      </c>
      <c r="B3295" s="16" t="inlineStr">
        <is>
          <t>2021-02-16</t>
        </is>
      </c>
      <c r="C3295" s="20" t="inlineStr">
        <is>
          <t>화</t>
        </is>
      </c>
      <c r="K3295" s="20" t="n">
        <v>97372</v>
      </c>
    </row>
    <row r="3296" ht="16.5" customHeight="1" s="17">
      <c r="A3296" s="20" t="inlineStr">
        <is>
          <t>[이성소구]스테이포에버_영상</t>
        </is>
      </c>
      <c r="B3296" s="16" t="inlineStr">
        <is>
          <t>2021-02-16</t>
        </is>
      </c>
      <c r="C3296" s="20" t="inlineStr">
        <is>
          <t>화</t>
        </is>
      </c>
      <c r="K3296" s="20" t="n">
        <v>29473</v>
      </c>
    </row>
    <row r="3297" ht="16.5" customHeight="1" s="17">
      <c r="A3297" s="20" t="inlineStr">
        <is>
          <t>[승무원]2019년썰 카드뉴스+ 향묘사_영상</t>
        </is>
      </c>
      <c r="B3297" s="16" t="inlineStr">
        <is>
          <t>2021-02-16</t>
        </is>
      </c>
      <c r="C3297" s="20" t="inlineStr">
        <is>
          <t>화</t>
        </is>
      </c>
      <c r="K3297" s="20" t="n">
        <v>197633</v>
      </c>
    </row>
    <row r="3298" ht="16.5" customHeight="1" s="17">
      <c r="A3298" s="20" t="inlineStr">
        <is>
          <t>[승무원어피]스테이포에버_이미지</t>
        </is>
      </c>
      <c r="B3298" s="16" t="inlineStr">
        <is>
          <t>2021-02-16</t>
        </is>
      </c>
      <c r="C3298" s="20" t="inlineStr">
        <is>
          <t>화</t>
        </is>
      </c>
      <c r="K3298" s="20" t="n">
        <v>98048</v>
      </c>
    </row>
    <row r="3299" ht="16.5" customHeight="1" s="17">
      <c r="A3299" s="20" t="inlineStr">
        <is>
          <t>[다현]스테이포에버_이미지</t>
        </is>
      </c>
      <c r="B3299" s="16" t="inlineStr">
        <is>
          <t>2021-02-16</t>
        </is>
      </c>
      <c r="C3299" s="20" t="inlineStr">
        <is>
          <t>화</t>
        </is>
      </c>
      <c r="K3299" s="20" t="n">
        <v>293099</v>
      </c>
    </row>
    <row r="3300" ht="16.5" customHeight="1" s="17">
      <c r="A3300" s="20" t="inlineStr">
        <is>
          <t>[승무원]스테이포에버_카드뉴스</t>
        </is>
      </c>
      <c r="B3300" s="16" t="inlineStr">
        <is>
          <t>2021-02-16</t>
        </is>
      </c>
      <c r="C3300" s="20" t="inlineStr">
        <is>
          <t>화</t>
        </is>
      </c>
      <c r="K3300" s="20" t="n">
        <v>294322</v>
      </c>
    </row>
    <row r="3301" ht="16.5" customHeight="1" s="17">
      <c r="A3301" s="20" t="inlineStr">
        <is>
          <t>[후기타입]스테이포에버_영상</t>
        </is>
      </c>
      <c r="B3301" s="16" t="inlineStr">
        <is>
          <t>2021-02-16</t>
        </is>
      </c>
      <c r="C3301" s="20" t="inlineStr">
        <is>
          <t>화</t>
        </is>
      </c>
      <c r="K3301" s="20" t="n">
        <v>146343</v>
      </c>
    </row>
    <row r="3302" ht="16.5" customHeight="1" s="17">
      <c r="A3302" s="20" t="inlineStr">
        <is>
          <t>전환_스테이포에버</t>
        </is>
      </c>
      <c r="B3302" s="16" t="inlineStr">
        <is>
          <t>2021-02-16</t>
        </is>
      </c>
      <c r="C3302" s="20" t="inlineStr">
        <is>
          <t>화</t>
        </is>
      </c>
      <c r="K3302" s="20" t="n">
        <v>146966</v>
      </c>
    </row>
    <row r="3303" ht="16.5" customHeight="1" s="17">
      <c r="A3303" s="20" t="inlineStr">
        <is>
          <t>[권태기커플]스테이포에버_영상</t>
        </is>
      </c>
      <c r="B3303" s="16" t="inlineStr">
        <is>
          <t>2021-02-16</t>
        </is>
      </c>
      <c r="C3303" s="20" t="inlineStr">
        <is>
          <t>화</t>
        </is>
      </c>
      <c r="K3303" s="20" t="n">
        <v>147449</v>
      </c>
    </row>
    <row r="3304" ht="16.5" customHeight="1" s="17">
      <c r="A3304" s="20" t="inlineStr">
        <is>
          <t>동영상캠페인_승무원_2019년썰</t>
        </is>
      </c>
      <c r="B3304" s="16" t="inlineStr">
        <is>
          <t>2021-02-16</t>
        </is>
      </c>
      <c r="C3304" s="20" t="inlineStr">
        <is>
          <t>화</t>
        </is>
      </c>
      <c r="K3304" s="20" t="n">
        <v>419360</v>
      </c>
    </row>
    <row r="3305" ht="16.5" customHeight="1" s="17">
      <c r="A3305" s="20" t="inlineStr">
        <is>
          <t>웹사이트 트래픽 서치</t>
        </is>
      </c>
      <c r="B3305" s="16" t="inlineStr">
        <is>
          <t>2021-02-16</t>
        </is>
      </c>
      <c r="C3305" s="20" t="inlineStr">
        <is>
          <t>화</t>
        </is>
      </c>
      <c r="K3305" s="20" t="n">
        <v>67999</v>
      </c>
    </row>
    <row r="3306" ht="16.5" customHeight="1" s="17">
      <c r="A3306" s="20" t="inlineStr">
        <is>
          <t>동영상캠페인_승무원_보이는 라디오</t>
        </is>
      </c>
      <c r="B3306" s="16" t="inlineStr">
        <is>
          <t>2021-02-16</t>
        </is>
      </c>
      <c r="C3306" s="20" t="inlineStr">
        <is>
          <t>화</t>
        </is>
      </c>
      <c r="K3306" s="20" t="n">
        <v>510274</v>
      </c>
    </row>
    <row r="3307" ht="16.5" customHeight="1" s="17">
      <c r="A3307" s="20" t="inlineStr">
        <is>
          <t>"디스커버리 배너_승무원,할인_리마케팅"</t>
        </is>
      </c>
      <c r="B3307" s="16" t="inlineStr">
        <is>
          <t>2021-02-16</t>
        </is>
      </c>
      <c r="C3307" s="20" t="inlineStr">
        <is>
          <t>화</t>
        </is>
      </c>
      <c r="K3307" s="20" t="n">
        <v>483966</v>
      </c>
    </row>
    <row r="3308" ht="16.5" customHeight="1" s="17">
      <c r="A3308" s="20" t="inlineStr">
        <is>
          <t>동영상캠페인_승무원_써니스카이</t>
        </is>
      </c>
      <c r="B3308" s="16" t="inlineStr">
        <is>
          <t>2021-02-16</t>
        </is>
      </c>
      <c r="C3308" s="20" t="inlineStr">
        <is>
          <t>화</t>
        </is>
      </c>
      <c r="K3308" s="20" t="n">
        <v>509477</v>
      </c>
    </row>
    <row r="3309" ht="16.5" customHeight="1" s="17">
      <c r="A3309" s="20" t="inlineStr">
        <is>
          <t>동영상캠페인_필라테스_자기관리</t>
        </is>
      </c>
      <c r="B3309" s="16" t="inlineStr">
        <is>
          <t>2021-02-16</t>
        </is>
      </c>
      <c r="C3309" s="20" t="inlineStr">
        <is>
          <t>화</t>
        </is>
      </c>
      <c r="K3309" s="20" t="n">
        <v>308913</v>
      </c>
    </row>
    <row r="3310" ht="16.5" customHeight="1" s="17">
      <c r="A3310" s="20" t="inlineStr">
        <is>
          <t>동영상캠페인_승무원_비누향 나는 승무원에게</t>
        </is>
      </c>
      <c r="B3310" s="16" t="inlineStr">
        <is>
          <t>2021-02-16</t>
        </is>
      </c>
      <c r="C3310" s="20" t="inlineStr">
        <is>
          <t>화</t>
        </is>
      </c>
      <c r="K3310" s="20" t="n">
        <v>516104</v>
      </c>
    </row>
    <row r="3311" ht="16.5" customHeight="1" s="17">
      <c r="A3311" s="20" t="inlineStr">
        <is>
          <t>쇼핑검색_고체향수</t>
        </is>
      </c>
      <c r="B3311" s="16" t="inlineStr">
        <is>
          <t>2021-02-16</t>
        </is>
      </c>
      <c r="C3311" s="20" t="inlineStr">
        <is>
          <t>화</t>
        </is>
      </c>
      <c r="K3311" s="20" t="n">
        <v>1880</v>
      </c>
    </row>
    <row r="3312" ht="16.5" customHeight="1" s="17">
      <c r="A3312" s="20" t="inlineStr">
        <is>
          <t>쇼핑검색_고체향수세부키워드</t>
        </is>
      </c>
      <c r="B3312" s="16" t="inlineStr">
        <is>
          <t>2021-02-16</t>
        </is>
      </c>
      <c r="C3312" s="20" t="inlineStr">
        <is>
          <t>화</t>
        </is>
      </c>
      <c r="K3312" s="20" t="n">
        <v>58619.99999999999</v>
      </c>
    </row>
    <row r="3313" ht="16.5" customHeight="1" s="17">
      <c r="A3313" s="20" t="inlineStr">
        <is>
          <t>쇼핑검색_고체향수세부키워드2</t>
        </is>
      </c>
      <c r="B3313" s="16" t="inlineStr">
        <is>
          <t>2021-02-16</t>
        </is>
      </c>
      <c r="C3313" s="20" t="inlineStr">
        <is>
          <t>화</t>
        </is>
      </c>
      <c r="K3313" s="20" t="n">
        <v>2800</v>
      </c>
    </row>
    <row r="3314" ht="16.5" customHeight="1" s="17">
      <c r="A3314" s="20" t="inlineStr">
        <is>
          <t>모바일 브검</t>
        </is>
      </c>
      <c r="B3314" s="16" t="inlineStr">
        <is>
          <t>2021-02-16</t>
        </is>
      </c>
      <c r="C3314" s="20" t="inlineStr">
        <is>
          <t>화</t>
        </is>
      </c>
      <c r="K3314" s="20" t="n">
        <v>0</v>
      </c>
    </row>
    <row r="3315" ht="16.5" customHeight="1" s="17">
      <c r="A3315" s="20" t="inlineStr">
        <is>
          <t>고체향수_승무원 어피_Npay 추적</t>
        </is>
      </c>
      <c r="B3315" s="16" t="inlineStr">
        <is>
          <t>2021-02-16</t>
        </is>
      </c>
      <c r="C3315" s="20" t="inlineStr">
        <is>
          <t>화</t>
        </is>
      </c>
      <c r="K3315" s="20" t="n">
        <v>91219.99999999999</v>
      </c>
    </row>
    <row r="3316" ht="16.5" customHeight="1" s="17">
      <c r="A3316" s="20" t="inlineStr">
        <is>
          <t>고체향수_Npay 추적</t>
        </is>
      </c>
      <c r="B3316" s="16" t="inlineStr">
        <is>
          <t>2021-02-16</t>
        </is>
      </c>
      <c r="C3316" s="20" t="inlineStr">
        <is>
          <t>화</t>
        </is>
      </c>
      <c r="K3316" s="20" t="n">
        <v>413219.9999999999</v>
      </c>
    </row>
    <row r="3317" ht="16.5" customHeight="1" s="17">
      <c r="B3317" s="16" t="inlineStr">
        <is>
          <t>2021-02-16</t>
        </is>
      </c>
      <c r="C3317" s="20" t="inlineStr">
        <is>
          <t>화</t>
        </is>
      </c>
      <c r="E3317" s="20" t="inlineStr">
        <is>
          <t>고체향수</t>
        </is>
      </c>
      <c r="F3317" s="20" t="inlineStr">
        <is>
          <t>유즈 CS</t>
        </is>
      </c>
      <c r="G3317" s="20" t="inlineStr">
        <is>
          <t>솔리드퍼퓸 스테이포에버 002 30ml</t>
        </is>
      </c>
      <c r="H3317" s="20" t="n">
        <v>53</v>
      </c>
      <c r="I3317" s="20" t="inlineStr">
        <is>
          <t>스테이포에버</t>
        </is>
      </c>
      <c r="J3317" s="20" t="inlineStr">
        <is>
          <t>210207</t>
        </is>
      </c>
      <c r="L3317" s="20" t="n">
        <v>0</v>
      </c>
      <c r="M3317" s="20" t="n">
        <v>0</v>
      </c>
      <c r="N3317" s="20" t="n">
        <v>0</v>
      </c>
    </row>
    <row r="3318" ht="16.5" customHeight="1" s="17">
      <c r="B3318" s="16" t="inlineStr">
        <is>
          <t>2021-02-16</t>
        </is>
      </c>
      <c r="C3318" s="20" t="inlineStr">
        <is>
          <t>화</t>
        </is>
      </c>
      <c r="E3318" s="20" t="inlineStr">
        <is>
          <t>쇼핑백</t>
        </is>
      </c>
      <c r="F3318" s="20" t="inlineStr">
        <is>
          <t>카페24</t>
        </is>
      </c>
      <c r="G3318" s="20" t="inlineStr">
        <is>
          <t>선물용 쇼핑백</t>
        </is>
      </c>
      <c r="H3318" s="20" t="n">
        <v>2</v>
      </c>
      <c r="I3318" s="20" t="inlineStr">
        <is>
          <t>쇼핑백</t>
        </is>
      </c>
      <c r="J3318" s="20" t="inlineStr">
        <is>
          <t>210207</t>
        </is>
      </c>
      <c r="L3318" s="20" t="n">
        <v>0</v>
      </c>
      <c r="M3318" s="20" t="n">
        <v>0</v>
      </c>
      <c r="N3318" s="20" t="n">
        <v>0</v>
      </c>
    </row>
    <row r="3319" ht="16.5" customHeight="1" s="17">
      <c r="B3319" s="16" t="inlineStr">
        <is>
          <t>2021-02-16</t>
        </is>
      </c>
      <c r="C3319" s="20" t="inlineStr">
        <is>
          <t>화</t>
        </is>
      </c>
      <c r="E3319" s="20" t="inlineStr">
        <is>
          <t>고체향수</t>
        </is>
      </c>
      <c r="F3319" s="20" t="inlineStr">
        <is>
          <t>카페24</t>
        </is>
      </c>
      <c r="G3319" s="20" t="inlineStr">
        <is>
          <t>솔리드퍼퓸 세트향=이그나이트 001 SOLID PERFUME, 세트 선택=best 2개 (28% 할인)</t>
        </is>
      </c>
      <c r="H3319" s="20" t="n">
        <v>3</v>
      </c>
      <c r="I3319" s="20" t="inlineStr">
        <is>
          <t>이그나이트 2set</t>
        </is>
      </c>
      <c r="J3319" s="20" t="inlineStr">
        <is>
          <t>210207</t>
        </is>
      </c>
      <c r="L3319" s="20" t="n">
        <v>0</v>
      </c>
      <c r="M3319" s="20" t="n">
        <v>0</v>
      </c>
      <c r="N3319" s="20" t="n">
        <v>0</v>
      </c>
    </row>
    <row r="3320" ht="16.5" customHeight="1" s="17">
      <c r="B3320" s="16" t="inlineStr">
        <is>
          <t>2021-02-16</t>
        </is>
      </c>
      <c r="C3320" s="20" t="inlineStr">
        <is>
          <t>화</t>
        </is>
      </c>
      <c r="E3320" s="20" t="inlineStr">
        <is>
          <t>고체향수</t>
        </is>
      </c>
      <c r="F3320" s="20" t="inlineStr">
        <is>
          <t>카페24</t>
        </is>
      </c>
      <c r="G3320" s="20" t="inlineStr">
        <is>
          <t>솔리드퍼퓸 세트향=스테이포에버 002 SOLID PERFUME, 세트 선택=1개</t>
        </is>
      </c>
      <c r="H3320" s="20" t="n">
        <v>12</v>
      </c>
      <c r="I3320" s="20" t="inlineStr">
        <is>
          <t>스테이포에버</t>
        </is>
      </c>
      <c r="J3320" s="20" t="inlineStr">
        <is>
          <t>210207</t>
        </is>
      </c>
      <c r="L3320" s="20" t="n">
        <v>0</v>
      </c>
      <c r="M3320" s="20" t="n">
        <v>0</v>
      </c>
      <c r="N3320" s="20" t="n">
        <v>0</v>
      </c>
    </row>
    <row r="3321" ht="16.5" customHeight="1" s="17">
      <c r="B3321" s="16" t="inlineStr">
        <is>
          <t>2021-02-16</t>
        </is>
      </c>
      <c r="C3321" s="20" t="inlineStr">
        <is>
          <t>화</t>
        </is>
      </c>
      <c r="E3321" s="20" t="inlineStr">
        <is>
          <t>고체향수</t>
        </is>
      </c>
      <c r="F3321" s="20" t="inlineStr">
        <is>
          <t>카페24</t>
        </is>
      </c>
      <c r="G3321" s="20" t="inlineStr">
        <is>
          <t>솔리드퍼퓸 세트향=스테이포에버 002 SOLID PERFUME, 세트 선택=best 2개 (28% 할인)</t>
        </is>
      </c>
      <c r="H3321" s="20" t="n">
        <v>53</v>
      </c>
      <c r="I3321" s="20" t="inlineStr">
        <is>
          <t>스테이포에버 2set</t>
        </is>
      </c>
      <c r="J3321" s="20" t="inlineStr">
        <is>
          <t>210207</t>
        </is>
      </c>
      <c r="L3321" s="20" t="n">
        <v>0</v>
      </c>
      <c r="M3321" s="20" t="n">
        <v>0</v>
      </c>
      <c r="N3321" s="20" t="n">
        <v>0</v>
      </c>
    </row>
    <row r="3322" ht="16.5" customHeight="1" s="17">
      <c r="B3322" s="16" t="inlineStr">
        <is>
          <t>2021-02-16</t>
        </is>
      </c>
      <c r="C3322" s="20" t="inlineStr">
        <is>
          <t>화</t>
        </is>
      </c>
      <c r="E3322" s="20" t="inlineStr">
        <is>
          <t>고체향수</t>
        </is>
      </c>
      <c r="F3322" s="20" t="inlineStr">
        <is>
          <t>카페24</t>
        </is>
      </c>
      <c r="G3322" s="20" t="inlineStr">
        <is>
          <t>솔리드퍼퓸 세트향=커플세트(이그나이트 + 스테이포에버), 세트 선택=1 SET</t>
        </is>
      </c>
      <c r="H3322" s="20" t="n">
        <v>45</v>
      </c>
      <c r="I3322" s="20" t="inlineStr">
        <is>
          <t>이그나이트 + 스테이포에버</t>
        </is>
      </c>
      <c r="J3322" s="20" t="inlineStr">
        <is>
          <t>210207</t>
        </is>
      </c>
      <c r="L3322" s="20" t="n">
        <v>0</v>
      </c>
      <c r="M3322" s="20" t="n">
        <v>0</v>
      </c>
      <c r="N3322" s="20" t="n">
        <v>0</v>
      </c>
    </row>
    <row r="3323" ht="16.5" customHeight="1" s="17">
      <c r="B3323" s="16" t="inlineStr">
        <is>
          <t>2021-02-16</t>
        </is>
      </c>
      <c r="C3323" s="20" t="inlineStr">
        <is>
          <t>화</t>
        </is>
      </c>
      <c r="E3323" s="20" t="inlineStr">
        <is>
          <t>고체향수</t>
        </is>
      </c>
      <c r="F3323" s="20" t="inlineStr">
        <is>
          <t>카페24</t>
        </is>
      </c>
      <c r="G3323" s="20" t="inlineStr">
        <is>
          <t>솔리드퍼퓸 세트향=커플세트(이그나이트 + 스테이포에버), 세트 선택=2 SET (42% 할인)</t>
        </is>
      </c>
      <c r="H3323" s="20" t="n">
        <v>14</v>
      </c>
      <c r="I3323" s="20" t="inlineStr">
        <is>
          <t>이그나이트 + 스테이포에버</t>
        </is>
      </c>
      <c r="J3323" s="20" t="inlineStr">
        <is>
          <t>210207</t>
        </is>
      </c>
      <c r="L3323" s="20" t="n">
        <v>0</v>
      </c>
      <c r="M3323" s="20" t="n">
        <v>0</v>
      </c>
      <c r="N3323" s="20" t="n">
        <v>0</v>
      </c>
    </row>
    <row r="3324" ht="16.5" customHeight="1" s="17">
      <c r="B3324" s="16" t="inlineStr">
        <is>
          <t>2021-02-16</t>
        </is>
      </c>
      <c r="C3324" s="20" t="inlineStr">
        <is>
          <t>화</t>
        </is>
      </c>
      <c r="E3324" s="20" t="inlineStr">
        <is>
          <t>고체향수</t>
        </is>
      </c>
      <c r="F3324" s="20" t="inlineStr">
        <is>
          <t>카페24</t>
        </is>
      </c>
      <c r="G3324" s="20" t="inlineStr">
        <is>
          <t>솔리드퍼퓸 스테이포에버 002제품선택=스테이포에버 1개</t>
        </is>
      </c>
      <c r="H3324" s="20" t="n">
        <v>542</v>
      </c>
      <c r="I3324" s="20" t="inlineStr">
        <is>
          <t>스테이포에버</t>
        </is>
      </c>
      <c r="J3324" s="20" t="inlineStr">
        <is>
          <t>210207</t>
        </is>
      </c>
      <c r="L3324" s="20" t="n">
        <v>0</v>
      </c>
      <c r="M3324" s="20" t="n">
        <v>0</v>
      </c>
      <c r="N3324" s="20" t="n">
        <v>0</v>
      </c>
    </row>
    <row r="3325" ht="16.5" customHeight="1" s="17">
      <c r="B3325" s="16" t="inlineStr">
        <is>
          <t>2021-02-16</t>
        </is>
      </c>
      <c r="C3325" s="20" t="inlineStr">
        <is>
          <t>화</t>
        </is>
      </c>
      <c r="E3325" s="20" t="inlineStr">
        <is>
          <t>고체향수</t>
        </is>
      </c>
      <c r="F3325" s="20" t="inlineStr">
        <is>
          <t>카페24</t>
        </is>
      </c>
      <c r="G3325" s="20" t="inlineStr">
        <is>
          <t>솔리드퍼퓸 스테이포에버 002제품선택=best스테이포에버 2개[28% 할인]</t>
        </is>
      </c>
      <c r="H3325" s="20" t="n">
        <v>435</v>
      </c>
      <c r="I3325" s="20" t="inlineStr">
        <is>
          <t>스테이포에버 2set</t>
        </is>
      </c>
      <c r="J3325" s="20" t="inlineStr">
        <is>
          <t>210207</t>
        </is>
      </c>
      <c r="L3325" s="20" t="n">
        <v>0</v>
      </c>
      <c r="M3325" s="20" t="n">
        <v>0</v>
      </c>
      <c r="N3325" s="20" t="n">
        <v>0</v>
      </c>
    </row>
    <row r="3326" ht="16.5" customHeight="1" s="17">
      <c r="B3326" s="16" t="inlineStr">
        <is>
          <t>2021-02-16</t>
        </is>
      </c>
      <c r="C3326" s="20" t="inlineStr">
        <is>
          <t>화</t>
        </is>
      </c>
      <c r="E3326" s="20" t="inlineStr">
        <is>
          <t>고체향수</t>
        </is>
      </c>
      <c r="F3326" s="20" t="inlineStr">
        <is>
          <t>카페24</t>
        </is>
      </c>
      <c r="G3326" s="20" t="inlineStr">
        <is>
          <t>솔리드퍼퓸 스테이포에버 002제품선택=커플추천스테이포에버 + 이그나이트 세트</t>
        </is>
      </c>
      <c r="H3326" s="20" t="n">
        <v>36</v>
      </c>
      <c r="I3326" s="20" t="inlineStr">
        <is>
          <t>이그나이트 + 스테이포에버</t>
        </is>
      </c>
      <c r="J3326" s="20" t="inlineStr">
        <is>
          <t>210207</t>
        </is>
      </c>
      <c r="L3326" s="20" t="n">
        <v>0</v>
      </c>
      <c r="M3326" s="20" t="n">
        <v>0</v>
      </c>
      <c r="N3326" s="20" t="n">
        <v>0</v>
      </c>
    </row>
    <row r="3327" ht="16.5" customHeight="1" s="17">
      <c r="B3327" s="16" t="inlineStr">
        <is>
          <t>2021-02-16</t>
        </is>
      </c>
      <c r="C3327" s="20" t="inlineStr">
        <is>
          <t>화</t>
        </is>
      </c>
      <c r="E3327" s="20" t="inlineStr">
        <is>
          <t>쇼핑백</t>
        </is>
      </c>
      <c r="F3327" s="20" t="inlineStr">
        <is>
          <t>카페24</t>
        </is>
      </c>
      <c r="G3327" s="20" t="inlineStr">
        <is>
          <t>솔리드퍼퓸 스테이포에버 002쇼핑백=선물용 쇼핑백</t>
        </is>
      </c>
      <c r="H3327" s="20" t="n">
        <v>7</v>
      </c>
      <c r="I3327" s="20" t="inlineStr">
        <is>
          <t>쇼핑백</t>
        </is>
      </c>
      <c r="J3327" s="20" t="inlineStr">
        <is>
          <t>210207</t>
        </is>
      </c>
      <c r="L3327" s="20" t="n">
        <v>0</v>
      </c>
      <c r="M3327" s="20" t="n">
        <v>0</v>
      </c>
      <c r="N3327" s="20" t="n">
        <v>0</v>
      </c>
    </row>
    <row r="3328" ht="16.5" customHeight="1" s="17">
      <c r="B3328" s="16" t="inlineStr">
        <is>
          <t>2021-02-16</t>
        </is>
      </c>
      <c r="C3328" s="20" t="inlineStr">
        <is>
          <t>화</t>
        </is>
      </c>
      <c r="E3328" s="20" t="inlineStr">
        <is>
          <t>고체향수</t>
        </is>
      </c>
      <c r="F3328" s="20" t="inlineStr">
        <is>
          <t>카페24</t>
        </is>
      </c>
      <c r="G3328" s="20" t="inlineStr">
        <is>
          <t>솔리드퍼퓸 이그나이트 001제품선택=이그나이트 솔리드퍼퓸 - 30ml</t>
        </is>
      </c>
      <c r="H3328" s="20" t="n">
        <v>5</v>
      </c>
      <c r="I3328" s="20" t="inlineStr">
        <is>
          <t>이그나이트</t>
        </is>
      </c>
      <c r="J3328" s="20" t="inlineStr">
        <is>
          <t>210207</t>
        </is>
      </c>
      <c r="L3328" s="20" t="n">
        <v>0</v>
      </c>
      <c r="M3328" s="20" t="n">
        <v>0</v>
      </c>
      <c r="N3328" s="20" t="n">
        <v>0</v>
      </c>
    </row>
    <row r="3329" ht="16.5" customHeight="1" s="17">
      <c r="B3329" s="16" t="inlineStr">
        <is>
          <t>2021-02-16</t>
        </is>
      </c>
      <c r="C3329" s="20" t="inlineStr">
        <is>
          <t>화</t>
        </is>
      </c>
      <c r="E3329" s="20" t="inlineStr">
        <is>
          <t>고체향수</t>
        </is>
      </c>
      <c r="F3329" s="20" t="inlineStr">
        <is>
          <t>카페24</t>
        </is>
      </c>
      <c r="G3329" s="20" t="inlineStr">
        <is>
          <t>솔리드퍼퓸 이그나이트 001제품선택=이그나이트 2개 세트</t>
        </is>
      </c>
      <c r="H3329" s="20" t="n">
        <v>3</v>
      </c>
      <c r="I3329" s="20" t="inlineStr">
        <is>
          <t>이그나이트 2set</t>
        </is>
      </c>
      <c r="J3329" s="20" t="inlineStr">
        <is>
          <t>210207</t>
        </is>
      </c>
      <c r="L3329" s="20" t="n">
        <v>0</v>
      </c>
      <c r="M3329" s="20" t="n">
        <v>0</v>
      </c>
      <c r="N3329" s="20" t="n">
        <v>0</v>
      </c>
    </row>
    <row r="3330" ht="16.5" customHeight="1" s="17">
      <c r="A3330" s="20" t="inlineStr">
        <is>
          <t>승무원 키워드</t>
        </is>
      </c>
      <c r="B3330" s="16" t="inlineStr">
        <is>
          <t>2021-02-16</t>
        </is>
      </c>
      <c r="C3330" s="20" t="inlineStr">
        <is>
          <t>화</t>
        </is>
      </c>
      <c r="K3330" s="20" t="n">
        <v>1200440.909090909</v>
      </c>
    </row>
    <row r="3331" ht="16.5" customHeight="1" s="17">
      <c r="A3331" s="20" t="inlineStr">
        <is>
          <t>[승은 TEST 2] 스테이포에버_카드뉴스</t>
        </is>
      </c>
      <c r="B3331" s="16" t="inlineStr">
        <is>
          <t>2021-02-17</t>
        </is>
      </c>
      <c r="C3331" s="20" t="inlineStr">
        <is>
          <t>수</t>
        </is>
      </c>
      <c r="D3331" s="20" t="inlineStr">
        <is>
          <t>페이스북/인스타그램</t>
        </is>
      </c>
      <c r="E3331" s="20" t="inlineStr">
        <is>
          <t>고체향수</t>
        </is>
      </c>
      <c r="K3331" s="20" t="n">
        <v>58646</v>
      </c>
    </row>
    <row r="3332" ht="16.5" customHeight="1" s="17">
      <c r="A3332" s="20" t="inlineStr">
        <is>
          <t>[승은 TEST] 스테이포에버_카드뉴스</t>
        </is>
      </c>
      <c r="B3332" s="16" t="inlineStr">
        <is>
          <t>2021-02-17</t>
        </is>
      </c>
      <c r="C3332" s="20" t="inlineStr">
        <is>
          <t>수</t>
        </is>
      </c>
      <c r="D3332" s="20" t="inlineStr">
        <is>
          <t>페이스북/인스타그램</t>
        </is>
      </c>
      <c r="E3332" s="20" t="inlineStr">
        <is>
          <t>고체향수</t>
        </is>
      </c>
      <c r="K3332" s="20" t="n">
        <v>497789</v>
      </c>
    </row>
    <row r="3333" ht="16.5" customHeight="1" s="17">
      <c r="A3333" s="20" t="inlineStr">
        <is>
          <t>[테스트]아줌마</t>
        </is>
      </c>
      <c r="B3333" s="16" t="inlineStr">
        <is>
          <t>2021-02-17</t>
        </is>
      </c>
      <c r="C3333" s="20" t="inlineStr">
        <is>
          <t>수</t>
        </is>
      </c>
      <c r="D3333" s="20" t="inlineStr">
        <is>
          <t>페이스북/인스타그램</t>
        </is>
      </c>
      <c r="E3333" s="20" t="inlineStr">
        <is>
          <t>고체향수</t>
        </is>
      </c>
      <c r="K3333" s="20" t="n">
        <v>247782</v>
      </c>
    </row>
    <row r="3334" ht="16.5" customHeight="1" s="17">
      <c r="A3334" s="20" t="inlineStr">
        <is>
          <t>[키워드 확장 테스트]스테이포에버_이미지</t>
        </is>
      </c>
      <c r="B3334" s="16" t="inlineStr">
        <is>
          <t>2021-02-17</t>
        </is>
      </c>
      <c r="C3334" s="20" t="inlineStr">
        <is>
          <t>수</t>
        </is>
      </c>
      <c r="D3334" s="20" t="inlineStr">
        <is>
          <t>페이스북/인스타그램</t>
        </is>
      </c>
      <c r="E3334" s="20" t="inlineStr">
        <is>
          <t>고체향수</t>
        </is>
      </c>
      <c r="K3334" s="20" t="n">
        <v>215033</v>
      </c>
    </row>
    <row r="3335" ht="16.5" customHeight="1" s="17">
      <c r="A3335" s="20" t="inlineStr">
        <is>
          <t>[재입고]스테이포에버_이미지</t>
        </is>
      </c>
      <c r="B3335" s="16" t="inlineStr">
        <is>
          <t>2021-02-17</t>
        </is>
      </c>
      <c r="C3335" s="20" t="inlineStr">
        <is>
          <t>수</t>
        </is>
      </c>
      <c r="D3335" s="20" t="inlineStr">
        <is>
          <t>페이스북/인스타그램</t>
        </is>
      </c>
      <c r="E3335" s="20" t="inlineStr">
        <is>
          <t>고체향수</t>
        </is>
      </c>
      <c r="K3335" s="20" t="n">
        <v>148547</v>
      </c>
    </row>
    <row r="3336" ht="16.5" customHeight="1" s="17">
      <c r="A3336" s="20" t="inlineStr">
        <is>
          <t>[승무원]숏폼_영상</t>
        </is>
      </c>
      <c r="B3336" s="16" t="inlineStr">
        <is>
          <t>2021-02-17</t>
        </is>
      </c>
      <c r="C3336" s="20" t="inlineStr">
        <is>
          <t>수</t>
        </is>
      </c>
      <c r="D3336" s="20" t="inlineStr">
        <is>
          <t>페이스북/인스타그램</t>
        </is>
      </c>
      <c r="E3336" s="20" t="inlineStr">
        <is>
          <t>고체향수</t>
        </is>
      </c>
      <c r="K3336" s="20" t="n">
        <v>98247</v>
      </c>
    </row>
    <row r="3337" ht="16.5" customHeight="1" s="17">
      <c r="A3337" s="20" t="inlineStr">
        <is>
          <t>[재입고]스테이포에버_영상</t>
        </is>
      </c>
      <c r="B3337" s="16" t="inlineStr">
        <is>
          <t>2021-02-17</t>
        </is>
      </c>
      <c r="C3337" s="20" t="inlineStr">
        <is>
          <t>수</t>
        </is>
      </c>
      <c r="D3337" s="20" t="inlineStr">
        <is>
          <t>페이스북/인스타그램</t>
        </is>
      </c>
      <c r="E3337" s="20" t="inlineStr">
        <is>
          <t>고체향수</t>
        </is>
      </c>
      <c r="K3337" s="20" t="n">
        <v>197174</v>
      </c>
    </row>
    <row r="3338" ht="16.5" customHeight="1" s="17">
      <c r="A3338" s="20" t="inlineStr">
        <is>
          <t>[필라테스]스테이포에버_카드뉴스</t>
        </is>
      </c>
      <c r="B3338" s="16" t="inlineStr">
        <is>
          <t>2021-02-17</t>
        </is>
      </c>
      <c r="C3338" s="20" t="inlineStr">
        <is>
          <t>수</t>
        </is>
      </c>
      <c r="D3338" s="20" t="inlineStr">
        <is>
          <t>페이스북/인스타그램</t>
        </is>
      </c>
      <c r="E3338" s="20" t="inlineStr">
        <is>
          <t>고체향수</t>
        </is>
      </c>
      <c r="K3338" s="20" t="n">
        <v>49586</v>
      </c>
    </row>
    <row r="3339" ht="16.5" customHeight="1" s="17">
      <c r="A3339" s="20" t="inlineStr">
        <is>
          <t>[젊줌마]스테이포에버_영상</t>
        </is>
      </c>
      <c r="B3339" s="16" t="inlineStr">
        <is>
          <t>2021-02-17</t>
        </is>
      </c>
      <c r="C3339" s="20" t="inlineStr">
        <is>
          <t>수</t>
        </is>
      </c>
      <c r="D3339" s="20" t="inlineStr">
        <is>
          <t>페이스북/인스타그램</t>
        </is>
      </c>
      <c r="E3339" s="20" t="inlineStr">
        <is>
          <t>고체향수</t>
        </is>
      </c>
      <c r="K3339" s="20" t="n">
        <v>98334</v>
      </c>
    </row>
    <row r="3340" ht="16.5" customHeight="1" s="17">
      <c r="A3340" s="20" t="inlineStr">
        <is>
          <t>[이성소구]스테이포에버_영상</t>
        </is>
      </c>
      <c r="B3340" s="16" t="inlineStr">
        <is>
          <t>2021-02-17</t>
        </is>
      </c>
      <c r="C3340" s="20" t="inlineStr">
        <is>
          <t>수</t>
        </is>
      </c>
      <c r="D3340" s="20" t="inlineStr">
        <is>
          <t>페이스북/인스타그램</t>
        </is>
      </c>
      <c r="E3340" s="20" t="inlineStr">
        <is>
          <t>고체향수</t>
        </is>
      </c>
      <c r="K3340" s="20" t="n">
        <v>30833</v>
      </c>
    </row>
    <row r="3341" ht="16.5" customHeight="1" s="17">
      <c r="A3341" s="20" t="inlineStr">
        <is>
          <t>[승무원]2019년썰 카드뉴스+ 향묘사_영상</t>
        </is>
      </c>
      <c r="B3341" s="16" t="inlineStr">
        <is>
          <t>2021-02-17</t>
        </is>
      </c>
      <c r="C3341" s="20" t="inlineStr">
        <is>
          <t>수</t>
        </is>
      </c>
      <c r="D3341" s="20" t="inlineStr">
        <is>
          <t>페이스북/인스타그램</t>
        </is>
      </c>
      <c r="E3341" s="20" t="inlineStr">
        <is>
          <t>고체향수</t>
        </is>
      </c>
      <c r="K3341" s="20" t="n">
        <v>198069</v>
      </c>
    </row>
    <row r="3342" ht="16.5" customHeight="1" s="17">
      <c r="A3342" s="20" t="inlineStr">
        <is>
          <t>[승무원어피]스테이포에버_이미지</t>
        </is>
      </c>
      <c r="B3342" s="16" t="inlineStr">
        <is>
          <t>2021-02-17</t>
        </is>
      </c>
      <c r="C3342" s="20" t="inlineStr">
        <is>
          <t>수</t>
        </is>
      </c>
      <c r="D3342" s="20" t="inlineStr">
        <is>
          <t>페이스북/인스타그램</t>
        </is>
      </c>
      <c r="E3342" s="20" t="inlineStr">
        <is>
          <t>고체향수</t>
        </is>
      </c>
      <c r="K3342" s="20" t="n">
        <v>99428</v>
      </c>
    </row>
    <row r="3343" ht="16.5" customHeight="1" s="17">
      <c r="A3343" s="20" t="inlineStr">
        <is>
          <t>[다현]스테이포에버_이미지</t>
        </is>
      </c>
      <c r="B3343" s="16" t="inlineStr">
        <is>
          <t>2021-02-17</t>
        </is>
      </c>
      <c r="C3343" s="20" t="inlineStr">
        <is>
          <t>수</t>
        </is>
      </c>
      <c r="D3343" s="20" t="inlineStr">
        <is>
          <t>페이스북/인스타그램</t>
        </is>
      </c>
      <c r="E3343" s="20" t="inlineStr">
        <is>
          <t>고체향수</t>
        </is>
      </c>
      <c r="K3343" s="20" t="n">
        <v>297011</v>
      </c>
    </row>
    <row r="3344" ht="16.5" customHeight="1" s="17">
      <c r="A3344" s="20" t="inlineStr">
        <is>
          <t>[승무원]스테이포에버_카드뉴스</t>
        </is>
      </c>
      <c r="B3344" s="16" t="inlineStr">
        <is>
          <t>2021-02-17</t>
        </is>
      </c>
      <c r="C3344" s="20" t="inlineStr">
        <is>
          <t>수</t>
        </is>
      </c>
      <c r="D3344" s="20" t="inlineStr">
        <is>
          <t>페이스북/인스타그램</t>
        </is>
      </c>
      <c r="E3344" s="20" t="inlineStr">
        <is>
          <t>고체향수</t>
        </is>
      </c>
      <c r="K3344" s="20" t="n">
        <v>298368</v>
      </c>
    </row>
    <row r="3345" ht="16.5" customHeight="1" s="17">
      <c r="A3345" s="20" t="inlineStr">
        <is>
          <t>[후기타입]스테이포에버_영상</t>
        </is>
      </c>
      <c r="B3345" s="16" t="inlineStr">
        <is>
          <t>2021-02-17</t>
        </is>
      </c>
      <c r="C3345" s="20" t="inlineStr">
        <is>
          <t>수</t>
        </is>
      </c>
      <c r="D3345" s="20" t="inlineStr">
        <is>
          <t>페이스북/인스타그램</t>
        </is>
      </c>
      <c r="E3345" s="20" t="inlineStr">
        <is>
          <t>고체향수</t>
        </is>
      </c>
      <c r="K3345" s="20" t="n">
        <v>147382</v>
      </c>
    </row>
    <row r="3346" ht="16.5" customHeight="1" s="17">
      <c r="A3346" s="20" t="inlineStr">
        <is>
          <t>전환_스테이포에버</t>
        </is>
      </c>
      <c r="B3346" s="16" t="inlineStr">
        <is>
          <t>2021-02-17</t>
        </is>
      </c>
      <c r="C3346" s="20" t="inlineStr">
        <is>
          <t>수</t>
        </is>
      </c>
      <c r="D3346" s="20" t="inlineStr">
        <is>
          <t>페이스북/인스타그램</t>
        </is>
      </c>
      <c r="E3346" s="20" t="inlineStr">
        <is>
          <t>고체향수</t>
        </is>
      </c>
      <c r="K3346" s="20" t="n">
        <v>149698</v>
      </c>
    </row>
    <row r="3347" ht="16.5" customHeight="1" s="17">
      <c r="A3347" s="20" t="inlineStr">
        <is>
          <t>[권태기커플]스테이포에버_영상</t>
        </is>
      </c>
      <c r="B3347" s="16" t="inlineStr">
        <is>
          <t>2021-02-17</t>
        </is>
      </c>
      <c r="C3347" s="20" t="inlineStr">
        <is>
          <t>수</t>
        </is>
      </c>
      <c r="D3347" s="20" t="inlineStr">
        <is>
          <t>페이스북/인스타그램</t>
        </is>
      </c>
      <c r="E3347" s="20" t="inlineStr">
        <is>
          <t>고체향수</t>
        </is>
      </c>
      <c r="K3347" s="20" t="n">
        <v>148655</v>
      </c>
    </row>
    <row r="3348" ht="16.5" customHeight="1" s="17">
      <c r="A3348" s="20" t="inlineStr">
        <is>
          <t>동영상캠페인_승무원_2019년썰</t>
        </is>
      </c>
      <c r="B3348" s="16" t="inlineStr">
        <is>
          <t>2021-02-17</t>
        </is>
      </c>
      <c r="C3348" s="20" t="inlineStr">
        <is>
          <t>수</t>
        </is>
      </c>
      <c r="D3348" s="20" t="inlineStr">
        <is>
          <t>유튜브 광고</t>
        </is>
      </c>
      <c r="E3348" s="20" t="inlineStr">
        <is>
          <t>고체향수</t>
        </is>
      </c>
      <c r="K3348" s="20" t="n">
        <v>360509</v>
      </c>
    </row>
    <row r="3349" ht="16.5" customHeight="1" s="17">
      <c r="A3349" s="20" t="inlineStr">
        <is>
          <t>웹사이트 트래픽 서치</t>
        </is>
      </c>
      <c r="B3349" s="16" t="inlineStr">
        <is>
          <t>2021-02-17</t>
        </is>
      </c>
      <c r="C3349" s="20" t="inlineStr">
        <is>
          <t>수</t>
        </is>
      </c>
      <c r="D3349" s="20" t="inlineStr">
        <is>
          <t>유튜브 광고</t>
        </is>
      </c>
      <c r="E3349" s="20" t="inlineStr">
        <is>
          <t>고체향수</t>
        </is>
      </c>
      <c r="K3349" s="20" t="n">
        <v>64018</v>
      </c>
    </row>
    <row r="3350" ht="16.5" customHeight="1" s="17">
      <c r="A3350" s="20" t="inlineStr">
        <is>
          <t>동영상캠페인_승무원_보이는 라디오</t>
        </is>
      </c>
      <c r="B3350" s="16" t="inlineStr">
        <is>
          <t>2021-02-17</t>
        </is>
      </c>
      <c r="C3350" s="20" t="inlineStr">
        <is>
          <t>수</t>
        </is>
      </c>
      <c r="D3350" s="20" t="inlineStr">
        <is>
          <t>유튜브 광고</t>
        </is>
      </c>
      <c r="E3350" s="20" t="inlineStr">
        <is>
          <t>고체향수</t>
        </is>
      </c>
      <c r="K3350" s="20" t="n">
        <v>509089</v>
      </c>
    </row>
    <row r="3351" ht="16.5" customHeight="1" s="17">
      <c r="A3351" s="11" t="inlineStr">
        <is>
          <t>"디스커버리 배너_승무원,할인_리마케팅"</t>
        </is>
      </c>
      <c r="B3351" s="16" t="inlineStr">
        <is>
          <t>2021-02-17</t>
        </is>
      </c>
      <c r="C3351" s="20" t="inlineStr">
        <is>
          <t>수</t>
        </is>
      </c>
      <c r="D3351" s="20" t="inlineStr">
        <is>
          <t>유튜브 광고</t>
        </is>
      </c>
      <c r="E3351" s="20" t="inlineStr">
        <is>
          <t>고체향수</t>
        </is>
      </c>
      <c r="K3351" s="20" t="n">
        <v>456802</v>
      </c>
    </row>
    <row r="3352" ht="16.5" customHeight="1" s="17">
      <c r="A3352" s="20" t="inlineStr">
        <is>
          <t>동영상캠페인_승무원_써니스카이</t>
        </is>
      </c>
      <c r="B3352" s="16" t="inlineStr">
        <is>
          <t>2021-02-17</t>
        </is>
      </c>
      <c r="C3352" s="20" t="inlineStr">
        <is>
          <t>수</t>
        </is>
      </c>
      <c r="D3352" s="20" t="inlineStr">
        <is>
          <t>유튜브 광고</t>
        </is>
      </c>
      <c r="E3352" s="20" t="inlineStr">
        <is>
          <t>고체향수</t>
        </is>
      </c>
      <c r="K3352" s="20" t="n">
        <v>508307</v>
      </c>
    </row>
    <row r="3353" ht="16.5" customHeight="1" s="17">
      <c r="A3353" s="20" t="inlineStr">
        <is>
          <t>동영상캠페인_필라테스_자기관리</t>
        </is>
      </c>
      <c r="B3353" s="16" t="inlineStr">
        <is>
          <t>2021-02-17</t>
        </is>
      </c>
      <c r="C3353" s="20" t="inlineStr">
        <is>
          <t>수</t>
        </is>
      </c>
      <c r="D3353" s="20" t="inlineStr">
        <is>
          <t>유튜브 광고</t>
        </is>
      </c>
      <c r="E3353" s="20" t="inlineStr">
        <is>
          <t>고체향수</t>
        </is>
      </c>
      <c r="K3353" s="20" t="n">
        <v>257498</v>
      </c>
    </row>
    <row r="3354" ht="16.5" customHeight="1" s="17">
      <c r="A3354" s="20" t="inlineStr">
        <is>
          <t>동영상캠페인_승무원_비누향 나는 승무원에게</t>
        </is>
      </c>
      <c r="B3354" s="16" t="inlineStr">
        <is>
          <t>2021-02-17</t>
        </is>
      </c>
      <c r="C3354" s="20" t="inlineStr">
        <is>
          <t>수</t>
        </is>
      </c>
      <c r="D3354" s="20" t="inlineStr">
        <is>
          <t>유튜브 광고</t>
        </is>
      </c>
      <c r="E3354" s="20" t="inlineStr">
        <is>
          <t>고체향수</t>
        </is>
      </c>
      <c r="K3354" s="20" t="n">
        <v>514437</v>
      </c>
    </row>
    <row r="3355" ht="16.5" customHeight="1" s="17">
      <c r="A3355" s="20" t="inlineStr">
        <is>
          <t>동영상캠페인_유즈모먼트_2차</t>
        </is>
      </c>
      <c r="B3355" s="16" t="inlineStr">
        <is>
          <t>2021-02-17</t>
        </is>
      </c>
      <c r="C3355" s="20" t="inlineStr">
        <is>
          <t>수</t>
        </is>
      </c>
      <c r="D3355" s="20" t="inlineStr">
        <is>
          <t>유튜브 광고</t>
        </is>
      </c>
      <c r="E3355" s="20" t="inlineStr">
        <is>
          <t>고체향수</t>
        </is>
      </c>
      <c r="K3355" s="20" t="n">
        <v>103116</v>
      </c>
    </row>
    <row r="3356" ht="16.5" customHeight="1" s="17">
      <c r="A3356" s="20" t="inlineStr">
        <is>
          <t>쇼핑검색_고체향수</t>
        </is>
      </c>
      <c r="B3356" s="16" t="inlineStr">
        <is>
          <t>2021-02-17</t>
        </is>
      </c>
      <c r="C3356" s="20" t="inlineStr">
        <is>
          <t>수</t>
        </is>
      </c>
      <c r="D3356" s="20" t="inlineStr">
        <is>
          <t>네이버 쇼핑검색</t>
        </is>
      </c>
      <c r="E3356" s="20" t="inlineStr">
        <is>
          <t>고체향수</t>
        </is>
      </c>
      <c r="K3356" s="20" t="n">
        <v>2960</v>
      </c>
    </row>
    <row r="3357" ht="16.5" customHeight="1" s="17">
      <c r="A3357" s="20" t="inlineStr">
        <is>
          <t>쇼핑검색_고체향수세부키워드</t>
        </is>
      </c>
      <c r="B3357" s="16" t="inlineStr">
        <is>
          <t>2021-02-17</t>
        </is>
      </c>
      <c r="C3357" s="20" t="inlineStr">
        <is>
          <t>수</t>
        </is>
      </c>
      <c r="D3357" s="20" t="inlineStr">
        <is>
          <t>네이버 쇼핑검색</t>
        </is>
      </c>
      <c r="E3357" s="20" t="inlineStr">
        <is>
          <t>고체향수</t>
        </is>
      </c>
      <c r="K3357" s="20" t="n">
        <v>58499.99999999999</v>
      </c>
    </row>
    <row r="3358" ht="16.5" customHeight="1" s="17">
      <c r="A3358" s="20" t="inlineStr">
        <is>
          <t>쇼핑검색_고체향수세부키워드2</t>
        </is>
      </c>
      <c r="B3358" s="16" t="inlineStr">
        <is>
          <t>2021-02-17</t>
        </is>
      </c>
      <c r="C3358" s="20" t="inlineStr">
        <is>
          <t>수</t>
        </is>
      </c>
      <c r="D3358" s="20" t="inlineStr">
        <is>
          <t>네이버 쇼핑검색</t>
        </is>
      </c>
      <c r="E3358" s="20" t="inlineStr">
        <is>
          <t>고체향수</t>
        </is>
      </c>
      <c r="K3358" s="20" t="n">
        <v>2100</v>
      </c>
    </row>
    <row r="3359" ht="16.5" customHeight="1" s="17">
      <c r="A3359" s="20" t="inlineStr">
        <is>
          <t>모바일 브검</t>
        </is>
      </c>
      <c r="B3359" s="16" t="inlineStr">
        <is>
          <t>2021-02-17</t>
        </is>
      </c>
      <c r="C3359" s="20" t="inlineStr">
        <is>
          <t>수</t>
        </is>
      </c>
      <c r="D3359" s="20" t="inlineStr">
        <is>
          <t>네이버 브랜드검색</t>
        </is>
      </c>
      <c r="E3359" s="20" t="inlineStr">
        <is>
          <t>브랜드</t>
        </is>
      </c>
      <c r="K3359" s="20" t="n">
        <v>0</v>
      </c>
    </row>
    <row r="3360" ht="16.5" customHeight="1" s="17">
      <c r="A3360" s="20" t="inlineStr">
        <is>
          <t>고체향수_승무원 어피_Npay 추적</t>
        </is>
      </c>
      <c r="B3360" s="16" t="inlineStr">
        <is>
          <t>2021-02-17</t>
        </is>
      </c>
      <c r="C3360" s="20" t="inlineStr">
        <is>
          <t>수</t>
        </is>
      </c>
      <c r="D3360" s="20" t="inlineStr">
        <is>
          <t>카카오 배너</t>
        </is>
      </c>
      <c r="E3360" s="20" t="inlineStr">
        <is>
          <t>고체향수</t>
        </is>
      </c>
      <c r="K3360" s="20" t="n">
        <v>91019.99999999999</v>
      </c>
    </row>
    <row r="3361" ht="16.5" customHeight="1" s="17">
      <c r="A3361" s="20" t="inlineStr">
        <is>
          <t>고체향수_Npay 추적</t>
        </is>
      </c>
      <c r="B3361" s="16" t="inlineStr">
        <is>
          <t>2021-02-17</t>
        </is>
      </c>
      <c r="C3361" s="20" t="inlineStr">
        <is>
          <t>수</t>
        </is>
      </c>
      <c r="D3361" s="20" t="inlineStr">
        <is>
          <t>카카오 배너</t>
        </is>
      </c>
      <c r="E3361" s="20" t="inlineStr">
        <is>
          <t>고체향수</t>
        </is>
      </c>
      <c r="K3361" s="20" t="n">
        <v>760939.9999999999</v>
      </c>
    </row>
    <row r="3362" ht="16.5" customHeight="1" s="17">
      <c r="B3362" s="16" t="inlineStr">
        <is>
          <t>2021-02-17</t>
        </is>
      </c>
      <c r="C3362" s="20" t="inlineStr">
        <is>
          <t>수</t>
        </is>
      </c>
      <c r="E3362" s="20" t="inlineStr">
        <is>
          <t>고체향수</t>
        </is>
      </c>
      <c r="F3362" s="20" t="inlineStr">
        <is>
          <t>유즈 CS</t>
        </is>
      </c>
      <c r="G3362" s="20" t="inlineStr">
        <is>
          <t>솔리드퍼퓸 스테이포에버 002 30ml</t>
        </is>
      </c>
      <c r="H3362" s="20" t="n">
        <v>5</v>
      </c>
      <c r="I3362" s="20" t="inlineStr">
        <is>
          <t>스테이포에버</t>
        </is>
      </c>
      <c r="J3362" s="20" t="inlineStr">
        <is>
          <t>210207</t>
        </is>
      </c>
      <c r="L3362" s="20" t="n">
        <v>0</v>
      </c>
      <c r="M3362" s="20" t="n">
        <v>0</v>
      </c>
      <c r="N3362" s="20" t="n">
        <v>0</v>
      </c>
      <c r="O3362" s="20" t="inlineStr">
        <is>
          <t>유즈 CS고체향수솔리드퍼퓸 스테이포에버 002 30ml210207</t>
        </is>
      </c>
    </row>
    <row r="3363" ht="16.5" customHeight="1" s="17">
      <c r="B3363" s="16" t="inlineStr">
        <is>
          <t>2021-02-17</t>
        </is>
      </c>
      <c r="C3363" s="20" t="inlineStr">
        <is>
          <t>수</t>
        </is>
      </c>
      <c r="E3363" s="20" t="inlineStr">
        <is>
          <t>고체향수</t>
        </is>
      </c>
      <c r="F3363" s="20" t="inlineStr">
        <is>
          <t>카페24</t>
        </is>
      </c>
      <c r="G3363" s="20" t="inlineStr">
        <is>
          <t>솔리드퍼퓸 세트향=이그나이트 001 SOLID PERFUME, 세트 선택=1개</t>
        </is>
      </c>
      <c r="H3363" s="20" t="n">
        <v>4</v>
      </c>
      <c r="I3363" s="20" t="inlineStr">
        <is>
          <t>이그나이트</t>
        </is>
      </c>
      <c r="J3363" s="20" t="inlineStr">
        <is>
          <t>210207</t>
        </is>
      </c>
      <c r="L3363" s="20" t="n">
        <v>0</v>
      </c>
      <c r="M3363" s="20" t="n">
        <v>0</v>
      </c>
      <c r="N3363" s="20" t="n">
        <v>0</v>
      </c>
      <c r="O3363" s="20" t="inlineStr">
        <is>
          <t>카페24고체향수솔리드퍼퓸 세트향=이그나이트 001 SOLID PERFUME, 세트 선택=1개210207</t>
        </is>
      </c>
    </row>
    <row r="3364" ht="16.5" customHeight="1" s="17">
      <c r="B3364" s="16" t="inlineStr">
        <is>
          <t>2021-02-17</t>
        </is>
      </c>
      <c r="C3364" s="20" t="inlineStr">
        <is>
          <t>수</t>
        </is>
      </c>
      <c r="E3364" s="20" t="inlineStr">
        <is>
          <t>고체향수</t>
        </is>
      </c>
      <c r="F3364" s="20" t="inlineStr">
        <is>
          <t>카페24</t>
        </is>
      </c>
      <c r="G3364" s="20" t="inlineStr">
        <is>
          <t>솔리드퍼퓸 세트향=스테이포에버 002 SOLID PERFUME, 세트 선택=1개</t>
        </is>
      </c>
      <c r="H3364" s="20" t="n">
        <v>22</v>
      </c>
      <c r="I3364" s="20" t="inlineStr">
        <is>
          <t>스테이포에버</t>
        </is>
      </c>
      <c r="J3364" s="20" t="inlineStr">
        <is>
          <t>210207</t>
        </is>
      </c>
      <c r="L3364" s="20" t="n">
        <v>0</v>
      </c>
      <c r="M3364" s="20" t="n">
        <v>0</v>
      </c>
      <c r="N3364" s="20" t="n">
        <v>0</v>
      </c>
      <c r="O3364" s="20" t="inlineStr">
        <is>
          <t>카페24고체향수솔리드퍼퓸 세트향=스테이포에버 002 SOLID PERFUME, 세트 선택=1개210207</t>
        </is>
      </c>
    </row>
    <row r="3365" ht="16.5" customHeight="1" s="17">
      <c r="B3365" s="16" t="inlineStr">
        <is>
          <t>2021-02-17</t>
        </is>
      </c>
      <c r="C3365" s="20" t="inlineStr">
        <is>
          <t>수</t>
        </is>
      </c>
      <c r="E3365" s="20" t="inlineStr">
        <is>
          <t>고체향수</t>
        </is>
      </c>
      <c r="F3365" s="20" t="inlineStr">
        <is>
          <t>카페24</t>
        </is>
      </c>
      <c r="G3365" s="20" t="inlineStr">
        <is>
          <t>솔리드퍼퓸 세트향=스테이포에버 002 SOLID PERFUME, 세트 선택=best 2개 (28% 할인)</t>
        </is>
      </c>
      <c r="H3365" s="20" t="n">
        <v>33</v>
      </c>
      <c r="I3365" s="20" t="inlineStr">
        <is>
          <t>스테이포에버 2set</t>
        </is>
      </c>
      <c r="J3365" s="20" t="inlineStr">
        <is>
          <t>210207</t>
        </is>
      </c>
      <c r="L3365" s="20" t="n">
        <v>0</v>
      </c>
      <c r="M3365" s="20" t="n">
        <v>0</v>
      </c>
      <c r="N3365" s="20" t="n">
        <v>0</v>
      </c>
      <c r="O3365" s="20" t="inlineStr">
        <is>
          <t>카페24고체향수솔리드퍼퓸 세트향=스테이포에버 002 SOLID PERFUME, 세트 선택=best 2개 (28% 할인)210207</t>
        </is>
      </c>
    </row>
    <row r="3366" ht="16.5" customHeight="1" s="17">
      <c r="B3366" s="16" t="inlineStr">
        <is>
          <t>2021-02-17</t>
        </is>
      </c>
      <c r="C3366" s="20" t="inlineStr">
        <is>
          <t>수</t>
        </is>
      </c>
      <c r="E3366" s="20" t="inlineStr">
        <is>
          <t>고체향수</t>
        </is>
      </c>
      <c r="F3366" s="20" t="inlineStr">
        <is>
          <t>카페24</t>
        </is>
      </c>
      <c r="G3366" s="20" t="inlineStr">
        <is>
          <t>솔리드퍼퓸 세트향=커플세트(이그나이트 + 스테이포에버), 세트 선택=1 SET</t>
        </is>
      </c>
      <c r="H3366" s="20" t="n">
        <v>39</v>
      </c>
      <c r="I3366" s="20" t="inlineStr">
        <is>
          <t>이그나이트 + 스테이포에버</t>
        </is>
      </c>
      <c r="J3366" s="20" t="inlineStr">
        <is>
          <t>210207</t>
        </is>
      </c>
      <c r="L3366" s="20" t="n">
        <v>0</v>
      </c>
      <c r="M3366" s="20" t="n">
        <v>0</v>
      </c>
      <c r="N3366" s="20" t="n">
        <v>0</v>
      </c>
      <c r="O3366" s="20" t="inlineStr">
        <is>
          <t>카페24고체향수솔리드퍼퓸 세트향=커플세트(이그나이트 + 스테이포에버), 세트 선택=1 SET210207</t>
        </is>
      </c>
    </row>
    <row r="3367" ht="16.5" customHeight="1" s="17">
      <c r="B3367" s="16" t="inlineStr">
        <is>
          <t>2021-02-17</t>
        </is>
      </c>
      <c r="C3367" s="20" t="inlineStr">
        <is>
          <t>수</t>
        </is>
      </c>
      <c r="E3367" s="20" t="inlineStr">
        <is>
          <t>고체향수</t>
        </is>
      </c>
      <c r="F3367" s="20" t="inlineStr">
        <is>
          <t>카페24</t>
        </is>
      </c>
      <c r="G3367" s="20" t="inlineStr">
        <is>
          <t>솔리드퍼퓸 스테이포에버 002제품선택=스테이포에버 1개</t>
        </is>
      </c>
      <c r="H3367" s="20" t="n">
        <v>467</v>
      </c>
      <c r="I3367" s="20" t="inlineStr">
        <is>
          <t>스테이포에버</t>
        </is>
      </c>
      <c r="J3367" s="20" t="inlineStr">
        <is>
          <t>210207</t>
        </is>
      </c>
      <c r="L3367" s="20" t="n">
        <v>0</v>
      </c>
      <c r="M3367" s="20" t="n">
        <v>0</v>
      </c>
      <c r="N3367" s="20" t="n">
        <v>0</v>
      </c>
      <c r="O3367" s="20" t="inlineStr">
        <is>
          <t>카페24고체향수솔리드퍼퓸 스테이포에버 002제품선택=스테이포에버 1개210207</t>
        </is>
      </c>
    </row>
    <row r="3368" ht="16.5" customHeight="1" s="17">
      <c r="B3368" s="16" t="inlineStr">
        <is>
          <t>2021-02-17</t>
        </is>
      </c>
      <c r="C3368" s="20" t="inlineStr">
        <is>
          <t>수</t>
        </is>
      </c>
      <c r="E3368" s="20" t="inlineStr">
        <is>
          <t>고체향수</t>
        </is>
      </c>
      <c r="F3368" s="20" t="inlineStr">
        <is>
          <t>카페24</t>
        </is>
      </c>
      <c r="G3368" s="20" t="inlineStr">
        <is>
          <t>솔리드퍼퓸 스테이포에버 002제품선택=best스테이포에버 2개[28% 할인]</t>
        </is>
      </c>
      <c r="H3368" s="20" t="n">
        <v>401</v>
      </c>
      <c r="I3368" s="20" t="inlineStr">
        <is>
          <t>스테이포에버 2set</t>
        </is>
      </c>
      <c r="J3368" s="20" t="inlineStr">
        <is>
          <t>210207</t>
        </is>
      </c>
      <c r="L3368" s="20" t="n">
        <v>0</v>
      </c>
      <c r="M3368" s="20" t="n">
        <v>0</v>
      </c>
      <c r="N3368" s="20" t="n">
        <v>0</v>
      </c>
      <c r="O3368" s="20" t="inlineStr">
        <is>
          <t>카페24고체향수솔리드퍼퓸 스테이포에버 002제품선택=best스테이포에버 2개[28% 할인]210207</t>
        </is>
      </c>
    </row>
    <row r="3369" ht="16.5" customHeight="1" s="17">
      <c r="B3369" s="16" t="inlineStr">
        <is>
          <t>2021-02-17</t>
        </is>
      </c>
      <c r="C3369" s="20" t="inlineStr">
        <is>
          <t>수</t>
        </is>
      </c>
      <c r="E3369" s="20" t="inlineStr">
        <is>
          <t>고체향수</t>
        </is>
      </c>
      <c r="F3369" s="20" t="inlineStr">
        <is>
          <t>카페24</t>
        </is>
      </c>
      <c r="G3369" s="20" t="inlineStr">
        <is>
          <t>솔리드퍼퓸 스테이포에버 002제품선택=커플추천스테이포에버 + 이그나이트 세트</t>
        </is>
      </c>
      <c r="H3369" s="20" t="n">
        <v>56</v>
      </c>
      <c r="I3369" s="20" t="inlineStr">
        <is>
          <t>이그나이트 + 스테이포에버</t>
        </is>
      </c>
      <c r="J3369" s="20" t="inlineStr">
        <is>
          <t>210207</t>
        </is>
      </c>
      <c r="L3369" s="20" t="n">
        <v>0</v>
      </c>
      <c r="M3369" s="20" t="n">
        <v>0</v>
      </c>
      <c r="N3369" s="20" t="n">
        <v>0</v>
      </c>
      <c r="O3369" s="20" t="inlineStr">
        <is>
          <t>카페24고체향수솔리드퍼퓸 스테이포에버 002제품선택=커플추천스테이포에버 + 이그나이트 세트210207</t>
        </is>
      </c>
    </row>
    <row r="3370" ht="16.5" customHeight="1" s="17">
      <c r="B3370" s="16" t="inlineStr">
        <is>
          <t>2021-02-17</t>
        </is>
      </c>
      <c r="C3370" s="20" t="inlineStr">
        <is>
          <t>수</t>
        </is>
      </c>
      <c r="E3370" s="20" t="inlineStr">
        <is>
          <t>쇼핑백</t>
        </is>
      </c>
      <c r="F3370" s="20" t="inlineStr">
        <is>
          <t>카페24</t>
        </is>
      </c>
      <c r="G3370" s="20" t="inlineStr">
        <is>
          <t>솔리드퍼퓸 스테이포에버 002쇼핑백=선물용 쇼핑백</t>
        </is>
      </c>
      <c r="H3370" s="20" t="n">
        <v>9</v>
      </c>
      <c r="I3370" s="20" t="inlineStr">
        <is>
          <t>쇼핑백</t>
        </is>
      </c>
      <c r="J3370" s="20" t="inlineStr">
        <is>
          <t>210207</t>
        </is>
      </c>
      <c r="L3370" s="20" t="n">
        <v>0</v>
      </c>
      <c r="M3370" s="20" t="n">
        <v>0</v>
      </c>
      <c r="N3370" s="20" t="n">
        <v>0</v>
      </c>
      <c r="O3370" s="20" t="inlineStr">
        <is>
          <t>카페24쇼핑백솔리드퍼퓸 스테이포에버 002쇼핑백=선물용 쇼핑백210207</t>
        </is>
      </c>
    </row>
    <row r="3371" ht="16.5" customHeight="1" s="17">
      <c r="B3371" s="16" t="inlineStr">
        <is>
          <t>2021-02-17</t>
        </is>
      </c>
      <c r="C3371" s="20" t="inlineStr">
        <is>
          <t>수</t>
        </is>
      </c>
      <c r="E3371" s="20" t="inlineStr">
        <is>
          <t>고체향수</t>
        </is>
      </c>
      <c r="F3371" s="20" t="inlineStr">
        <is>
          <t>카페24</t>
        </is>
      </c>
      <c r="G3371" s="20" t="inlineStr">
        <is>
          <t>솔리드퍼퓸 이그나이트 001제품선택=이그나이트 솔리드퍼퓸 - 30ml</t>
        </is>
      </c>
      <c r="H3371" s="20" t="n">
        <v>6</v>
      </c>
      <c r="I3371" s="20" t="inlineStr">
        <is>
          <t>이그나이트</t>
        </is>
      </c>
      <c r="J3371" s="20" t="inlineStr">
        <is>
          <t>210207</t>
        </is>
      </c>
      <c r="L3371" s="20" t="n">
        <v>0</v>
      </c>
      <c r="M3371" s="20" t="n">
        <v>0</v>
      </c>
      <c r="N3371" s="20" t="n">
        <v>0</v>
      </c>
      <c r="O3371" s="20" t="inlineStr">
        <is>
          <t>카페24고체향수솔리드퍼퓸 이그나이트 001제품선택=이그나이트 솔리드퍼퓸 - 30ml210207</t>
        </is>
      </c>
    </row>
    <row r="3372" ht="16.5" customHeight="1" s="17">
      <c r="B3372" s="16" t="inlineStr">
        <is>
          <t>2021-02-17</t>
        </is>
      </c>
      <c r="C3372" s="20" t="inlineStr">
        <is>
          <t>수</t>
        </is>
      </c>
      <c r="E3372" s="20" t="inlineStr">
        <is>
          <t>고체향수</t>
        </is>
      </c>
      <c r="F3372" s="20" t="inlineStr">
        <is>
          <t>카페24</t>
        </is>
      </c>
      <c r="G3372" s="20" t="inlineStr">
        <is>
          <t>솔리드퍼퓸 이그나이트 001제품선택=이그나이트 2개 세트</t>
        </is>
      </c>
      <c r="H3372" s="20" t="n">
        <v>6</v>
      </c>
      <c r="I3372" s="20" t="inlineStr">
        <is>
          <t>이그나이트 2set</t>
        </is>
      </c>
      <c r="J3372" s="20" t="inlineStr">
        <is>
          <t>210207</t>
        </is>
      </c>
      <c r="L3372" s="20" t="n">
        <v>0</v>
      </c>
      <c r="M3372" s="20" t="n">
        <v>0</v>
      </c>
      <c r="N3372" s="20" t="n">
        <v>0</v>
      </c>
      <c r="O3372" s="20" t="inlineStr">
        <is>
          <t>카페24고체향수솔리드퍼퓸 이그나이트 001제품선택=이그나이트 2개 세트210207</t>
        </is>
      </c>
    </row>
    <row r="3373" ht="16.5" customHeight="1" s="17">
      <c r="A3373" s="20" t="inlineStr">
        <is>
          <t>검증</t>
        </is>
      </c>
      <c r="B3373" s="16" t="inlineStr">
        <is>
          <t>2021-02-17</t>
        </is>
      </c>
      <c r="C3373" s="20" t="inlineStr">
        <is>
          <t>수</t>
        </is>
      </c>
      <c r="D3373" s="20" t="inlineStr">
        <is>
          <t>네이버 배너</t>
        </is>
      </c>
      <c r="E3373" s="20" t="inlineStr">
        <is>
          <t>고체향수</t>
        </is>
      </c>
      <c r="K3373" s="20" t="n">
        <v>0</v>
      </c>
    </row>
    <row r="3374" ht="16.5" customHeight="1" s="17">
      <c r="A3374" s="20" t="inlineStr">
        <is>
          <t>승무원 키워드</t>
        </is>
      </c>
      <c r="B3374" s="16" t="inlineStr">
        <is>
          <t>2021-02-17</t>
        </is>
      </c>
      <c r="C3374" s="20" t="inlineStr">
        <is>
          <t>수</t>
        </is>
      </c>
      <c r="D3374" s="20" t="inlineStr">
        <is>
          <t>네이버 배너</t>
        </is>
      </c>
      <c r="E3374" s="20" t="inlineStr">
        <is>
          <t>고체향수</t>
        </is>
      </c>
      <c r="K3374" s="20" t="n">
        <v>1329610.909090909</v>
      </c>
    </row>
    <row r="3375" ht="16.5" customHeight="1" s="17">
      <c r="A3375" s="20" t="inlineStr">
        <is>
          <t>[성민 TEST] 스테이포에버_이미지</t>
        </is>
      </c>
      <c r="B3375" s="16" t="inlineStr">
        <is>
          <t>2021-02-22</t>
        </is>
      </c>
      <c r="C3375" s="20" t="inlineStr">
        <is>
          <t>월</t>
        </is>
      </c>
      <c r="K3375" s="20" t="n">
        <v>60465</v>
      </c>
    </row>
    <row r="3376" ht="16.5" customHeight="1" s="17">
      <c r="A3376" s="20" t="inlineStr">
        <is>
          <t>[승은 TEST] 스테이포에버_카드뉴스</t>
        </is>
      </c>
      <c r="B3376" s="16" t="inlineStr">
        <is>
          <t>2021-02-22</t>
        </is>
      </c>
      <c r="C3376" s="20" t="inlineStr">
        <is>
          <t>월</t>
        </is>
      </c>
      <c r="D3376" s="20" t="inlineStr">
        <is>
          <t>페이스북/인스타그램</t>
        </is>
      </c>
      <c r="E3376" s="20" t="inlineStr">
        <is>
          <t>고체향수</t>
        </is>
      </c>
      <c r="K3376" s="20" t="n">
        <v>60408</v>
      </c>
    </row>
    <row r="3377" ht="16.5" customHeight="1" s="17">
      <c r="A3377" s="20" t="inlineStr">
        <is>
          <t>[승무원 2] 스테이포에버_카드뉴스</t>
        </is>
      </c>
      <c r="B3377" s="16" t="inlineStr">
        <is>
          <t>2021-02-22</t>
        </is>
      </c>
      <c r="C3377" s="20" t="inlineStr">
        <is>
          <t>월</t>
        </is>
      </c>
      <c r="K3377" s="20" t="n">
        <v>500976</v>
      </c>
    </row>
    <row r="3378" ht="16.5" customHeight="1" s="17">
      <c r="A3378" s="20" t="inlineStr">
        <is>
          <t>[테스트]아줌마</t>
        </is>
      </c>
      <c r="B3378" s="16" t="inlineStr">
        <is>
          <t>2021-02-22</t>
        </is>
      </c>
      <c r="C3378" s="20" t="inlineStr">
        <is>
          <t>월</t>
        </is>
      </c>
      <c r="D3378" s="20" t="inlineStr">
        <is>
          <t>페이스북/인스타그램</t>
        </is>
      </c>
      <c r="E3378" s="20" t="inlineStr">
        <is>
          <t>고체향수</t>
        </is>
      </c>
      <c r="K3378" s="20" t="n">
        <v>222478</v>
      </c>
    </row>
    <row r="3379" ht="16.5" customHeight="1" s="17">
      <c r="A3379" s="20" t="inlineStr">
        <is>
          <t>[키워드 확장 테스트]스테이포에버_이미지</t>
        </is>
      </c>
      <c r="B3379" s="16" t="inlineStr">
        <is>
          <t>2021-02-22</t>
        </is>
      </c>
      <c r="C3379" s="20" t="inlineStr">
        <is>
          <t>월</t>
        </is>
      </c>
      <c r="D3379" s="20" t="inlineStr">
        <is>
          <t>페이스북/인스타그램</t>
        </is>
      </c>
      <c r="E3379" s="20" t="inlineStr">
        <is>
          <t>고체향수</t>
        </is>
      </c>
      <c r="K3379" s="20" t="n">
        <v>272153</v>
      </c>
    </row>
    <row r="3380" ht="16.5" customHeight="1" s="17">
      <c r="A3380" s="20" t="inlineStr">
        <is>
          <t>[재입고]스테이포에버_이미지</t>
        </is>
      </c>
      <c r="B3380" s="16" t="inlineStr">
        <is>
          <t>2021-02-22</t>
        </is>
      </c>
      <c r="C3380" s="20" t="inlineStr">
        <is>
          <t>월</t>
        </is>
      </c>
      <c r="D3380" s="20" t="inlineStr">
        <is>
          <t>페이스북/인스타그램</t>
        </is>
      </c>
      <c r="E3380" s="20" t="inlineStr">
        <is>
          <t>고체향수</t>
        </is>
      </c>
      <c r="K3380" s="20" t="n">
        <v>150496</v>
      </c>
    </row>
    <row r="3381" ht="16.5" customHeight="1" s="17">
      <c r="A3381" s="20" t="inlineStr">
        <is>
          <t>[승무원]숏폼_영상</t>
        </is>
      </c>
      <c r="B3381" s="16" t="inlineStr">
        <is>
          <t>2021-02-22</t>
        </is>
      </c>
      <c r="C3381" s="20" t="inlineStr">
        <is>
          <t>월</t>
        </is>
      </c>
      <c r="D3381" s="20" t="inlineStr">
        <is>
          <t>페이스북/인스타그램</t>
        </is>
      </c>
      <c r="E3381" s="20" t="inlineStr">
        <is>
          <t>고체향수</t>
        </is>
      </c>
      <c r="K3381" s="20" t="n">
        <v>101100</v>
      </c>
    </row>
    <row r="3382" ht="16.5" customHeight="1" s="17">
      <c r="A3382" s="20" t="inlineStr">
        <is>
          <t>[재입고]스테이포에버_영상</t>
        </is>
      </c>
      <c r="B3382" s="16" t="inlineStr">
        <is>
          <t>2021-02-22</t>
        </is>
      </c>
      <c r="C3382" s="20" t="inlineStr">
        <is>
          <t>월</t>
        </is>
      </c>
      <c r="D3382" s="20" t="inlineStr">
        <is>
          <t>페이스북/인스타그램</t>
        </is>
      </c>
      <c r="E3382" s="20" t="inlineStr">
        <is>
          <t>고체향수</t>
        </is>
      </c>
      <c r="K3382" s="20" t="n">
        <v>201047</v>
      </c>
    </row>
    <row r="3383" ht="16.5" customHeight="1" s="17">
      <c r="A3383" s="20" t="inlineStr">
        <is>
          <t>[필라테스]스테이포에버_카드뉴스</t>
        </is>
      </c>
      <c r="B3383" s="16" t="inlineStr">
        <is>
          <t>2021-02-22</t>
        </is>
      </c>
      <c r="C3383" s="20" t="inlineStr">
        <is>
          <t>월</t>
        </is>
      </c>
      <c r="D3383" s="20" t="inlineStr">
        <is>
          <t>페이스북/인스타그램</t>
        </is>
      </c>
      <c r="E3383" s="20" t="inlineStr">
        <is>
          <t>고체향수</t>
        </is>
      </c>
      <c r="K3383" s="20" t="n">
        <v>50467</v>
      </c>
    </row>
    <row r="3384" ht="16.5" customHeight="1" s="17">
      <c r="A3384" s="20" t="inlineStr">
        <is>
          <t>[젊줌마]스테이포에버_영상</t>
        </is>
      </c>
      <c r="B3384" s="16" t="inlineStr">
        <is>
          <t>2021-02-22</t>
        </is>
      </c>
      <c r="C3384" s="20" t="inlineStr">
        <is>
          <t>월</t>
        </is>
      </c>
      <c r="D3384" s="20" t="inlineStr">
        <is>
          <t>페이스북/인스타그램</t>
        </is>
      </c>
      <c r="E3384" s="20" t="inlineStr">
        <is>
          <t>고체향수</t>
        </is>
      </c>
      <c r="K3384" s="20" t="n">
        <v>100644</v>
      </c>
    </row>
    <row r="3385" ht="16.5" customHeight="1" s="17">
      <c r="A3385" s="20" t="inlineStr">
        <is>
          <t>[이성소구]스테이포에버_영상</t>
        </is>
      </c>
      <c r="B3385" s="16" t="inlineStr">
        <is>
          <t>2021-02-22</t>
        </is>
      </c>
      <c r="C3385" s="20" t="inlineStr">
        <is>
          <t>월</t>
        </is>
      </c>
      <c r="D3385" s="20" t="inlineStr">
        <is>
          <t>페이스북/인스타그램</t>
        </is>
      </c>
      <c r="E3385" s="20" t="inlineStr">
        <is>
          <t>고체향수</t>
        </is>
      </c>
      <c r="K3385" s="20" t="n">
        <v>30181</v>
      </c>
    </row>
    <row r="3386" ht="16.5" customHeight="1" s="17">
      <c r="A3386" s="20" t="inlineStr">
        <is>
          <t>[승무원]2019년썰 카드뉴스+ 향묘사_영상</t>
        </is>
      </c>
      <c r="B3386" s="16" t="inlineStr">
        <is>
          <t>2021-02-22</t>
        </is>
      </c>
      <c r="C3386" s="20" t="inlineStr">
        <is>
          <t>월</t>
        </is>
      </c>
      <c r="D3386" s="20" t="inlineStr">
        <is>
          <t>페이스북/인스타그램</t>
        </is>
      </c>
      <c r="E3386" s="20" t="inlineStr">
        <is>
          <t>고체향수</t>
        </is>
      </c>
      <c r="K3386" s="20" t="n">
        <v>200614</v>
      </c>
    </row>
    <row r="3387" ht="16.5" customHeight="1" s="17">
      <c r="A3387" s="20" t="inlineStr">
        <is>
          <t>[승무원어피]스테이포에버_이미지</t>
        </is>
      </c>
      <c r="B3387" s="16" t="inlineStr">
        <is>
          <t>2021-02-22</t>
        </is>
      </c>
      <c r="C3387" s="20" t="inlineStr">
        <is>
          <t>월</t>
        </is>
      </c>
      <c r="D3387" s="20" t="inlineStr">
        <is>
          <t>페이스북/인스타그램</t>
        </is>
      </c>
      <c r="E3387" s="20" t="inlineStr">
        <is>
          <t>고체향수</t>
        </is>
      </c>
      <c r="K3387" s="20" t="n">
        <v>100851</v>
      </c>
    </row>
    <row r="3388" ht="16.5" customHeight="1" s="17">
      <c r="A3388" s="20" t="inlineStr">
        <is>
          <t>[다현]스테이포에버_이미지</t>
        </is>
      </c>
      <c r="B3388" s="16" t="inlineStr">
        <is>
          <t>2021-02-22</t>
        </is>
      </c>
      <c r="C3388" s="20" t="inlineStr">
        <is>
          <t>월</t>
        </is>
      </c>
      <c r="D3388" s="20" t="inlineStr">
        <is>
          <t>페이스북/인스타그램</t>
        </is>
      </c>
      <c r="E3388" s="20" t="inlineStr">
        <is>
          <t>고체향수</t>
        </is>
      </c>
      <c r="K3388" s="20" t="n">
        <v>301876</v>
      </c>
    </row>
    <row r="3389" ht="16.5" customHeight="1" s="17">
      <c r="A3389" s="20" t="inlineStr">
        <is>
          <t>[승무원]스테이포에버_카드뉴스</t>
        </is>
      </c>
      <c r="B3389" s="16" t="inlineStr">
        <is>
          <t>2021-02-22</t>
        </is>
      </c>
      <c r="C3389" s="20" t="inlineStr">
        <is>
          <t>월</t>
        </is>
      </c>
      <c r="D3389" s="20" t="inlineStr">
        <is>
          <t>페이스북/인스타그램</t>
        </is>
      </c>
      <c r="E3389" s="20" t="inlineStr">
        <is>
          <t>고체향수</t>
        </is>
      </c>
      <c r="K3389" s="20" t="n">
        <v>301654</v>
      </c>
    </row>
    <row r="3390" ht="16.5" customHeight="1" s="17">
      <c r="A3390" s="20" t="inlineStr">
        <is>
          <t>[후기타입]스테이포에버_영상</t>
        </is>
      </c>
      <c r="B3390" s="16" t="inlineStr">
        <is>
          <t>2021-02-22</t>
        </is>
      </c>
      <c r="C3390" s="20" t="inlineStr">
        <is>
          <t>월</t>
        </is>
      </c>
      <c r="D3390" s="20" t="inlineStr">
        <is>
          <t>페이스북/인스타그램</t>
        </is>
      </c>
      <c r="E3390" s="20" t="inlineStr">
        <is>
          <t>고체향수</t>
        </is>
      </c>
      <c r="K3390" s="20" t="n">
        <v>150640</v>
      </c>
    </row>
    <row r="3391" ht="16.5" customHeight="1" s="17">
      <c r="A3391" s="20" t="inlineStr">
        <is>
          <t>전환_스테이포에버</t>
        </is>
      </c>
      <c r="B3391" s="16" t="inlineStr">
        <is>
          <t>2021-02-22</t>
        </is>
      </c>
      <c r="C3391" s="20" t="inlineStr">
        <is>
          <t>월</t>
        </is>
      </c>
      <c r="D3391" s="20" t="inlineStr">
        <is>
          <t>페이스북/인스타그램</t>
        </is>
      </c>
      <c r="E3391" s="20" t="inlineStr">
        <is>
          <t>고체향수</t>
        </is>
      </c>
      <c r="K3391" s="20" t="n">
        <v>150469</v>
      </c>
    </row>
    <row r="3392" ht="16.5" customHeight="1" s="17">
      <c r="A3392" s="20" t="inlineStr">
        <is>
          <t>[권태기커플]스테이포에버_영상</t>
        </is>
      </c>
      <c r="B3392" s="16" t="inlineStr">
        <is>
          <t>2021-02-22</t>
        </is>
      </c>
      <c r="C3392" s="20" t="inlineStr">
        <is>
          <t>월</t>
        </is>
      </c>
      <c r="D3392" s="20" t="inlineStr">
        <is>
          <t>페이스북/인스타그램</t>
        </is>
      </c>
      <c r="E3392" s="20" t="inlineStr">
        <is>
          <t>고체향수</t>
        </is>
      </c>
      <c r="K3392" s="20" t="n">
        <v>150943</v>
      </c>
    </row>
    <row r="3393" ht="16.5" customHeight="1" s="17">
      <c r="A3393" s="20" t="inlineStr">
        <is>
          <t>동영상캠페인_승무원_2019년썰</t>
        </is>
      </c>
      <c r="B3393" s="16" t="inlineStr">
        <is>
          <t>2021-02-22</t>
        </is>
      </c>
      <c r="C3393" s="20" t="inlineStr">
        <is>
          <t>월</t>
        </is>
      </c>
      <c r="D3393" s="20" t="inlineStr">
        <is>
          <t>유튜브 광고</t>
        </is>
      </c>
      <c r="E3393" s="20" t="inlineStr">
        <is>
          <t>고체향수</t>
        </is>
      </c>
      <c r="K3393" s="20" t="n">
        <v>312049</v>
      </c>
    </row>
    <row r="3394" ht="16.5" customHeight="1" s="17">
      <c r="A3394" s="20" t="inlineStr">
        <is>
          <t>웹사이트 트래픽 서치</t>
        </is>
      </c>
      <c r="B3394" s="16" t="inlineStr">
        <is>
          <t>2021-02-22</t>
        </is>
      </c>
      <c r="C3394" s="20" t="inlineStr">
        <is>
          <t>월</t>
        </is>
      </c>
      <c r="D3394" s="20" t="inlineStr">
        <is>
          <t>유튜브 광고</t>
        </is>
      </c>
      <c r="E3394" s="20" t="inlineStr">
        <is>
          <t>고체향수</t>
        </is>
      </c>
      <c r="K3394" s="20" t="n">
        <v>24936</v>
      </c>
    </row>
    <row r="3395" ht="16.5" customHeight="1" s="17">
      <c r="A3395" s="20" t="inlineStr">
        <is>
          <t>동영상캠페인_승무원_보이는 라디오</t>
        </is>
      </c>
      <c r="B3395" s="16" t="inlineStr">
        <is>
          <t>2021-02-22</t>
        </is>
      </c>
      <c r="C3395" s="20" t="inlineStr">
        <is>
          <t>월</t>
        </is>
      </c>
      <c r="D3395" s="20" t="inlineStr">
        <is>
          <t>유튜브 광고</t>
        </is>
      </c>
      <c r="E3395" s="20" t="inlineStr">
        <is>
          <t>고체향수</t>
        </is>
      </c>
      <c r="K3395" s="20" t="n">
        <v>513105</v>
      </c>
    </row>
    <row r="3396" ht="16.5" customHeight="1" s="17">
      <c r="A3396" s="20" t="inlineStr">
        <is>
          <t>디스커버리 배너_승무원,할인_리마케팅</t>
        </is>
      </c>
      <c r="B3396" s="16" t="inlineStr">
        <is>
          <t>2021-02-22</t>
        </is>
      </c>
      <c r="C3396" s="20" t="inlineStr">
        <is>
          <t>월</t>
        </is>
      </c>
      <c r="D3396" s="20" t="inlineStr">
        <is>
          <t>유튜브 광고</t>
        </is>
      </c>
      <c r="E3396" s="20" t="inlineStr">
        <is>
          <t>고체향수</t>
        </is>
      </c>
      <c r="K3396" s="20" t="n">
        <v>436680</v>
      </c>
    </row>
    <row r="3397" ht="16.5" customHeight="1" s="17">
      <c r="A3397" s="20" t="inlineStr">
        <is>
          <t>동영상캠페인_승무원_써니스카이</t>
        </is>
      </c>
      <c r="B3397" s="16" t="inlineStr">
        <is>
          <t>2021-02-22</t>
        </is>
      </c>
      <c r="C3397" s="20" t="inlineStr">
        <is>
          <t>월</t>
        </is>
      </c>
      <c r="D3397" s="20" t="inlineStr">
        <is>
          <t>유튜브 광고</t>
        </is>
      </c>
      <c r="E3397" s="20" t="inlineStr">
        <is>
          <t>고체향수</t>
        </is>
      </c>
      <c r="K3397" s="20" t="n">
        <v>514551</v>
      </c>
    </row>
    <row r="3398" ht="16.5" customHeight="1" s="17">
      <c r="A3398" s="20" t="inlineStr">
        <is>
          <t>동영상캠페인_필라테스_자기관리</t>
        </is>
      </c>
      <c r="B3398" s="16" t="inlineStr">
        <is>
          <t>2021-02-22</t>
        </is>
      </c>
      <c r="C3398" s="20" t="inlineStr">
        <is>
          <t>월</t>
        </is>
      </c>
      <c r="D3398" s="20" t="inlineStr">
        <is>
          <t>유튜브 광고</t>
        </is>
      </c>
      <c r="E3398" s="20" t="inlineStr">
        <is>
          <t>고체향수</t>
        </is>
      </c>
      <c r="K3398" s="20" t="n">
        <v>260372</v>
      </c>
    </row>
    <row r="3399" ht="16.5" customHeight="1" s="17">
      <c r="A3399" s="20" t="inlineStr">
        <is>
          <t>동영상캠페인_승무원_비누향 나는 승무원에게</t>
        </is>
      </c>
      <c r="B3399" s="16" t="inlineStr">
        <is>
          <t>2021-02-22</t>
        </is>
      </c>
      <c r="C3399" s="20" t="inlineStr">
        <is>
          <t>월</t>
        </is>
      </c>
      <c r="D3399" s="20" t="inlineStr">
        <is>
          <t>유튜브 광고</t>
        </is>
      </c>
      <c r="E3399" s="20" t="inlineStr">
        <is>
          <t>고체향수</t>
        </is>
      </c>
      <c r="K3399" s="20" t="n">
        <v>519033</v>
      </c>
    </row>
    <row r="3400" ht="16.5" customHeight="1" s="17">
      <c r="A3400" s="20" t="inlineStr">
        <is>
          <t>동영상캠페인_유즈모먼트_2차_30대 여성 회사원</t>
        </is>
      </c>
      <c r="B3400" s="16" t="inlineStr">
        <is>
          <t>2021-02-22</t>
        </is>
      </c>
      <c r="C3400" s="20" t="inlineStr">
        <is>
          <t>월</t>
        </is>
      </c>
      <c r="K3400" s="20" t="n">
        <v>415907</v>
      </c>
    </row>
    <row r="3401" ht="16.5" customHeight="1" s="17">
      <c r="A3401" s="20" t="inlineStr">
        <is>
          <t>동영상캠페인_유즈모먼트_사춘기 딸</t>
        </is>
      </c>
      <c r="B3401" s="16" t="inlineStr">
        <is>
          <t>2021-02-22</t>
        </is>
      </c>
      <c r="C3401" s="20" t="inlineStr">
        <is>
          <t>월</t>
        </is>
      </c>
      <c r="K3401" s="20" t="n">
        <v>104031</v>
      </c>
    </row>
    <row r="3402" ht="16.5" customHeight="1" s="17">
      <c r="A3402" s="20" t="inlineStr">
        <is>
          <t>쇼핑검색_고체향수</t>
        </is>
      </c>
      <c r="B3402" s="16" t="inlineStr">
        <is>
          <t>2021-02-22</t>
        </is>
      </c>
      <c r="C3402" s="20" t="inlineStr">
        <is>
          <t>월</t>
        </is>
      </c>
      <c r="D3402" s="20" t="inlineStr">
        <is>
          <t>네이버 쇼핑검색</t>
        </is>
      </c>
      <c r="E3402" s="20" t="inlineStr">
        <is>
          <t>고체향수</t>
        </is>
      </c>
      <c r="K3402" s="20" t="n">
        <v>1240</v>
      </c>
    </row>
    <row r="3403" ht="16.5" customHeight="1" s="17">
      <c r="A3403" s="20" t="inlineStr">
        <is>
          <t>쇼핑검색_고체향수세부키워드</t>
        </is>
      </c>
      <c r="B3403" s="16" t="inlineStr">
        <is>
          <t>2021-02-22</t>
        </is>
      </c>
      <c r="C3403" s="20" t="inlineStr">
        <is>
          <t>월</t>
        </is>
      </c>
      <c r="D3403" s="20" t="inlineStr">
        <is>
          <t>네이버 쇼핑검색</t>
        </is>
      </c>
      <c r="E3403" s="20" t="inlineStr">
        <is>
          <t>고체향수</t>
        </is>
      </c>
      <c r="K3403" s="20" t="n">
        <v>26710</v>
      </c>
    </row>
    <row r="3404" ht="16.5" customHeight="1" s="17">
      <c r="A3404" s="20" t="inlineStr">
        <is>
          <t>쇼핑검색_고체향수세부키워드2</t>
        </is>
      </c>
      <c r="B3404" s="16" t="inlineStr">
        <is>
          <t>2021-02-22</t>
        </is>
      </c>
      <c r="C3404" s="20" t="inlineStr">
        <is>
          <t>월</t>
        </is>
      </c>
      <c r="D3404" s="20" t="inlineStr">
        <is>
          <t>네이버 쇼핑검색</t>
        </is>
      </c>
      <c r="E3404" s="20" t="inlineStr">
        <is>
          <t>고체향수</t>
        </is>
      </c>
      <c r="K3404" s="20" t="n">
        <v>869.9999999999999</v>
      </c>
    </row>
    <row r="3405" ht="16.5" customHeight="1" s="17">
      <c r="A3405" s="20" t="inlineStr">
        <is>
          <t>모바일 브검</t>
        </is>
      </c>
      <c r="B3405" s="16" t="inlineStr">
        <is>
          <t>2021-02-22</t>
        </is>
      </c>
      <c r="C3405" s="20" t="inlineStr">
        <is>
          <t>월</t>
        </is>
      </c>
      <c r="D3405" s="20" t="inlineStr">
        <is>
          <t>네이버 브랜드검색</t>
        </is>
      </c>
      <c r="E3405" s="20" t="inlineStr">
        <is>
          <t>브랜드</t>
        </is>
      </c>
      <c r="K3405" s="20" t="n">
        <v>0</v>
      </c>
    </row>
    <row r="3406" ht="16.5" customHeight="1" s="17">
      <c r="A3406" s="20" t="inlineStr">
        <is>
          <t>고체향수_승무원 어피_Npay 추적</t>
        </is>
      </c>
      <c r="B3406" s="16" t="inlineStr">
        <is>
          <t>2021-02-22</t>
        </is>
      </c>
      <c r="C3406" s="20" t="inlineStr">
        <is>
          <t>월</t>
        </is>
      </c>
      <c r="D3406" s="20" t="inlineStr">
        <is>
          <t>카카오 배너</t>
        </is>
      </c>
      <c r="E3406" s="20" t="inlineStr">
        <is>
          <t>고체향수</t>
        </is>
      </c>
      <c r="K3406" s="20" t="n">
        <v>72460</v>
      </c>
    </row>
    <row r="3407" ht="16.5" customHeight="1" s="17">
      <c r="A3407" s="20" t="inlineStr">
        <is>
          <t>고체향수_Npay 추적</t>
        </is>
      </c>
      <c r="B3407" s="16" t="inlineStr">
        <is>
          <t>2021-02-22</t>
        </is>
      </c>
      <c r="C3407" s="20" t="inlineStr">
        <is>
          <t>월</t>
        </is>
      </c>
      <c r="D3407" s="20" t="inlineStr">
        <is>
          <t>카카오 배너</t>
        </is>
      </c>
      <c r="E3407" s="20" t="inlineStr">
        <is>
          <t>고체향수</t>
        </is>
      </c>
      <c r="K3407" s="20" t="n">
        <v>503729.9999999999</v>
      </c>
    </row>
    <row r="3408" ht="16.5" customHeight="1" s="17">
      <c r="B3408" s="16" t="inlineStr">
        <is>
          <t>2021-02-22</t>
        </is>
      </c>
      <c r="C3408" s="20" t="inlineStr">
        <is>
          <t>월</t>
        </is>
      </c>
      <c r="E3408" s="20" t="inlineStr">
        <is>
          <t>0</t>
        </is>
      </c>
      <c r="F3408" s="20" t="inlineStr">
        <is>
          <t>스마트스토어</t>
        </is>
      </c>
      <c r="G3408" s="20" t="inlineStr">
        <is>
          <t>유즈 고체향수 세트(유즈 스테이포에버, 유즈 이그나이트)고체향수: 스테이포에버 1개 + 이그나이트 1개</t>
        </is>
      </c>
      <c r="H3408" s="20" t="n">
        <v>1</v>
      </c>
      <c r="I3408" s="20" t="inlineStr">
        <is>
          <t>0</t>
        </is>
      </c>
      <c r="J3408" s="20" t="inlineStr">
        <is>
          <t>210207</t>
        </is>
      </c>
      <c r="L3408" s="20" t="n">
        <v>0</v>
      </c>
      <c r="M3408" s="20" t="n">
        <v>0</v>
      </c>
      <c r="N3408" s="20" t="n">
        <v>0</v>
      </c>
      <c r="O3408" s="20" t="inlineStr">
        <is>
          <t>스마트스토어0유즈 고체향수 세트(유즈 스테이포에버, 유즈 이그나이트)고체향수: 스테이포에버 1개 + 이그나이트 1개210207</t>
        </is>
      </c>
    </row>
    <row r="3409" ht="16.5" customHeight="1" s="17">
      <c r="B3409" s="16" t="inlineStr">
        <is>
          <t>2021-02-22</t>
        </is>
      </c>
      <c r="C3409" s="20" t="inlineStr">
        <is>
          <t>월</t>
        </is>
      </c>
      <c r="E3409" s="20" t="inlineStr">
        <is>
          <t>0</t>
        </is>
      </c>
      <c r="F3409" s="20" t="inlineStr">
        <is>
          <t>스마트스토어</t>
        </is>
      </c>
      <c r="G3409" s="20" t="inlineStr">
        <is>
          <t>유즈 고체향수 세트(유즈 스테이포에버, 유즈 이그나이트)고체향수: 스테이포에버 2개</t>
        </is>
      </c>
      <c r="H3409" s="20" t="n">
        <v>3</v>
      </c>
      <c r="I3409" s="20" t="inlineStr">
        <is>
          <t>0</t>
        </is>
      </c>
      <c r="J3409" s="20" t="inlineStr">
        <is>
          <t>210207</t>
        </is>
      </c>
      <c r="L3409" s="20" t="n">
        <v>0</v>
      </c>
      <c r="M3409" s="20" t="n">
        <v>0</v>
      </c>
      <c r="N3409" s="20" t="n">
        <v>0</v>
      </c>
      <c r="O3409" s="20" t="inlineStr">
        <is>
          <t>스마트스토어0유즈 고체향수 세트(유즈 스테이포에버, 유즈 이그나이트)고체향수: 스테이포에버 2개210207</t>
        </is>
      </c>
    </row>
    <row r="3410" ht="16.5" customHeight="1" s="17">
      <c r="B3410" s="16" t="inlineStr">
        <is>
          <t>2021-02-22</t>
        </is>
      </c>
      <c r="C3410" s="20" t="inlineStr">
        <is>
          <t>월</t>
        </is>
      </c>
      <c r="E3410" s="20" t="inlineStr">
        <is>
          <t>0</t>
        </is>
      </c>
      <c r="F3410" s="20" t="inlineStr">
        <is>
          <t>스마트스토어</t>
        </is>
      </c>
      <c r="G3410" s="20" t="inlineStr">
        <is>
          <t>유즈 고체향수 스테이포에버 002고체향수: 스테이포에버 1개</t>
        </is>
      </c>
      <c r="H3410" s="20" t="n">
        <v>15</v>
      </c>
      <c r="I3410" s="20" t="inlineStr">
        <is>
          <t>0</t>
        </is>
      </c>
      <c r="J3410" s="20" t="inlineStr">
        <is>
          <t>210207</t>
        </is>
      </c>
      <c r="L3410" s="20" t="n">
        <v>0</v>
      </c>
      <c r="M3410" s="20" t="n">
        <v>0</v>
      </c>
      <c r="N3410" s="20" t="n">
        <v>0</v>
      </c>
      <c r="O3410" s="20" t="inlineStr">
        <is>
          <t>스마트스토어0유즈 고체향수 스테이포에버 002고체향수: 스테이포에버 1개210207</t>
        </is>
      </c>
    </row>
    <row r="3411" ht="16.5" customHeight="1" s="17">
      <c r="B3411" s="16" t="inlineStr">
        <is>
          <t>2021-02-22</t>
        </is>
      </c>
      <c r="C3411" s="20" t="inlineStr">
        <is>
          <t>월</t>
        </is>
      </c>
      <c r="E3411" s="20" t="inlineStr">
        <is>
          <t>고체향수</t>
        </is>
      </c>
      <c r="F3411" s="20" t="inlineStr">
        <is>
          <t>유즈 CS</t>
        </is>
      </c>
      <c r="G3411" s="20" t="inlineStr">
        <is>
          <t>솔리드퍼퓸 스테이포에버 002 30ml</t>
        </is>
      </c>
      <c r="H3411" s="20" t="n">
        <v>2</v>
      </c>
      <c r="I3411" s="20" t="inlineStr">
        <is>
          <t>스테이포에버</t>
        </is>
      </c>
      <c r="J3411" s="20" t="inlineStr">
        <is>
          <t>210207</t>
        </is>
      </c>
      <c r="L3411" s="20" t="n">
        <v>0</v>
      </c>
      <c r="M3411" s="20" t="n">
        <v>0</v>
      </c>
      <c r="N3411" s="20" t="n">
        <v>5184</v>
      </c>
      <c r="O3411" s="20" t="inlineStr">
        <is>
          <t>유즈 CS고체향수솔리드퍼퓸 스테이포에버 002 30ml210207</t>
        </is>
      </c>
    </row>
    <row r="3412" ht="16.5" customHeight="1" s="17">
      <c r="B3412" s="16" t="inlineStr">
        <is>
          <t>2021-02-22</t>
        </is>
      </c>
      <c r="C3412" s="20" t="inlineStr">
        <is>
          <t>월</t>
        </is>
      </c>
      <c r="E3412" s="20" t="inlineStr">
        <is>
          <t>고체향수</t>
        </is>
      </c>
      <c r="F3412" s="20" t="inlineStr">
        <is>
          <t>카페24</t>
        </is>
      </c>
      <c r="G3412" s="20" t="inlineStr">
        <is>
          <t>솔리드퍼퓸 세트향=이그나이트 001 SOLID PERFUME, 세트 선택=best 2개 (28% 할인)</t>
        </is>
      </c>
      <c r="H3412" s="20" t="n">
        <v>2</v>
      </c>
      <c r="I3412" s="20" t="inlineStr">
        <is>
          <t>이그나이트 2set</t>
        </is>
      </c>
      <c r="J3412" s="20" t="inlineStr">
        <is>
          <t>210207</t>
        </is>
      </c>
      <c r="L3412" s="20" t="n">
        <v>117600</v>
      </c>
      <c r="M3412" s="20" t="n">
        <v>110720.4</v>
      </c>
    </row>
    <row r="3413" ht="16.5" customHeight="1" s="17">
      <c r="B3413" s="16" t="inlineStr">
        <is>
          <t>2021-02-22</t>
        </is>
      </c>
      <c r="C3413" s="20" t="inlineStr">
        <is>
          <t>월</t>
        </is>
      </c>
      <c r="E3413" s="20" t="inlineStr">
        <is>
          <t>고체향수</t>
        </is>
      </c>
      <c r="F3413" s="20" t="inlineStr">
        <is>
          <t>카페24</t>
        </is>
      </c>
      <c r="G3413" s="20" t="inlineStr">
        <is>
          <t>솔리드퍼퓸 세트향=스테이포에버 002 SOLID PERFUME, 세트 선택=1개</t>
        </is>
      </c>
      <c r="H3413" s="20" t="n">
        <v>4</v>
      </c>
      <c r="I3413" s="20" t="inlineStr">
        <is>
          <t>스테이포에버</t>
        </is>
      </c>
      <c r="J3413" s="20" t="inlineStr">
        <is>
          <t>210207</t>
        </is>
      </c>
      <c r="L3413" s="20" t="n">
        <v>136000</v>
      </c>
    </row>
    <row r="3414" ht="16.5" customHeight="1" s="17">
      <c r="B3414" s="16" t="inlineStr">
        <is>
          <t>2021-02-22</t>
        </is>
      </c>
      <c r="C3414" s="20" t="inlineStr">
        <is>
          <t>월</t>
        </is>
      </c>
      <c r="E3414" s="20" t="inlineStr">
        <is>
          <t>고체향수</t>
        </is>
      </c>
      <c r="F3414" s="20" t="inlineStr">
        <is>
          <t>카페24</t>
        </is>
      </c>
      <c r="G3414" s="20" t="inlineStr">
        <is>
          <t>솔리드퍼퓸 세트향=스테이포에버 002 SOLID PERFUME, 세트 선택=best 2개 (28% 할인)</t>
        </is>
      </c>
      <c r="H3414" s="20" t="n">
        <v>8</v>
      </c>
      <c r="I3414" s="20" t="inlineStr">
        <is>
          <t>스테이포에버 2set</t>
        </is>
      </c>
      <c r="J3414" s="20" t="inlineStr">
        <is>
          <t>210207</t>
        </is>
      </c>
      <c r="L3414" s="20" t="n">
        <v>470400</v>
      </c>
      <c r="M3414" s="20" t="n">
        <v>442881.6</v>
      </c>
    </row>
    <row r="3415" ht="16.5" customHeight="1" s="17">
      <c r="B3415" s="16" t="inlineStr">
        <is>
          <t>2021-02-22</t>
        </is>
      </c>
      <c r="C3415" s="20" t="inlineStr">
        <is>
          <t>월</t>
        </is>
      </c>
      <c r="E3415" s="20" t="inlineStr">
        <is>
          <t>고체향수</t>
        </is>
      </c>
      <c r="F3415" s="20" t="inlineStr">
        <is>
          <t>카페24</t>
        </is>
      </c>
      <c r="G3415" s="20" t="inlineStr">
        <is>
          <t>솔리드퍼퓸 세트향=커플세트(이그나이트 + 스테이포에버), 세트 선택=1 SET</t>
        </is>
      </c>
      <c r="H3415" s="20" t="n">
        <v>9</v>
      </c>
      <c r="I3415" s="20" t="inlineStr">
        <is>
          <t>이그나이트 + 스테이포에버</t>
        </is>
      </c>
      <c r="J3415" s="20" t="inlineStr">
        <is>
          <t>210207</t>
        </is>
      </c>
      <c r="L3415" s="20" t="n">
        <v>529200</v>
      </c>
      <c r="M3415" s="20" t="n">
        <v>498241.8</v>
      </c>
    </row>
    <row r="3416" ht="16.5" customHeight="1" s="17">
      <c r="B3416" s="16" t="inlineStr">
        <is>
          <t>2021-02-22</t>
        </is>
      </c>
      <c r="C3416" s="20" t="inlineStr">
        <is>
          <t>월</t>
        </is>
      </c>
      <c r="E3416" s="20" t="inlineStr">
        <is>
          <t>고체향수</t>
        </is>
      </c>
      <c r="F3416" s="20" t="inlineStr">
        <is>
          <t>카페24</t>
        </is>
      </c>
      <c r="G3416" s="20" t="inlineStr">
        <is>
          <t>솔리드퍼퓸 세트향=커플세트(이그나이트 + 스테이포에버), 세트 선택=2 SET (42% 할인)</t>
        </is>
      </c>
      <c r="H3416" s="20" t="n">
        <v>2</v>
      </c>
      <c r="I3416" s="20" t="inlineStr">
        <is>
          <t>이그나이트 + 스테이포에버</t>
        </is>
      </c>
      <c r="J3416" s="20" t="inlineStr">
        <is>
          <t>210207</t>
        </is>
      </c>
      <c r="L3416" s="20" t="n">
        <v>117600</v>
      </c>
      <c r="M3416" s="20" t="n">
        <v>110720.4</v>
      </c>
    </row>
    <row r="3417" ht="16.5" customHeight="1" s="17">
      <c r="B3417" s="16" t="inlineStr">
        <is>
          <t>2021-02-22</t>
        </is>
      </c>
      <c r="C3417" s="20" t="inlineStr">
        <is>
          <t>월</t>
        </is>
      </c>
      <c r="E3417" s="20" t="inlineStr">
        <is>
          <t>고체향수</t>
        </is>
      </c>
      <c r="F3417" s="20" t="inlineStr">
        <is>
          <t>카페24</t>
        </is>
      </c>
      <c r="G3417" s="20" t="inlineStr">
        <is>
          <t>솔리드퍼퓸 스테이포에버 002제품선택=스테이포에버 1개</t>
        </is>
      </c>
      <c r="H3417" s="20" t="n">
        <v>192</v>
      </c>
      <c r="I3417" s="20" t="inlineStr">
        <is>
          <t>스테이포에버</t>
        </is>
      </c>
      <c r="J3417" s="20" t="inlineStr">
        <is>
          <t>210207</t>
        </is>
      </c>
      <c r="L3417" s="20" t="n">
        <v>6528000</v>
      </c>
    </row>
    <row r="3418" ht="16.5" customHeight="1" s="17">
      <c r="B3418" s="16" t="inlineStr">
        <is>
          <t>2021-02-22</t>
        </is>
      </c>
      <c r="C3418" s="20" t="inlineStr">
        <is>
          <t>월</t>
        </is>
      </c>
      <c r="E3418" s="20" t="inlineStr">
        <is>
          <t>고체향수</t>
        </is>
      </c>
      <c r="F3418" s="20" t="inlineStr">
        <is>
          <t>카페24</t>
        </is>
      </c>
      <c r="G3418" s="20" t="inlineStr">
        <is>
          <t>솔리드퍼퓸 스테이포에버 002제품선택=best스테이포에버 2개[28% 할인]</t>
        </is>
      </c>
      <c r="H3418" s="20" t="n">
        <v>114</v>
      </c>
      <c r="I3418" s="20" t="inlineStr">
        <is>
          <t>스테이포에버 2set</t>
        </is>
      </c>
      <c r="J3418" s="20" t="inlineStr">
        <is>
          <t>210207</t>
        </is>
      </c>
      <c r="L3418" s="20" t="n">
        <v>6703200</v>
      </c>
      <c r="M3418" s="20" t="n">
        <v>6311062.8</v>
      </c>
    </row>
    <row r="3419" ht="16.5" customHeight="1" s="17">
      <c r="B3419" s="16" t="inlineStr">
        <is>
          <t>2021-02-22</t>
        </is>
      </c>
      <c r="C3419" s="20" t="inlineStr">
        <is>
          <t>월</t>
        </is>
      </c>
      <c r="E3419" s="20" t="inlineStr">
        <is>
          <t>고체향수</t>
        </is>
      </c>
      <c r="F3419" s="20" t="inlineStr">
        <is>
          <t>카페24</t>
        </is>
      </c>
      <c r="G3419" s="20" t="inlineStr">
        <is>
          <t>솔리드퍼퓸 스테이포에버 002제품선택=커플추천스테이포에버 + 이그나이트 세트</t>
        </is>
      </c>
      <c r="H3419" s="20" t="n">
        <v>12</v>
      </c>
      <c r="I3419" s="20" t="inlineStr">
        <is>
          <t>이그나이트 + 스테이포에버</t>
        </is>
      </c>
      <c r="J3419" s="20" t="inlineStr">
        <is>
          <t>210207</t>
        </is>
      </c>
      <c r="L3419" s="20" t="n">
        <v>705600</v>
      </c>
      <c r="M3419" s="20" t="n">
        <v>664322.3999999999</v>
      </c>
    </row>
    <row r="3420" ht="16.5" customHeight="1" s="17">
      <c r="B3420" s="16" t="inlineStr">
        <is>
          <t>2021-02-22</t>
        </is>
      </c>
      <c r="C3420" s="20" t="inlineStr">
        <is>
          <t>월</t>
        </is>
      </c>
      <c r="E3420" s="20" t="inlineStr">
        <is>
          <t>쇼핑백</t>
        </is>
      </c>
      <c r="F3420" s="20" t="inlineStr">
        <is>
          <t>카페24</t>
        </is>
      </c>
      <c r="G3420" s="20" t="inlineStr">
        <is>
          <t>솔리드퍼퓸 스테이포에버 002쇼핑백=선물용 쇼핑백</t>
        </is>
      </c>
      <c r="H3420" s="20" t="n">
        <v>3</v>
      </c>
      <c r="I3420" s="20" t="inlineStr">
        <is>
          <t>쇼핑백</t>
        </is>
      </c>
      <c r="J3420" s="20" t="inlineStr">
        <is>
          <t>210207</t>
        </is>
      </c>
    </row>
    <row r="3421" ht="16.5" customHeight="1" s="17">
      <c r="B3421" s="16" t="inlineStr">
        <is>
          <t>2021-02-22</t>
        </is>
      </c>
      <c r="C3421" s="20" t="inlineStr">
        <is>
          <t>월</t>
        </is>
      </c>
      <c r="E3421" s="20" t="inlineStr">
        <is>
          <t>고체향수</t>
        </is>
      </c>
      <c r="F3421" s="20" t="inlineStr">
        <is>
          <t>카페24</t>
        </is>
      </c>
      <c r="G3421" s="20" t="inlineStr">
        <is>
          <t>솔리드퍼퓸 스테이포에버 002 30ml</t>
        </is>
      </c>
      <c r="H3421" s="20" t="n">
        <v>2</v>
      </c>
      <c r="I3421" s="20" t="inlineStr">
        <is>
          <t>스테이포에버</t>
        </is>
      </c>
      <c r="J3421" s="20" t="inlineStr">
        <is>
          <t>210207</t>
        </is>
      </c>
      <c r="L3421" s="20" t="n">
        <v>76000</v>
      </c>
      <c r="M3421" s="20" t="n">
        <v>71554</v>
      </c>
      <c r="N3421" s="20" t="n">
        <v>5184</v>
      </c>
      <c r="O3421" s="20" t="inlineStr">
        <is>
          <t>카페24고체향수솔리드퍼퓸 스테이포에버 002 30ml210207</t>
        </is>
      </c>
    </row>
    <row r="3422" ht="16.5" customHeight="1" s="17">
      <c r="B3422" s="16" t="inlineStr">
        <is>
          <t>2021-02-22</t>
        </is>
      </c>
      <c r="C3422" s="20" t="inlineStr">
        <is>
          <t>월</t>
        </is>
      </c>
      <c r="E3422" s="20" t="inlineStr">
        <is>
          <t>고체향수</t>
        </is>
      </c>
      <c r="F3422" s="20" t="inlineStr">
        <is>
          <t>카페24</t>
        </is>
      </c>
      <c r="G3422" s="20" t="inlineStr">
        <is>
          <t>솔리드퍼퓸 이그나이트 001제품선택=이그나이트 2개 세트</t>
        </is>
      </c>
      <c r="H3422" s="20" t="n">
        <v>2</v>
      </c>
      <c r="I3422" s="20" t="inlineStr">
        <is>
          <t>이그나이트 2set</t>
        </is>
      </c>
      <c r="J3422" s="20" t="inlineStr">
        <is>
          <t>210207</t>
        </is>
      </c>
      <c r="L3422" s="20" t="n">
        <v>117600</v>
      </c>
      <c r="M3422" s="20" t="n">
        <v>110720.4</v>
      </c>
    </row>
    <row r="3423" ht="16.5" customHeight="1" s="17">
      <c r="A3423" s="20" t="inlineStr">
        <is>
          <t>고체향수</t>
        </is>
      </c>
      <c r="B3423" s="16" t="inlineStr">
        <is>
          <t>2021-02-22</t>
        </is>
      </c>
      <c r="C3423" s="20" t="inlineStr">
        <is>
          <t>월</t>
        </is>
      </c>
      <c r="K3423" s="20" t="n">
        <v>1165580</v>
      </c>
    </row>
    <row r="3424" ht="16.5" customHeight="1" s="17">
      <c r="A3424" s="20" t="inlineStr">
        <is>
          <t>[성민 TEST] 스테이포에버_이미지</t>
        </is>
      </c>
      <c r="B3424" s="16" t="inlineStr">
        <is>
          <t>2021-02-21</t>
        </is>
      </c>
      <c r="C3424" s="20" t="inlineStr">
        <is>
          <t>일</t>
        </is>
      </c>
      <c r="K3424" s="20" t="n">
        <v>60486</v>
      </c>
    </row>
    <row r="3425" ht="16.5" customHeight="1" s="17">
      <c r="A3425" s="20" t="inlineStr">
        <is>
          <t>[승은 TEST] 스테이포에버_카드뉴스</t>
        </is>
      </c>
      <c r="B3425" s="16" t="inlineStr">
        <is>
          <t>2021-02-21</t>
        </is>
      </c>
      <c r="C3425" s="20" t="inlineStr">
        <is>
          <t>일</t>
        </is>
      </c>
      <c r="D3425" s="20" t="inlineStr">
        <is>
          <t>페이스북/인스타그램</t>
        </is>
      </c>
      <c r="E3425" s="20" t="inlineStr">
        <is>
          <t>고체향수</t>
        </is>
      </c>
      <c r="K3425" s="20" t="n">
        <v>60989</v>
      </c>
    </row>
    <row r="3426" ht="16.5" customHeight="1" s="17">
      <c r="A3426" s="20" t="inlineStr">
        <is>
          <t>[승무원 2] 스테이포에버_카드뉴스</t>
        </is>
      </c>
      <c r="B3426" s="16" t="inlineStr">
        <is>
          <t>2021-02-21</t>
        </is>
      </c>
      <c r="C3426" s="20" t="inlineStr">
        <is>
          <t>일</t>
        </is>
      </c>
      <c r="K3426" s="20" t="n">
        <v>501904</v>
      </c>
    </row>
    <row r="3427" ht="16.5" customHeight="1" s="17">
      <c r="A3427" s="20" t="inlineStr">
        <is>
          <t>[테스트]아줌마</t>
        </is>
      </c>
      <c r="B3427" s="16" t="inlineStr">
        <is>
          <t>2021-02-21</t>
        </is>
      </c>
      <c r="C3427" s="20" t="inlineStr">
        <is>
          <t>일</t>
        </is>
      </c>
      <c r="D3427" s="20" t="inlineStr">
        <is>
          <t>페이스북/인스타그램</t>
        </is>
      </c>
      <c r="E3427" s="20" t="inlineStr">
        <is>
          <t>고체향수</t>
        </is>
      </c>
      <c r="K3427" s="20" t="n">
        <v>223627</v>
      </c>
    </row>
    <row r="3428" ht="16.5" customHeight="1" s="17">
      <c r="A3428" s="20" t="inlineStr">
        <is>
          <t>[키워드 확장 테스트]스테이포에버_이미지</t>
        </is>
      </c>
      <c r="B3428" s="16" t="inlineStr">
        <is>
          <t>2021-02-21</t>
        </is>
      </c>
      <c r="C3428" s="20" t="inlineStr">
        <is>
          <t>일</t>
        </is>
      </c>
      <c r="D3428" s="20" t="inlineStr">
        <is>
          <t>페이스북/인스타그램</t>
        </is>
      </c>
      <c r="E3428" s="20" t="inlineStr">
        <is>
          <t>고체향수</t>
        </is>
      </c>
      <c r="K3428" s="20" t="n">
        <v>272034</v>
      </c>
    </row>
    <row r="3429" ht="16.5" customHeight="1" s="17">
      <c r="A3429" s="20" t="inlineStr">
        <is>
          <t>[재입고]스테이포에버_이미지</t>
        </is>
      </c>
      <c r="B3429" s="16" t="inlineStr">
        <is>
          <t>2021-02-21</t>
        </is>
      </c>
      <c r="C3429" s="20" t="inlineStr">
        <is>
          <t>일</t>
        </is>
      </c>
      <c r="D3429" s="20" t="inlineStr">
        <is>
          <t>페이스북/인스타그램</t>
        </is>
      </c>
      <c r="E3429" s="20" t="inlineStr">
        <is>
          <t>고체향수</t>
        </is>
      </c>
      <c r="K3429" s="20" t="n">
        <v>150434</v>
      </c>
    </row>
    <row r="3430" ht="16.5" customHeight="1" s="17">
      <c r="A3430" s="20" t="inlineStr">
        <is>
          <t>[승무원]숏폼_영상</t>
        </is>
      </c>
      <c r="B3430" s="16" t="inlineStr">
        <is>
          <t>2021-02-21</t>
        </is>
      </c>
      <c r="C3430" s="20" t="inlineStr">
        <is>
          <t>일</t>
        </is>
      </c>
      <c r="D3430" s="20" t="inlineStr">
        <is>
          <t>페이스북/인스타그램</t>
        </is>
      </c>
      <c r="E3430" s="20" t="inlineStr">
        <is>
          <t>고체향수</t>
        </is>
      </c>
      <c r="K3430" s="20" t="n">
        <v>100961</v>
      </c>
    </row>
    <row r="3431" ht="16.5" customHeight="1" s="17">
      <c r="A3431" s="20" t="inlineStr">
        <is>
          <t>[재입고]스테이포에버_영상</t>
        </is>
      </c>
      <c r="B3431" s="16" t="inlineStr">
        <is>
          <t>2021-02-21</t>
        </is>
      </c>
      <c r="C3431" s="20" t="inlineStr">
        <is>
          <t>일</t>
        </is>
      </c>
      <c r="D3431" s="20" t="inlineStr">
        <is>
          <t>페이스북/인스타그램</t>
        </is>
      </c>
      <c r="E3431" s="20" t="inlineStr">
        <is>
          <t>고체향수</t>
        </is>
      </c>
      <c r="K3431" s="20" t="n">
        <v>201143</v>
      </c>
    </row>
    <row r="3432" ht="16.5" customHeight="1" s="17">
      <c r="A3432" s="20" t="inlineStr">
        <is>
          <t>[필라테스]스테이포에버_카드뉴스</t>
        </is>
      </c>
      <c r="B3432" s="16" t="inlineStr">
        <is>
          <t>2021-02-21</t>
        </is>
      </c>
      <c r="C3432" s="20" t="inlineStr">
        <is>
          <t>일</t>
        </is>
      </c>
      <c r="D3432" s="20" t="inlineStr">
        <is>
          <t>페이스북/인스타그램</t>
        </is>
      </c>
      <c r="E3432" s="20" t="inlineStr">
        <is>
          <t>고체향수</t>
        </is>
      </c>
      <c r="K3432" s="20" t="n">
        <v>50536</v>
      </c>
    </row>
    <row r="3433" ht="16.5" customHeight="1" s="17">
      <c r="A3433" s="20" t="inlineStr">
        <is>
          <t>[젊줌마]스테이포에버_영상</t>
        </is>
      </c>
      <c r="B3433" s="16" t="inlineStr">
        <is>
          <t>2021-02-21</t>
        </is>
      </c>
      <c r="C3433" s="20" t="inlineStr">
        <is>
          <t>일</t>
        </is>
      </c>
      <c r="D3433" s="20" t="inlineStr">
        <is>
          <t>페이스북/인스타그램</t>
        </is>
      </c>
      <c r="E3433" s="20" t="inlineStr">
        <is>
          <t>고체향수</t>
        </is>
      </c>
      <c r="K3433" s="20" t="n">
        <v>100702</v>
      </c>
    </row>
    <row r="3434" ht="16.5" customHeight="1" s="17">
      <c r="A3434" s="20" t="inlineStr">
        <is>
          <t>[이성소구]스테이포에버_영상</t>
        </is>
      </c>
      <c r="B3434" s="16" t="inlineStr">
        <is>
          <t>2021-02-21</t>
        </is>
      </c>
      <c r="C3434" s="20" t="inlineStr">
        <is>
          <t>일</t>
        </is>
      </c>
      <c r="D3434" s="20" t="inlineStr">
        <is>
          <t>페이스북/인스타그램</t>
        </is>
      </c>
      <c r="E3434" s="20" t="inlineStr">
        <is>
          <t>고체향수</t>
        </is>
      </c>
      <c r="K3434" s="20" t="n">
        <v>30602</v>
      </c>
    </row>
    <row r="3435" ht="16.5" customHeight="1" s="17">
      <c r="A3435" s="20" t="inlineStr">
        <is>
          <t>[승무원]2019년썰 카드뉴스+ 향묘사_영상</t>
        </is>
      </c>
      <c r="B3435" s="16" t="inlineStr">
        <is>
          <t>2021-02-21</t>
        </is>
      </c>
      <c r="C3435" s="20" t="inlineStr">
        <is>
          <t>일</t>
        </is>
      </c>
      <c r="D3435" s="20" t="inlineStr">
        <is>
          <t>페이스북/인스타그램</t>
        </is>
      </c>
      <c r="E3435" s="20" t="inlineStr">
        <is>
          <t>고체향수</t>
        </is>
      </c>
      <c r="K3435" s="20" t="n">
        <v>201552</v>
      </c>
    </row>
    <row r="3436" ht="16.5" customHeight="1" s="17">
      <c r="A3436" s="20" t="inlineStr">
        <is>
          <t>[승무원어피]스테이포에버_이미지</t>
        </is>
      </c>
      <c r="B3436" s="16" t="inlineStr">
        <is>
          <t>2021-02-21</t>
        </is>
      </c>
      <c r="C3436" s="20" t="inlineStr">
        <is>
          <t>일</t>
        </is>
      </c>
      <c r="D3436" s="20" t="inlineStr">
        <is>
          <t>페이스북/인스타그램</t>
        </is>
      </c>
      <c r="E3436" s="20" t="inlineStr">
        <is>
          <t>고체향수</t>
        </is>
      </c>
      <c r="K3436" s="20" t="n">
        <v>100551</v>
      </c>
    </row>
    <row r="3437" ht="16.5" customHeight="1" s="17">
      <c r="A3437" s="20" t="inlineStr">
        <is>
          <t>[다현]스테이포에버_이미지</t>
        </is>
      </c>
      <c r="B3437" s="16" t="inlineStr">
        <is>
          <t>2021-02-21</t>
        </is>
      </c>
      <c r="C3437" s="20" t="inlineStr">
        <is>
          <t>일</t>
        </is>
      </c>
      <c r="D3437" s="20" t="inlineStr">
        <is>
          <t>페이스북/인스타그램</t>
        </is>
      </c>
      <c r="E3437" s="20" t="inlineStr">
        <is>
          <t>고체향수</t>
        </is>
      </c>
      <c r="K3437" s="20" t="n">
        <v>301526</v>
      </c>
    </row>
    <row r="3438" ht="16.5" customHeight="1" s="17">
      <c r="A3438" s="20" t="inlineStr">
        <is>
          <t>[승무원]스테이포에버_카드뉴스</t>
        </is>
      </c>
      <c r="B3438" s="16" t="inlineStr">
        <is>
          <t>2021-02-21</t>
        </is>
      </c>
      <c r="C3438" s="20" t="inlineStr">
        <is>
          <t>일</t>
        </is>
      </c>
      <c r="D3438" s="20" t="inlineStr">
        <is>
          <t>페이스북/인스타그램</t>
        </is>
      </c>
      <c r="E3438" s="20" t="inlineStr">
        <is>
          <t>고체향수</t>
        </is>
      </c>
      <c r="K3438" s="20" t="n">
        <v>301173</v>
      </c>
    </row>
    <row r="3439" ht="16.5" customHeight="1" s="17">
      <c r="A3439" s="20" t="inlineStr">
        <is>
          <t>[후기타입]스테이포에버_영상</t>
        </is>
      </c>
      <c r="B3439" s="16" t="inlineStr">
        <is>
          <t>2021-02-21</t>
        </is>
      </c>
      <c r="C3439" s="20" t="inlineStr">
        <is>
          <t>일</t>
        </is>
      </c>
      <c r="D3439" s="20" t="inlineStr">
        <is>
          <t>페이스북/인스타그램</t>
        </is>
      </c>
      <c r="E3439" s="20" t="inlineStr">
        <is>
          <t>고체향수</t>
        </is>
      </c>
      <c r="K3439" s="20" t="n">
        <v>150382</v>
      </c>
    </row>
    <row r="3440" ht="16.5" customHeight="1" s="17">
      <c r="A3440" s="20" t="inlineStr">
        <is>
          <t>전환_스테이포에버</t>
        </is>
      </c>
      <c r="B3440" s="16" t="inlineStr">
        <is>
          <t>2021-02-21</t>
        </is>
      </c>
      <c r="C3440" s="20" t="inlineStr">
        <is>
          <t>일</t>
        </is>
      </c>
      <c r="D3440" s="20" t="inlineStr">
        <is>
          <t>페이스북/인스타그램</t>
        </is>
      </c>
      <c r="E3440" s="20" t="inlineStr">
        <is>
          <t>고체향수</t>
        </is>
      </c>
      <c r="K3440" s="20" t="n">
        <v>151319</v>
      </c>
    </row>
    <row r="3441" ht="16.5" customHeight="1" s="17">
      <c r="A3441" s="20" t="inlineStr">
        <is>
          <t>[권태기커플]스테이포에버_영상</t>
        </is>
      </c>
      <c r="B3441" s="16" t="inlineStr">
        <is>
          <t>2021-02-21</t>
        </is>
      </c>
      <c r="C3441" s="20" t="inlineStr">
        <is>
          <t>일</t>
        </is>
      </c>
      <c r="D3441" s="20" t="inlineStr">
        <is>
          <t>페이스북/인스타그램</t>
        </is>
      </c>
      <c r="E3441" s="20" t="inlineStr">
        <is>
          <t>고체향수</t>
        </is>
      </c>
      <c r="K3441" s="20" t="n">
        <v>150574</v>
      </c>
    </row>
    <row r="3442" ht="16.5" customHeight="1" s="17">
      <c r="A3442" s="20" t="inlineStr">
        <is>
          <t>[성민 TEST] 스테이포에버_이미지</t>
        </is>
      </c>
      <c r="B3442" s="16" t="inlineStr">
        <is>
          <t>2021-02-22</t>
        </is>
      </c>
      <c r="C3442" s="20" t="inlineStr">
        <is>
          <t>월</t>
        </is>
      </c>
      <c r="K3442" s="20" t="n">
        <v>60465</v>
      </c>
    </row>
    <row r="3443" ht="16.5" customHeight="1" s="17">
      <c r="A3443" s="20" t="inlineStr">
        <is>
          <t>[승은 TEST] 스테이포에버_카드뉴스</t>
        </is>
      </c>
      <c r="B3443" s="16" t="inlineStr">
        <is>
          <t>2021-02-22</t>
        </is>
      </c>
      <c r="C3443" s="20" t="inlineStr">
        <is>
          <t>월</t>
        </is>
      </c>
      <c r="D3443" s="20" t="inlineStr">
        <is>
          <t>페이스북/인스타그램</t>
        </is>
      </c>
      <c r="E3443" s="20" t="inlineStr">
        <is>
          <t>고체향수</t>
        </is>
      </c>
      <c r="K3443" s="20" t="n">
        <v>60408</v>
      </c>
    </row>
    <row r="3444" ht="16.5" customHeight="1" s="17">
      <c r="A3444" s="20" t="inlineStr">
        <is>
          <t>[승무원 2] 스테이포에버_카드뉴스</t>
        </is>
      </c>
      <c r="B3444" s="16" t="inlineStr">
        <is>
          <t>2021-02-22</t>
        </is>
      </c>
      <c r="C3444" s="20" t="inlineStr">
        <is>
          <t>월</t>
        </is>
      </c>
      <c r="K3444" s="20" t="n">
        <v>500976</v>
      </c>
    </row>
    <row r="3445" ht="16.5" customHeight="1" s="17">
      <c r="A3445" s="20" t="inlineStr">
        <is>
          <t>[테스트]아줌마</t>
        </is>
      </c>
      <c r="B3445" s="16" t="inlineStr">
        <is>
          <t>2021-02-22</t>
        </is>
      </c>
      <c r="C3445" s="20" t="inlineStr">
        <is>
          <t>월</t>
        </is>
      </c>
      <c r="D3445" s="20" t="inlineStr">
        <is>
          <t>페이스북/인스타그램</t>
        </is>
      </c>
      <c r="E3445" s="20" t="inlineStr">
        <is>
          <t>고체향수</t>
        </is>
      </c>
      <c r="K3445" s="20" t="n">
        <v>222487</v>
      </c>
    </row>
    <row r="3446" ht="16.5" customHeight="1" s="17">
      <c r="A3446" s="20" t="inlineStr">
        <is>
          <t>[키워드 확장 테스트]스테이포에버_이미지</t>
        </is>
      </c>
      <c r="B3446" s="16" t="inlineStr">
        <is>
          <t>2021-02-22</t>
        </is>
      </c>
      <c r="C3446" s="20" t="inlineStr">
        <is>
          <t>월</t>
        </is>
      </c>
      <c r="D3446" s="20" t="inlineStr">
        <is>
          <t>페이스북/인스타그램</t>
        </is>
      </c>
      <c r="E3446" s="20" t="inlineStr">
        <is>
          <t>고체향수</t>
        </is>
      </c>
      <c r="K3446" s="20" t="n">
        <v>272165</v>
      </c>
    </row>
    <row r="3447" ht="16.5" customHeight="1" s="17">
      <c r="A3447" s="20" t="inlineStr">
        <is>
          <t>[재입고]스테이포에버_이미지</t>
        </is>
      </c>
      <c r="B3447" s="16" t="inlineStr">
        <is>
          <t>2021-02-22</t>
        </is>
      </c>
      <c r="C3447" s="20" t="inlineStr">
        <is>
          <t>월</t>
        </is>
      </c>
      <c r="D3447" s="20" t="inlineStr">
        <is>
          <t>페이스북/인스타그램</t>
        </is>
      </c>
      <c r="E3447" s="20" t="inlineStr">
        <is>
          <t>고체향수</t>
        </is>
      </c>
      <c r="K3447" s="20" t="n">
        <v>150496</v>
      </c>
    </row>
    <row r="3448" ht="16.5" customHeight="1" s="17">
      <c r="A3448" s="20" t="inlineStr">
        <is>
          <t>[승무원]숏폼_영상</t>
        </is>
      </c>
      <c r="B3448" s="16" t="inlineStr">
        <is>
          <t>2021-02-22</t>
        </is>
      </c>
      <c r="C3448" s="20" t="inlineStr">
        <is>
          <t>월</t>
        </is>
      </c>
      <c r="D3448" s="20" t="inlineStr">
        <is>
          <t>페이스북/인스타그램</t>
        </is>
      </c>
      <c r="E3448" s="20" t="inlineStr">
        <is>
          <t>고체향수</t>
        </is>
      </c>
      <c r="K3448" s="20" t="n">
        <v>101100</v>
      </c>
    </row>
    <row r="3449" ht="16.5" customHeight="1" s="17">
      <c r="A3449" s="20" t="inlineStr">
        <is>
          <t>[재입고]스테이포에버_영상</t>
        </is>
      </c>
      <c r="B3449" s="16" t="inlineStr">
        <is>
          <t>2021-02-22</t>
        </is>
      </c>
      <c r="C3449" s="20" t="inlineStr">
        <is>
          <t>월</t>
        </is>
      </c>
      <c r="D3449" s="20" t="inlineStr">
        <is>
          <t>페이스북/인스타그램</t>
        </is>
      </c>
      <c r="E3449" s="20" t="inlineStr">
        <is>
          <t>고체향수</t>
        </is>
      </c>
      <c r="K3449" s="20" t="n">
        <v>201047</v>
      </c>
    </row>
    <row r="3450" ht="16.5" customHeight="1" s="17">
      <c r="A3450" s="20" t="inlineStr">
        <is>
          <t>[필라테스]스테이포에버_카드뉴스</t>
        </is>
      </c>
      <c r="B3450" s="16" t="inlineStr">
        <is>
          <t>2021-02-22</t>
        </is>
      </c>
      <c r="C3450" s="20" t="inlineStr">
        <is>
          <t>월</t>
        </is>
      </c>
      <c r="D3450" s="20" t="inlineStr">
        <is>
          <t>페이스북/인스타그램</t>
        </is>
      </c>
      <c r="E3450" s="20" t="inlineStr">
        <is>
          <t>고체향수</t>
        </is>
      </c>
      <c r="K3450" s="20" t="n">
        <v>50467</v>
      </c>
    </row>
    <row r="3451" ht="16.5" customHeight="1" s="17">
      <c r="A3451" s="20" t="inlineStr">
        <is>
          <t>[젊줌마]스테이포에버_영상</t>
        </is>
      </c>
      <c r="B3451" s="16" t="inlineStr">
        <is>
          <t>2021-02-22</t>
        </is>
      </c>
      <c r="C3451" s="20" t="inlineStr">
        <is>
          <t>월</t>
        </is>
      </c>
      <c r="D3451" s="20" t="inlineStr">
        <is>
          <t>페이스북/인스타그램</t>
        </is>
      </c>
      <c r="E3451" s="20" t="inlineStr">
        <is>
          <t>고체향수</t>
        </is>
      </c>
      <c r="K3451" s="20" t="n">
        <v>100644</v>
      </c>
    </row>
    <row r="3452" ht="16.5" customHeight="1" s="17">
      <c r="A3452" s="20" t="inlineStr">
        <is>
          <t>[이성소구]스테이포에버_영상</t>
        </is>
      </c>
      <c r="B3452" s="16" t="inlineStr">
        <is>
          <t>2021-02-22</t>
        </is>
      </c>
      <c r="C3452" s="20" t="inlineStr">
        <is>
          <t>월</t>
        </is>
      </c>
      <c r="D3452" s="20" t="inlineStr">
        <is>
          <t>페이스북/인스타그램</t>
        </is>
      </c>
      <c r="E3452" s="20" t="inlineStr">
        <is>
          <t>고체향수</t>
        </is>
      </c>
      <c r="K3452" s="20" t="n">
        <v>30181</v>
      </c>
    </row>
    <row r="3453" ht="16.5" customHeight="1" s="17">
      <c r="A3453" s="20" t="inlineStr">
        <is>
          <t>[승무원]2019년썰 카드뉴스+ 향묘사_영상</t>
        </is>
      </c>
      <c r="B3453" s="16" t="inlineStr">
        <is>
          <t>2021-02-22</t>
        </is>
      </c>
      <c r="C3453" s="20" t="inlineStr">
        <is>
          <t>월</t>
        </is>
      </c>
      <c r="D3453" s="20" t="inlineStr">
        <is>
          <t>페이스북/인스타그램</t>
        </is>
      </c>
      <c r="E3453" s="20" t="inlineStr">
        <is>
          <t>고체향수</t>
        </is>
      </c>
      <c r="K3453" s="20" t="n">
        <v>200614</v>
      </c>
    </row>
    <row r="3454" ht="16.5" customHeight="1" s="17">
      <c r="A3454" s="20" t="inlineStr">
        <is>
          <t>[승무원어피]스테이포에버_이미지</t>
        </is>
      </c>
      <c r="B3454" s="16" t="inlineStr">
        <is>
          <t>2021-02-22</t>
        </is>
      </c>
      <c r="C3454" s="20" t="inlineStr">
        <is>
          <t>월</t>
        </is>
      </c>
      <c r="D3454" s="20" t="inlineStr">
        <is>
          <t>페이스북/인스타그램</t>
        </is>
      </c>
      <c r="E3454" s="20" t="inlineStr">
        <is>
          <t>고체향수</t>
        </is>
      </c>
      <c r="K3454" s="20" t="n">
        <v>100851</v>
      </c>
    </row>
    <row r="3455" ht="16.5" customHeight="1" s="17">
      <c r="A3455" s="20" t="inlineStr">
        <is>
          <t>[다현]스테이포에버_이미지</t>
        </is>
      </c>
      <c r="B3455" s="16" t="inlineStr">
        <is>
          <t>2021-02-22</t>
        </is>
      </c>
      <c r="C3455" s="20" t="inlineStr">
        <is>
          <t>월</t>
        </is>
      </c>
      <c r="D3455" s="20" t="inlineStr">
        <is>
          <t>페이스북/인스타그램</t>
        </is>
      </c>
      <c r="E3455" s="20" t="inlineStr">
        <is>
          <t>고체향수</t>
        </is>
      </c>
      <c r="K3455" s="20" t="n">
        <v>301914</v>
      </c>
    </row>
    <row r="3456" ht="16.5" customHeight="1" s="17">
      <c r="A3456" s="20" t="inlineStr">
        <is>
          <t>[승무원]스테이포에버_카드뉴스</t>
        </is>
      </c>
      <c r="B3456" s="16" t="inlineStr">
        <is>
          <t>2021-02-22</t>
        </is>
      </c>
      <c r="C3456" s="20" t="inlineStr">
        <is>
          <t>월</t>
        </is>
      </c>
      <c r="D3456" s="20" t="inlineStr">
        <is>
          <t>페이스북/인스타그램</t>
        </is>
      </c>
      <c r="E3456" s="20" t="inlineStr">
        <is>
          <t>고체향수</t>
        </is>
      </c>
      <c r="K3456" s="20" t="n">
        <v>301686</v>
      </c>
    </row>
    <row r="3457" ht="16.5" customHeight="1" s="17">
      <c r="A3457" s="20" t="inlineStr">
        <is>
          <t>[후기타입]스테이포에버_영상</t>
        </is>
      </c>
      <c r="B3457" s="16" t="inlineStr">
        <is>
          <t>2021-02-22</t>
        </is>
      </c>
      <c r="C3457" s="20" t="inlineStr">
        <is>
          <t>월</t>
        </is>
      </c>
      <c r="D3457" s="20" t="inlineStr">
        <is>
          <t>페이스북/인스타그램</t>
        </is>
      </c>
      <c r="E3457" s="20" t="inlineStr">
        <is>
          <t>고체향수</t>
        </is>
      </c>
      <c r="K3457" s="20" t="n">
        <v>150640</v>
      </c>
    </row>
    <row r="3458" ht="16.5" customHeight="1" s="17">
      <c r="A3458" s="20" t="inlineStr">
        <is>
          <t>전환_스테이포에버</t>
        </is>
      </c>
      <c r="B3458" s="16" t="inlineStr">
        <is>
          <t>2021-02-22</t>
        </is>
      </c>
      <c r="C3458" s="20" t="inlineStr">
        <is>
          <t>월</t>
        </is>
      </c>
      <c r="D3458" s="20" t="inlineStr">
        <is>
          <t>페이스북/인스타그램</t>
        </is>
      </c>
      <c r="E3458" s="20" t="inlineStr">
        <is>
          <t>고체향수</t>
        </is>
      </c>
      <c r="K3458" s="20" t="n">
        <v>150469</v>
      </c>
    </row>
    <row r="3459" ht="16.5" customHeight="1" s="17">
      <c r="A3459" s="20" t="inlineStr">
        <is>
          <t>[권태기커플]스테이포에버_영상</t>
        </is>
      </c>
      <c r="B3459" s="16" t="inlineStr">
        <is>
          <t>2021-02-22</t>
        </is>
      </c>
      <c r="C3459" s="20" t="inlineStr">
        <is>
          <t>월</t>
        </is>
      </c>
      <c r="D3459" s="20" t="inlineStr">
        <is>
          <t>페이스북/인스타그램</t>
        </is>
      </c>
      <c r="E3459" s="20" t="inlineStr">
        <is>
          <t>고체향수</t>
        </is>
      </c>
      <c r="K3459" s="20" t="n">
        <v>150943</v>
      </c>
    </row>
    <row r="3460" ht="16.5" customHeight="1" s="17">
      <c r="A3460" s="20" t="inlineStr">
        <is>
          <t>동영상캠페인_승무원_2019년썰</t>
        </is>
      </c>
      <c r="B3460" s="16" t="inlineStr">
        <is>
          <t>2021-02-21</t>
        </is>
      </c>
      <c r="C3460" s="20" t="inlineStr">
        <is>
          <t>일</t>
        </is>
      </c>
      <c r="D3460" s="20" t="inlineStr">
        <is>
          <t>유튜브 광고</t>
        </is>
      </c>
      <c r="E3460" s="20" t="inlineStr">
        <is>
          <t>고체향수</t>
        </is>
      </c>
      <c r="K3460" s="20" t="n">
        <v>300077</v>
      </c>
    </row>
    <row r="3461" ht="16.5" customHeight="1" s="17">
      <c r="A3461" s="20" t="inlineStr">
        <is>
          <t>웹사이트 트래픽 서치</t>
        </is>
      </c>
      <c r="B3461" s="16" t="inlineStr">
        <is>
          <t>2021-02-21</t>
        </is>
      </c>
      <c r="C3461" s="20" t="inlineStr">
        <is>
          <t>일</t>
        </is>
      </c>
      <c r="D3461" s="20" t="inlineStr">
        <is>
          <t>유튜브 광고</t>
        </is>
      </c>
      <c r="E3461" s="20" t="inlineStr">
        <is>
          <t>고체향수</t>
        </is>
      </c>
      <c r="K3461" s="20" t="n">
        <v>22289</v>
      </c>
    </row>
    <row r="3462" ht="16.5" customHeight="1" s="17">
      <c r="A3462" s="20" t="inlineStr">
        <is>
          <t>동영상캠페인_승무원_보이는 라디오</t>
        </is>
      </c>
      <c r="B3462" s="16" t="inlineStr">
        <is>
          <t>2021-02-21</t>
        </is>
      </c>
      <c r="C3462" s="20" t="inlineStr">
        <is>
          <t>일</t>
        </is>
      </c>
      <c r="D3462" s="20" t="inlineStr">
        <is>
          <t>유튜브 광고</t>
        </is>
      </c>
      <c r="E3462" s="20" t="inlineStr">
        <is>
          <t>고체향수</t>
        </is>
      </c>
      <c r="K3462" s="20" t="n">
        <v>492259</v>
      </c>
    </row>
    <row r="3463" ht="16.5" customHeight="1" s="17">
      <c r="A3463" s="20" t="inlineStr">
        <is>
          <t>디스커버리 배너_승무원,할인_리마케팅</t>
        </is>
      </c>
      <c r="B3463" s="16" t="inlineStr">
        <is>
          <t>2021-02-21</t>
        </is>
      </c>
      <c r="C3463" s="20" t="inlineStr">
        <is>
          <t>일</t>
        </is>
      </c>
      <c r="D3463" s="20" t="inlineStr">
        <is>
          <t>유튜브 광고</t>
        </is>
      </c>
      <c r="E3463" s="20" t="inlineStr">
        <is>
          <t>고체향수</t>
        </is>
      </c>
      <c r="K3463" s="20" t="n">
        <v>409315</v>
      </c>
    </row>
    <row r="3464" ht="16.5" customHeight="1" s="17">
      <c r="A3464" s="20" t="inlineStr">
        <is>
          <t>동영상캠페인_승무원_써니스카이</t>
        </is>
      </c>
      <c r="B3464" s="16" t="inlineStr">
        <is>
          <t>2021-02-21</t>
        </is>
      </c>
      <c r="C3464" s="20" t="inlineStr">
        <is>
          <t>일</t>
        </is>
      </c>
      <c r="D3464" s="20" t="inlineStr">
        <is>
          <t>유튜브 광고</t>
        </is>
      </c>
      <c r="E3464" s="20" t="inlineStr">
        <is>
          <t>고체향수</t>
        </is>
      </c>
      <c r="K3464" s="20" t="n">
        <v>490608</v>
      </c>
    </row>
    <row r="3465" ht="16.5" customHeight="1" s="17">
      <c r="A3465" s="20" t="inlineStr">
        <is>
          <t>동영상캠페인_필라테스_자기관리</t>
        </is>
      </c>
      <c r="B3465" s="16" t="inlineStr">
        <is>
          <t>2021-02-21</t>
        </is>
      </c>
      <c r="C3465" s="20" t="inlineStr">
        <is>
          <t>일</t>
        </is>
      </c>
      <c r="D3465" s="20" t="inlineStr">
        <is>
          <t>유튜브 광고</t>
        </is>
      </c>
      <c r="E3465" s="20" t="inlineStr">
        <is>
          <t>고체향수</t>
        </is>
      </c>
      <c r="K3465" s="20" t="n">
        <v>249324</v>
      </c>
    </row>
    <row r="3466" ht="16.5" customHeight="1" s="17">
      <c r="A3466" s="20" t="inlineStr">
        <is>
          <t>동영상캠페인_승무원_비누향 나는 승무원에게</t>
        </is>
      </c>
      <c r="B3466" s="16" t="inlineStr">
        <is>
          <t>2021-02-21</t>
        </is>
      </c>
      <c r="C3466" s="20" t="inlineStr">
        <is>
          <t>일</t>
        </is>
      </c>
      <c r="D3466" s="20" t="inlineStr">
        <is>
          <t>유튜브 광고</t>
        </is>
      </c>
      <c r="E3466" s="20" t="inlineStr">
        <is>
          <t>고체향수</t>
        </is>
      </c>
      <c r="K3466" s="20" t="n">
        <v>496853</v>
      </c>
    </row>
    <row r="3467" ht="16.5" customHeight="1" s="17">
      <c r="A3467" s="20" t="inlineStr">
        <is>
          <t>동영상캠페인_유즈모먼트_2차_30대 여성 회사원</t>
        </is>
      </c>
      <c r="B3467" s="16" t="inlineStr">
        <is>
          <t>2021-02-21</t>
        </is>
      </c>
      <c r="C3467" s="20" t="inlineStr">
        <is>
          <t>일</t>
        </is>
      </c>
      <c r="K3467" s="20" t="n">
        <v>299588</v>
      </c>
    </row>
    <row r="3468" ht="16.5" customHeight="1" s="17">
      <c r="A3468" s="20" t="inlineStr">
        <is>
          <t>동영상캠페인_승무원_2019년썰</t>
        </is>
      </c>
      <c r="B3468" s="16" t="inlineStr">
        <is>
          <t>2021-02-22</t>
        </is>
      </c>
      <c r="C3468" s="20" t="inlineStr">
        <is>
          <t>월</t>
        </is>
      </c>
      <c r="D3468" s="20" t="inlineStr">
        <is>
          <t>유튜브 광고</t>
        </is>
      </c>
      <c r="E3468" s="20" t="inlineStr">
        <is>
          <t>고체향수</t>
        </is>
      </c>
      <c r="K3468" s="20" t="n">
        <v>312049</v>
      </c>
    </row>
    <row r="3469" ht="16.5" customHeight="1" s="17">
      <c r="A3469" s="20" t="inlineStr">
        <is>
          <t>웹사이트 트래픽 서치</t>
        </is>
      </c>
      <c r="B3469" s="16" t="inlineStr">
        <is>
          <t>2021-02-22</t>
        </is>
      </c>
      <c r="C3469" s="20" t="inlineStr">
        <is>
          <t>월</t>
        </is>
      </c>
      <c r="D3469" s="20" t="inlineStr">
        <is>
          <t>유튜브 광고</t>
        </is>
      </c>
      <c r="E3469" s="20" t="inlineStr">
        <is>
          <t>고체향수</t>
        </is>
      </c>
      <c r="K3469" s="20" t="n">
        <v>24936</v>
      </c>
    </row>
    <row r="3470" ht="16.5" customHeight="1" s="17">
      <c r="A3470" s="20" t="inlineStr">
        <is>
          <t>동영상캠페인_승무원_보이는 라디오</t>
        </is>
      </c>
      <c r="B3470" s="16" t="inlineStr">
        <is>
          <t>2021-02-22</t>
        </is>
      </c>
      <c r="C3470" s="20" t="inlineStr">
        <is>
          <t>월</t>
        </is>
      </c>
      <c r="D3470" s="20" t="inlineStr">
        <is>
          <t>유튜브 광고</t>
        </is>
      </c>
      <c r="E3470" s="20" t="inlineStr">
        <is>
          <t>고체향수</t>
        </is>
      </c>
      <c r="K3470" s="20" t="n">
        <v>513089</v>
      </c>
    </row>
    <row r="3471" ht="16.5" customHeight="1" s="17">
      <c r="A3471" s="20" t="inlineStr">
        <is>
          <t>디스커버리 배너_승무원,할인_리마케팅</t>
        </is>
      </c>
      <c r="B3471" s="16" t="inlineStr">
        <is>
          <t>2021-02-22</t>
        </is>
      </c>
      <c r="C3471" s="20" t="inlineStr">
        <is>
          <t>월</t>
        </is>
      </c>
      <c r="D3471" s="20" t="inlineStr">
        <is>
          <t>유튜브 광고</t>
        </is>
      </c>
      <c r="E3471" s="20" t="inlineStr">
        <is>
          <t>고체향수</t>
        </is>
      </c>
      <c r="K3471" s="20" t="n">
        <v>436680</v>
      </c>
    </row>
    <row r="3472" ht="16.5" customHeight="1" s="17">
      <c r="A3472" s="20" t="inlineStr">
        <is>
          <t>동영상캠페인_승무원_써니스카이</t>
        </is>
      </c>
      <c r="B3472" s="16" t="inlineStr">
        <is>
          <t>2021-02-22</t>
        </is>
      </c>
      <c r="C3472" s="20" t="inlineStr">
        <is>
          <t>월</t>
        </is>
      </c>
      <c r="D3472" s="20" t="inlineStr">
        <is>
          <t>유튜브 광고</t>
        </is>
      </c>
      <c r="E3472" s="20" t="inlineStr">
        <is>
          <t>고체향수</t>
        </is>
      </c>
      <c r="K3472" s="20" t="n">
        <v>514547</v>
      </c>
    </row>
    <row r="3473" ht="16.5" customHeight="1" s="17">
      <c r="A3473" s="20" t="inlineStr">
        <is>
          <t>동영상캠페인_필라테스_자기관리</t>
        </is>
      </c>
      <c r="B3473" s="16" t="inlineStr">
        <is>
          <t>2021-02-22</t>
        </is>
      </c>
      <c r="C3473" s="20" t="inlineStr">
        <is>
          <t>월</t>
        </is>
      </c>
      <c r="D3473" s="20" t="inlineStr">
        <is>
          <t>유튜브 광고</t>
        </is>
      </c>
      <c r="E3473" s="20" t="inlineStr">
        <is>
          <t>고체향수</t>
        </is>
      </c>
      <c r="K3473" s="20" t="n">
        <v>260372</v>
      </c>
    </row>
    <row r="3474" ht="16.5" customHeight="1" s="17">
      <c r="A3474" s="20" t="inlineStr">
        <is>
          <t>동영상캠페인_승무원_비누향 나는 승무원에게</t>
        </is>
      </c>
      <c r="B3474" s="16" t="inlineStr">
        <is>
          <t>2021-02-22</t>
        </is>
      </c>
      <c r="C3474" s="20" t="inlineStr">
        <is>
          <t>월</t>
        </is>
      </c>
      <c r="D3474" s="20" t="inlineStr">
        <is>
          <t>유튜브 광고</t>
        </is>
      </c>
      <c r="E3474" s="20" t="inlineStr">
        <is>
          <t>고체향수</t>
        </is>
      </c>
      <c r="K3474" s="20" t="n">
        <v>519033</v>
      </c>
    </row>
    <row r="3475" ht="16.5" customHeight="1" s="17">
      <c r="A3475" s="20" t="inlineStr">
        <is>
          <t>동영상캠페인_유즈모먼트_2차_30대 여성 회사원</t>
        </is>
      </c>
      <c r="B3475" s="16" t="inlineStr">
        <is>
          <t>2021-02-22</t>
        </is>
      </c>
      <c r="C3475" s="20" t="inlineStr">
        <is>
          <t>월</t>
        </is>
      </c>
      <c r="K3475" s="20" t="n">
        <v>415900</v>
      </c>
    </row>
    <row r="3476" ht="16.5" customHeight="1" s="17">
      <c r="A3476" s="20" t="inlineStr">
        <is>
          <t>동영상캠페인_유즈모먼트_사춘기 딸</t>
        </is>
      </c>
      <c r="B3476" s="16" t="inlineStr">
        <is>
          <t>2021-02-22</t>
        </is>
      </c>
      <c r="C3476" s="20" t="inlineStr">
        <is>
          <t>월</t>
        </is>
      </c>
      <c r="K3476" s="20" t="n">
        <v>104031</v>
      </c>
    </row>
    <row r="3477" ht="16.5" customHeight="1" s="17">
      <c r="A3477" s="20" t="inlineStr">
        <is>
          <t>쇼핑검색_고체향수</t>
        </is>
      </c>
      <c r="B3477" s="16" t="inlineStr">
        <is>
          <t>2021-02-22</t>
        </is>
      </c>
      <c r="C3477" s="20" t="inlineStr">
        <is>
          <t>월</t>
        </is>
      </c>
      <c r="D3477" s="20" t="inlineStr">
        <is>
          <t>네이버 쇼핑검색</t>
        </is>
      </c>
      <c r="E3477" s="20" t="inlineStr">
        <is>
          <t>고체향수</t>
        </is>
      </c>
      <c r="K3477" s="20" t="n">
        <v>1240</v>
      </c>
    </row>
    <row r="3478" ht="16.5" customHeight="1" s="17">
      <c r="A3478" s="20" t="inlineStr">
        <is>
          <t>쇼핑검색_고체향수세부키워드</t>
        </is>
      </c>
      <c r="B3478" s="16" t="inlineStr">
        <is>
          <t>2021-02-22</t>
        </is>
      </c>
      <c r="C3478" s="20" t="inlineStr">
        <is>
          <t>월</t>
        </is>
      </c>
      <c r="D3478" s="20" t="inlineStr">
        <is>
          <t>네이버 쇼핑검색</t>
        </is>
      </c>
      <c r="E3478" s="20" t="inlineStr">
        <is>
          <t>고체향수</t>
        </is>
      </c>
      <c r="K3478" s="20" t="n">
        <v>26710</v>
      </c>
    </row>
    <row r="3479" ht="16.5" customHeight="1" s="17">
      <c r="A3479" s="20" t="inlineStr">
        <is>
          <t>쇼핑검색_고체향수세부키워드2</t>
        </is>
      </c>
      <c r="B3479" s="16" t="inlineStr">
        <is>
          <t>2021-02-22</t>
        </is>
      </c>
      <c r="C3479" s="20" t="inlineStr">
        <is>
          <t>월</t>
        </is>
      </c>
      <c r="D3479" s="20" t="inlineStr">
        <is>
          <t>네이버 쇼핑검색</t>
        </is>
      </c>
      <c r="E3479" s="20" t="inlineStr">
        <is>
          <t>고체향수</t>
        </is>
      </c>
      <c r="K3479" s="20" t="n">
        <v>869.9999999999999</v>
      </c>
    </row>
    <row r="3480" ht="16.5" customHeight="1" s="17">
      <c r="A3480" s="20" t="inlineStr">
        <is>
          <t>모바일 브검</t>
        </is>
      </c>
      <c r="B3480" s="16" t="inlineStr">
        <is>
          <t>2021-02-22</t>
        </is>
      </c>
      <c r="C3480" s="20" t="inlineStr">
        <is>
          <t>월</t>
        </is>
      </c>
      <c r="D3480" s="20" t="inlineStr">
        <is>
          <t>네이버 브랜드검색</t>
        </is>
      </c>
      <c r="E3480" s="20" t="inlineStr">
        <is>
          <t>브랜드</t>
        </is>
      </c>
      <c r="K3480" s="20" t="n">
        <v>0</v>
      </c>
    </row>
    <row r="3481" ht="16.5" customHeight="1" s="17">
      <c r="A3481" s="20" t="inlineStr">
        <is>
          <t>쇼핑검색_고체향수</t>
        </is>
      </c>
      <c r="B3481" s="16" t="inlineStr">
        <is>
          <t>2021-02-21</t>
        </is>
      </c>
      <c r="C3481" s="20" t="inlineStr">
        <is>
          <t>일</t>
        </is>
      </c>
      <c r="D3481" s="20" t="inlineStr">
        <is>
          <t>네이버 쇼핑검색</t>
        </is>
      </c>
      <c r="E3481" s="20" t="inlineStr">
        <is>
          <t>고체향수</t>
        </is>
      </c>
      <c r="K3481" s="20" t="n">
        <v>1040</v>
      </c>
    </row>
    <row r="3482" ht="16.5" customHeight="1" s="17">
      <c r="A3482" s="20" t="inlineStr">
        <is>
          <t>쇼핑검색_고체향수세부키워드</t>
        </is>
      </c>
      <c r="B3482" s="16" t="inlineStr">
        <is>
          <t>2021-02-21</t>
        </is>
      </c>
      <c r="C3482" s="20" t="inlineStr">
        <is>
          <t>일</t>
        </is>
      </c>
      <c r="D3482" s="20" t="inlineStr">
        <is>
          <t>네이버 쇼핑검색</t>
        </is>
      </c>
      <c r="E3482" s="20" t="inlineStr">
        <is>
          <t>고체향수</t>
        </is>
      </c>
      <c r="K3482" s="20" t="n">
        <v>28720</v>
      </c>
    </row>
    <row r="3483" ht="16.5" customHeight="1" s="17">
      <c r="A3483" s="20" t="inlineStr">
        <is>
          <t>쇼핑검색_고체향수세부키워드2</t>
        </is>
      </c>
      <c r="B3483" s="16" t="inlineStr">
        <is>
          <t>2021-02-21</t>
        </is>
      </c>
      <c r="C3483" s="20" t="inlineStr">
        <is>
          <t>일</t>
        </is>
      </c>
      <c r="D3483" s="20" t="inlineStr">
        <is>
          <t>네이버 쇼핑검색</t>
        </is>
      </c>
      <c r="E3483" s="20" t="inlineStr">
        <is>
          <t>고체향수</t>
        </is>
      </c>
      <c r="K3483" s="20" t="n">
        <v>1750</v>
      </c>
    </row>
    <row r="3484" ht="16.5" customHeight="1" s="17">
      <c r="A3484" s="20" t="inlineStr">
        <is>
          <t>모바일 브검</t>
        </is>
      </c>
      <c r="B3484" s="16" t="inlineStr">
        <is>
          <t>2021-02-21</t>
        </is>
      </c>
      <c r="C3484" s="20" t="inlineStr">
        <is>
          <t>일</t>
        </is>
      </c>
      <c r="D3484" s="20" t="inlineStr">
        <is>
          <t>네이버 브랜드검색</t>
        </is>
      </c>
      <c r="E3484" s="20" t="inlineStr">
        <is>
          <t>브랜드</t>
        </is>
      </c>
      <c r="K3484" s="20" t="n">
        <v>0</v>
      </c>
    </row>
    <row r="3485" ht="16.5" customHeight="1" s="17">
      <c r="A3485" s="20" t="inlineStr">
        <is>
          <t>고체향수_승무원 어피_Npay 추적</t>
        </is>
      </c>
      <c r="B3485" s="16" t="inlineStr">
        <is>
          <t>2021-02-21</t>
        </is>
      </c>
      <c r="C3485" s="20" t="inlineStr">
        <is>
          <t>일</t>
        </is>
      </c>
      <c r="D3485" s="20" t="inlineStr">
        <is>
          <t>카카오 배너</t>
        </is>
      </c>
      <c r="E3485" s="20" t="inlineStr">
        <is>
          <t>고체향수</t>
        </is>
      </c>
      <c r="K3485" s="20" t="n">
        <v>91169.99999999999</v>
      </c>
    </row>
    <row r="3486" ht="16.5" customHeight="1" s="17">
      <c r="A3486" s="20" t="inlineStr">
        <is>
          <t>고체향수_Npay 추적</t>
        </is>
      </c>
      <c r="B3486" s="16" t="inlineStr">
        <is>
          <t>2021-02-21</t>
        </is>
      </c>
      <c r="C3486" s="20" t="inlineStr">
        <is>
          <t>일</t>
        </is>
      </c>
      <c r="D3486" s="20" t="inlineStr">
        <is>
          <t>카카오 배너</t>
        </is>
      </c>
      <c r="E3486" s="20" t="inlineStr">
        <is>
          <t>고체향수</t>
        </is>
      </c>
      <c r="K3486" s="20" t="n">
        <v>713320</v>
      </c>
    </row>
    <row r="3487" ht="16.5" customHeight="1" s="17">
      <c r="A3487" s="20" t="inlineStr">
        <is>
          <t>고체향수_승무원 어피_Npay 추적</t>
        </is>
      </c>
      <c r="B3487" s="16" t="inlineStr">
        <is>
          <t>2021-02-22</t>
        </is>
      </c>
      <c r="C3487" s="20" t="inlineStr">
        <is>
          <t>월</t>
        </is>
      </c>
      <c r="D3487" s="20" t="inlineStr">
        <is>
          <t>카카오 배너</t>
        </is>
      </c>
      <c r="E3487" s="20" t="inlineStr">
        <is>
          <t>고체향수</t>
        </is>
      </c>
      <c r="K3487" s="20" t="n">
        <v>72460</v>
      </c>
    </row>
    <row r="3488" ht="16.5" customHeight="1" s="17">
      <c r="A3488" s="20" t="inlineStr">
        <is>
          <t>고체향수_Npay 추적</t>
        </is>
      </c>
      <c r="B3488" s="16" t="inlineStr">
        <is>
          <t>2021-02-22</t>
        </is>
      </c>
      <c r="C3488" s="20" t="inlineStr">
        <is>
          <t>월</t>
        </is>
      </c>
      <c r="D3488" s="20" t="inlineStr">
        <is>
          <t>카카오 배너</t>
        </is>
      </c>
      <c r="E3488" s="20" t="inlineStr">
        <is>
          <t>고체향수</t>
        </is>
      </c>
      <c r="K3488" s="20" t="n">
        <v>503729.9999999999</v>
      </c>
    </row>
    <row r="3489" ht="16.5" customHeight="1" s="17">
      <c r="B3489" s="16" t="inlineStr">
        <is>
          <t>2021-02-21</t>
        </is>
      </c>
      <c r="C3489" s="20" t="inlineStr">
        <is>
          <t>일</t>
        </is>
      </c>
      <c r="E3489" s="20" t="inlineStr">
        <is>
          <t>0</t>
        </is>
      </c>
      <c r="F3489" s="20" t="inlineStr">
        <is>
          <t>스마트스토어</t>
        </is>
      </c>
      <c r="G3489" s="20" t="inlineStr">
        <is>
          <t>유즈 고체향수 세트(유즈 스테이포에버, 유즈 이그나이트)고체향수: 스테이포에버 1개</t>
        </is>
      </c>
      <c r="H3489" s="20" t="n">
        <v>1</v>
      </c>
      <c r="I3489" s="20" t="inlineStr">
        <is>
          <t>0</t>
        </is>
      </c>
      <c r="J3489" s="20" t="inlineStr">
        <is>
          <t>210207</t>
        </is>
      </c>
      <c r="L3489" s="20" t="n">
        <v>0</v>
      </c>
      <c r="M3489" s="20" t="n">
        <v>0</v>
      </c>
      <c r="N3489" s="20" t="n">
        <v>0</v>
      </c>
      <c r="O3489" s="20" t="inlineStr">
        <is>
          <t>스마트스토어0유즈 고체향수 세트(유즈 스테이포에버, 유즈 이그나이트)고체향수: 스테이포에버 1개210207</t>
        </is>
      </c>
    </row>
    <row r="3490" ht="16.5" customHeight="1" s="17">
      <c r="B3490" s="16" t="inlineStr">
        <is>
          <t>2021-02-21</t>
        </is>
      </c>
      <c r="C3490" s="20" t="inlineStr">
        <is>
          <t>일</t>
        </is>
      </c>
      <c r="E3490" s="20" t="inlineStr">
        <is>
          <t>0</t>
        </is>
      </c>
      <c r="F3490" s="20" t="inlineStr">
        <is>
          <t>스마트스토어</t>
        </is>
      </c>
      <c r="G3490" s="20" t="inlineStr">
        <is>
          <t>유즈 고체향수 세트(유즈 스테이포에버, 유즈 이그나이트)고체향수: 스테이포에버 1개 + 이그나이트 1개</t>
        </is>
      </c>
      <c r="H3490" s="20" t="n">
        <v>1</v>
      </c>
      <c r="I3490" s="20" t="inlineStr">
        <is>
          <t>0</t>
        </is>
      </c>
      <c r="J3490" s="20" t="inlineStr">
        <is>
          <t>210207</t>
        </is>
      </c>
      <c r="L3490" s="20" t="n">
        <v>0</v>
      </c>
      <c r="M3490" s="20" t="n">
        <v>0</v>
      </c>
      <c r="N3490" s="20" t="n">
        <v>0</v>
      </c>
      <c r="O3490" s="20" t="inlineStr">
        <is>
          <t>스마트스토어0유즈 고체향수 세트(유즈 스테이포에버, 유즈 이그나이트)고체향수: 스테이포에버 1개 + 이그나이트 1개210207</t>
        </is>
      </c>
    </row>
    <row r="3491" ht="16.5" customHeight="1" s="17">
      <c r="B3491" s="16" t="inlineStr">
        <is>
          <t>2021-02-21</t>
        </is>
      </c>
      <c r="C3491" s="20" t="inlineStr">
        <is>
          <t>일</t>
        </is>
      </c>
      <c r="E3491" s="20" t="inlineStr">
        <is>
          <t>0</t>
        </is>
      </c>
      <c r="F3491" s="20" t="inlineStr">
        <is>
          <t>스마트스토어</t>
        </is>
      </c>
      <c r="G3491" s="20" t="inlineStr">
        <is>
          <t>유즈 고체향수 세트(유즈 스테이포에버, 유즈 이그나이트)고체향수: 스테이포에버 2개</t>
        </is>
      </c>
      <c r="H3491" s="20" t="n">
        <v>2</v>
      </c>
      <c r="I3491" s="20" t="inlineStr">
        <is>
          <t>0</t>
        </is>
      </c>
      <c r="J3491" s="20" t="inlineStr">
        <is>
          <t>210207</t>
        </is>
      </c>
      <c r="L3491" s="20" t="n">
        <v>0</v>
      </c>
      <c r="M3491" s="20" t="n">
        <v>0</v>
      </c>
      <c r="N3491" s="20" t="n">
        <v>0</v>
      </c>
      <c r="O3491" s="20" t="inlineStr">
        <is>
          <t>스마트스토어0유즈 고체향수 세트(유즈 스테이포에버, 유즈 이그나이트)고체향수: 스테이포에버 2개210207</t>
        </is>
      </c>
    </row>
    <row r="3492" ht="16.5" customHeight="1" s="17">
      <c r="B3492" s="16" t="inlineStr">
        <is>
          <t>2021-02-21</t>
        </is>
      </c>
      <c r="C3492" s="20" t="inlineStr">
        <is>
          <t>일</t>
        </is>
      </c>
      <c r="E3492" s="20" t="inlineStr">
        <is>
          <t>0</t>
        </is>
      </c>
      <c r="F3492" s="20" t="inlineStr">
        <is>
          <t>스마트스토어</t>
        </is>
      </c>
      <c r="G3492" s="20" t="inlineStr">
        <is>
          <t>유즈 고체향수 스테이포에버 002고체향수: 스테이포에버 1개</t>
        </is>
      </c>
      <c r="H3492" s="20" t="n">
        <v>16</v>
      </c>
      <c r="I3492" s="20" t="inlineStr">
        <is>
          <t>0</t>
        </is>
      </c>
      <c r="J3492" s="20" t="inlineStr">
        <is>
          <t>210207</t>
        </is>
      </c>
      <c r="L3492" s="20" t="n">
        <v>0</v>
      </c>
      <c r="M3492" s="20" t="n">
        <v>0</v>
      </c>
      <c r="N3492" s="20" t="n">
        <v>0</v>
      </c>
      <c r="O3492" s="20" t="inlineStr">
        <is>
          <t>스마트스토어0유즈 고체향수 스테이포에버 002고체향수: 스테이포에버 1개210207</t>
        </is>
      </c>
    </row>
    <row r="3493" ht="16.5" customHeight="1" s="17">
      <c r="B3493" s="16" t="inlineStr">
        <is>
          <t>2021-02-21</t>
        </is>
      </c>
      <c r="C3493" s="20" t="inlineStr">
        <is>
          <t>일</t>
        </is>
      </c>
      <c r="E3493" s="20" t="inlineStr">
        <is>
          <t>고체향수</t>
        </is>
      </c>
      <c r="F3493" s="20" t="inlineStr">
        <is>
          <t>카페24</t>
        </is>
      </c>
      <c r="G3493" s="20" t="inlineStr">
        <is>
          <t>솔리드퍼퓸 세트향=이그나이트 001 SOLID PERFUME, 세트 선택=1개</t>
        </is>
      </c>
      <c r="H3493" s="20" t="n">
        <v>1</v>
      </c>
      <c r="I3493" s="20" t="inlineStr">
        <is>
          <t>이그나이트</t>
        </is>
      </c>
      <c r="J3493" s="20" t="inlineStr">
        <is>
          <t>210207</t>
        </is>
      </c>
      <c r="L3493" s="20" t="n">
        <v>34000</v>
      </c>
    </row>
    <row r="3494" ht="16.5" customHeight="1" s="17">
      <c r="B3494" s="16" t="inlineStr">
        <is>
          <t>2021-02-21</t>
        </is>
      </c>
      <c r="C3494" s="20" t="inlineStr">
        <is>
          <t>일</t>
        </is>
      </c>
      <c r="E3494" s="20" t="inlineStr">
        <is>
          <t>고체향수</t>
        </is>
      </c>
      <c r="F3494" s="20" t="inlineStr">
        <is>
          <t>카페24</t>
        </is>
      </c>
      <c r="G3494" s="20" t="inlineStr">
        <is>
          <t>솔리드퍼퓸 세트향=스테이포에버 002 SOLID PERFUME, 세트 선택=1개</t>
        </is>
      </c>
      <c r="H3494" s="20" t="n">
        <v>5</v>
      </c>
      <c r="I3494" s="20" t="inlineStr">
        <is>
          <t>스테이포에버</t>
        </is>
      </c>
      <c r="J3494" s="20" t="inlineStr">
        <is>
          <t>210207</t>
        </is>
      </c>
      <c r="L3494" s="20" t="n">
        <v>170000</v>
      </c>
    </row>
    <row r="3495" ht="16.5" customHeight="1" s="17">
      <c r="B3495" s="16" t="inlineStr">
        <is>
          <t>2021-02-21</t>
        </is>
      </c>
      <c r="C3495" s="20" t="inlineStr">
        <is>
          <t>일</t>
        </is>
      </c>
      <c r="E3495" s="20" t="inlineStr">
        <is>
          <t>고체향수</t>
        </is>
      </c>
      <c r="F3495" s="20" t="inlineStr">
        <is>
          <t>카페24</t>
        </is>
      </c>
      <c r="G3495" s="20" t="inlineStr">
        <is>
          <t>솔리드퍼퓸 세트향=스테이포에버 002 SOLID PERFUME, 세트 선택=best 2개 (28% 할인)</t>
        </is>
      </c>
      <c r="H3495" s="20" t="n">
        <v>7</v>
      </c>
      <c r="I3495" s="20" t="inlineStr">
        <is>
          <t>스테이포에버 2set</t>
        </is>
      </c>
      <c r="J3495" s="20" t="inlineStr">
        <is>
          <t>210207</t>
        </is>
      </c>
      <c r="L3495" s="20" t="n">
        <v>411600</v>
      </c>
      <c r="M3495" s="20" t="n">
        <v>387521.4</v>
      </c>
    </row>
    <row r="3496" ht="16.5" customHeight="1" s="17">
      <c r="B3496" s="16" t="inlineStr">
        <is>
          <t>2021-02-21</t>
        </is>
      </c>
      <c r="C3496" s="20" t="inlineStr">
        <is>
          <t>일</t>
        </is>
      </c>
      <c r="E3496" s="20" t="inlineStr">
        <is>
          <t>고체향수</t>
        </is>
      </c>
      <c r="F3496" s="20" t="inlineStr">
        <is>
          <t>카페24</t>
        </is>
      </c>
      <c r="G3496" s="20" t="inlineStr">
        <is>
          <t>솔리드퍼퓸 세트향=커플세트(이그나이트 + 스테이포에버), 세트 선택=1 SET</t>
        </is>
      </c>
      <c r="H3496" s="20" t="n">
        <v>15</v>
      </c>
      <c r="I3496" s="20" t="inlineStr">
        <is>
          <t>이그나이트 + 스테이포에버</t>
        </is>
      </c>
      <c r="J3496" s="20" t="inlineStr">
        <is>
          <t>210207</t>
        </is>
      </c>
      <c r="L3496" s="20" t="n">
        <v>882000</v>
      </c>
      <c r="M3496" s="20" t="n">
        <v>830403</v>
      </c>
    </row>
    <row r="3497" ht="16.5" customHeight="1" s="17">
      <c r="B3497" s="16" t="inlineStr">
        <is>
          <t>2021-02-21</t>
        </is>
      </c>
      <c r="C3497" s="20" t="inlineStr">
        <is>
          <t>일</t>
        </is>
      </c>
      <c r="E3497" s="20" t="inlineStr">
        <is>
          <t>고체향수</t>
        </is>
      </c>
      <c r="F3497" s="20" t="inlineStr">
        <is>
          <t>카페24</t>
        </is>
      </c>
      <c r="G3497" s="20" t="inlineStr">
        <is>
          <t>솔리드퍼퓸 세트향=커플세트(이그나이트 + 스테이포에버), 세트 선택=2 SET (42% 할인)</t>
        </is>
      </c>
      <c r="H3497" s="20" t="n">
        <v>4</v>
      </c>
      <c r="I3497" s="20" t="inlineStr">
        <is>
          <t>이그나이트 + 스테이포에버</t>
        </is>
      </c>
      <c r="J3497" s="20" t="inlineStr">
        <is>
          <t>210207</t>
        </is>
      </c>
      <c r="L3497" s="20" t="n">
        <v>235200</v>
      </c>
      <c r="M3497" s="20" t="n">
        <v>221440.8</v>
      </c>
    </row>
    <row r="3498" ht="16.5" customHeight="1" s="17">
      <c r="B3498" s="16" t="inlineStr">
        <is>
          <t>2021-02-21</t>
        </is>
      </c>
      <c r="C3498" s="20" t="inlineStr">
        <is>
          <t>일</t>
        </is>
      </c>
      <c r="E3498" s="20" t="inlineStr">
        <is>
          <t>고체향수</t>
        </is>
      </c>
      <c r="F3498" s="20" t="inlineStr">
        <is>
          <t>카페24</t>
        </is>
      </c>
      <c r="G3498" s="20" t="inlineStr">
        <is>
          <t>솔리드퍼퓸 스테이포에버 002제품선택=스테이포에버 1개</t>
        </is>
      </c>
      <c r="H3498" s="20" t="n">
        <v>216</v>
      </c>
      <c r="I3498" s="20" t="inlineStr">
        <is>
          <t>스테이포에버</t>
        </is>
      </c>
      <c r="J3498" s="20" t="inlineStr">
        <is>
          <t>210207</t>
        </is>
      </c>
      <c r="L3498" s="20" t="n">
        <v>7344000</v>
      </c>
    </row>
    <row r="3499" ht="16.5" customHeight="1" s="17">
      <c r="B3499" s="16" t="inlineStr">
        <is>
          <t>2021-02-21</t>
        </is>
      </c>
      <c r="C3499" s="20" t="inlineStr">
        <is>
          <t>일</t>
        </is>
      </c>
      <c r="E3499" s="20" t="inlineStr">
        <is>
          <t>고체향수</t>
        </is>
      </c>
      <c r="F3499" s="20" t="inlineStr">
        <is>
          <t>카페24</t>
        </is>
      </c>
      <c r="G3499" s="20" t="inlineStr">
        <is>
          <t>솔리드퍼퓸 스테이포에버 002제품선택=best스테이포에버 2개[28% 할인]</t>
        </is>
      </c>
      <c r="H3499" s="20" t="n">
        <v>141</v>
      </c>
      <c r="I3499" s="20" t="inlineStr">
        <is>
          <t>스테이포에버 2set</t>
        </is>
      </c>
      <c r="J3499" s="20" t="inlineStr">
        <is>
          <t>210207</t>
        </is>
      </c>
      <c r="L3499" s="20" t="n">
        <v>8290800</v>
      </c>
      <c r="M3499" s="20" t="n">
        <v>7805788.199999999</v>
      </c>
    </row>
    <row r="3500" ht="16.5" customHeight="1" s="17">
      <c r="B3500" s="16" t="inlineStr">
        <is>
          <t>2021-02-21</t>
        </is>
      </c>
      <c r="C3500" s="20" t="inlineStr">
        <is>
          <t>일</t>
        </is>
      </c>
      <c r="E3500" s="20" t="inlineStr">
        <is>
          <t>고체향수</t>
        </is>
      </c>
      <c r="F3500" s="20" t="inlineStr">
        <is>
          <t>카페24</t>
        </is>
      </c>
      <c r="G3500" s="20" t="inlineStr">
        <is>
          <t>솔리드퍼퓸 스테이포에버 002제품선택=커플추천스테이포에버 + 이그나이트 세트</t>
        </is>
      </c>
      <c r="H3500" s="20" t="n">
        <v>7</v>
      </c>
      <c r="I3500" s="20" t="inlineStr">
        <is>
          <t>이그나이트 + 스테이포에버</t>
        </is>
      </c>
      <c r="J3500" s="20" t="inlineStr">
        <is>
          <t>210207</t>
        </is>
      </c>
      <c r="L3500" s="20" t="n">
        <v>411600</v>
      </c>
      <c r="M3500" s="20" t="n">
        <v>387521.4</v>
      </c>
    </row>
    <row r="3501" ht="16.5" customHeight="1" s="17">
      <c r="B3501" s="16" t="inlineStr">
        <is>
          <t>2021-02-21</t>
        </is>
      </c>
      <c r="C3501" s="20" t="inlineStr">
        <is>
          <t>일</t>
        </is>
      </c>
      <c r="E3501" s="20" t="inlineStr">
        <is>
          <t>쇼핑백</t>
        </is>
      </c>
      <c r="F3501" s="20" t="inlineStr">
        <is>
          <t>카페24</t>
        </is>
      </c>
      <c r="G3501" s="20" t="inlineStr">
        <is>
          <t>솔리드퍼퓸 스테이포에버 002쇼핑백=선물용 쇼핑백</t>
        </is>
      </c>
      <c r="H3501" s="20" t="n">
        <v>8</v>
      </c>
      <c r="I3501" s="20" t="inlineStr">
        <is>
          <t>쇼핑백</t>
        </is>
      </c>
      <c r="J3501" s="20" t="inlineStr">
        <is>
          <t>210207</t>
        </is>
      </c>
    </row>
    <row r="3502" ht="16.5" customHeight="1" s="17">
      <c r="B3502" s="16" t="inlineStr">
        <is>
          <t>2021-02-21</t>
        </is>
      </c>
      <c r="C3502" s="20" t="inlineStr">
        <is>
          <t>일</t>
        </is>
      </c>
      <c r="E3502" s="20" t="inlineStr">
        <is>
          <t>고체향수</t>
        </is>
      </c>
      <c r="F3502" s="20" t="inlineStr">
        <is>
          <t>카페24</t>
        </is>
      </c>
      <c r="G3502" s="20" t="inlineStr">
        <is>
          <t>솔리드퍼퓸 이그나이트 001제품선택=이그나이트 솔리드퍼퓸 - 30ml</t>
        </is>
      </c>
      <c r="H3502" s="20" t="n">
        <v>2</v>
      </c>
      <c r="I3502" s="20" t="inlineStr">
        <is>
          <t>이그나이트</t>
        </is>
      </c>
      <c r="J3502" s="20" t="inlineStr">
        <is>
          <t>210207</t>
        </is>
      </c>
      <c r="L3502" s="20" t="n">
        <v>68000</v>
      </c>
    </row>
    <row r="3503" ht="16.5" customHeight="1" s="17">
      <c r="B3503" s="16" t="inlineStr">
        <is>
          <t>2021-02-22</t>
        </is>
      </c>
      <c r="C3503" s="20" t="inlineStr">
        <is>
          <t>월</t>
        </is>
      </c>
      <c r="E3503" s="20" t="inlineStr">
        <is>
          <t>0</t>
        </is>
      </c>
      <c r="F3503" s="20" t="inlineStr">
        <is>
          <t>스마트스토어</t>
        </is>
      </c>
      <c r="G3503" s="20" t="inlineStr">
        <is>
          <t>유즈 고체향수 세트(유즈 스테이포에버, 유즈 이그나이트)고체향수: 스테이포에버 1개 + 이그나이트 1개</t>
        </is>
      </c>
      <c r="H3503" s="20" t="n">
        <v>1</v>
      </c>
      <c r="I3503" s="20" t="inlineStr">
        <is>
          <t>0</t>
        </is>
      </c>
      <c r="J3503" s="20" t="inlineStr">
        <is>
          <t>210207</t>
        </is>
      </c>
      <c r="L3503" s="20" t="n">
        <v>0</v>
      </c>
      <c r="M3503" s="20" t="n">
        <v>0</v>
      </c>
      <c r="N3503" s="20" t="n">
        <v>0</v>
      </c>
      <c r="O3503" s="20" t="inlineStr">
        <is>
          <t>스마트스토어0유즈 고체향수 세트(유즈 스테이포에버, 유즈 이그나이트)고체향수: 스테이포에버 1개 + 이그나이트 1개210207</t>
        </is>
      </c>
    </row>
    <row r="3504" ht="16.5" customHeight="1" s="17">
      <c r="B3504" s="16" t="inlineStr">
        <is>
          <t>2021-02-22</t>
        </is>
      </c>
      <c r="C3504" s="20" t="inlineStr">
        <is>
          <t>월</t>
        </is>
      </c>
      <c r="E3504" s="20" t="inlineStr">
        <is>
          <t>0</t>
        </is>
      </c>
      <c r="F3504" s="20" t="inlineStr">
        <is>
          <t>스마트스토어</t>
        </is>
      </c>
      <c r="G3504" s="20" t="inlineStr">
        <is>
          <t>유즈 고체향수 세트(유즈 스테이포에버, 유즈 이그나이트)고체향수: 스테이포에버 2개</t>
        </is>
      </c>
      <c r="H3504" s="20" t="n">
        <v>3</v>
      </c>
      <c r="I3504" s="20" t="inlineStr">
        <is>
          <t>0</t>
        </is>
      </c>
      <c r="J3504" s="20" t="inlineStr">
        <is>
          <t>210207</t>
        </is>
      </c>
      <c r="L3504" s="20" t="n">
        <v>0</v>
      </c>
      <c r="M3504" s="20" t="n">
        <v>0</v>
      </c>
      <c r="N3504" s="20" t="n">
        <v>0</v>
      </c>
      <c r="O3504" s="20" t="inlineStr">
        <is>
          <t>스마트스토어0유즈 고체향수 세트(유즈 스테이포에버, 유즈 이그나이트)고체향수: 스테이포에버 2개210207</t>
        </is>
      </c>
    </row>
    <row r="3505" ht="16.5" customHeight="1" s="17">
      <c r="B3505" s="16" t="inlineStr">
        <is>
          <t>2021-02-22</t>
        </is>
      </c>
      <c r="C3505" s="20" t="inlineStr">
        <is>
          <t>월</t>
        </is>
      </c>
      <c r="E3505" s="20" t="inlineStr">
        <is>
          <t>0</t>
        </is>
      </c>
      <c r="F3505" s="20" t="inlineStr">
        <is>
          <t>스마트스토어</t>
        </is>
      </c>
      <c r="G3505" s="20" t="inlineStr">
        <is>
          <t>유즈 고체향수 스테이포에버 002고체향수: 스테이포에버 1개</t>
        </is>
      </c>
      <c r="H3505" s="20" t="n">
        <v>15</v>
      </c>
      <c r="I3505" s="20" t="inlineStr">
        <is>
          <t>0</t>
        </is>
      </c>
      <c r="J3505" s="20" t="inlineStr">
        <is>
          <t>210207</t>
        </is>
      </c>
      <c r="L3505" s="20" t="n">
        <v>0</v>
      </c>
      <c r="M3505" s="20" t="n">
        <v>0</v>
      </c>
      <c r="N3505" s="20" t="n">
        <v>0</v>
      </c>
      <c r="O3505" s="20" t="inlineStr">
        <is>
          <t>스마트스토어0유즈 고체향수 스테이포에버 002고체향수: 스테이포에버 1개210207</t>
        </is>
      </c>
    </row>
    <row r="3506" ht="16.5" customHeight="1" s="17">
      <c r="B3506" s="16" t="inlineStr">
        <is>
          <t>2021-02-22</t>
        </is>
      </c>
      <c r="C3506" s="20" t="inlineStr">
        <is>
          <t>월</t>
        </is>
      </c>
      <c r="E3506" s="20" t="inlineStr">
        <is>
          <t>고체향수</t>
        </is>
      </c>
      <c r="F3506" s="20" t="inlineStr">
        <is>
          <t>유즈 CS</t>
        </is>
      </c>
      <c r="G3506" s="20" t="inlineStr">
        <is>
          <t>솔리드퍼퓸 스테이포에버 002 30ml</t>
        </is>
      </c>
      <c r="H3506" s="20" t="n">
        <v>2</v>
      </c>
      <c r="I3506" s="20" t="inlineStr">
        <is>
          <t>스테이포에버</t>
        </is>
      </c>
      <c r="J3506" s="20" t="inlineStr">
        <is>
          <t>210207</t>
        </is>
      </c>
      <c r="L3506" s="20" t="n">
        <v>0</v>
      </c>
      <c r="M3506" s="20" t="n">
        <v>0</v>
      </c>
      <c r="N3506" s="20" t="n">
        <v>5184</v>
      </c>
      <c r="O3506" s="20" t="inlineStr">
        <is>
          <t>유즈 CS고체향수솔리드퍼퓸 스테이포에버 002 30ml210207</t>
        </is>
      </c>
    </row>
    <row r="3507" ht="16.5" customHeight="1" s="17">
      <c r="B3507" s="16" t="inlineStr">
        <is>
          <t>2021-02-22</t>
        </is>
      </c>
      <c r="C3507" s="20" t="inlineStr">
        <is>
          <t>월</t>
        </is>
      </c>
      <c r="E3507" s="20" t="inlineStr">
        <is>
          <t>고체향수</t>
        </is>
      </c>
      <c r="F3507" s="20" t="inlineStr">
        <is>
          <t>카페24</t>
        </is>
      </c>
      <c r="G3507" s="20" t="inlineStr">
        <is>
          <t>솔리드퍼퓸 세트향=이그나이트 001 SOLID PERFUME, 세트 선택=best 2개 (28% 할인)</t>
        </is>
      </c>
      <c r="H3507" s="20" t="n">
        <v>2</v>
      </c>
      <c r="I3507" s="20" t="inlineStr">
        <is>
          <t>이그나이트 2set</t>
        </is>
      </c>
      <c r="J3507" s="20" t="inlineStr">
        <is>
          <t>210207</t>
        </is>
      </c>
      <c r="L3507" s="20" t="n">
        <v>117600</v>
      </c>
      <c r="M3507" s="20" t="n">
        <v>110720.4</v>
      </c>
    </row>
    <row r="3508" ht="16.5" customHeight="1" s="17">
      <c r="B3508" s="16" t="inlineStr">
        <is>
          <t>2021-02-22</t>
        </is>
      </c>
      <c r="C3508" s="20" t="inlineStr">
        <is>
          <t>월</t>
        </is>
      </c>
      <c r="E3508" s="20" t="inlineStr">
        <is>
          <t>고체향수</t>
        </is>
      </c>
      <c r="F3508" s="20" t="inlineStr">
        <is>
          <t>카페24</t>
        </is>
      </c>
      <c r="G3508" s="20" t="inlineStr">
        <is>
          <t>솔리드퍼퓸 세트향=스테이포에버 002 SOLID PERFUME, 세트 선택=1개</t>
        </is>
      </c>
      <c r="H3508" s="20" t="n">
        <v>4</v>
      </c>
      <c r="I3508" s="20" t="inlineStr">
        <is>
          <t>스테이포에버</t>
        </is>
      </c>
      <c r="J3508" s="20" t="inlineStr">
        <is>
          <t>210207</t>
        </is>
      </c>
      <c r="L3508" s="20" t="n">
        <v>136000</v>
      </c>
    </row>
    <row r="3509" ht="16.5" customHeight="1" s="17">
      <c r="B3509" s="16" t="inlineStr">
        <is>
          <t>2021-02-22</t>
        </is>
      </c>
      <c r="C3509" s="20" t="inlineStr">
        <is>
          <t>월</t>
        </is>
      </c>
      <c r="E3509" s="20" t="inlineStr">
        <is>
          <t>고체향수</t>
        </is>
      </c>
      <c r="F3509" s="20" t="inlineStr">
        <is>
          <t>카페24</t>
        </is>
      </c>
      <c r="G3509" s="20" t="inlineStr">
        <is>
          <t>솔리드퍼퓸 세트향=스테이포에버 002 SOLID PERFUME, 세트 선택=best 2개 (28% 할인)</t>
        </is>
      </c>
      <c r="H3509" s="20" t="n">
        <v>8</v>
      </c>
      <c r="I3509" s="20" t="inlineStr">
        <is>
          <t>스테이포에버 2set</t>
        </is>
      </c>
      <c r="J3509" s="20" t="inlineStr">
        <is>
          <t>210207</t>
        </is>
      </c>
      <c r="L3509" s="20" t="n">
        <v>470400</v>
      </c>
      <c r="M3509" s="20" t="n">
        <v>442881.6</v>
      </c>
    </row>
    <row r="3510" ht="16.5" customHeight="1" s="17">
      <c r="B3510" s="16" t="inlineStr">
        <is>
          <t>2021-02-22</t>
        </is>
      </c>
      <c r="C3510" s="20" t="inlineStr">
        <is>
          <t>월</t>
        </is>
      </c>
      <c r="E3510" s="20" t="inlineStr">
        <is>
          <t>고체향수</t>
        </is>
      </c>
      <c r="F3510" s="20" t="inlineStr">
        <is>
          <t>카페24</t>
        </is>
      </c>
      <c r="G3510" s="20" t="inlineStr">
        <is>
          <t>솔리드퍼퓸 세트향=커플세트(이그나이트 + 스테이포에버), 세트 선택=1 SET</t>
        </is>
      </c>
      <c r="H3510" s="20" t="n">
        <v>9</v>
      </c>
      <c r="I3510" s="20" t="inlineStr">
        <is>
          <t>이그나이트 + 스테이포에버</t>
        </is>
      </c>
      <c r="J3510" s="20" t="inlineStr">
        <is>
          <t>210207</t>
        </is>
      </c>
      <c r="L3510" s="20" t="n">
        <v>529200</v>
      </c>
      <c r="M3510" s="20" t="n">
        <v>498241.8</v>
      </c>
    </row>
    <row r="3511" ht="16.5" customHeight="1" s="17">
      <c r="B3511" s="16" t="inlineStr">
        <is>
          <t>2021-02-22</t>
        </is>
      </c>
      <c r="C3511" s="20" t="inlineStr">
        <is>
          <t>월</t>
        </is>
      </c>
      <c r="E3511" s="20" t="inlineStr">
        <is>
          <t>고체향수</t>
        </is>
      </c>
      <c r="F3511" s="20" t="inlineStr">
        <is>
          <t>카페24</t>
        </is>
      </c>
      <c r="G3511" s="20" t="inlineStr">
        <is>
          <t>솔리드퍼퓸 세트향=커플세트(이그나이트 + 스테이포에버), 세트 선택=2 SET (42% 할인)</t>
        </is>
      </c>
      <c r="H3511" s="20" t="n">
        <v>2</v>
      </c>
      <c r="I3511" s="20" t="inlineStr">
        <is>
          <t>이그나이트 + 스테이포에버</t>
        </is>
      </c>
      <c r="J3511" s="20" t="inlineStr">
        <is>
          <t>210207</t>
        </is>
      </c>
      <c r="L3511" s="20" t="n">
        <v>117600</v>
      </c>
      <c r="M3511" s="20" t="n">
        <v>110720.4</v>
      </c>
    </row>
    <row r="3512" ht="16.5" customHeight="1" s="17">
      <c r="B3512" s="16" t="inlineStr">
        <is>
          <t>2021-02-22</t>
        </is>
      </c>
      <c r="C3512" s="20" t="inlineStr">
        <is>
          <t>월</t>
        </is>
      </c>
      <c r="E3512" s="20" t="inlineStr">
        <is>
          <t>고체향수</t>
        </is>
      </c>
      <c r="F3512" s="20" t="inlineStr">
        <is>
          <t>카페24</t>
        </is>
      </c>
      <c r="G3512" s="20" t="inlineStr">
        <is>
          <t>솔리드퍼퓸 스테이포에버 002제품선택=스테이포에버 1개</t>
        </is>
      </c>
      <c r="H3512" s="20" t="n">
        <v>192</v>
      </c>
      <c r="I3512" s="20" t="inlineStr">
        <is>
          <t>스테이포에버</t>
        </is>
      </c>
      <c r="J3512" s="20" t="inlineStr">
        <is>
          <t>210207</t>
        </is>
      </c>
      <c r="L3512" s="20" t="n">
        <v>6528000</v>
      </c>
    </row>
    <row r="3513" ht="16.5" customHeight="1" s="17">
      <c r="B3513" s="16" t="inlineStr">
        <is>
          <t>2021-02-22</t>
        </is>
      </c>
      <c r="C3513" s="20" t="inlineStr">
        <is>
          <t>월</t>
        </is>
      </c>
      <c r="E3513" s="20" t="inlineStr">
        <is>
          <t>고체향수</t>
        </is>
      </c>
      <c r="F3513" s="20" t="inlineStr">
        <is>
          <t>카페24</t>
        </is>
      </c>
      <c r="G3513" s="20" t="inlineStr">
        <is>
          <t>솔리드퍼퓸 스테이포에버 002제품선택=best스테이포에버 2개[28% 할인]</t>
        </is>
      </c>
      <c r="H3513" s="20" t="n">
        <v>114</v>
      </c>
      <c r="I3513" s="20" t="inlineStr">
        <is>
          <t>스테이포에버 2set</t>
        </is>
      </c>
      <c r="J3513" s="20" t="inlineStr">
        <is>
          <t>210207</t>
        </is>
      </c>
      <c r="L3513" s="20" t="n">
        <v>6703200</v>
      </c>
      <c r="M3513" s="20" t="n">
        <v>6311062.8</v>
      </c>
    </row>
    <row r="3514" ht="16.5" customHeight="1" s="17">
      <c r="B3514" s="16" t="inlineStr">
        <is>
          <t>2021-02-22</t>
        </is>
      </c>
      <c r="C3514" s="20" t="inlineStr">
        <is>
          <t>월</t>
        </is>
      </c>
      <c r="E3514" s="20" t="inlineStr">
        <is>
          <t>고체향수</t>
        </is>
      </c>
      <c r="F3514" s="20" t="inlineStr">
        <is>
          <t>카페24</t>
        </is>
      </c>
      <c r="G3514" s="20" t="inlineStr">
        <is>
          <t>솔리드퍼퓸 스테이포에버 002제품선택=커플추천스테이포에버 + 이그나이트 세트</t>
        </is>
      </c>
      <c r="H3514" s="20" t="n">
        <v>12</v>
      </c>
      <c r="I3514" s="20" t="inlineStr">
        <is>
          <t>이그나이트 + 스테이포에버</t>
        </is>
      </c>
      <c r="J3514" s="20" t="inlineStr">
        <is>
          <t>210207</t>
        </is>
      </c>
      <c r="L3514" s="20" t="n">
        <v>705600</v>
      </c>
      <c r="M3514" s="20" t="n">
        <v>664322.3999999999</v>
      </c>
    </row>
    <row r="3515" ht="16.5" customHeight="1" s="17">
      <c r="B3515" s="16" t="inlineStr">
        <is>
          <t>2021-02-22</t>
        </is>
      </c>
      <c r="C3515" s="20" t="inlineStr">
        <is>
          <t>월</t>
        </is>
      </c>
      <c r="E3515" s="20" t="inlineStr">
        <is>
          <t>쇼핑백</t>
        </is>
      </c>
      <c r="F3515" s="20" t="inlineStr">
        <is>
          <t>카페24</t>
        </is>
      </c>
      <c r="G3515" s="20" t="inlineStr">
        <is>
          <t>솔리드퍼퓸 스테이포에버 002쇼핑백=선물용 쇼핑백</t>
        </is>
      </c>
      <c r="H3515" s="20" t="n">
        <v>3</v>
      </c>
      <c r="I3515" s="20" t="inlineStr">
        <is>
          <t>쇼핑백</t>
        </is>
      </c>
      <c r="J3515" s="20" t="inlineStr">
        <is>
          <t>210207</t>
        </is>
      </c>
    </row>
    <row r="3516" ht="16.5" customHeight="1" s="17">
      <c r="B3516" s="16" t="inlineStr">
        <is>
          <t>2021-02-22</t>
        </is>
      </c>
      <c r="C3516" s="20" t="inlineStr">
        <is>
          <t>월</t>
        </is>
      </c>
      <c r="E3516" s="20" t="inlineStr">
        <is>
          <t>고체향수</t>
        </is>
      </c>
      <c r="F3516" s="20" t="inlineStr">
        <is>
          <t>카페24</t>
        </is>
      </c>
      <c r="G3516" s="20" t="inlineStr">
        <is>
          <t>솔리드퍼퓸 스테이포에버 002 30ml</t>
        </is>
      </c>
      <c r="H3516" s="20" t="n">
        <v>2</v>
      </c>
      <c r="I3516" s="20" t="inlineStr">
        <is>
          <t>스테이포에버</t>
        </is>
      </c>
      <c r="J3516" s="20" t="inlineStr">
        <is>
          <t>210207</t>
        </is>
      </c>
      <c r="L3516" s="20" t="n">
        <v>76000</v>
      </c>
      <c r="M3516" s="20" t="n">
        <v>71554</v>
      </c>
      <c r="N3516" s="20" t="n">
        <v>5184</v>
      </c>
      <c r="O3516" s="20" t="inlineStr">
        <is>
          <t>카페24고체향수솔리드퍼퓸 스테이포에버 002 30ml210207</t>
        </is>
      </c>
    </row>
    <row r="3517" ht="16.5" customHeight="1" s="17">
      <c r="B3517" s="16" t="inlineStr">
        <is>
          <t>2021-02-22</t>
        </is>
      </c>
      <c r="C3517" s="20" t="inlineStr">
        <is>
          <t>월</t>
        </is>
      </c>
      <c r="E3517" s="20" t="inlineStr">
        <is>
          <t>고체향수</t>
        </is>
      </c>
      <c r="F3517" s="20" t="inlineStr">
        <is>
          <t>카페24</t>
        </is>
      </c>
      <c r="G3517" s="20" t="inlineStr">
        <is>
          <t>솔리드퍼퓸 이그나이트 001제품선택=이그나이트 2개 세트</t>
        </is>
      </c>
      <c r="H3517" s="20" t="n">
        <v>2</v>
      </c>
      <c r="I3517" s="20" t="inlineStr">
        <is>
          <t>이그나이트 2set</t>
        </is>
      </c>
      <c r="J3517" s="20" t="inlineStr">
        <is>
          <t>210207</t>
        </is>
      </c>
      <c r="L3517" s="20" t="n">
        <v>117600</v>
      </c>
      <c r="M3517" s="20" t="n">
        <v>110720.4</v>
      </c>
    </row>
    <row r="3518" ht="16.5" customHeight="1" s="17">
      <c r="A3518" s="20" t="inlineStr">
        <is>
          <t>고체향수</t>
        </is>
      </c>
      <c r="B3518" s="16" t="inlineStr">
        <is>
          <t>2021-02-21</t>
        </is>
      </c>
      <c r="C3518" s="20" t="inlineStr">
        <is>
          <t>일</t>
        </is>
      </c>
      <c r="K3518" s="20" t="n">
        <v>1258963.636363636</v>
      </c>
    </row>
    <row r="3519" ht="16.5" customHeight="1" s="17">
      <c r="A3519" s="20" t="inlineStr">
        <is>
          <t>고체향수</t>
        </is>
      </c>
      <c r="B3519" s="16" t="inlineStr">
        <is>
          <t>2021-02-22</t>
        </is>
      </c>
      <c r="C3519" s="20" t="inlineStr">
        <is>
          <t>월</t>
        </is>
      </c>
      <c r="K3519" s="20" t="n">
        <v>1165580</v>
      </c>
    </row>
    <row r="3520" ht="16.5" customHeight="1" s="17">
      <c r="A3520" s="20" t="inlineStr">
        <is>
          <t>[성민 TEST] 스테이포에버_이미지</t>
        </is>
      </c>
      <c r="B3520" s="16" t="inlineStr">
        <is>
          <t>2021-02-22</t>
        </is>
      </c>
      <c r="C3520" s="20" t="inlineStr">
        <is>
          <t>월</t>
        </is>
      </c>
      <c r="K3520" s="20" t="n">
        <v>60465</v>
      </c>
    </row>
    <row r="3521" ht="16.5" customHeight="1" s="17">
      <c r="A3521" s="20" t="inlineStr">
        <is>
          <t>[승은 TEST] 스테이포에버_카드뉴스</t>
        </is>
      </c>
      <c r="B3521" s="16" t="inlineStr">
        <is>
          <t>2021-02-22</t>
        </is>
      </c>
      <c r="C3521" s="20" t="inlineStr">
        <is>
          <t>월</t>
        </is>
      </c>
      <c r="D3521" s="20" t="inlineStr">
        <is>
          <t>페이스북/인스타그램</t>
        </is>
      </c>
      <c r="E3521" s="20" t="inlineStr">
        <is>
          <t>고체향수</t>
        </is>
      </c>
      <c r="K3521" s="20" t="n">
        <v>60447</v>
      </c>
    </row>
    <row r="3522" ht="16.5" customHeight="1" s="17">
      <c r="A3522" s="20" t="inlineStr">
        <is>
          <t>[승무원 2] 스테이포에버_카드뉴스</t>
        </is>
      </c>
      <c r="B3522" s="16" t="inlineStr">
        <is>
          <t>2021-02-22</t>
        </is>
      </c>
      <c r="C3522" s="20" t="inlineStr">
        <is>
          <t>월</t>
        </is>
      </c>
      <c r="K3522" s="20" t="n">
        <v>500976</v>
      </c>
    </row>
    <row r="3523" ht="16.5" customHeight="1" s="17">
      <c r="A3523" s="20" t="inlineStr">
        <is>
          <t>[테스트]아줌마</t>
        </is>
      </c>
      <c r="B3523" s="16" t="inlineStr">
        <is>
          <t>2021-02-22</t>
        </is>
      </c>
      <c r="C3523" s="20" t="inlineStr">
        <is>
          <t>월</t>
        </is>
      </c>
      <c r="D3523" s="20" t="inlineStr">
        <is>
          <t>페이스북/인스타그램</t>
        </is>
      </c>
      <c r="E3523" s="20" t="inlineStr">
        <is>
          <t>고체향수</t>
        </is>
      </c>
      <c r="K3523" s="20" t="n">
        <v>222487</v>
      </c>
    </row>
    <row r="3524" ht="16.5" customHeight="1" s="17">
      <c r="A3524" s="20" t="inlineStr">
        <is>
          <t>[키워드 확장 테스트]스테이포에버_이미지</t>
        </is>
      </c>
      <c r="B3524" s="16" t="inlineStr">
        <is>
          <t>2021-02-22</t>
        </is>
      </c>
      <c r="C3524" s="20" t="inlineStr">
        <is>
          <t>월</t>
        </is>
      </c>
      <c r="D3524" s="20" t="inlineStr">
        <is>
          <t>페이스북/인스타그램</t>
        </is>
      </c>
      <c r="E3524" s="20" t="inlineStr">
        <is>
          <t>고체향수</t>
        </is>
      </c>
      <c r="K3524" s="20" t="n">
        <v>272165</v>
      </c>
    </row>
    <row r="3525" ht="16.5" customHeight="1" s="17">
      <c r="A3525" s="20" t="inlineStr">
        <is>
          <t>[재입고]스테이포에버_이미지</t>
        </is>
      </c>
      <c r="B3525" s="16" t="inlineStr">
        <is>
          <t>2021-02-22</t>
        </is>
      </c>
      <c r="C3525" s="20" t="inlineStr">
        <is>
          <t>월</t>
        </is>
      </c>
      <c r="D3525" s="20" t="inlineStr">
        <is>
          <t>페이스북/인스타그램</t>
        </is>
      </c>
      <c r="E3525" s="20" t="inlineStr">
        <is>
          <t>고체향수</t>
        </is>
      </c>
      <c r="K3525" s="20" t="n">
        <v>150526</v>
      </c>
    </row>
    <row r="3526" ht="16.5" customHeight="1" s="17">
      <c r="A3526" s="20" t="inlineStr">
        <is>
          <t>[승무원]숏폼_영상</t>
        </is>
      </c>
      <c r="B3526" s="16" t="inlineStr">
        <is>
          <t>2021-02-22</t>
        </is>
      </c>
      <c r="C3526" s="20" t="inlineStr">
        <is>
          <t>월</t>
        </is>
      </c>
      <c r="D3526" s="20" t="inlineStr">
        <is>
          <t>페이스북/인스타그램</t>
        </is>
      </c>
      <c r="E3526" s="20" t="inlineStr">
        <is>
          <t>고체향수</t>
        </is>
      </c>
      <c r="K3526" s="20" t="n">
        <v>101100</v>
      </c>
    </row>
    <row r="3527" ht="16.5" customHeight="1" s="17">
      <c r="A3527" s="20" t="inlineStr">
        <is>
          <t>[재입고]스테이포에버_영상</t>
        </is>
      </c>
      <c r="B3527" s="16" t="inlineStr">
        <is>
          <t>2021-02-22</t>
        </is>
      </c>
      <c r="C3527" s="20" t="inlineStr">
        <is>
          <t>월</t>
        </is>
      </c>
      <c r="D3527" s="20" t="inlineStr">
        <is>
          <t>페이스북/인스타그램</t>
        </is>
      </c>
      <c r="E3527" s="20" t="inlineStr">
        <is>
          <t>고체향수</t>
        </is>
      </c>
      <c r="K3527" s="20" t="n">
        <v>201056</v>
      </c>
    </row>
    <row r="3528" ht="16.5" customHeight="1" s="17">
      <c r="A3528" s="20" t="inlineStr">
        <is>
          <t>[필라테스]스테이포에버_카드뉴스</t>
        </is>
      </c>
      <c r="B3528" s="16" t="inlineStr">
        <is>
          <t>2021-02-22</t>
        </is>
      </c>
      <c r="C3528" s="20" t="inlineStr">
        <is>
          <t>월</t>
        </is>
      </c>
      <c r="D3528" s="20" t="inlineStr">
        <is>
          <t>페이스북/인스타그램</t>
        </is>
      </c>
      <c r="E3528" s="20" t="inlineStr">
        <is>
          <t>고체향수</t>
        </is>
      </c>
      <c r="K3528" s="20" t="n">
        <v>50467</v>
      </c>
    </row>
    <row r="3529" ht="16.5" customHeight="1" s="17">
      <c r="A3529" s="20" t="inlineStr">
        <is>
          <t>[젊줌마]스테이포에버_영상</t>
        </is>
      </c>
      <c r="B3529" s="16" t="inlineStr">
        <is>
          <t>2021-02-22</t>
        </is>
      </c>
      <c r="C3529" s="20" t="inlineStr">
        <is>
          <t>월</t>
        </is>
      </c>
      <c r="D3529" s="20" t="inlineStr">
        <is>
          <t>페이스북/인스타그램</t>
        </is>
      </c>
      <c r="E3529" s="20" t="inlineStr">
        <is>
          <t>고체향수</t>
        </is>
      </c>
      <c r="K3529" s="20" t="n">
        <v>100644</v>
      </c>
    </row>
    <row r="3530" ht="16.5" customHeight="1" s="17">
      <c r="A3530" s="20" t="inlineStr">
        <is>
          <t>[이성소구]스테이포에버_영상</t>
        </is>
      </c>
      <c r="B3530" s="16" t="inlineStr">
        <is>
          <t>2021-02-22</t>
        </is>
      </c>
      <c r="C3530" s="20" t="inlineStr">
        <is>
          <t>월</t>
        </is>
      </c>
      <c r="D3530" s="20" t="inlineStr">
        <is>
          <t>페이스북/인스타그램</t>
        </is>
      </c>
      <c r="E3530" s="20" t="inlineStr">
        <is>
          <t>고체향수</t>
        </is>
      </c>
      <c r="K3530" s="20" t="n">
        <v>30181</v>
      </c>
    </row>
    <row r="3531" ht="16.5" customHeight="1" s="17">
      <c r="A3531" s="20" t="inlineStr">
        <is>
          <t>[승무원]2019년썰 카드뉴스+ 향묘사_영상</t>
        </is>
      </c>
      <c r="B3531" s="16" t="inlineStr">
        <is>
          <t>2021-02-22</t>
        </is>
      </c>
      <c r="C3531" s="20" t="inlineStr">
        <is>
          <t>월</t>
        </is>
      </c>
      <c r="D3531" s="20" t="inlineStr">
        <is>
          <t>페이스북/인스타그램</t>
        </is>
      </c>
      <c r="E3531" s="20" t="inlineStr">
        <is>
          <t>고체향수</t>
        </is>
      </c>
      <c r="K3531" s="20" t="n">
        <v>200614</v>
      </c>
    </row>
    <row r="3532" ht="16.5" customHeight="1" s="17">
      <c r="A3532" s="20" t="inlineStr">
        <is>
          <t>[승무원어피]스테이포에버_이미지</t>
        </is>
      </c>
      <c r="B3532" s="16" t="inlineStr">
        <is>
          <t>2021-02-22</t>
        </is>
      </c>
      <c r="C3532" s="20" t="inlineStr">
        <is>
          <t>월</t>
        </is>
      </c>
      <c r="D3532" s="20" t="inlineStr">
        <is>
          <t>페이스북/인스타그램</t>
        </is>
      </c>
      <c r="E3532" s="20" t="inlineStr">
        <is>
          <t>고체향수</t>
        </is>
      </c>
      <c r="K3532" s="20" t="n">
        <v>100851</v>
      </c>
    </row>
    <row r="3533" ht="16.5" customHeight="1" s="17">
      <c r="A3533" s="20" t="inlineStr">
        <is>
          <t>[다현]스테이포에버_이미지</t>
        </is>
      </c>
      <c r="B3533" s="16" t="inlineStr">
        <is>
          <t>2021-02-22</t>
        </is>
      </c>
      <c r="C3533" s="20" t="inlineStr">
        <is>
          <t>월</t>
        </is>
      </c>
      <c r="D3533" s="20" t="inlineStr">
        <is>
          <t>페이스북/인스타그램</t>
        </is>
      </c>
      <c r="E3533" s="20" t="inlineStr">
        <is>
          <t>고체향수</t>
        </is>
      </c>
      <c r="K3533" s="20" t="n">
        <v>301914</v>
      </c>
    </row>
    <row r="3534" ht="16.5" customHeight="1" s="17">
      <c r="A3534" s="20" t="inlineStr">
        <is>
          <t>[승무원]스테이포에버_카드뉴스</t>
        </is>
      </c>
      <c r="B3534" s="16" t="inlineStr">
        <is>
          <t>2021-02-22</t>
        </is>
      </c>
      <c r="C3534" s="20" t="inlineStr">
        <is>
          <t>월</t>
        </is>
      </c>
      <c r="D3534" s="20" t="inlineStr">
        <is>
          <t>페이스북/인스타그램</t>
        </is>
      </c>
      <c r="E3534" s="20" t="inlineStr">
        <is>
          <t>고체향수</t>
        </is>
      </c>
      <c r="K3534" s="20" t="n">
        <v>301687</v>
      </c>
    </row>
    <row r="3535" ht="16.5" customHeight="1" s="17">
      <c r="A3535" s="20" t="inlineStr">
        <is>
          <t>[후기타입]스테이포에버_영상</t>
        </is>
      </c>
      <c r="B3535" s="16" t="inlineStr">
        <is>
          <t>2021-02-22</t>
        </is>
      </c>
      <c r="C3535" s="20" t="inlineStr">
        <is>
          <t>월</t>
        </is>
      </c>
      <c r="D3535" s="20" t="inlineStr">
        <is>
          <t>페이스북/인스타그램</t>
        </is>
      </c>
      <c r="E3535" s="20" t="inlineStr">
        <is>
          <t>고체향수</t>
        </is>
      </c>
      <c r="K3535" s="20" t="n">
        <v>150640</v>
      </c>
    </row>
    <row r="3536" ht="16.5" customHeight="1" s="17">
      <c r="A3536" s="20" t="inlineStr">
        <is>
          <t>전환_스테이포에버</t>
        </is>
      </c>
      <c r="B3536" s="16" t="inlineStr">
        <is>
          <t>2021-02-22</t>
        </is>
      </c>
      <c r="C3536" s="20" t="inlineStr">
        <is>
          <t>월</t>
        </is>
      </c>
      <c r="D3536" s="20" t="inlineStr">
        <is>
          <t>페이스북/인스타그램</t>
        </is>
      </c>
      <c r="E3536" s="20" t="inlineStr">
        <is>
          <t>고체향수</t>
        </is>
      </c>
      <c r="K3536" s="20" t="n">
        <v>150469</v>
      </c>
    </row>
    <row r="3537" ht="16.5" customHeight="1" s="17">
      <c r="A3537" s="20" t="inlineStr">
        <is>
          <t>[권태기커플]스테이포에버_영상</t>
        </is>
      </c>
      <c r="B3537" s="16" t="inlineStr">
        <is>
          <t>2021-02-22</t>
        </is>
      </c>
      <c r="C3537" s="20" t="inlineStr">
        <is>
          <t>월</t>
        </is>
      </c>
      <c r="D3537" s="20" t="inlineStr">
        <is>
          <t>페이스북/인스타그램</t>
        </is>
      </c>
      <c r="E3537" s="20" t="inlineStr">
        <is>
          <t>고체향수</t>
        </is>
      </c>
      <c r="K3537" s="20" t="n">
        <v>150943</v>
      </c>
    </row>
    <row r="3538" ht="16.5" customHeight="1" s="17">
      <c r="A3538" s="20" t="inlineStr">
        <is>
          <t>동영상캠페인_승무원_2019년썰</t>
        </is>
      </c>
      <c r="B3538" s="16" t="inlineStr">
        <is>
          <t>2021-02-22</t>
        </is>
      </c>
      <c r="C3538" s="20" t="inlineStr">
        <is>
          <t>월</t>
        </is>
      </c>
      <c r="D3538" s="20" t="inlineStr">
        <is>
          <t>유튜브 광고</t>
        </is>
      </c>
      <c r="E3538" s="20" t="inlineStr">
        <is>
          <t>고체향수</t>
        </is>
      </c>
      <c r="K3538" s="20" t="n">
        <v>312049</v>
      </c>
    </row>
    <row r="3539" ht="16.5" customHeight="1" s="17">
      <c r="A3539" s="20" t="inlineStr">
        <is>
          <t>웹사이트 트래픽 서치</t>
        </is>
      </c>
      <c r="B3539" s="16" t="inlineStr">
        <is>
          <t>2021-02-22</t>
        </is>
      </c>
      <c r="C3539" s="20" t="inlineStr">
        <is>
          <t>월</t>
        </is>
      </c>
      <c r="D3539" s="20" t="inlineStr">
        <is>
          <t>유튜브 광고</t>
        </is>
      </c>
      <c r="E3539" s="20" t="inlineStr">
        <is>
          <t>고체향수</t>
        </is>
      </c>
      <c r="K3539" s="20" t="n">
        <v>24936</v>
      </c>
    </row>
    <row r="3540" ht="16.5" customHeight="1" s="17">
      <c r="A3540" s="20" t="inlineStr">
        <is>
          <t>동영상캠페인_승무원_보이는 라디오</t>
        </is>
      </c>
      <c r="B3540" s="16" t="inlineStr">
        <is>
          <t>2021-02-22</t>
        </is>
      </c>
      <c r="C3540" s="20" t="inlineStr">
        <is>
          <t>월</t>
        </is>
      </c>
      <c r="D3540" s="20" t="inlineStr">
        <is>
          <t>유튜브 광고</t>
        </is>
      </c>
      <c r="E3540" s="20" t="inlineStr">
        <is>
          <t>고체향수</t>
        </is>
      </c>
      <c r="K3540" s="20" t="n">
        <v>513089</v>
      </c>
    </row>
    <row r="3541" ht="16.5" customHeight="1" s="17">
      <c r="A3541" s="20" t="inlineStr">
        <is>
          <t>디스커버리 배너_승무원,할인_리마케팅</t>
        </is>
      </c>
      <c r="B3541" s="16" t="inlineStr">
        <is>
          <t>2021-02-22</t>
        </is>
      </c>
      <c r="C3541" s="20" t="inlineStr">
        <is>
          <t>월</t>
        </is>
      </c>
      <c r="D3541" s="20" t="inlineStr">
        <is>
          <t>유튜브 광고</t>
        </is>
      </c>
      <c r="E3541" s="20" t="inlineStr">
        <is>
          <t>고체향수</t>
        </is>
      </c>
      <c r="K3541" s="20" t="n">
        <v>436680</v>
      </c>
    </row>
    <row r="3542" ht="16.5" customHeight="1" s="17">
      <c r="A3542" s="20" t="inlineStr">
        <is>
          <t>동영상캠페인_승무원_써니스카이</t>
        </is>
      </c>
      <c r="B3542" s="16" t="inlineStr">
        <is>
          <t>2021-02-22</t>
        </is>
      </c>
      <c r="C3542" s="20" t="inlineStr">
        <is>
          <t>월</t>
        </is>
      </c>
      <c r="D3542" s="20" t="inlineStr">
        <is>
          <t>유튜브 광고</t>
        </is>
      </c>
      <c r="E3542" s="20" t="inlineStr">
        <is>
          <t>고체향수</t>
        </is>
      </c>
      <c r="K3542" s="20" t="n">
        <v>514541</v>
      </c>
    </row>
    <row r="3543" ht="16.5" customHeight="1" s="17">
      <c r="A3543" s="20" t="inlineStr">
        <is>
          <t>동영상캠페인_필라테스_자기관리</t>
        </is>
      </c>
      <c r="B3543" s="16" t="inlineStr">
        <is>
          <t>2021-02-22</t>
        </is>
      </c>
      <c r="C3543" s="20" t="inlineStr">
        <is>
          <t>월</t>
        </is>
      </c>
      <c r="D3543" s="20" t="inlineStr">
        <is>
          <t>유튜브 광고</t>
        </is>
      </c>
      <c r="E3543" s="20" t="inlineStr">
        <is>
          <t>고체향수</t>
        </is>
      </c>
      <c r="K3543" s="20" t="n">
        <v>260372</v>
      </c>
    </row>
    <row r="3544" ht="16.5" customHeight="1" s="17">
      <c r="A3544" s="20" t="inlineStr">
        <is>
          <t>동영상캠페인_승무원_비누향 나는 승무원에게</t>
        </is>
      </c>
      <c r="B3544" s="16" t="inlineStr">
        <is>
          <t>2021-02-22</t>
        </is>
      </c>
      <c r="C3544" s="20" t="inlineStr">
        <is>
          <t>월</t>
        </is>
      </c>
      <c r="D3544" s="20" t="inlineStr">
        <is>
          <t>유튜브 광고</t>
        </is>
      </c>
      <c r="E3544" s="20" t="inlineStr">
        <is>
          <t>고체향수</t>
        </is>
      </c>
      <c r="K3544" s="20" t="n">
        <v>519033</v>
      </c>
    </row>
    <row r="3545" ht="16.5" customHeight="1" s="17">
      <c r="A3545" s="20" t="inlineStr">
        <is>
          <t>동영상캠페인_유즈모먼트_2차_30대 여성 회사원</t>
        </is>
      </c>
      <c r="B3545" s="16" t="inlineStr">
        <is>
          <t>2021-02-22</t>
        </is>
      </c>
      <c r="C3545" s="20" t="inlineStr">
        <is>
          <t>월</t>
        </is>
      </c>
      <c r="K3545" s="20" t="n">
        <v>415896</v>
      </c>
    </row>
    <row r="3546" ht="16.5" customHeight="1" s="17">
      <c r="A3546" s="20" t="inlineStr">
        <is>
          <t>동영상캠페인_유즈모먼트_사춘기 딸</t>
        </is>
      </c>
      <c r="B3546" s="16" t="inlineStr">
        <is>
          <t>2021-02-22</t>
        </is>
      </c>
      <c r="C3546" s="20" t="inlineStr">
        <is>
          <t>월</t>
        </is>
      </c>
      <c r="K3546" s="20" t="n">
        <v>104031</v>
      </c>
    </row>
    <row r="3547" ht="16.5" customHeight="1" s="17">
      <c r="A3547" s="20" t="inlineStr">
        <is>
          <t>쇼핑검색_고체향수</t>
        </is>
      </c>
      <c r="B3547" s="16" t="inlineStr">
        <is>
          <t>2021-02-22</t>
        </is>
      </c>
      <c r="C3547" s="20" t="inlineStr">
        <is>
          <t>월</t>
        </is>
      </c>
      <c r="D3547" s="20" t="inlineStr">
        <is>
          <t>네이버 쇼핑검색</t>
        </is>
      </c>
      <c r="E3547" s="20" t="inlineStr">
        <is>
          <t>고체향수</t>
        </is>
      </c>
      <c r="K3547" s="20" t="n">
        <v>1240</v>
      </c>
    </row>
    <row r="3548" ht="16.5" customHeight="1" s="17">
      <c r="A3548" s="20" t="inlineStr">
        <is>
          <t>쇼핑검색_고체향수세부키워드</t>
        </is>
      </c>
      <c r="B3548" s="16" t="inlineStr">
        <is>
          <t>2021-02-22</t>
        </is>
      </c>
      <c r="C3548" s="20" t="inlineStr">
        <is>
          <t>월</t>
        </is>
      </c>
      <c r="D3548" s="20" t="inlineStr">
        <is>
          <t>네이버 쇼핑검색</t>
        </is>
      </c>
      <c r="E3548" s="20" t="inlineStr">
        <is>
          <t>고체향수</t>
        </is>
      </c>
      <c r="K3548" s="20" t="n">
        <v>26710</v>
      </c>
    </row>
    <row r="3549" ht="16.5" customHeight="1" s="17">
      <c r="A3549" s="20" t="inlineStr">
        <is>
          <t>쇼핑검색_고체향수세부키워드2</t>
        </is>
      </c>
      <c r="B3549" s="16" t="inlineStr">
        <is>
          <t>2021-02-22</t>
        </is>
      </c>
      <c r="C3549" s="20" t="inlineStr">
        <is>
          <t>월</t>
        </is>
      </c>
      <c r="D3549" s="20" t="inlineStr">
        <is>
          <t>네이버 쇼핑검색</t>
        </is>
      </c>
      <c r="E3549" s="20" t="inlineStr">
        <is>
          <t>고체향수</t>
        </is>
      </c>
      <c r="K3549" s="20" t="n">
        <v>869.9999999999999</v>
      </c>
    </row>
    <row r="3550" ht="16.5" customHeight="1" s="17">
      <c r="A3550" s="20" t="inlineStr">
        <is>
          <t>모바일 브검</t>
        </is>
      </c>
      <c r="B3550" s="16" t="inlineStr">
        <is>
          <t>2021-02-22</t>
        </is>
      </c>
      <c r="C3550" s="20" t="inlineStr">
        <is>
          <t>월</t>
        </is>
      </c>
      <c r="D3550" s="20" t="inlineStr">
        <is>
          <t>네이버 브랜드검색</t>
        </is>
      </c>
      <c r="E3550" s="20" t="inlineStr">
        <is>
          <t>브랜드</t>
        </is>
      </c>
      <c r="K3550" s="20" t="n">
        <v>0</v>
      </c>
    </row>
    <row r="3551" ht="16.5" customHeight="1" s="17">
      <c r="A3551" s="20" t="inlineStr">
        <is>
          <t>고체향수_승무원 어피_Npay 추적</t>
        </is>
      </c>
      <c r="B3551" s="16" t="inlineStr">
        <is>
          <t>2021-02-22</t>
        </is>
      </c>
      <c r="C3551" s="20" t="inlineStr">
        <is>
          <t>월</t>
        </is>
      </c>
      <c r="D3551" s="20" t="inlineStr">
        <is>
          <t>카카오 배너</t>
        </is>
      </c>
      <c r="E3551" s="20" t="inlineStr">
        <is>
          <t>고체향수</t>
        </is>
      </c>
      <c r="K3551" s="20" t="n">
        <v>72460</v>
      </c>
    </row>
    <row r="3552" ht="16.5" customHeight="1" s="17">
      <c r="A3552" s="20" t="inlineStr">
        <is>
          <t>고체향수_Npay 추적</t>
        </is>
      </c>
      <c r="B3552" s="16" t="inlineStr">
        <is>
          <t>2021-02-22</t>
        </is>
      </c>
      <c r="C3552" s="20" t="inlineStr">
        <is>
          <t>월</t>
        </is>
      </c>
      <c r="D3552" s="20" t="inlineStr">
        <is>
          <t>카카오 배너</t>
        </is>
      </c>
      <c r="E3552" s="20" t="inlineStr">
        <is>
          <t>고체향수</t>
        </is>
      </c>
      <c r="K3552" s="20" t="n">
        <v>503729.9999999999</v>
      </c>
    </row>
    <row r="3553" ht="16.5" customHeight="1" s="17">
      <c r="B3553" s="16" t="inlineStr">
        <is>
          <t>2021-02-22</t>
        </is>
      </c>
      <c r="C3553" s="20" t="inlineStr">
        <is>
          <t>월</t>
        </is>
      </c>
      <c r="E3553" s="20" t="inlineStr">
        <is>
          <t>0</t>
        </is>
      </c>
      <c r="F3553" s="20" t="inlineStr">
        <is>
          <t>스마트스토어</t>
        </is>
      </c>
      <c r="G3553" s="20" t="inlineStr">
        <is>
          <t>유즈 고체향수 세트(유즈 스테이포에버, 유즈 이그나이트)고체향수: 스테이포에버 1개 + 이그나이트 1개</t>
        </is>
      </c>
      <c r="H3553" s="20" t="n">
        <v>1</v>
      </c>
      <c r="I3553" s="20" t="inlineStr">
        <is>
          <t>0</t>
        </is>
      </c>
      <c r="J3553" s="20" t="inlineStr">
        <is>
          <t>210207</t>
        </is>
      </c>
      <c r="L3553" s="20" t="n">
        <v>0</v>
      </c>
      <c r="M3553" s="20" t="n">
        <v>0</v>
      </c>
      <c r="N3553" s="20" t="n">
        <v>0</v>
      </c>
      <c r="O3553" s="20" t="inlineStr">
        <is>
          <t>스마트스토어0유즈 고체향수 세트(유즈 스테이포에버, 유즈 이그나이트)고체향수: 스테이포에버 1개 + 이그나이트 1개210207</t>
        </is>
      </c>
    </row>
    <row r="3554" ht="16.5" customHeight="1" s="17">
      <c r="B3554" s="16" t="inlineStr">
        <is>
          <t>2021-02-22</t>
        </is>
      </c>
      <c r="C3554" s="20" t="inlineStr">
        <is>
          <t>월</t>
        </is>
      </c>
      <c r="E3554" s="20" t="inlineStr">
        <is>
          <t>0</t>
        </is>
      </c>
      <c r="F3554" s="20" t="inlineStr">
        <is>
          <t>스마트스토어</t>
        </is>
      </c>
      <c r="G3554" s="20" t="inlineStr">
        <is>
          <t>유즈 고체향수 세트(유즈 스테이포에버, 유즈 이그나이트)고체향수: 스테이포에버 2개</t>
        </is>
      </c>
      <c r="H3554" s="20" t="n">
        <v>3</v>
      </c>
      <c r="I3554" s="20" t="inlineStr">
        <is>
          <t>0</t>
        </is>
      </c>
      <c r="J3554" s="20" t="inlineStr">
        <is>
          <t>210207</t>
        </is>
      </c>
      <c r="L3554" s="20" t="n">
        <v>0</v>
      </c>
      <c r="M3554" s="20" t="n">
        <v>0</v>
      </c>
      <c r="N3554" s="20" t="n">
        <v>0</v>
      </c>
      <c r="O3554" s="20" t="inlineStr">
        <is>
          <t>스마트스토어0유즈 고체향수 세트(유즈 스테이포에버, 유즈 이그나이트)고체향수: 스테이포에버 2개210207</t>
        </is>
      </c>
    </row>
    <row r="3555" ht="16.5" customHeight="1" s="17">
      <c r="B3555" s="16" t="inlineStr">
        <is>
          <t>2021-02-22</t>
        </is>
      </c>
      <c r="C3555" s="20" t="inlineStr">
        <is>
          <t>월</t>
        </is>
      </c>
      <c r="E3555" s="20" t="inlineStr">
        <is>
          <t>0</t>
        </is>
      </c>
      <c r="F3555" s="20" t="inlineStr">
        <is>
          <t>스마트스토어</t>
        </is>
      </c>
      <c r="G3555" s="20" t="inlineStr">
        <is>
          <t>유즈 고체향수 스테이포에버 002고체향수: 스테이포에버 1개</t>
        </is>
      </c>
      <c r="H3555" s="20" t="n">
        <v>15</v>
      </c>
      <c r="I3555" s="20" t="inlineStr">
        <is>
          <t>0</t>
        </is>
      </c>
      <c r="J3555" s="20" t="inlineStr">
        <is>
          <t>210207</t>
        </is>
      </c>
      <c r="L3555" s="20" t="n">
        <v>0</v>
      </c>
      <c r="M3555" s="20" t="n">
        <v>0</v>
      </c>
      <c r="N3555" s="20" t="n">
        <v>0</v>
      </c>
      <c r="O3555" s="20" t="inlineStr">
        <is>
          <t>스마트스토어0유즈 고체향수 스테이포에버 002고체향수: 스테이포에버 1개210207</t>
        </is>
      </c>
    </row>
    <row r="3556" ht="16.5" customHeight="1" s="17">
      <c r="B3556" s="16" t="inlineStr">
        <is>
          <t>2021-02-22</t>
        </is>
      </c>
      <c r="C3556" s="20" t="inlineStr">
        <is>
          <t>월</t>
        </is>
      </c>
      <c r="E3556" s="20" t="inlineStr">
        <is>
          <t>고체향수</t>
        </is>
      </c>
      <c r="F3556" s="20" t="inlineStr">
        <is>
          <t>유즈 CS</t>
        </is>
      </c>
      <c r="G3556" s="20" t="inlineStr">
        <is>
          <t>솔리드퍼퓸 스테이포에버 002 30ml</t>
        </is>
      </c>
      <c r="H3556" s="20" t="n">
        <v>2</v>
      </c>
      <c r="I3556" s="20" t="inlineStr">
        <is>
          <t>스테이포에버</t>
        </is>
      </c>
      <c r="J3556" s="20" t="inlineStr">
        <is>
          <t>210207</t>
        </is>
      </c>
      <c r="L3556" s="20" t="n">
        <v>0</v>
      </c>
      <c r="M3556" s="20" t="n">
        <v>0</v>
      </c>
      <c r="N3556" s="20" t="n">
        <v>5184</v>
      </c>
      <c r="O3556" s="20" t="inlineStr">
        <is>
          <t>유즈 CS고체향수솔리드퍼퓸 스테이포에버 002 30ml210207</t>
        </is>
      </c>
    </row>
    <row r="3557" ht="16.5" customHeight="1" s="17">
      <c r="B3557" s="16" t="inlineStr">
        <is>
          <t>2021-02-22</t>
        </is>
      </c>
      <c r="C3557" s="20" t="inlineStr">
        <is>
          <t>월</t>
        </is>
      </c>
      <c r="E3557" s="20" t="inlineStr">
        <is>
          <t>고체향수</t>
        </is>
      </c>
      <c r="F3557" s="20" t="inlineStr">
        <is>
          <t>카페24</t>
        </is>
      </c>
      <c r="G3557" s="20" t="inlineStr">
        <is>
          <t>솔리드퍼퓸 세트향=이그나이트 001 SOLID PERFUME, 세트 선택=best 2개 (28% 할인)</t>
        </is>
      </c>
      <c r="H3557" s="20" t="n">
        <v>2</v>
      </c>
      <c r="I3557" s="20" t="inlineStr">
        <is>
          <t>이그나이트 2set</t>
        </is>
      </c>
      <c r="J3557" s="20" t="inlineStr">
        <is>
          <t>210207</t>
        </is>
      </c>
      <c r="L3557" s="20" t="n">
        <v>117600</v>
      </c>
      <c r="M3557" s="20" t="n">
        <v>110720.4</v>
      </c>
    </row>
    <row r="3558" ht="16.5" customHeight="1" s="17">
      <c r="B3558" s="16" t="inlineStr">
        <is>
          <t>2021-02-22</t>
        </is>
      </c>
      <c r="C3558" s="20" t="inlineStr">
        <is>
          <t>월</t>
        </is>
      </c>
      <c r="E3558" s="20" t="inlineStr">
        <is>
          <t>고체향수</t>
        </is>
      </c>
      <c r="F3558" s="20" t="inlineStr">
        <is>
          <t>카페24</t>
        </is>
      </c>
      <c r="G3558" s="20" t="inlineStr">
        <is>
          <t>솔리드퍼퓸 세트향=스테이포에버 002 SOLID PERFUME, 세트 선택=1개</t>
        </is>
      </c>
      <c r="H3558" s="20" t="n">
        <v>4</v>
      </c>
      <c r="I3558" s="20" t="inlineStr">
        <is>
          <t>스테이포에버</t>
        </is>
      </c>
      <c r="J3558" s="20" t="inlineStr">
        <is>
          <t>210207</t>
        </is>
      </c>
      <c r="L3558" s="20" t="n">
        <v>136000</v>
      </c>
    </row>
    <row r="3559" ht="16.5" customHeight="1" s="17">
      <c r="B3559" s="16" t="inlineStr">
        <is>
          <t>2021-02-22</t>
        </is>
      </c>
      <c r="C3559" s="20" t="inlineStr">
        <is>
          <t>월</t>
        </is>
      </c>
      <c r="E3559" s="20" t="inlineStr">
        <is>
          <t>고체향수</t>
        </is>
      </c>
      <c r="F3559" s="20" t="inlineStr">
        <is>
          <t>카페24</t>
        </is>
      </c>
      <c r="G3559" s="20" t="inlineStr">
        <is>
          <t>솔리드퍼퓸 세트향=스테이포에버 002 SOLID PERFUME, 세트 선택=best 2개 (28% 할인)</t>
        </is>
      </c>
      <c r="H3559" s="20" t="n">
        <v>8</v>
      </c>
      <c r="I3559" s="20" t="inlineStr">
        <is>
          <t>스테이포에버 2set</t>
        </is>
      </c>
      <c r="J3559" s="20" t="inlineStr">
        <is>
          <t>210207</t>
        </is>
      </c>
      <c r="L3559" s="20" t="n">
        <v>470400</v>
      </c>
      <c r="M3559" s="20" t="n">
        <v>442881.6</v>
      </c>
    </row>
    <row r="3560" ht="16.5" customHeight="1" s="17">
      <c r="B3560" s="16" t="inlineStr">
        <is>
          <t>2021-02-22</t>
        </is>
      </c>
      <c r="C3560" s="20" t="inlineStr">
        <is>
          <t>월</t>
        </is>
      </c>
      <c r="E3560" s="20" t="inlineStr">
        <is>
          <t>고체향수</t>
        </is>
      </c>
      <c r="F3560" s="20" t="inlineStr">
        <is>
          <t>카페24</t>
        </is>
      </c>
      <c r="G3560" s="20" t="inlineStr">
        <is>
          <t>솔리드퍼퓸 세트향=커플세트(이그나이트 + 스테이포에버), 세트 선택=1 SET</t>
        </is>
      </c>
      <c r="H3560" s="20" t="n">
        <v>9</v>
      </c>
      <c r="I3560" s="20" t="inlineStr">
        <is>
          <t>이그나이트 + 스테이포에버</t>
        </is>
      </c>
      <c r="J3560" s="20" t="inlineStr">
        <is>
          <t>210207</t>
        </is>
      </c>
      <c r="L3560" s="20" t="n">
        <v>529200</v>
      </c>
      <c r="M3560" s="20" t="n">
        <v>498241.8</v>
      </c>
    </row>
    <row r="3561" ht="16.5" customHeight="1" s="17">
      <c r="B3561" s="16" t="inlineStr">
        <is>
          <t>2021-02-22</t>
        </is>
      </c>
      <c r="C3561" s="20" t="inlineStr">
        <is>
          <t>월</t>
        </is>
      </c>
      <c r="E3561" s="20" t="inlineStr">
        <is>
          <t>고체향수</t>
        </is>
      </c>
      <c r="F3561" s="20" t="inlineStr">
        <is>
          <t>카페24</t>
        </is>
      </c>
      <c r="G3561" s="20" t="inlineStr">
        <is>
          <t>솔리드퍼퓸 세트향=커플세트(이그나이트 + 스테이포에버), 세트 선택=2 SET (42% 할인)</t>
        </is>
      </c>
      <c r="H3561" s="20" t="n">
        <v>2</v>
      </c>
      <c r="I3561" s="20" t="inlineStr">
        <is>
          <t>이그나이트 + 스테이포에버</t>
        </is>
      </c>
      <c r="J3561" s="20" t="inlineStr">
        <is>
          <t>210207</t>
        </is>
      </c>
      <c r="L3561" s="20" t="n">
        <v>117600</v>
      </c>
      <c r="M3561" s="20" t="n">
        <v>110720.4</v>
      </c>
    </row>
    <row r="3562" ht="16.5" customHeight="1" s="17">
      <c r="B3562" s="16" t="inlineStr">
        <is>
          <t>2021-02-22</t>
        </is>
      </c>
      <c r="C3562" s="20" t="inlineStr">
        <is>
          <t>월</t>
        </is>
      </c>
      <c r="E3562" s="20" t="inlineStr">
        <is>
          <t>고체향수</t>
        </is>
      </c>
      <c r="F3562" s="20" t="inlineStr">
        <is>
          <t>카페24</t>
        </is>
      </c>
      <c r="G3562" s="20" t="inlineStr">
        <is>
          <t>솔리드퍼퓸 스테이포에버 002제품선택=스테이포에버 1개</t>
        </is>
      </c>
      <c r="H3562" s="20" t="n">
        <v>192</v>
      </c>
      <c r="I3562" s="20" t="inlineStr">
        <is>
          <t>스테이포에버</t>
        </is>
      </c>
      <c r="J3562" s="20" t="inlineStr">
        <is>
          <t>210207</t>
        </is>
      </c>
      <c r="L3562" s="20" t="n">
        <v>6528000</v>
      </c>
    </row>
    <row r="3563" ht="16.5" customHeight="1" s="17">
      <c r="B3563" s="16" t="inlineStr">
        <is>
          <t>2021-02-22</t>
        </is>
      </c>
      <c r="C3563" s="20" t="inlineStr">
        <is>
          <t>월</t>
        </is>
      </c>
      <c r="E3563" s="20" t="inlineStr">
        <is>
          <t>고체향수</t>
        </is>
      </c>
      <c r="F3563" s="20" t="inlineStr">
        <is>
          <t>카페24</t>
        </is>
      </c>
      <c r="G3563" s="20" t="inlineStr">
        <is>
          <t>솔리드퍼퓸 스테이포에버 002제품선택=best스테이포에버 2개[28% 할인]</t>
        </is>
      </c>
      <c r="H3563" s="20" t="n">
        <v>114</v>
      </c>
      <c r="I3563" s="20" t="inlineStr">
        <is>
          <t>스테이포에버 2set</t>
        </is>
      </c>
      <c r="J3563" s="20" t="inlineStr">
        <is>
          <t>210207</t>
        </is>
      </c>
      <c r="L3563" s="20" t="n">
        <v>6703200</v>
      </c>
      <c r="M3563" s="20" t="n">
        <v>6311062.8</v>
      </c>
    </row>
    <row r="3564" ht="16.5" customHeight="1" s="17">
      <c r="B3564" s="16" t="inlineStr">
        <is>
          <t>2021-02-22</t>
        </is>
      </c>
      <c r="C3564" s="20" t="inlineStr">
        <is>
          <t>월</t>
        </is>
      </c>
      <c r="E3564" s="20" t="inlineStr">
        <is>
          <t>고체향수</t>
        </is>
      </c>
      <c r="F3564" s="20" t="inlineStr">
        <is>
          <t>카페24</t>
        </is>
      </c>
      <c r="G3564" s="20" t="inlineStr">
        <is>
          <t>솔리드퍼퓸 스테이포에버 002제품선택=커플추천스테이포에버 + 이그나이트 세트</t>
        </is>
      </c>
      <c r="H3564" s="20" t="n">
        <v>12</v>
      </c>
      <c r="I3564" s="20" t="inlineStr">
        <is>
          <t>이그나이트 + 스테이포에버</t>
        </is>
      </c>
      <c r="J3564" s="20" t="inlineStr">
        <is>
          <t>210207</t>
        </is>
      </c>
      <c r="L3564" s="20" t="n">
        <v>705600</v>
      </c>
      <c r="M3564" s="20" t="n">
        <v>664322.3999999999</v>
      </c>
    </row>
    <row r="3565" ht="16.5" customHeight="1" s="17">
      <c r="B3565" s="16" t="inlineStr">
        <is>
          <t>2021-02-22</t>
        </is>
      </c>
      <c r="C3565" s="20" t="inlineStr">
        <is>
          <t>월</t>
        </is>
      </c>
      <c r="E3565" s="20" t="inlineStr">
        <is>
          <t>쇼핑백</t>
        </is>
      </c>
      <c r="F3565" s="20" t="inlineStr">
        <is>
          <t>카페24</t>
        </is>
      </c>
      <c r="G3565" s="20" t="inlineStr">
        <is>
          <t>솔리드퍼퓸 스테이포에버 002쇼핑백=선물용 쇼핑백</t>
        </is>
      </c>
      <c r="H3565" s="20" t="n">
        <v>3</v>
      </c>
      <c r="I3565" s="20" t="inlineStr">
        <is>
          <t>쇼핑백</t>
        </is>
      </c>
      <c r="J3565" s="20" t="inlineStr">
        <is>
          <t>210207</t>
        </is>
      </c>
    </row>
    <row r="3566" ht="16.5" customHeight="1" s="17">
      <c r="B3566" s="16" t="inlineStr">
        <is>
          <t>2021-02-22</t>
        </is>
      </c>
      <c r="C3566" s="20" t="inlineStr">
        <is>
          <t>월</t>
        </is>
      </c>
      <c r="E3566" s="20" t="inlineStr">
        <is>
          <t>고체향수</t>
        </is>
      </c>
      <c r="F3566" s="20" t="inlineStr">
        <is>
          <t>카페24</t>
        </is>
      </c>
      <c r="G3566" s="20" t="inlineStr">
        <is>
          <t>솔리드퍼퓸 스테이포에버 002 30ml</t>
        </is>
      </c>
      <c r="H3566" s="20" t="n">
        <v>2</v>
      </c>
      <c r="I3566" s="20" t="inlineStr">
        <is>
          <t>스테이포에버</t>
        </is>
      </c>
      <c r="J3566" s="20" t="inlineStr">
        <is>
          <t>210207</t>
        </is>
      </c>
      <c r="L3566" s="20" t="n">
        <v>76000</v>
      </c>
      <c r="M3566" s="20" t="n">
        <v>71554</v>
      </c>
      <c r="N3566" s="20" t="n">
        <v>5184</v>
      </c>
      <c r="O3566" s="20" t="inlineStr">
        <is>
          <t>카페24고체향수솔리드퍼퓸 스테이포에버 002 30ml210207</t>
        </is>
      </c>
    </row>
    <row r="3567" ht="16.5" customHeight="1" s="17">
      <c r="B3567" s="16" t="inlineStr">
        <is>
          <t>2021-02-22</t>
        </is>
      </c>
      <c r="C3567" s="20" t="inlineStr">
        <is>
          <t>월</t>
        </is>
      </c>
      <c r="E3567" s="20" t="inlineStr">
        <is>
          <t>고체향수</t>
        </is>
      </c>
      <c r="F3567" s="20" t="inlineStr">
        <is>
          <t>카페24</t>
        </is>
      </c>
      <c r="G3567" s="20" t="inlineStr">
        <is>
          <t>솔리드퍼퓸 이그나이트 001제품선택=이그나이트 2개 세트</t>
        </is>
      </c>
      <c r="H3567" s="20" t="n">
        <v>2</v>
      </c>
      <c r="I3567" s="20" t="inlineStr">
        <is>
          <t>이그나이트 2set</t>
        </is>
      </c>
      <c r="J3567" s="20" t="inlineStr">
        <is>
          <t>210207</t>
        </is>
      </c>
      <c r="L3567" s="20" t="n">
        <v>117600</v>
      </c>
      <c r="M3567" s="20" t="n">
        <v>110720.4</v>
      </c>
    </row>
    <row r="3568" ht="16.5" customHeight="1" s="17">
      <c r="A3568" s="20" t="inlineStr">
        <is>
          <t>고체향수</t>
        </is>
      </c>
      <c r="B3568" s="16" t="inlineStr">
        <is>
          <t>2021-02-22</t>
        </is>
      </c>
      <c r="C3568" s="20" t="inlineStr">
        <is>
          <t>월</t>
        </is>
      </c>
      <c r="K3568" s="20" t="n">
        <v>1165580</v>
      </c>
    </row>
    <row r="3569" ht="16.5" customHeight="1" s="17">
      <c r="A3569" s="20" t="inlineStr">
        <is>
          <t>[성민 TEST] 스테이포에버_이미지</t>
        </is>
      </c>
      <c r="B3569" s="16" t="inlineStr">
        <is>
          <t>2021-02-23</t>
        </is>
      </c>
      <c r="C3569" s="20" t="inlineStr">
        <is>
          <t>화</t>
        </is>
      </c>
      <c r="K3569" s="20" t="n">
        <v>59959</v>
      </c>
    </row>
    <row r="3570" ht="16.5" customHeight="1" s="17">
      <c r="A3570" s="20" t="inlineStr">
        <is>
          <t>[승은 TEST] 스테이포에버_카드뉴스</t>
        </is>
      </c>
      <c r="B3570" s="16" t="inlineStr">
        <is>
          <t>2021-02-23</t>
        </is>
      </c>
      <c r="C3570" s="20" t="inlineStr">
        <is>
          <t>화</t>
        </is>
      </c>
      <c r="D3570" s="20" t="inlineStr">
        <is>
          <t>페이스북/인스타그램</t>
        </is>
      </c>
      <c r="E3570" s="20" t="inlineStr">
        <is>
          <t>고체향수</t>
        </is>
      </c>
      <c r="K3570" s="20" t="n">
        <v>59420</v>
      </c>
    </row>
    <row r="3571" ht="16.5" customHeight="1" s="17">
      <c r="A3571" s="20" t="inlineStr">
        <is>
          <t>[승무원 2] 스테이포에버_카드뉴스</t>
        </is>
      </c>
      <c r="B3571" s="16" t="inlineStr">
        <is>
          <t>2021-02-23</t>
        </is>
      </c>
      <c r="C3571" s="20" t="inlineStr">
        <is>
          <t>화</t>
        </is>
      </c>
      <c r="K3571" s="20" t="n">
        <v>500296</v>
      </c>
    </row>
    <row r="3572" ht="16.5" customHeight="1" s="17">
      <c r="A3572" s="20" t="inlineStr">
        <is>
          <t>[테스트]아줌마</t>
        </is>
      </c>
      <c r="B3572" s="16" t="inlineStr">
        <is>
          <t>2021-02-23</t>
        </is>
      </c>
      <c r="C3572" s="20" t="inlineStr">
        <is>
          <t>화</t>
        </is>
      </c>
      <c r="D3572" s="20" t="inlineStr">
        <is>
          <t>페이스북/인스타그램</t>
        </is>
      </c>
      <c r="E3572" s="20" t="inlineStr">
        <is>
          <t>고체향수</t>
        </is>
      </c>
      <c r="K3572" s="20" t="n">
        <v>216246</v>
      </c>
    </row>
    <row r="3573" ht="16.5" customHeight="1" s="17">
      <c r="A3573" s="20" t="inlineStr">
        <is>
          <t>[키워드 확장 테스트]스테이포에버_이미지</t>
        </is>
      </c>
      <c r="B3573" s="16" t="inlineStr">
        <is>
          <t>2021-02-23</t>
        </is>
      </c>
      <c r="C3573" s="20" t="inlineStr">
        <is>
          <t>화</t>
        </is>
      </c>
      <c r="D3573" s="20" t="inlineStr">
        <is>
          <t>페이스북/인스타그램</t>
        </is>
      </c>
      <c r="E3573" s="20" t="inlineStr">
        <is>
          <t>고체향수</t>
        </is>
      </c>
      <c r="K3573" s="20" t="n">
        <v>268692</v>
      </c>
    </row>
    <row r="3574" ht="16.5" customHeight="1" s="17">
      <c r="A3574" s="20" t="inlineStr">
        <is>
          <t>[재입고]스테이포에버_이미지</t>
        </is>
      </c>
      <c r="B3574" s="16" t="inlineStr">
        <is>
          <t>2021-02-23</t>
        </is>
      </c>
      <c r="C3574" s="20" t="inlineStr">
        <is>
          <t>화</t>
        </is>
      </c>
      <c r="D3574" s="20" t="inlineStr">
        <is>
          <t>페이스북/인스타그램</t>
        </is>
      </c>
      <c r="E3574" s="20" t="inlineStr">
        <is>
          <t>고체향수</t>
        </is>
      </c>
      <c r="K3574" s="20" t="n">
        <v>149162</v>
      </c>
    </row>
    <row r="3575" ht="16.5" customHeight="1" s="17">
      <c r="A3575" s="20" t="inlineStr">
        <is>
          <t>[승무원]숏폼_영상</t>
        </is>
      </c>
      <c r="B3575" s="16" t="inlineStr">
        <is>
          <t>2021-02-23</t>
        </is>
      </c>
      <c r="C3575" s="20" t="inlineStr">
        <is>
          <t>화</t>
        </is>
      </c>
      <c r="D3575" s="20" t="inlineStr">
        <is>
          <t>페이스북/인스타그램</t>
        </is>
      </c>
      <c r="E3575" s="20" t="inlineStr">
        <is>
          <t>고체향수</t>
        </is>
      </c>
      <c r="K3575" s="20" t="n">
        <v>99695</v>
      </c>
    </row>
    <row r="3576" ht="16.5" customHeight="1" s="17">
      <c r="A3576" s="20" t="inlineStr">
        <is>
          <t>[재입고]스테이포에버_영상</t>
        </is>
      </c>
      <c r="B3576" s="16" t="inlineStr">
        <is>
          <t>2021-02-23</t>
        </is>
      </c>
      <c r="C3576" s="20" t="inlineStr">
        <is>
          <t>화</t>
        </is>
      </c>
      <c r="D3576" s="20" t="inlineStr">
        <is>
          <t>페이스북/인스타그램</t>
        </is>
      </c>
      <c r="E3576" s="20" t="inlineStr">
        <is>
          <t>고체향수</t>
        </is>
      </c>
      <c r="K3576" s="20" t="n">
        <v>197850</v>
      </c>
    </row>
    <row r="3577" ht="16.5" customHeight="1" s="17">
      <c r="A3577" s="20" t="inlineStr">
        <is>
          <t>[필라테스]스테이포에버_카드뉴스</t>
        </is>
      </c>
      <c r="B3577" s="16" t="inlineStr">
        <is>
          <t>2021-02-23</t>
        </is>
      </c>
      <c r="C3577" s="20" t="inlineStr">
        <is>
          <t>화</t>
        </is>
      </c>
      <c r="D3577" s="20" t="inlineStr">
        <is>
          <t>페이스북/인스타그램</t>
        </is>
      </c>
      <c r="E3577" s="20" t="inlineStr">
        <is>
          <t>고체향수</t>
        </is>
      </c>
      <c r="K3577" s="20" t="n">
        <v>49710</v>
      </c>
    </row>
    <row r="3578" ht="16.5" customHeight="1" s="17">
      <c r="A3578" s="20" t="inlineStr">
        <is>
          <t>[젊줌마]스테이포에버_영상</t>
        </is>
      </c>
      <c r="B3578" s="16" t="inlineStr">
        <is>
          <t>2021-02-23</t>
        </is>
      </c>
      <c r="C3578" s="20" t="inlineStr">
        <is>
          <t>화</t>
        </is>
      </c>
      <c r="D3578" s="20" t="inlineStr">
        <is>
          <t>페이스북/인스타그램</t>
        </is>
      </c>
      <c r="E3578" s="20" t="inlineStr">
        <is>
          <t>고체향수</t>
        </is>
      </c>
      <c r="K3578" s="20" t="n">
        <v>99378</v>
      </c>
    </row>
    <row r="3579" ht="16.5" customHeight="1" s="17">
      <c r="A3579" s="20" t="inlineStr">
        <is>
          <t>[이성소구]스테이포에버_영상</t>
        </is>
      </c>
      <c r="B3579" s="16" t="inlineStr">
        <is>
          <t>2021-02-23</t>
        </is>
      </c>
      <c r="C3579" s="20" t="inlineStr">
        <is>
          <t>화</t>
        </is>
      </c>
      <c r="D3579" s="20" t="inlineStr">
        <is>
          <t>페이스북/인스타그램</t>
        </is>
      </c>
      <c r="E3579" s="20" t="inlineStr">
        <is>
          <t>고체향수</t>
        </is>
      </c>
      <c r="K3579" s="20" t="n">
        <v>29481</v>
      </c>
    </row>
    <row r="3580" ht="16.5" customHeight="1" s="17">
      <c r="A3580" s="20" t="inlineStr">
        <is>
          <t>[승무원]2019년썰 카드뉴스+ 향묘사_영상</t>
        </is>
      </c>
      <c r="B3580" s="16" t="inlineStr">
        <is>
          <t>2021-02-23</t>
        </is>
      </c>
      <c r="C3580" s="20" t="inlineStr">
        <is>
          <t>화</t>
        </is>
      </c>
      <c r="D3580" s="20" t="inlineStr">
        <is>
          <t>페이스북/인스타그램</t>
        </is>
      </c>
      <c r="E3580" s="20" t="inlineStr">
        <is>
          <t>고체향수</t>
        </is>
      </c>
      <c r="K3580" s="20" t="n">
        <v>196422</v>
      </c>
    </row>
    <row r="3581" ht="16.5" customHeight="1" s="17">
      <c r="A3581" s="20" t="inlineStr">
        <is>
          <t>[승무원어피]스테이포에버_이미지</t>
        </is>
      </c>
      <c r="B3581" s="16" t="inlineStr">
        <is>
          <t>2021-02-23</t>
        </is>
      </c>
      <c r="C3581" s="20" t="inlineStr">
        <is>
          <t>화</t>
        </is>
      </c>
      <c r="D3581" s="20" t="inlineStr">
        <is>
          <t>페이스북/인스타그램</t>
        </is>
      </c>
      <c r="E3581" s="20" t="inlineStr">
        <is>
          <t>고체향수</t>
        </is>
      </c>
      <c r="K3581" s="20" t="n">
        <v>97950</v>
      </c>
    </row>
    <row r="3582" ht="16.5" customHeight="1" s="17">
      <c r="A3582" s="20" t="inlineStr">
        <is>
          <t>[다현]스테이포에버_이미지</t>
        </is>
      </c>
      <c r="B3582" s="16" t="inlineStr">
        <is>
          <t>2021-02-23</t>
        </is>
      </c>
      <c r="C3582" s="20" t="inlineStr">
        <is>
          <t>화</t>
        </is>
      </c>
      <c r="D3582" s="20" t="inlineStr">
        <is>
          <t>페이스북/인스타그램</t>
        </is>
      </c>
      <c r="E3582" s="20" t="inlineStr">
        <is>
          <t>고체향수</t>
        </is>
      </c>
      <c r="K3582" s="20" t="n">
        <v>298847</v>
      </c>
    </row>
    <row r="3583" ht="16.5" customHeight="1" s="17">
      <c r="A3583" s="20" t="inlineStr">
        <is>
          <t>[승무원]스테이포에버_카드뉴스</t>
        </is>
      </c>
      <c r="B3583" s="16" t="inlineStr">
        <is>
          <t>2021-02-23</t>
        </is>
      </c>
      <c r="C3583" s="20" t="inlineStr">
        <is>
          <t>화</t>
        </is>
      </c>
      <c r="D3583" s="20" t="inlineStr">
        <is>
          <t>페이스북/인스타그램</t>
        </is>
      </c>
      <c r="E3583" s="20" t="inlineStr">
        <is>
          <t>고체향수</t>
        </is>
      </c>
      <c r="K3583" s="20" t="n">
        <v>299976</v>
      </c>
    </row>
    <row r="3584" ht="16.5" customHeight="1" s="17">
      <c r="A3584" s="20" t="inlineStr">
        <is>
          <t>[후기타입]스테이포에버_영상</t>
        </is>
      </c>
      <c r="B3584" s="16" t="inlineStr">
        <is>
          <t>2021-02-23</t>
        </is>
      </c>
      <c r="C3584" s="20" t="inlineStr">
        <is>
          <t>화</t>
        </is>
      </c>
      <c r="D3584" s="20" t="inlineStr">
        <is>
          <t>페이스북/인스타그램</t>
        </is>
      </c>
      <c r="E3584" s="20" t="inlineStr">
        <is>
          <t>고체향수</t>
        </is>
      </c>
      <c r="K3584" s="20" t="n">
        <v>149819</v>
      </c>
    </row>
    <row r="3585" ht="16.5" customHeight="1" s="17">
      <c r="A3585" s="20" t="inlineStr">
        <is>
          <t>전환_스테이포에버</t>
        </is>
      </c>
      <c r="B3585" s="16" t="inlineStr">
        <is>
          <t>2021-02-23</t>
        </is>
      </c>
      <c r="C3585" s="20" t="inlineStr">
        <is>
          <t>화</t>
        </is>
      </c>
      <c r="D3585" s="20" t="inlineStr">
        <is>
          <t>페이스북/인스타그램</t>
        </is>
      </c>
      <c r="E3585" s="20" t="inlineStr">
        <is>
          <t>고체향수</t>
        </is>
      </c>
      <c r="K3585" s="20" t="n">
        <v>149018</v>
      </c>
    </row>
    <row r="3586" ht="16.5" customHeight="1" s="17">
      <c r="A3586" s="20" t="inlineStr">
        <is>
          <t>[권태기커플]스테이포에버_영상</t>
        </is>
      </c>
      <c r="B3586" s="16" t="inlineStr">
        <is>
          <t>2021-02-23</t>
        </is>
      </c>
      <c r="C3586" s="20" t="inlineStr">
        <is>
          <t>화</t>
        </is>
      </c>
      <c r="D3586" s="20" t="inlineStr">
        <is>
          <t>페이스북/인스타그램</t>
        </is>
      </c>
      <c r="E3586" s="20" t="inlineStr">
        <is>
          <t>고체향수</t>
        </is>
      </c>
      <c r="K3586" s="20" t="n">
        <v>149896</v>
      </c>
    </row>
    <row r="3587" ht="16.5" customHeight="1" s="17">
      <c r="A3587" s="20" t="inlineStr">
        <is>
          <t>동영상캠페인_승무원_2019년썰</t>
        </is>
      </c>
      <c r="B3587" s="16" t="inlineStr">
        <is>
          <t>2021-02-23</t>
        </is>
      </c>
      <c r="C3587" s="20" t="inlineStr">
        <is>
          <t>화</t>
        </is>
      </c>
      <c r="D3587" s="20" t="inlineStr">
        <is>
          <t>유튜브 광고</t>
        </is>
      </c>
      <c r="E3587" s="20" t="inlineStr">
        <is>
          <t>고체향수</t>
        </is>
      </c>
      <c r="K3587" s="20" t="n">
        <v>310112</v>
      </c>
    </row>
    <row r="3588" ht="16.5" customHeight="1" s="17">
      <c r="A3588" s="20" t="inlineStr">
        <is>
          <t>웹사이트 트래픽 서치</t>
        </is>
      </c>
      <c r="B3588" s="16" t="inlineStr">
        <is>
          <t>2021-02-23</t>
        </is>
      </c>
      <c r="C3588" s="20" t="inlineStr">
        <is>
          <t>화</t>
        </is>
      </c>
      <c r="D3588" s="20" t="inlineStr">
        <is>
          <t>유튜브 광고</t>
        </is>
      </c>
      <c r="E3588" s="20" t="inlineStr">
        <is>
          <t>고체향수</t>
        </is>
      </c>
      <c r="K3588" s="20" t="n">
        <v>43604</v>
      </c>
    </row>
    <row r="3589" ht="16.5" customHeight="1" s="17">
      <c r="A3589" s="20" t="inlineStr">
        <is>
          <t>동영상캠페인_승무원_보이는 라디오</t>
        </is>
      </c>
      <c r="B3589" s="16" t="inlineStr">
        <is>
          <t>2021-02-23</t>
        </is>
      </c>
      <c r="C3589" s="20" t="inlineStr">
        <is>
          <t>화</t>
        </is>
      </c>
      <c r="D3589" s="20" t="inlineStr">
        <is>
          <t>유튜브 광고</t>
        </is>
      </c>
      <c r="E3589" s="20" t="inlineStr">
        <is>
          <t>고체향수</t>
        </is>
      </c>
      <c r="K3589" s="20" t="n">
        <v>507999</v>
      </c>
    </row>
    <row r="3590" ht="16.5" customHeight="1" s="17">
      <c r="A3590" s="20" t="inlineStr">
        <is>
          <t>디스커버리 배너_승무원,할인_리마케팅</t>
        </is>
      </c>
      <c r="B3590" s="16" t="inlineStr">
        <is>
          <t>2021-02-23</t>
        </is>
      </c>
      <c r="C3590" s="20" t="inlineStr">
        <is>
          <t>화</t>
        </is>
      </c>
      <c r="D3590" s="20" t="inlineStr">
        <is>
          <t>유튜브 광고</t>
        </is>
      </c>
      <c r="E3590" s="20" t="inlineStr">
        <is>
          <t>고체향수</t>
        </is>
      </c>
      <c r="K3590" s="20" t="n">
        <v>454230</v>
      </c>
    </row>
    <row r="3591" ht="16.5" customHeight="1" s="17">
      <c r="A3591" s="20" t="inlineStr">
        <is>
          <t>동영상캠페인_승무원_써니스카이</t>
        </is>
      </c>
      <c r="B3591" s="16" t="inlineStr">
        <is>
          <t>2021-02-23</t>
        </is>
      </c>
      <c r="C3591" s="20" t="inlineStr">
        <is>
          <t>화</t>
        </is>
      </c>
      <c r="D3591" s="20" t="inlineStr">
        <is>
          <t>유튜브 광고</t>
        </is>
      </c>
      <c r="E3591" s="20" t="inlineStr">
        <is>
          <t>고체향수</t>
        </is>
      </c>
      <c r="K3591" s="20" t="n">
        <v>509005</v>
      </c>
    </row>
    <row r="3592" ht="16.5" customHeight="1" s="17">
      <c r="A3592" s="20" t="inlineStr">
        <is>
          <t>동영상캠페인_필라테스_자기관리</t>
        </is>
      </c>
      <c r="B3592" s="16" t="inlineStr">
        <is>
          <t>2021-02-23</t>
        </is>
      </c>
      <c r="C3592" s="20" t="inlineStr">
        <is>
          <t>화</t>
        </is>
      </c>
      <c r="D3592" s="20" t="inlineStr">
        <is>
          <t>유튜브 광고</t>
        </is>
      </c>
      <c r="E3592" s="20" t="inlineStr">
        <is>
          <t>고체향수</t>
        </is>
      </c>
      <c r="K3592" s="20" t="n">
        <v>256652</v>
      </c>
    </row>
    <row r="3593" ht="16.5" customHeight="1" s="17">
      <c r="A3593" s="20" t="inlineStr">
        <is>
          <t>동영상캠페인_승무원_비누향 나는 승무원에게</t>
        </is>
      </c>
      <c r="B3593" s="16" t="inlineStr">
        <is>
          <t>2021-02-23</t>
        </is>
      </c>
      <c r="C3593" s="20" t="inlineStr">
        <is>
          <t>화</t>
        </is>
      </c>
      <c r="D3593" s="20" t="inlineStr">
        <is>
          <t>유튜브 광고</t>
        </is>
      </c>
      <c r="E3593" s="20" t="inlineStr">
        <is>
          <t>고체향수</t>
        </is>
      </c>
      <c r="K3593" s="20" t="n">
        <v>512952</v>
      </c>
    </row>
    <row r="3594" ht="16.5" customHeight="1" s="17">
      <c r="A3594" s="20" t="inlineStr">
        <is>
          <t>동영상캠페인_유즈모먼트_2차_30대 여성 회사원</t>
        </is>
      </c>
      <c r="B3594" s="16" t="inlineStr">
        <is>
          <t>2021-02-23</t>
        </is>
      </c>
      <c r="C3594" s="20" t="inlineStr">
        <is>
          <t>화</t>
        </is>
      </c>
      <c r="K3594" s="20" t="n">
        <v>413423</v>
      </c>
    </row>
    <row r="3595" ht="16.5" customHeight="1" s="17">
      <c r="A3595" s="20" t="inlineStr">
        <is>
          <t>동영상캠페인_유즈모먼트_사춘기 딸</t>
        </is>
      </c>
      <c r="B3595" s="16" t="inlineStr">
        <is>
          <t>2021-02-23</t>
        </is>
      </c>
      <c r="C3595" s="20" t="inlineStr">
        <is>
          <t>화</t>
        </is>
      </c>
      <c r="K3595" s="20" t="n">
        <v>103535</v>
      </c>
    </row>
    <row r="3596" ht="16.5" customHeight="1" s="17">
      <c r="A3596" s="20" t="inlineStr">
        <is>
          <t>쇼핑검색_고체향수</t>
        </is>
      </c>
      <c r="B3596" s="16" t="inlineStr">
        <is>
          <t>2021-02-23</t>
        </is>
      </c>
      <c r="C3596" s="20" t="inlineStr">
        <is>
          <t>화</t>
        </is>
      </c>
      <c r="D3596" s="20" t="inlineStr">
        <is>
          <t>네이버 쇼핑검색</t>
        </is>
      </c>
      <c r="E3596" s="20" t="inlineStr">
        <is>
          <t>고체향수</t>
        </is>
      </c>
      <c r="K3596" s="20" t="n">
        <v>1810</v>
      </c>
    </row>
    <row r="3597" ht="16.5" customHeight="1" s="17">
      <c r="A3597" s="20" t="inlineStr">
        <is>
          <t>쇼핑검색_고체향수세부키워드</t>
        </is>
      </c>
      <c r="B3597" s="16" t="inlineStr">
        <is>
          <t>2021-02-23</t>
        </is>
      </c>
      <c r="C3597" s="20" t="inlineStr">
        <is>
          <t>화</t>
        </is>
      </c>
      <c r="D3597" s="20" t="inlineStr">
        <is>
          <t>네이버 쇼핑검색</t>
        </is>
      </c>
      <c r="E3597" s="20" t="inlineStr">
        <is>
          <t>고체향수</t>
        </is>
      </c>
      <c r="K3597" s="20" t="n">
        <v>27040</v>
      </c>
    </row>
    <row r="3598" ht="16.5" customHeight="1" s="17">
      <c r="A3598" s="20" t="inlineStr">
        <is>
          <t>쇼핑검색_고체향수세부키워드2</t>
        </is>
      </c>
      <c r="B3598" s="16" t="inlineStr">
        <is>
          <t>2021-02-23</t>
        </is>
      </c>
      <c r="C3598" s="20" t="inlineStr">
        <is>
          <t>화</t>
        </is>
      </c>
      <c r="D3598" s="20" t="inlineStr">
        <is>
          <t>네이버 쇼핑검색</t>
        </is>
      </c>
      <c r="E3598" s="20" t="inlineStr">
        <is>
          <t>고체향수</t>
        </is>
      </c>
      <c r="K3598" s="20" t="n">
        <v>3130</v>
      </c>
    </row>
    <row r="3599" ht="16.5" customHeight="1" s="17">
      <c r="A3599" s="20" t="inlineStr">
        <is>
          <t>모바일 브검</t>
        </is>
      </c>
      <c r="B3599" s="16" t="inlineStr">
        <is>
          <t>2021-02-23</t>
        </is>
      </c>
      <c r="C3599" s="20" t="inlineStr">
        <is>
          <t>화</t>
        </is>
      </c>
      <c r="D3599" s="20" t="inlineStr">
        <is>
          <t>네이버 브랜드검색</t>
        </is>
      </c>
      <c r="E3599" s="20" t="inlineStr">
        <is>
          <t>브랜드</t>
        </is>
      </c>
      <c r="K3599" s="20" t="n">
        <v>0</v>
      </c>
    </row>
    <row r="3600" ht="16.5" customHeight="1" s="17">
      <c r="A3600" s="20" t="inlineStr">
        <is>
          <t>고체향수_승무원 어피_Npay 추적</t>
        </is>
      </c>
      <c r="B3600" s="16" t="inlineStr">
        <is>
          <t>2021-02-23</t>
        </is>
      </c>
      <c r="C3600" s="20" t="inlineStr">
        <is>
          <t>화</t>
        </is>
      </c>
      <c r="D3600" s="20" t="inlineStr">
        <is>
          <t>카카오 배너</t>
        </is>
      </c>
      <c r="E3600" s="20" t="inlineStr">
        <is>
          <t>고체향수</t>
        </is>
      </c>
      <c r="K3600" s="20" t="n">
        <v>90929.99999999999</v>
      </c>
    </row>
    <row r="3601" ht="16.5" customHeight="1" s="17">
      <c r="A3601" s="20" t="inlineStr">
        <is>
          <t>고체향수_Npay 추적</t>
        </is>
      </c>
      <c r="B3601" s="16" t="inlineStr">
        <is>
          <t>2021-02-23</t>
        </is>
      </c>
      <c r="C3601" s="20" t="inlineStr">
        <is>
          <t>화</t>
        </is>
      </c>
      <c r="D3601" s="20" t="inlineStr">
        <is>
          <t>카카오 배너</t>
        </is>
      </c>
      <c r="E3601" s="20" t="inlineStr">
        <is>
          <t>고체향수</t>
        </is>
      </c>
      <c r="K3601" s="20" t="n">
        <v>607740</v>
      </c>
    </row>
    <row r="3602" ht="16.5" customHeight="1" s="17">
      <c r="B3602" s="16" t="inlineStr">
        <is>
          <t>2021-02-23</t>
        </is>
      </c>
      <c r="C3602" s="20" t="inlineStr">
        <is>
          <t>화</t>
        </is>
      </c>
      <c r="E3602" s="20" t="inlineStr">
        <is>
          <t>0</t>
        </is>
      </c>
      <c r="F3602" s="20" t="inlineStr">
        <is>
          <t>스마트스토어</t>
        </is>
      </c>
      <c r="G3602" s="20" t="inlineStr">
        <is>
          <t>유즈 고체향수 세트(유즈 스테이포에버, 유즈 이그나이트)고체향수: 스테이포에버 1개</t>
        </is>
      </c>
      <c r="H3602" s="20" t="n">
        <v>1</v>
      </c>
      <c r="I3602" s="20" t="inlineStr">
        <is>
          <t>0</t>
        </is>
      </c>
      <c r="J3602" s="20" t="inlineStr">
        <is>
          <t>210207</t>
        </is>
      </c>
      <c r="L3602" s="20" t="n">
        <v>0</v>
      </c>
      <c r="M3602" s="20" t="n">
        <v>0</v>
      </c>
      <c r="N3602" s="20" t="n">
        <v>0</v>
      </c>
      <c r="O3602" s="20" t="inlineStr">
        <is>
          <t>스마트스토어0유즈 고체향수 세트(유즈 스테이포에버, 유즈 이그나이트)고체향수: 스테이포에버 1개210207</t>
        </is>
      </c>
    </row>
    <row r="3603" ht="16.5" customHeight="1" s="17">
      <c r="B3603" s="16" t="inlineStr">
        <is>
          <t>2021-02-23</t>
        </is>
      </c>
      <c r="C3603" s="20" t="inlineStr">
        <is>
          <t>화</t>
        </is>
      </c>
      <c r="E3603" s="20" t="inlineStr">
        <is>
          <t>0</t>
        </is>
      </c>
      <c r="F3603" s="20" t="inlineStr">
        <is>
          <t>스마트스토어</t>
        </is>
      </c>
      <c r="G3603" s="20" t="inlineStr">
        <is>
          <t>유즈 고체향수 세트(유즈 스테이포에버, 유즈 이그나이트)고체향수: 스테이포에버 1개 + 이그나이트 1개</t>
        </is>
      </c>
      <c r="H3603" s="20" t="n">
        <v>2</v>
      </c>
      <c r="I3603" s="20" t="inlineStr">
        <is>
          <t>0</t>
        </is>
      </c>
      <c r="J3603" s="20" t="inlineStr">
        <is>
          <t>210207</t>
        </is>
      </c>
      <c r="L3603" s="20" t="n">
        <v>0</v>
      </c>
      <c r="M3603" s="20" t="n">
        <v>0</v>
      </c>
      <c r="N3603" s="20" t="n">
        <v>0</v>
      </c>
      <c r="O3603" s="20" t="inlineStr">
        <is>
          <t>스마트스토어0유즈 고체향수 세트(유즈 스테이포에버, 유즈 이그나이트)고체향수: 스테이포에버 1개 + 이그나이트 1개210207</t>
        </is>
      </c>
    </row>
    <row r="3604" ht="16.5" customHeight="1" s="17">
      <c r="B3604" s="16" t="inlineStr">
        <is>
          <t>2021-02-23</t>
        </is>
      </c>
      <c r="C3604" s="20" t="inlineStr">
        <is>
          <t>화</t>
        </is>
      </c>
      <c r="E3604" s="20" t="inlineStr">
        <is>
          <t>0</t>
        </is>
      </c>
      <c r="F3604" s="20" t="inlineStr">
        <is>
          <t>스마트스토어</t>
        </is>
      </c>
      <c r="G3604" s="20" t="inlineStr">
        <is>
          <t>유즈 고체향수 세트(유즈 스테이포에버, 유즈 이그나이트)고체향수: 스테이포에버 2개</t>
        </is>
      </c>
      <c r="H3604" s="20" t="n">
        <v>3</v>
      </c>
      <c r="I3604" s="20" t="inlineStr">
        <is>
          <t>0</t>
        </is>
      </c>
      <c r="J3604" s="20" t="inlineStr">
        <is>
          <t>210207</t>
        </is>
      </c>
      <c r="L3604" s="20" t="n">
        <v>0</v>
      </c>
      <c r="M3604" s="20" t="n">
        <v>0</v>
      </c>
      <c r="N3604" s="20" t="n">
        <v>0</v>
      </c>
      <c r="O3604" s="20" t="inlineStr">
        <is>
          <t>스마트스토어0유즈 고체향수 세트(유즈 스테이포에버, 유즈 이그나이트)고체향수: 스테이포에버 2개210207</t>
        </is>
      </c>
    </row>
    <row r="3605" ht="16.5" customHeight="1" s="17">
      <c r="B3605" s="16" t="inlineStr">
        <is>
          <t>2021-02-23</t>
        </is>
      </c>
      <c r="C3605" s="20" t="inlineStr">
        <is>
          <t>화</t>
        </is>
      </c>
      <c r="E3605" s="20" t="inlineStr">
        <is>
          <t>0</t>
        </is>
      </c>
      <c r="F3605" s="20" t="inlineStr">
        <is>
          <t>스마트스토어</t>
        </is>
      </c>
      <c r="G3605" s="20" t="inlineStr">
        <is>
          <t>유즈 고체향수 스테이포에버 002고체향수: 스테이포에버 1개</t>
        </is>
      </c>
      <c r="H3605" s="20" t="n">
        <v>15</v>
      </c>
      <c r="I3605" s="20" t="inlineStr">
        <is>
          <t>0</t>
        </is>
      </c>
      <c r="J3605" s="20" t="inlineStr">
        <is>
          <t>210207</t>
        </is>
      </c>
      <c r="L3605" s="20" t="n">
        <v>0</v>
      </c>
      <c r="M3605" s="20" t="n">
        <v>0</v>
      </c>
      <c r="N3605" s="20" t="n">
        <v>0</v>
      </c>
      <c r="O3605" s="20" t="inlineStr">
        <is>
          <t>스마트스토어0유즈 고체향수 스테이포에버 002고체향수: 스테이포에버 1개210207</t>
        </is>
      </c>
    </row>
    <row r="3606" ht="16.5" customHeight="1" s="17">
      <c r="B3606" s="16" t="inlineStr">
        <is>
          <t>2021-02-23</t>
        </is>
      </c>
      <c r="C3606" s="20" t="inlineStr">
        <is>
          <t>화</t>
        </is>
      </c>
      <c r="E3606" s="20" t="inlineStr">
        <is>
          <t>고체향수</t>
        </is>
      </c>
      <c r="F3606" s="20" t="inlineStr">
        <is>
          <t>유즈 CS</t>
        </is>
      </c>
      <c r="G3606" s="20" t="inlineStr">
        <is>
          <t>솔리드퍼퓸 스테이포에버 002 30ml</t>
        </is>
      </c>
      <c r="H3606" s="20" t="n">
        <v>1</v>
      </c>
      <c r="I3606" s="20" t="inlineStr">
        <is>
          <t>스테이포에버</t>
        </is>
      </c>
      <c r="J3606" s="20" t="inlineStr">
        <is>
          <t>210207</t>
        </is>
      </c>
      <c r="L3606" s="20" t="n">
        <v>0</v>
      </c>
      <c r="M3606" s="20" t="n">
        <v>0</v>
      </c>
      <c r="N3606" s="20" t="n">
        <v>2592</v>
      </c>
      <c r="O3606" s="20" t="inlineStr">
        <is>
          <t>유즈 CS고체향수솔리드퍼퓸 스테이포에버 002 30ml210207</t>
        </is>
      </c>
    </row>
    <row r="3607" ht="16.5" customHeight="1" s="17">
      <c r="B3607" s="16" t="inlineStr">
        <is>
          <t>2021-02-23</t>
        </is>
      </c>
      <c r="C3607" s="20" t="inlineStr">
        <is>
          <t>화</t>
        </is>
      </c>
      <c r="E3607" s="20" t="inlineStr">
        <is>
          <t>고체향수</t>
        </is>
      </c>
      <c r="F3607" s="20" t="inlineStr">
        <is>
          <t>카페24</t>
        </is>
      </c>
      <c r="G3607" s="20" t="inlineStr">
        <is>
          <t>솔리드퍼퓸 세트향=이그나이트 001 SOLID PERFUME, 세트 선택=1개</t>
        </is>
      </c>
      <c r="H3607" s="20" t="n">
        <v>3</v>
      </c>
      <c r="I3607" s="20" t="inlineStr">
        <is>
          <t>이그나이트</t>
        </is>
      </c>
      <c r="J3607" s="20" t="inlineStr">
        <is>
          <t>210207</t>
        </is>
      </c>
      <c r="L3607" s="20" t="n">
        <v>102000</v>
      </c>
    </row>
    <row r="3608" ht="16.5" customHeight="1" s="17">
      <c r="B3608" s="16" t="inlineStr">
        <is>
          <t>2021-02-23</t>
        </is>
      </c>
      <c r="C3608" s="20" t="inlineStr">
        <is>
          <t>화</t>
        </is>
      </c>
      <c r="E3608" s="20" t="inlineStr">
        <is>
          <t>고체향수</t>
        </is>
      </c>
      <c r="F3608" s="20" t="inlineStr">
        <is>
          <t>카페24</t>
        </is>
      </c>
      <c r="G3608" s="20" t="inlineStr">
        <is>
          <t>솔리드퍼퓸 세트향=이그나이트 001 SOLID PERFUME, 세트 선택=best 2개 (28% 할인)</t>
        </is>
      </c>
      <c r="H3608" s="20" t="n">
        <v>1</v>
      </c>
      <c r="I3608" s="20" t="inlineStr">
        <is>
          <t>이그나이트 2set</t>
        </is>
      </c>
      <c r="J3608" s="20" t="inlineStr">
        <is>
          <t>210207</t>
        </is>
      </c>
      <c r="L3608" s="20" t="n">
        <v>58800</v>
      </c>
      <c r="M3608" s="20" t="n">
        <v>55360.2</v>
      </c>
    </row>
    <row r="3609" ht="16.5" customHeight="1" s="17">
      <c r="B3609" s="16" t="inlineStr">
        <is>
          <t>2021-02-23</t>
        </is>
      </c>
      <c r="C3609" s="20" t="inlineStr">
        <is>
          <t>화</t>
        </is>
      </c>
      <c r="E3609" s="20" t="inlineStr">
        <is>
          <t>고체향수</t>
        </is>
      </c>
      <c r="F3609" s="20" t="inlineStr">
        <is>
          <t>카페24</t>
        </is>
      </c>
      <c r="G3609" s="20" t="inlineStr">
        <is>
          <t>솔리드퍼퓸 세트향=스테이포에버 002 SOLID PERFUME, 세트 선택=1개</t>
        </is>
      </c>
      <c r="H3609" s="20" t="n">
        <v>4</v>
      </c>
      <c r="I3609" s="20" t="inlineStr">
        <is>
          <t>스테이포에버</t>
        </is>
      </c>
      <c r="J3609" s="20" t="inlineStr">
        <is>
          <t>210207</t>
        </is>
      </c>
      <c r="L3609" s="20" t="n">
        <v>136000</v>
      </c>
    </row>
    <row r="3610" ht="16.5" customHeight="1" s="17">
      <c r="B3610" s="16" t="inlineStr">
        <is>
          <t>2021-02-23</t>
        </is>
      </c>
      <c r="C3610" s="20" t="inlineStr">
        <is>
          <t>화</t>
        </is>
      </c>
      <c r="E3610" s="20" t="inlineStr">
        <is>
          <t>고체향수</t>
        </is>
      </c>
      <c r="F3610" s="20" t="inlineStr">
        <is>
          <t>카페24</t>
        </is>
      </c>
      <c r="G3610" s="20" t="inlineStr">
        <is>
          <t>솔리드퍼퓸 세트향=스테이포에버 002 SOLID PERFUME, 세트 선택=best 2개 (28% 할인)</t>
        </is>
      </c>
      <c r="H3610" s="20" t="n">
        <v>19</v>
      </c>
      <c r="I3610" s="20" t="inlineStr">
        <is>
          <t>스테이포에버 2set</t>
        </is>
      </c>
      <c r="J3610" s="20" t="inlineStr">
        <is>
          <t>210207</t>
        </is>
      </c>
      <c r="L3610" s="20" t="n">
        <v>1117200</v>
      </c>
      <c r="M3610" s="20" t="n">
        <v>1051843.8</v>
      </c>
    </row>
    <row r="3611" ht="16.5" customHeight="1" s="17">
      <c r="B3611" s="16" t="inlineStr">
        <is>
          <t>2021-02-23</t>
        </is>
      </c>
      <c r="C3611" s="20" t="inlineStr">
        <is>
          <t>화</t>
        </is>
      </c>
      <c r="E3611" s="20" t="inlineStr">
        <is>
          <t>고체향수</t>
        </is>
      </c>
      <c r="F3611" s="20" t="inlineStr">
        <is>
          <t>카페24</t>
        </is>
      </c>
      <c r="G3611" s="20" t="inlineStr">
        <is>
          <t>솔리드퍼퓸 세트향=커플세트(이그나이트 + 스테이포에버), 세트 선택=1 SET</t>
        </is>
      </c>
      <c r="H3611" s="20" t="n">
        <v>13</v>
      </c>
      <c r="I3611" s="20" t="inlineStr">
        <is>
          <t>이그나이트 + 스테이포에버</t>
        </is>
      </c>
      <c r="J3611" s="20" t="inlineStr">
        <is>
          <t>210207</t>
        </is>
      </c>
      <c r="L3611" s="20" t="n">
        <v>764400</v>
      </c>
      <c r="M3611" s="20" t="n">
        <v>719682.6</v>
      </c>
    </row>
    <row r="3612" ht="16.5" customHeight="1" s="17">
      <c r="B3612" s="16" t="inlineStr">
        <is>
          <t>2021-02-23</t>
        </is>
      </c>
      <c r="C3612" s="20" t="inlineStr">
        <is>
          <t>화</t>
        </is>
      </c>
      <c r="E3612" s="20" t="inlineStr">
        <is>
          <t>고체향수</t>
        </is>
      </c>
      <c r="F3612" s="20" t="inlineStr">
        <is>
          <t>카페24</t>
        </is>
      </c>
      <c r="G3612" s="20" t="inlineStr">
        <is>
          <t>솔리드퍼퓸 세트향=커플세트(이그나이트 + 스테이포에버), 세트 선택=2 SET (42% 할인)</t>
        </is>
      </c>
      <c r="H3612" s="20" t="n">
        <v>1</v>
      </c>
      <c r="I3612" s="20" t="inlineStr">
        <is>
          <t>이그나이트 + 스테이포에버</t>
        </is>
      </c>
      <c r="J3612" s="20" t="inlineStr">
        <is>
          <t>210207</t>
        </is>
      </c>
      <c r="L3612" s="20" t="n">
        <v>58800</v>
      </c>
      <c r="M3612" s="20" t="n">
        <v>55360.2</v>
      </c>
    </row>
    <row r="3613" ht="16.5" customHeight="1" s="17">
      <c r="B3613" s="16" t="inlineStr">
        <is>
          <t>2021-02-23</t>
        </is>
      </c>
      <c r="C3613" s="20" t="inlineStr">
        <is>
          <t>화</t>
        </is>
      </c>
      <c r="E3613" s="20" t="inlineStr">
        <is>
          <t>고체향수</t>
        </is>
      </c>
      <c r="F3613" s="20" t="inlineStr">
        <is>
          <t>카페24</t>
        </is>
      </c>
      <c r="G3613" s="20" t="inlineStr">
        <is>
          <t>솔리드퍼퓸 스테이포에버 002제품선택=스테이포에버 1개</t>
        </is>
      </c>
      <c r="H3613" s="20" t="n">
        <v>209</v>
      </c>
      <c r="I3613" s="20" t="inlineStr">
        <is>
          <t>스테이포에버</t>
        </is>
      </c>
      <c r="J3613" s="20" t="inlineStr">
        <is>
          <t>210207</t>
        </is>
      </c>
      <c r="L3613" s="20" t="n">
        <v>7106000</v>
      </c>
    </row>
    <row r="3614" ht="16.5" customHeight="1" s="17">
      <c r="B3614" s="16" t="inlineStr">
        <is>
          <t>2021-02-23</t>
        </is>
      </c>
      <c r="C3614" s="20" t="inlineStr">
        <is>
          <t>화</t>
        </is>
      </c>
      <c r="E3614" s="20" t="inlineStr">
        <is>
          <t>고체향수</t>
        </is>
      </c>
      <c r="F3614" s="20" t="inlineStr">
        <is>
          <t>카페24</t>
        </is>
      </c>
      <c r="G3614" s="20" t="inlineStr">
        <is>
          <t>솔리드퍼퓸 스테이포에버 002제품선택=best스테이포에버 2개[28% 할인]</t>
        </is>
      </c>
      <c r="H3614" s="20" t="n">
        <v>122</v>
      </c>
      <c r="I3614" s="20" t="inlineStr">
        <is>
          <t>스테이포에버 2set</t>
        </is>
      </c>
      <c r="J3614" s="20" t="inlineStr">
        <is>
          <t>210207</t>
        </is>
      </c>
      <c r="L3614" s="20" t="n">
        <v>7173600</v>
      </c>
      <c r="M3614" s="20" t="n">
        <v>6753944.399999999</v>
      </c>
    </row>
    <row r="3615" ht="16.5" customHeight="1" s="17">
      <c r="B3615" s="16" t="inlineStr">
        <is>
          <t>2021-02-23</t>
        </is>
      </c>
      <c r="C3615" s="20" t="inlineStr">
        <is>
          <t>화</t>
        </is>
      </c>
      <c r="E3615" s="20" t="inlineStr">
        <is>
          <t>고체향수</t>
        </is>
      </c>
      <c r="F3615" s="20" t="inlineStr">
        <is>
          <t>카페24</t>
        </is>
      </c>
      <c r="G3615" s="20" t="inlineStr">
        <is>
          <t>솔리드퍼퓸 스테이포에버 002제품선택=커플추천스테이포에버 + 이그나이트 세트</t>
        </is>
      </c>
      <c r="H3615" s="20" t="n">
        <v>14</v>
      </c>
      <c r="I3615" s="20" t="inlineStr">
        <is>
          <t>이그나이트 + 스테이포에버</t>
        </is>
      </c>
      <c r="J3615" s="20" t="inlineStr">
        <is>
          <t>210207</t>
        </is>
      </c>
      <c r="L3615" s="20" t="n">
        <v>823200</v>
      </c>
      <c r="M3615" s="20" t="n">
        <v>775042.7999999999</v>
      </c>
    </row>
    <row r="3616" ht="16.5" customHeight="1" s="17">
      <c r="B3616" s="16" t="inlineStr">
        <is>
          <t>2021-02-23</t>
        </is>
      </c>
      <c r="C3616" s="20" t="inlineStr">
        <is>
          <t>화</t>
        </is>
      </c>
      <c r="E3616" s="20" t="inlineStr">
        <is>
          <t>쇼핑백</t>
        </is>
      </c>
      <c r="F3616" s="20" t="inlineStr">
        <is>
          <t>카페24</t>
        </is>
      </c>
      <c r="G3616" s="20" t="inlineStr">
        <is>
          <t>솔리드퍼퓸 스테이포에버 002쇼핑백=선물용 쇼핑백</t>
        </is>
      </c>
      <c r="H3616" s="20" t="n">
        <v>11</v>
      </c>
      <c r="I3616" s="20" t="inlineStr">
        <is>
          <t>쇼핑백</t>
        </is>
      </c>
      <c r="J3616" s="20" t="inlineStr">
        <is>
          <t>210207</t>
        </is>
      </c>
    </row>
    <row r="3617" ht="16.5" customHeight="1" s="17">
      <c r="A3617" s="20" t="inlineStr">
        <is>
          <t>고체향수</t>
        </is>
      </c>
      <c r="B3617" s="16" t="inlineStr">
        <is>
          <t>2021-02-23</t>
        </is>
      </c>
      <c r="C3617" s="20" t="inlineStr">
        <is>
          <t>화</t>
        </is>
      </c>
      <c r="K3617" s="20" t="n">
        <v>1206736.363636364</v>
      </c>
    </row>
    <row r="3618" ht="16.5" customHeight="1" s="17">
      <c r="A3618" s="20" t="inlineStr">
        <is>
          <t>[성민 TEST] 스테이포에버_이미지</t>
        </is>
      </c>
      <c r="B3618" s="16" t="inlineStr">
        <is>
          <t>2021-02-25</t>
        </is>
      </c>
      <c r="C3618" s="20" t="inlineStr">
        <is>
          <t>목</t>
        </is>
      </c>
      <c r="K3618" s="20" t="n">
        <v>60067</v>
      </c>
    </row>
    <row r="3619" ht="16.5" customHeight="1" s="17">
      <c r="A3619" s="20" t="inlineStr">
        <is>
          <t>[승은 TEST] 스테이포에버_카드뉴스</t>
        </is>
      </c>
      <c r="B3619" s="16" t="inlineStr">
        <is>
          <t>2021-02-25</t>
        </is>
      </c>
      <c r="C3619" s="20" t="inlineStr">
        <is>
          <t>목</t>
        </is>
      </c>
      <c r="D3619" s="20" t="inlineStr">
        <is>
          <t>페이스북/인스타그램</t>
        </is>
      </c>
      <c r="E3619" s="20" t="inlineStr">
        <is>
          <t>고체향수</t>
        </is>
      </c>
      <c r="K3619" s="20" t="n">
        <v>61216</v>
      </c>
    </row>
    <row r="3620" ht="16.5" customHeight="1" s="17">
      <c r="A3620" s="20" t="inlineStr">
        <is>
          <t>[승무원 2] 스테이포에버_카드뉴스</t>
        </is>
      </c>
      <c r="B3620" s="16" t="inlineStr">
        <is>
          <t>2021-02-25</t>
        </is>
      </c>
      <c r="C3620" s="20" t="inlineStr">
        <is>
          <t>목</t>
        </is>
      </c>
      <c r="K3620" s="20" t="n">
        <v>503936</v>
      </c>
    </row>
    <row r="3621" ht="16.5" customHeight="1" s="17">
      <c r="A3621" s="20" t="inlineStr">
        <is>
          <t>[테스트]아줌마</t>
        </is>
      </c>
      <c r="B3621" s="16" t="inlineStr">
        <is>
          <t>2021-02-25</t>
        </is>
      </c>
      <c r="C3621" s="20" t="inlineStr">
        <is>
          <t>목</t>
        </is>
      </c>
      <c r="D3621" s="20" t="inlineStr">
        <is>
          <t>페이스북/인스타그램</t>
        </is>
      </c>
      <c r="E3621" s="20" t="inlineStr">
        <is>
          <t>고체향수</t>
        </is>
      </c>
      <c r="K3621" s="20" t="n">
        <v>221436</v>
      </c>
    </row>
    <row r="3622" ht="16.5" customHeight="1" s="17">
      <c r="A3622" s="20" t="inlineStr">
        <is>
          <t>[키워드 확장 테스트]스테이포에버_이미지</t>
        </is>
      </c>
      <c r="B3622" s="16" t="inlineStr">
        <is>
          <t>2021-02-25</t>
        </is>
      </c>
      <c r="C3622" s="20" t="inlineStr">
        <is>
          <t>목</t>
        </is>
      </c>
      <c r="D3622" s="20" t="inlineStr">
        <is>
          <t>페이스북/인스타그램</t>
        </is>
      </c>
      <c r="E3622" s="20" t="inlineStr">
        <is>
          <t>고체향수</t>
        </is>
      </c>
      <c r="K3622" s="20" t="n">
        <v>270107</v>
      </c>
    </row>
    <row r="3623" ht="16.5" customHeight="1" s="17">
      <c r="A3623" s="20" t="inlineStr">
        <is>
          <t>[재입고]스테이포에버_이미지</t>
        </is>
      </c>
      <c r="B3623" s="16" t="inlineStr">
        <is>
          <t>2021-02-25</t>
        </is>
      </c>
      <c r="C3623" s="20" t="inlineStr">
        <is>
          <t>목</t>
        </is>
      </c>
      <c r="D3623" s="20" t="inlineStr">
        <is>
          <t>페이스북/인스타그램</t>
        </is>
      </c>
      <c r="E3623" s="20" t="inlineStr">
        <is>
          <t>고체향수</t>
        </is>
      </c>
      <c r="K3623" s="20" t="n">
        <v>150168</v>
      </c>
    </row>
    <row r="3624" ht="16.5" customHeight="1" s="17">
      <c r="A3624" s="20" t="inlineStr">
        <is>
          <t>[승무원]숏폼_영상</t>
        </is>
      </c>
      <c r="B3624" s="16" t="inlineStr">
        <is>
          <t>2021-02-25</t>
        </is>
      </c>
      <c r="C3624" s="20" t="inlineStr">
        <is>
          <t>목</t>
        </is>
      </c>
      <c r="D3624" s="20" t="inlineStr">
        <is>
          <t>페이스북/인스타그램</t>
        </is>
      </c>
      <c r="E3624" s="20" t="inlineStr">
        <is>
          <t>고체향수</t>
        </is>
      </c>
      <c r="K3624" s="20" t="n">
        <v>100544</v>
      </c>
    </row>
    <row r="3625" ht="16.5" customHeight="1" s="17">
      <c r="A3625" s="20" t="inlineStr">
        <is>
          <t>[재입고]스테이포에버_영상</t>
        </is>
      </c>
      <c r="B3625" s="16" t="inlineStr">
        <is>
          <t>2021-02-25</t>
        </is>
      </c>
      <c r="C3625" s="20" t="inlineStr">
        <is>
          <t>목</t>
        </is>
      </c>
      <c r="D3625" s="20" t="inlineStr">
        <is>
          <t>페이스북/인스타그램</t>
        </is>
      </c>
      <c r="E3625" s="20" t="inlineStr">
        <is>
          <t>고체향수</t>
        </is>
      </c>
      <c r="K3625" s="20" t="n">
        <v>201060</v>
      </c>
    </row>
    <row r="3626" ht="16.5" customHeight="1" s="17">
      <c r="A3626" s="20" t="inlineStr">
        <is>
          <t>[필라테스]스테이포에버_카드뉴스</t>
        </is>
      </c>
      <c r="B3626" s="16" t="inlineStr">
        <is>
          <t>2021-02-25</t>
        </is>
      </c>
      <c r="C3626" s="20" t="inlineStr">
        <is>
          <t>목</t>
        </is>
      </c>
      <c r="D3626" s="20" t="inlineStr">
        <is>
          <t>페이스북/인스타그램</t>
        </is>
      </c>
      <c r="E3626" s="20" t="inlineStr">
        <is>
          <t>고체향수</t>
        </is>
      </c>
      <c r="K3626" s="20" t="n">
        <v>50054</v>
      </c>
    </row>
    <row r="3627" ht="16.5" customHeight="1" s="17">
      <c r="A3627" s="20" t="inlineStr">
        <is>
          <t>[젊줌마]스테이포에버_영상</t>
        </is>
      </c>
      <c r="B3627" s="16" t="inlineStr">
        <is>
          <t>2021-02-25</t>
        </is>
      </c>
      <c r="C3627" s="20" t="inlineStr">
        <is>
          <t>목</t>
        </is>
      </c>
      <c r="D3627" s="20" t="inlineStr">
        <is>
          <t>페이스북/인스타그램</t>
        </is>
      </c>
      <c r="E3627" s="20" t="inlineStr">
        <is>
          <t>고체향수</t>
        </is>
      </c>
      <c r="K3627" s="20" t="n">
        <v>100385</v>
      </c>
    </row>
    <row r="3628" ht="16.5" customHeight="1" s="17">
      <c r="A3628" s="20" t="inlineStr">
        <is>
          <t>[이성소구]스테이포에버_영상</t>
        </is>
      </c>
      <c r="B3628" s="16" t="inlineStr">
        <is>
          <t>2021-02-25</t>
        </is>
      </c>
      <c r="C3628" s="20" t="inlineStr">
        <is>
          <t>목</t>
        </is>
      </c>
      <c r="D3628" s="20" t="inlineStr">
        <is>
          <t>페이스북/인스타그램</t>
        </is>
      </c>
      <c r="E3628" s="20" t="inlineStr">
        <is>
          <t>고체향수</t>
        </is>
      </c>
      <c r="K3628" s="20" t="n">
        <v>30340</v>
      </c>
    </row>
    <row r="3629" ht="16.5" customHeight="1" s="17">
      <c r="A3629" s="20" t="inlineStr">
        <is>
          <t>[승무원]2019년썰 카드뉴스+ 향묘사_영상</t>
        </is>
      </c>
      <c r="B3629" s="16" t="inlineStr">
        <is>
          <t>2021-02-25</t>
        </is>
      </c>
      <c r="C3629" s="20" t="inlineStr">
        <is>
          <t>목</t>
        </is>
      </c>
      <c r="D3629" s="20" t="inlineStr">
        <is>
          <t>페이스북/인스타그램</t>
        </is>
      </c>
      <c r="E3629" s="20" t="inlineStr">
        <is>
          <t>고체향수</t>
        </is>
      </c>
      <c r="K3629" s="20" t="n">
        <v>186098</v>
      </c>
    </row>
    <row r="3630" ht="16.5" customHeight="1" s="17">
      <c r="A3630" s="20" t="inlineStr">
        <is>
          <t>[승무원어피]스테이포에버_이미지</t>
        </is>
      </c>
      <c r="B3630" s="16" t="inlineStr">
        <is>
          <t>2021-02-25</t>
        </is>
      </c>
      <c r="C3630" s="20" t="inlineStr">
        <is>
          <t>목</t>
        </is>
      </c>
      <c r="D3630" s="20" t="inlineStr">
        <is>
          <t>페이스북/인스타그램</t>
        </is>
      </c>
      <c r="E3630" s="20" t="inlineStr">
        <is>
          <t>고체향수</t>
        </is>
      </c>
      <c r="K3630" s="20" t="n">
        <v>100683</v>
      </c>
    </row>
    <row r="3631" ht="16.5" customHeight="1" s="17">
      <c r="A3631" s="20" t="inlineStr">
        <is>
          <t>[다현]스테이포에버_이미지</t>
        </is>
      </c>
      <c r="B3631" s="16" t="inlineStr">
        <is>
          <t>2021-02-25</t>
        </is>
      </c>
      <c r="C3631" s="20" t="inlineStr">
        <is>
          <t>목</t>
        </is>
      </c>
      <c r="D3631" s="20" t="inlineStr">
        <is>
          <t>페이스북/인스타그램</t>
        </is>
      </c>
      <c r="E3631" s="20" t="inlineStr">
        <is>
          <t>고체향수</t>
        </is>
      </c>
      <c r="K3631" s="20" t="n">
        <v>299859</v>
      </c>
    </row>
    <row r="3632" ht="16.5" customHeight="1" s="17">
      <c r="A3632" s="20" t="inlineStr">
        <is>
          <t>[승무원]스테이포에버_카드뉴스</t>
        </is>
      </c>
      <c r="B3632" s="16" t="inlineStr">
        <is>
          <t>2021-02-25</t>
        </is>
      </c>
      <c r="C3632" s="20" t="inlineStr">
        <is>
          <t>목</t>
        </is>
      </c>
      <c r="D3632" s="20" t="inlineStr">
        <is>
          <t>페이스북/인스타그램</t>
        </is>
      </c>
      <c r="E3632" s="20" t="inlineStr">
        <is>
          <t>고체향수</t>
        </is>
      </c>
      <c r="K3632" s="20" t="n">
        <v>301562</v>
      </c>
    </row>
    <row r="3633" ht="16.5" customHeight="1" s="17">
      <c r="A3633" s="20" t="inlineStr">
        <is>
          <t>[후기타입]스테이포에버_영상</t>
        </is>
      </c>
      <c r="B3633" s="16" t="inlineStr">
        <is>
          <t>2021-02-25</t>
        </is>
      </c>
      <c r="C3633" s="20" t="inlineStr">
        <is>
          <t>목</t>
        </is>
      </c>
      <c r="D3633" s="20" t="inlineStr">
        <is>
          <t>페이스북/인스타그램</t>
        </is>
      </c>
      <c r="E3633" s="20" t="inlineStr">
        <is>
          <t>고체향수</t>
        </is>
      </c>
      <c r="K3633" s="20" t="n">
        <v>150225</v>
      </c>
    </row>
    <row r="3634" ht="16.5" customHeight="1" s="17">
      <c r="A3634" s="20" t="inlineStr">
        <is>
          <t>전환_스테이포에버</t>
        </is>
      </c>
      <c r="B3634" s="16" t="inlineStr">
        <is>
          <t>2021-02-25</t>
        </is>
      </c>
      <c r="C3634" s="20" t="inlineStr">
        <is>
          <t>목</t>
        </is>
      </c>
      <c r="D3634" s="20" t="inlineStr">
        <is>
          <t>페이스북/인스타그램</t>
        </is>
      </c>
      <c r="E3634" s="20" t="inlineStr">
        <is>
          <t>고체향수</t>
        </is>
      </c>
      <c r="K3634" s="20" t="n">
        <v>150160</v>
      </c>
    </row>
    <row r="3635" ht="16.5" customHeight="1" s="17">
      <c r="A3635" s="20" t="inlineStr">
        <is>
          <t>[권태기커플]스테이포에버_영상</t>
        </is>
      </c>
      <c r="B3635" s="16" t="inlineStr">
        <is>
          <t>2021-02-25</t>
        </is>
      </c>
      <c r="C3635" s="20" t="inlineStr">
        <is>
          <t>목</t>
        </is>
      </c>
      <c r="D3635" s="20" t="inlineStr">
        <is>
          <t>페이스북/인스타그램</t>
        </is>
      </c>
      <c r="E3635" s="20" t="inlineStr">
        <is>
          <t>고체향수</t>
        </is>
      </c>
      <c r="K3635" s="20" t="n">
        <v>150408</v>
      </c>
    </row>
    <row r="3636" ht="16.5" customHeight="1" s="17">
      <c r="A3636" s="20" t="inlineStr">
        <is>
          <t>동영상캠페인_승무원_2019년썰(25일, cpa 30000)</t>
        </is>
      </c>
      <c r="B3636" s="16" t="inlineStr">
        <is>
          <t>2021-02-25</t>
        </is>
      </c>
      <c r="C3636" s="20" t="inlineStr">
        <is>
          <t>목</t>
        </is>
      </c>
      <c r="K3636" s="20" t="n">
        <v>298918</v>
      </c>
    </row>
    <row r="3637" ht="16.5" customHeight="1" s="17">
      <c r="A3637" s="20" t="inlineStr">
        <is>
          <t>웹사이트 트래픽 서치</t>
        </is>
      </c>
      <c r="B3637" s="16" t="inlineStr">
        <is>
          <t>2021-02-25</t>
        </is>
      </c>
      <c r="C3637" s="20" t="inlineStr">
        <is>
          <t>목</t>
        </is>
      </c>
      <c r="D3637" s="20" t="inlineStr">
        <is>
          <t>유튜브 광고</t>
        </is>
      </c>
      <c r="E3637" s="20" t="inlineStr">
        <is>
          <t>고체향수</t>
        </is>
      </c>
      <c r="K3637" s="20" t="n">
        <v>34188</v>
      </c>
    </row>
    <row r="3638" ht="16.5" customHeight="1" s="17">
      <c r="A3638" s="20" t="inlineStr">
        <is>
          <t>동영상캠페인_승무원_보이는 라디오</t>
        </is>
      </c>
      <c r="B3638" s="16" t="inlineStr">
        <is>
          <t>2021-02-25</t>
        </is>
      </c>
      <c r="C3638" s="20" t="inlineStr">
        <is>
          <t>목</t>
        </is>
      </c>
      <c r="D3638" s="20" t="inlineStr">
        <is>
          <t>유튜브 광고</t>
        </is>
      </c>
      <c r="E3638" s="20" t="inlineStr">
        <is>
          <t>고체향수</t>
        </is>
      </c>
      <c r="K3638" s="20" t="n">
        <v>500811</v>
      </c>
    </row>
    <row r="3639" ht="16.5" customHeight="1" s="17">
      <c r="A3639" s="20" t="inlineStr">
        <is>
          <t>동영상캠페인_무드1</t>
        </is>
      </c>
      <c r="B3639" s="16" t="inlineStr">
        <is>
          <t>2021-02-25</t>
        </is>
      </c>
      <c r="C3639" s="20" t="inlineStr">
        <is>
          <t>목</t>
        </is>
      </c>
      <c r="K3639" s="20" t="n">
        <v>100388</v>
      </c>
    </row>
    <row r="3640" ht="16.5" customHeight="1" s="17">
      <c r="A3640" s="20" t="inlineStr">
        <is>
          <t>디스커버리 배너_승무원,할인_리마케팅</t>
        </is>
      </c>
      <c r="B3640" s="16" t="inlineStr">
        <is>
          <t>2021-02-25</t>
        </is>
      </c>
      <c r="C3640" s="20" t="inlineStr">
        <is>
          <t>목</t>
        </is>
      </c>
      <c r="D3640" s="20" t="inlineStr">
        <is>
          <t>유튜브 광고</t>
        </is>
      </c>
      <c r="E3640" s="20" t="inlineStr">
        <is>
          <t>고체향수</t>
        </is>
      </c>
      <c r="K3640" s="20" t="n">
        <v>466715</v>
      </c>
    </row>
    <row r="3641" ht="16.5" customHeight="1" s="17">
      <c r="A3641" s="20" t="inlineStr">
        <is>
          <t>동영상캠페인_승무원_써니스카이</t>
        </is>
      </c>
      <c r="B3641" s="16" t="inlineStr">
        <is>
          <t>2021-02-25</t>
        </is>
      </c>
      <c r="C3641" s="20" t="inlineStr">
        <is>
          <t>목</t>
        </is>
      </c>
      <c r="D3641" s="20" t="inlineStr">
        <is>
          <t>유튜브 광고</t>
        </is>
      </c>
      <c r="E3641" s="20" t="inlineStr">
        <is>
          <t>고체향수</t>
        </is>
      </c>
      <c r="K3641" s="20" t="n">
        <v>416052</v>
      </c>
    </row>
    <row r="3642" ht="16.5" customHeight="1" s="17">
      <c r="A3642" s="20" t="inlineStr">
        <is>
          <t>동영상캠페인_필라테스_자기관리(CPA)</t>
        </is>
      </c>
      <c r="B3642" s="16" t="inlineStr">
        <is>
          <t>2021-02-25</t>
        </is>
      </c>
      <c r="C3642" s="20" t="inlineStr">
        <is>
          <t>목</t>
        </is>
      </c>
      <c r="K3642" s="20" t="n">
        <v>80378</v>
      </c>
    </row>
    <row r="3643" ht="16.5" customHeight="1" s="17">
      <c r="A3643" s="20" t="inlineStr">
        <is>
          <t>동영상캠페인_승무원_비누향 나는 승무원에게</t>
        </is>
      </c>
      <c r="B3643" s="16" t="inlineStr">
        <is>
          <t>2021-02-25</t>
        </is>
      </c>
      <c r="C3643" s="20" t="inlineStr">
        <is>
          <t>목</t>
        </is>
      </c>
      <c r="D3643" s="20" t="inlineStr">
        <is>
          <t>유튜브 광고</t>
        </is>
      </c>
      <c r="E3643" s="20" t="inlineStr">
        <is>
          <t>고체향수</t>
        </is>
      </c>
      <c r="K3643" s="20" t="n">
        <v>505743</v>
      </c>
    </row>
    <row r="3644" ht="16.5" customHeight="1" s="17">
      <c r="A3644" s="20" t="inlineStr">
        <is>
          <t>동영상캠페인_유즈모먼트_2차_30대 여성 회사원</t>
        </is>
      </c>
      <c r="B3644" s="16" t="inlineStr">
        <is>
          <t>2021-02-25</t>
        </is>
      </c>
      <c r="C3644" s="20" t="inlineStr">
        <is>
          <t>목</t>
        </is>
      </c>
      <c r="K3644" s="20" t="n">
        <v>309341</v>
      </c>
    </row>
    <row r="3645" ht="16.5" customHeight="1" s="17">
      <c r="A3645" s="20" t="inlineStr">
        <is>
          <t>동영상캠페인_유즈모먼트_사춘기 딸</t>
        </is>
      </c>
      <c r="B3645" s="16" t="inlineStr">
        <is>
          <t>2021-02-25</t>
        </is>
      </c>
      <c r="C3645" s="20" t="inlineStr">
        <is>
          <t>목</t>
        </is>
      </c>
      <c r="K3645" s="20" t="n">
        <v>90391</v>
      </c>
    </row>
    <row r="3646" ht="16.5" customHeight="1" s="17">
      <c r="A3646" s="20" t="inlineStr">
        <is>
          <t>쇼핑검색_고체향수</t>
        </is>
      </c>
      <c r="B3646" s="16" t="inlineStr">
        <is>
          <t>2021-02-25</t>
        </is>
      </c>
      <c r="C3646" s="20" t="inlineStr">
        <is>
          <t>목</t>
        </is>
      </c>
      <c r="D3646" s="20" t="inlineStr">
        <is>
          <t>네이버 쇼핑검색</t>
        </is>
      </c>
      <c r="E3646" s="20" t="inlineStr">
        <is>
          <t>고체향수</t>
        </is>
      </c>
      <c r="K3646" s="20" t="n">
        <v>2080</v>
      </c>
    </row>
    <row r="3647" ht="16.5" customHeight="1" s="17">
      <c r="A3647" s="20" t="inlineStr">
        <is>
          <t>쇼핑검색_고체향수세부키워드</t>
        </is>
      </c>
      <c r="B3647" s="16" t="inlineStr">
        <is>
          <t>2021-02-25</t>
        </is>
      </c>
      <c r="C3647" s="20" t="inlineStr">
        <is>
          <t>목</t>
        </is>
      </c>
      <c r="D3647" s="20" t="inlineStr">
        <is>
          <t>네이버 쇼핑검색</t>
        </is>
      </c>
      <c r="E3647" s="20" t="inlineStr">
        <is>
          <t>고체향수</t>
        </is>
      </c>
      <c r="K3647" s="20" t="n">
        <v>41540</v>
      </c>
    </row>
    <row r="3648" ht="16.5" customHeight="1" s="17">
      <c r="A3648" s="20" t="inlineStr">
        <is>
          <t>쇼핑검색_고체향수세부키워드2</t>
        </is>
      </c>
      <c r="B3648" s="16" t="inlineStr">
        <is>
          <t>2021-02-25</t>
        </is>
      </c>
      <c r="C3648" s="20" t="inlineStr">
        <is>
          <t>목</t>
        </is>
      </c>
      <c r="D3648" s="20" t="inlineStr">
        <is>
          <t>네이버 쇼핑검색</t>
        </is>
      </c>
      <c r="E3648" s="20" t="inlineStr">
        <is>
          <t>고체향수</t>
        </is>
      </c>
      <c r="K3648" s="20" t="n">
        <v>2390</v>
      </c>
    </row>
    <row r="3649" ht="16.5" customHeight="1" s="17">
      <c r="A3649" s="20" t="inlineStr">
        <is>
          <t>모바일 브검</t>
        </is>
      </c>
      <c r="B3649" s="16" t="inlineStr">
        <is>
          <t>2021-02-25</t>
        </is>
      </c>
      <c r="C3649" s="20" t="inlineStr">
        <is>
          <t>목</t>
        </is>
      </c>
      <c r="D3649" s="20" t="inlineStr">
        <is>
          <t>네이버 브랜드검색</t>
        </is>
      </c>
      <c r="E3649" s="20" t="inlineStr">
        <is>
          <t>브랜드</t>
        </is>
      </c>
      <c r="K3649" s="20" t="n">
        <v>0</v>
      </c>
    </row>
    <row r="3650" ht="16.5" customHeight="1" s="17">
      <c r="A3650" s="20" t="inlineStr">
        <is>
          <t>고체향수_승무원 어피_Npay 추적</t>
        </is>
      </c>
      <c r="B3650" s="16" t="inlineStr">
        <is>
          <t>2021-02-25</t>
        </is>
      </c>
      <c r="C3650" s="20" t="inlineStr">
        <is>
          <t>목</t>
        </is>
      </c>
      <c r="D3650" s="20" t="inlineStr">
        <is>
          <t>카카오 배너</t>
        </is>
      </c>
      <c r="E3650" s="20" t="inlineStr">
        <is>
          <t>고체향수</t>
        </is>
      </c>
      <c r="K3650" s="20" t="n">
        <v>90989.99999999999</v>
      </c>
    </row>
    <row r="3651" ht="16.5" customHeight="1" s="17">
      <c r="A3651" s="20" t="inlineStr">
        <is>
          <t>고체향수_Npay 추적</t>
        </is>
      </c>
      <c r="B3651" s="16" t="inlineStr">
        <is>
          <t>2021-02-25</t>
        </is>
      </c>
      <c r="C3651" s="20" t="inlineStr">
        <is>
          <t>목</t>
        </is>
      </c>
      <c r="D3651" s="20" t="inlineStr">
        <is>
          <t>카카오 배너</t>
        </is>
      </c>
      <c r="E3651" s="20" t="inlineStr">
        <is>
          <t>고체향수</t>
        </is>
      </c>
      <c r="K3651" s="20" t="n">
        <v>407709.9999999999</v>
      </c>
    </row>
    <row r="3652" ht="16.5" customHeight="1" s="17">
      <c r="B3652" s="16" t="inlineStr">
        <is>
          <t>2021-02-25</t>
        </is>
      </c>
      <c r="C3652" s="20" t="inlineStr">
        <is>
          <t>목</t>
        </is>
      </c>
      <c r="E3652" s="20" t="inlineStr">
        <is>
          <t>0</t>
        </is>
      </c>
      <c r="F3652" s="20" t="inlineStr">
        <is>
          <t>스마트스토어</t>
        </is>
      </c>
      <c r="G3652" s="20" t="inlineStr">
        <is>
          <t>유즈 고체향수 세트(유즈 스테이포에버, 유즈 이그나이트)고체향수: 스테이포에버 1개 + 이그나이트 1개</t>
        </is>
      </c>
      <c r="H3652" s="20" t="n">
        <v>3</v>
      </c>
      <c r="I3652" s="20" t="inlineStr">
        <is>
          <t>0</t>
        </is>
      </c>
      <c r="J3652" s="20" t="inlineStr">
        <is>
          <t>210207</t>
        </is>
      </c>
      <c r="L3652" s="20" t="n">
        <v>0</v>
      </c>
      <c r="M3652" s="20" t="n">
        <v>0</v>
      </c>
      <c r="N3652" s="20" t="n">
        <v>0</v>
      </c>
      <c r="O3652" s="20" t="inlineStr">
        <is>
          <t>스마트스토어0유즈 고체향수 세트(유즈 스테이포에버, 유즈 이그나이트)고체향수: 스테이포에버 1개 + 이그나이트 1개210207</t>
        </is>
      </c>
    </row>
    <row r="3653" ht="16.5" customHeight="1" s="17">
      <c r="B3653" s="16" t="inlineStr">
        <is>
          <t>2021-02-25</t>
        </is>
      </c>
      <c r="C3653" s="20" t="inlineStr">
        <is>
          <t>목</t>
        </is>
      </c>
      <c r="E3653" s="20" t="inlineStr">
        <is>
          <t>0</t>
        </is>
      </c>
      <c r="F3653" s="20" t="inlineStr">
        <is>
          <t>스마트스토어</t>
        </is>
      </c>
      <c r="G3653" s="20" t="inlineStr">
        <is>
          <t>유즈 고체향수 세트(유즈 스테이포에버, 유즈 이그나이트)고체향수: 스테이포에버 2개</t>
        </is>
      </c>
      <c r="H3653" s="20" t="n">
        <v>2</v>
      </c>
      <c r="I3653" s="20" t="inlineStr">
        <is>
          <t>0</t>
        </is>
      </c>
      <c r="J3653" s="20" t="inlineStr">
        <is>
          <t>210207</t>
        </is>
      </c>
      <c r="L3653" s="20" t="n">
        <v>0</v>
      </c>
      <c r="M3653" s="20" t="n">
        <v>0</v>
      </c>
      <c r="N3653" s="20" t="n">
        <v>0</v>
      </c>
      <c r="O3653" s="20" t="inlineStr">
        <is>
          <t>스마트스토어0유즈 고체향수 세트(유즈 스테이포에버, 유즈 이그나이트)고체향수: 스테이포에버 2개210207</t>
        </is>
      </c>
    </row>
    <row r="3654" ht="16.5" customHeight="1" s="17">
      <c r="B3654" s="16" t="inlineStr">
        <is>
          <t>2021-02-25</t>
        </is>
      </c>
      <c r="C3654" s="20" t="inlineStr">
        <is>
          <t>목</t>
        </is>
      </c>
      <c r="E3654" s="20" t="inlineStr">
        <is>
          <t>0</t>
        </is>
      </c>
      <c r="F3654" s="20" t="inlineStr">
        <is>
          <t>스마트스토어</t>
        </is>
      </c>
      <c r="G3654" s="20" t="inlineStr">
        <is>
          <t>유즈 고체향수 스테이포에버 002고체향수: 스테이포에버 1개</t>
        </is>
      </c>
      <c r="H3654" s="20" t="n">
        <v>18</v>
      </c>
      <c r="I3654" s="20" t="inlineStr">
        <is>
          <t>0</t>
        </is>
      </c>
      <c r="J3654" s="20" t="inlineStr">
        <is>
          <t>210207</t>
        </is>
      </c>
      <c r="L3654" s="20" t="n">
        <v>0</v>
      </c>
      <c r="M3654" s="20" t="n">
        <v>0</v>
      </c>
      <c r="N3654" s="20" t="n">
        <v>0</v>
      </c>
      <c r="O3654" s="20" t="inlineStr">
        <is>
          <t>스마트스토어0유즈 고체향수 스테이포에버 002고체향수: 스테이포에버 1개210207</t>
        </is>
      </c>
    </row>
    <row r="3655" ht="16.5" customHeight="1" s="17">
      <c r="B3655" s="16" t="inlineStr">
        <is>
          <t>2021-02-25</t>
        </is>
      </c>
      <c r="C3655" s="20" t="inlineStr">
        <is>
          <t>목</t>
        </is>
      </c>
      <c r="E3655" s="20" t="inlineStr">
        <is>
          <t>0</t>
        </is>
      </c>
      <c r="F3655" s="20" t="inlineStr">
        <is>
          <t>스마트스토어</t>
        </is>
      </c>
      <c r="G3655" s="20" t="inlineStr">
        <is>
          <t>유즈 고체향수 이그나이트 001고체향수: 이그나이트 1개</t>
        </is>
      </c>
      <c r="H3655" s="20" t="n">
        <v>1</v>
      </c>
      <c r="I3655" s="20" t="inlineStr">
        <is>
          <t>0</t>
        </is>
      </c>
      <c r="J3655" s="20" t="inlineStr">
        <is>
          <t>210207</t>
        </is>
      </c>
      <c r="L3655" s="20" t="n">
        <v>0</v>
      </c>
      <c r="M3655" s="20" t="n">
        <v>0</v>
      </c>
      <c r="N3655" s="20" t="n">
        <v>0</v>
      </c>
      <c r="O3655" s="20" t="inlineStr">
        <is>
          <t>스마트스토어0유즈 고체향수 이그나이트 001고체향수: 이그나이트 1개210207</t>
        </is>
      </c>
    </row>
    <row r="3656" ht="16.5" customHeight="1" s="17">
      <c r="B3656" s="16" t="inlineStr">
        <is>
          <t>2021-02-25</t>
        </is>
      </c>
      <c r="C3656" s="20" t="inlineStr">
        <is>
          <t>목</t>
        </is>
      </c>
      <c r="E3656" s="20" t="inlineStr">
        <is>
          <t>고체향수</t>
        </is>
      </c>
      <c r="F3656" s="20" t="inlineStr">
        <is>
          <t>유즈 CS</t>
        </is>
      </c>
      <c r="G3656" s="20" t="inlineStr">
        <is>
          <t>솔리드퍼퓸 스테이포에버 002 30ml</t>
        </is>
      </c>
      <c r="H3656" s="20" t="n">
        <v>1</v>
      </c>
      <c r="I3656" s="20" t="inlineStr">
        <is>
          <t>스테이포에버</t>
        </is>
      </c>
      <c r="J3656" s="20" t="inlineStr">
        <is>
          <t>210207</t>
        </is>
      </c>
      <c r="L3656" s="20" t="n">
        <v>0</v>
      </c>
      <c r="M3656" s="20" t="n">
        <v>0</v>
      </c>
      <c r="N3656" s="20" t="n">
        <v>2592</v>
      </c>
      <c r="O3656" s="20" t="inlineStr">
        <is>
          <t>유즈 CS고체향수솔리드퍼퓸 스테이포에버 002 30ml210207</t>
        </is>
      </c>
    </row>
    <row r="3657" ht="16.5" customHeight="1" s="17">
      <c r="B3657" s="16" t="inlineStr">
        <is>
          <t>2021-02-25</t>
        </is>
      </c>
      <c r="C3657" s="20" t="inlineStr">
        <is>
          <t>목</t>
        </is>
      </c>
      <c r="E3657" s="20" t="inlineStr">
        <is>
          <t>고체향수</t>
        </is>
      </c>
      <c r="F3657" s="20" t="inlineStr">
        <is>
          <t>카페24</t>
        </is>
      </c>
      <c r="G3657" s="20" t="inlineStr">
        <is>
          <t>솔리드퍼퓸 세트향=이그나이트 001 SOLID PERFUME, 세트 선택=1개</t>
        </is>
      </c>
      <c r="H3657" s="20" t="n">
        <v>1</v>
      </c>
      <c r="I3657" s="20" t="inlineStr">
        <is>
          <t>이그나이트</t>
        </is>
      </c>
      <c r="J3657" s="20" t="inlineStr">
        <is>
          <t>210207</t>
        </is>
      </c>
      <c r="L3657" s="20" t="n">
        <v>34000</v>
      </c>
    </row>
    <row r="3658" ht="16.5" customHeight="1" s="17">
      <c r="B3658" s="16" t="inlineStr">
        <is>
          <t>2021-02-25</t>
        </is>
      </c>
      <c r="C3658" s="20" t="inlineStr">
        <is>
          <t>목</t>
        </is>
      </c>
      <c r="E3658" s="20" t="inlineStr">
        <is>
          <t>고체향수</t>
        </is>
      </c>
      <c r="F3658" s="20" t="inlineStr">
        <is>
          <t>카페24</t>
        </is>
      </c>
      <c r="G3658" s="20" t="inlineStr">
        <is>
          <t>솔리드퍼퓸 세트향=이그나이트 001 SOLID PERFUME, 세트 선택=best 2개 (28% 할인)</t>
        </is>
      </c>
      <c r="H3658" s="20" t="n">
        <v>1</v>
      </c>
      <c r="I3658" s="20" t="inlineStr">
        <is>
          <t>이그나이트 2set</t>
        </is>
      </c>
      <c r="J3658" s="20" t="inlineStr">
        <is>
          <t>210207</t>
        </is>
      </c>
      <c r="L3658" s="20" t="n">
        <v>58800</v>
      </c>
      <c r="M3658" s="20" t="n">
        <v>55360.2</v>
      </c>
    </row>
    <row r="3659" ht="16.5" customHeight="1" s="17">
      <c r="B3659" s="16" t="inlineStr">
        <is>
          <t>2021-02-25</t>
        </is>
      </c>
      <c r="C3659" s="20" t="inlineStr">
        <is>
          <t>목</t>
        </is>
      </c>
      <c r="E3659" s="20" t="inlineStr">
        <is>
          <t>고체향수</t>
        </is>
      </c>
      <c r="F3659" s="20" t="inlineStr">
        <is>
          <t>카페24</t>
        </is>
      </c>
      <c r="G3659" s="20" t="inlineStr">
        <is>
          <t>솔리드퍼퓸 세트향=스테이포에버 002 SOLID PERFUME, 세트 선택=1개</t>
        </is>
      </c>
      <c r="H3659" s="20" t="n">
        <v>6</v>
      </c>
      <c r="I3659" s="20" t="inlineStr">
        <is>
          <t>스테이포에버</t>
        </is>
      </c>
      <c r="J3659" s="20" t="inlineStr">
        <is>
          <t>210207</t>
        </is>
      </c>
      <c r="L3659" s="20" t="n">
        <v>204000</v>
      </c>
    </row>
    <row r="3660" ht="16.5" customHeight="1" s="17">
      <c r="B3660" s="16" t="inlineStr">
        <is>
          <t>2021-02-25</t>
        </is>
      </c>
      <c r="C3660" s="20" t="inlineStr">
        <is>
          <t>목</t>
        </is>
      </c>
      <c r="E3660" s="20" t="inlineStr">
        <is>
          <t>고체향수</t>
        </is>
      </c>
      <c r="F3660" s="20" t="inlineStr">
        <is>
          <t>카페24</t>
        </is>
      </c>
      <c r="G3660" s="20" t="inlineStr">
        <is>
          <t>솔리드퍼퓸 세트향=스테이포에버 002 SOLID PERFUME, 세트 선택=best 2개 (28% 할인)</t>
        </is>
      </c>
      <c r="H3660" s="20" t="n">
        <v>6</v>
      </c>
      <c r="I3660" s="20" t="inlineStr">
        <is>
          <t>스테이포에버 2set</t>
        </is>
      </c>
      <c r="J3660" s="20" t="inlineStr">
        <is>
          <t>210207</t>
        </is>
      </c>
      <c r="L3660" s="20" t="n">
        <v>352800</v>
      </c>
      <c r="M3660" s="20" t="n">
        <v>332161.2</v>
      </c>
    </row>
    <row r="3661" ht="16.5" customHeight="1" s="17">
      <c r="B3661" s="16" t="inlineStr">
        <is>
          <t>2021-02-25</t>
        </is>
      </c>
      <c r="C3661" s="20" t="inlineStr">
        <is>
          <t>목</t>
        </is>
      </c>
      <c r="E3661" s="20" t="inlineStr">
        <is>
          <t>고체향수</t>
        </is>
      </c>
      <c r="F3661" s="20" t="inlineStr">
        <is>
          <t>카페24</t>
        </is>
      </c>
      <c r="G3661" s="20" t="inlineStr">
        <is>
          <t>솔리드퍼퓸 세트향=커플세트(이그나이트 + 스테이포에버), 세트 선택=1 SET</t>
        </is>
      </c>
      <c r="H3661" s="20" t="n">
        <v>15</v>
      </c>
      <c r="I3661" s="20" t="inlineStr">
        <is>
          <t>이그나이트 + 스테이포에버</t>
        </is>
      </c>
      <c r="J3661" s="20" t="inlineStr">
        <is>
          <t>210207</t>
        </is>
      </c>
      <c r="L3661" s="20" t="n">
        <v>882000</v>
      </c>
      <c r="M3661" s="20" t="n">
        <v>830403</v>
      </c>
    </row>
    <row r="3662" ht="16.5" customHeight="1" s="17">
      <c r="B3662" s="16" t="inlineStr">
        <is>
          <t>2021-02-25</t>
        </is>
      </c>
      <c r="C3662" s="20" t="inlineStr">
        <is>
          <t>목</t>
        </is>
      </c>
      <c r="E3662" s="20" t="inlineStr">
        <is>
          <t>고체향수</t>
        </is>
      </c>
      <c r="F3662" s="20" t="inlineStr">
        <is>
          <t>카페24</t>
        </is>
      </c>
      <c r="G3662" s="20" t="inlineStr">
        <is>
          <t>솔리드퍼퓸 스테이포에버 002제품선택=스테이포에버 1개</t>
        </is>
      </c>
      <c r="H3662" s="20" t="n">
        <v>176</v>
      </c>
      <c r="I3662" s="20" t="inlineStr">
        <is>
          <t>스테이포에버</t>
        </is>
      </c>
      <c r="J3662" s="20" t="inlineStr">
        <is>
          <t>210207</t>
        </is>
      </c>
      <c r="L3662" s="20" t="n">
        <v>5984000</v>
      </c>
    </row>
    <row r="3663" ht="16.5" customHeight="1" s="17">
      <c r="B3663" s="16" t="inlineStr">
        <is>
          <t>2021-02-25</t>
        </is>
      </c>
      <c r="C3663" s="20" t="inlineStr">
        <is>
          <t>목</t>
        </is>
      </c>
      <c r="E3663" s="20" t="inlineStr">
        <is>
          <t>고체향수</t>
        </is>
      </c>
      <c r="F3663" s="20" t="inlineStr">
        <is>
          <t>카페24</t>
        </is>
      </c>
      <c r="G3663" s="20" t="inlineStr">
        <is>
          <t>솔리드퍼퓸 스테이포에버 002제품선택=best스테이포에버 2개[28% 할인]</t>
        </is>
      </c>
      <c r="H3663" s="20" t="n">
        <v>131</v>
      </c>
      <c r="I3663" s="20" t="inlineStr">
        <is>
          <t>스테이포에버 2set</t>
        </is>
      </c>
      <c r="J3663" s="20" t="inlineStr">
        <is>
          <t>210207</t>
        </is>
      </c>
      <c r="L3663" s="20" t="n">
        <v>7702800</v>
      </c>
      <c r="M3663" s="20" t="n">
        <v>7252186.199999999</v>
      </c>
    </row>
    <row r="3664" ht="16.5" customHeight="1" s="17">
      <c r="B3664" s="16" t="inlineStr">
        <is>
          <t>2021-02-25</t>
        </is>
      </c>
      <c r="C3664" s="20" t="inlineStr">
        <is>
          <t>목</t>
        </is>
      </c>
      <c r="E3664" s="20" t="inlineStr">
        <is>
          <t>고체향수</t>
        </is>
      </c>
      <c r="F3664" s="20" t="inlineStr">
        <is>
          <t>카페24</t>
        </is>
      </c>
      <c r="G3664" s="20" t="inlineStr">
        <is>
          <t>솔리드퍼퓸 스테이포에버 002제품선택=커플추천스테이포에버 + 이그나이트 세트</t>
        </is>
      </c>
      <c r="H3664" s="20" t="n">
        <v>12</v>
      </c>
      <c r="I3664" s="20" t="inlineStr">
        <is>
          <t>이그나이트 + 스테이포에버</t>
        </is>
      </c>
      <c r="J3664" s="20" t="inlineStr">
        <is>
          <t>210207</t>
        </is>
      </c>
      <c r="L3664" s="20" t="n">
        <v>705600</v>
      </c>
      <c r="M3664" s="20" t="n">
        <v>664322.3999999999</v>
      </c>
    </row>
    <row r="3665" ht="16.5" customHeight="1" s="17">
      <c r="B3665" s="16" t="inlineStr">
        <is>
          <t>2021-02-25</t>
        </is>
      </c>
      <c r="C3665" s="20" t="inlineStr">
        <is>
          <t>목</t>
        </is>
      </c>
      <c r="E3665" s="20" t="inlineStr">
        <is>
          <t>쇼핑백</t>
        </is>
      </c>
      <c r="F3665" s="20" t="inlineStr">
        <is>
          <t>카페24</t>
        </is>
      </c>
      <c r="G3665" s="20" t="inlineStr">
        <is>
          <t>솔리드퍼퓸 스테이포에버 002쇼핑백=선물용 쇼핑백</t>
        </is>
      </c>
      <c r="H3665" s="20" t="n">
        <v>4</v>
      </c>
      <c r="I3665" s="20" t="inlineStr">
        <is>
          <t>쇼핑백</t>
        </is>
      </c>
      <c r="J3665" s="20" t="inlineStr">
        <is>
          <t>210207</t>
        </is>
      </c>
    </row>
    <row r="3666" ht="16.5" customHeight="1" s="17">
      <c r="B3666" s="16" t="inlineStr">
        <is>
          <t>2021-02-25</t>
        </is>
      </c>
      <c r="C3666" s="20" t="inlineStr">
        <is>
          <t>목</t>
        </is>
      </c>
      <c r="E3666" s="20" t="inlineStr">
        <is>
          <t>고체향수</t>
        </is>
      </c>
      <c r="F3666" s="20" t="inlineStr">
        <is>
          <t>카페24</t>
        </is>
      </c>
      <c r="G3666" s="20" t="inlineStr">
        <is>
          <t>솔리드퍼퓸 스테이포에버 002 30ml</t>
        </is>
      </c>
      <c r="H3666" s="20" t="n">
        <v>2</v>
      </c>
      <c r="I3666" s="20" t="inlineStr">
        <is>
          <t>스테이포에버</t>
        </is>
      </c>
      <c r="J3666" s="20" t="inlineStr">
        <is>
          <t>210207</t>
        </is>
      </c>
      <c r="L3666" s="20" t="n">
        <v>76000</v>
      </c>
      <c r="M3666" s="20" t="n">
        <v>71554</v>
      </c>
      <c r="N3666" s="20" t="n">
        <v>5184</v>
      </c>
      <c r="O3666" s="20" t="inlineStr">
        <is>
          <t>카페24고체향수솔리드퍼퓸 스테이포에버 002 30ml210207</t>
        </is>
      </c>
    </row>
    <row r="3667" ht="16.5" customHeight="1" s="17">
      <c r="B3667" s="16" t="inlineStr">
        <is>
          <t>2021-02-25</t>
        </is>
      </c>
      <c r="C3667" s="20" t="inlineStr">
        <is>
          <t>목</t>
        </is>
      </c>
      <c r="E3667" s="20" t="inlineStr">
        <is>
          <t>고체향수</t>
        </is>
      </c>
      <c r="F3667" s="20" t="inlineStr">
        <is>
          <t>카페24</t>
        </is>
      </c>
      <c r="G3667" s="20" t="inlineStr">
        <is>
          <t>솔리드퍼퓸 이그나이트 001제품선택=이그나이트 솔리드퍼퓸 - 30ml</t>
        </is>
      </c>
      <c r="H3667" s="20" t="n">
        <v>5</v>
      </c>
      <c r="I3667" s="20" t="inlineStr">
        <is>
          <t>이그나이트</t>
        </is>
      </c>
      <c r="J3667" s="20" t="inlineStr">
        <is>
          <t>210207</t>
        </is>
      </c>
      <c r="L3667" s="20" t="n">
        <v>170000</v>
      </c>
    </row>
    <row r="3668" ht="16.5" customHeight="1" s="17">
      <c r="A3668" s="20" t="inlineStr">
        <is>
          <t>고체향수</t>
        </is>
      </c>
      <c r="B3668" s="16" t="inlineStr">
        <is>
          <t>2021-02-25</t>
        </is>
      </c>
      <c r="C3668" s="20" t="inlineStr">
        <is>
          <t>목</t>
        </is>
      </c>
      <c r="K3668" s="20" t="n">
        <v>1035301.818181818</v>
      </c>
    </row>
    <row r="3669" ht="16.5" customHeight="1" s="17"/>
    <row r="3670" ht="16.5" customHeight="1" s="17">
      <c r="A3670" s="20" t="inlineStr">
        <is>
          <t>[성민 TEST] 스테이포에버_이미지</t>
        </is>
      </c>
      <c r="B3670" s="16" t="inlineStr">
        <is>
          <t>2021-02-26</t>
        </is>
      </c>
      <c r="C3670" s="20" t="inlineStr">
        <is>
          <t>금</t>
        </is>
      </c>
      <c r="D3670" s="20">
        <f>VLOOKUP($A3670,매칭테이블!$B$548:$D$1048576,2,0)</f>
        <v/>
      </c>
      <c r="E3670" s="20">
        <f>VLOOKUP($A3670,매칭테이블!$B$548:$D$1048576,3,0)</f>
        <v/>
      </c>
      <c r="K3670" s="20" t="n">
        <v>28903</v>
      </c>
    </row>
    <row r="3671" ht="16.5" customHeight="1" s="17">
      <c r="A3671" s="20" t="inlineStr">
        <is>
          <t>[승은 TEST] 스테이포에버_카드뉴스</t>
        </is>
      </c>
      <c r="B3671" s="16" t="inlineStr">
        <is>
          <t>2021-02-26</t>
        </is>
      </c>
      <c r="C3671" s="20" t="inlineStr">
        <is>
          <t>금</t>
        </is>
      </c>
      <c r="D3671" s="20" t="inlineStr">
        <is>
          <t>페이스북/인스타그램</t>
        </is>
      </c>
      <c r="E3671" s="20" t="inlineStr">
        <is>
          <t>고체향수</t>
        </is>
      </c>
      <c r="K3671" s="20" t="n">
        <v>57372</v>
      </c>
    </row>
    <row r="3672" ht="16.5" customHeight="1" s="17">
      <c r="A3672" s="20" t="inlineStr">
        <is>
          <t>[승무원 2] 스테이포에버_카드뉴스</t>
        </is>
      </c>
      <c r="B3672" s="16" t="inlineStr">
        <is>
          <t>2021-02-26</t>
        </is>
      </c>
      <c r="C3672" s="20" t="inlineStr">
        <is>
          <t>금</t>
        </is>
      </c>
      <c r="D3672" s="20">
        <f>VLOOKUP($A3672,매칭테이블!$B$548:$D$1048576,2,0)</f>
        <v/>
      </c>
      <c r="E3672" s="20">
        <f>VLOOKUP($A3672,매칭테이블!$B$548:$D$1048576,3,0)</f>
        <v/>
      </c>
      <c r="K3672" s="20" t="n">
        <v>490059</v>
      </c>
    </row>
    <row r="3673" ht="16.5" customHeight="1" s="17">
      <c r="A3673" s="20" t="inlineStr">
        <is>
          <t>[테스트]아줌마</t>
        </is>
      </c>
      <c r="B3673" s="16" t="inlineStr">
        <is>
          <t>2021-02-26</t>
        </is>
      </c>
      <c r="C3673" s="20" t="inlineStr">
        <is>
          <t>금</t>
        </is>
      </c>
      <c r="D3673" s="20" t="inlineStr">
        <is>
          <t>페이스북/인스타그램</t>
        </is>
      </c>
      <c r="E3673" s="20" t="inlineStr">
        <is>
          <t>고체향수</t>
        </is>
      </c>
      <c r="K3673" s="20" t="n">
        <v>210969</v>
      </c>
    </row>
    <row r="3674" ht="16.5" customHeight="1" s="17">
      <c r="A3674" s="20" t="inlineStr">
        <is>
          <t>[키워드 확장 테스트]스테이포에버_이미지</t>
        </is>
      </c>
      <c r="B3674" s="16" t="inlineStr">
        <is>
          <t>2021-02-26</t>
        </is>
      </c>
      <c r="C3674" s="20" t="inlineStr">
        <is>
          <t>금</t>
        </is>
      </c>
      <c r="D3674" s="20" t="inlineStr">
        <is>
          <t>페이스북/인스타그램</t>
        </is>
      </c>
      <c r="E3674" s="20" t="inlineStr">
        <is>
          <t>고체향수</t>
        </is>
      </c>
      <c r="K3674" s="20" t="n">
        <v>260468</v>
      </c>
    </row>
    <row r="3675" ht="16.5" customHeight="1" s="17">
      <c r="A3675" s="20" t="inlineStr">
        <is>
          <t>[재입고]스테이포에버_이미지</t>
        </is>
      </c>
      <c r="B3675" s="16" t="inlineStr">
        <is>
          <t>2021-02-26</t>
        </is>
      </c>
      <c r="C3675" s="20" t="inlineStr">
        <is>
          <t>금</t>
        </is>
      </c>
      <c r="D3675" s="20" t="inlineStr">
        <is>
          <t>페이스북/인스타그램</t>
        </is>
      </c>
      <c r="E3675" s="20" t="inlineStr">
        <is>
          <t>고체향수</t>
        </is>
      </c>
      <c r="K3675" s="20" t="n">
        <v>145445</v>
      </c>
    </row>
    <row r="3676" ht="16.5" customHeight="1" s="17">
      <c r="A3676" s="20" t="inlineStr">
        <is>
          <t>[승무원]숏폼_영상</t>
        </is>
      </c>
      <c r="B3676" s="16" t="inlineStr">
        <is>
          <t>2021-02-26</t>
        </is>
      </c>
      <c r="C3676" s="20" t="inlineStr">
        <is>
          <t>금</t>
        </is>
      </c>
      <c r="D3676" s="20" t="inlineStr">
        <is>
          <t>페이스북/인스타그램</t>
        </is>
      </c>
      <c r="E3676" s="20" t="inlineStr">
        <is>
          <t>고체향수</t>
        </is>
      </c>
      <c r="K3676" s="20" t="n">
        <v>97961</v>
      </c>
    </row>
    <row r="3677" ht="16.5" customHeight="1" s="17">
      <c r="A3677" s="20" t="inlineStr">
        <is>
          <t>[재입고]스테이포에버_영상</t>
        </is>
      </c>
      <c r="B3677" s="16" t="inlineStr">
        <is>
          <t>2021-02-26</t>
        </is>
      </c>
      <c r="C3677" s="20" t="inlineStr">
        <is>
          <t>금</t>
        </is>
      </c>
      <c r="D3677" s="20" t="inlineStr">
        <is>
          <t>페이스북/인스타그램</t>
        </is>
      </c>
      <c r="E3677" s="20" t="inlineStr">
        <is>
          <t>고체향수</t>
        </is>
      </c>
      <c r="K3677" s="20" t="n">
        <v>195515</v>
      </c>
    </row>
    <row r="3678" ht="16.5" customHeight="1" s="17">
      <c r="A3678" s="20" t="inlineStr">
        <is>
          <t>[필라테스]스테이포에버_카드뉴스</t>
        </is>
      </c>
      <c r="B3678" s="16" t="inlineStr">
        <is>
          <t>2021-02-26</t>
        </is>
      </c>
      <c r="C3678" s="20" t="inlineStr">
        <is>
          <t>금</t>
        </is>
      </c>
      <c r="D3678" s="20" t="inlineStr">
        <is>
          <t>페이스북/인스타그램</t>
        </is>
      </c>
      <c r="E3678" s="20" t="inlineStr">
        <is>
          <t>고체향수</t>
        </is>
      </c>
      <c r="K3678" s="20" t="n">
        <v>48588</v>
      </c>
    </row>
    <row r="3679" ht="16.5" customHeight="1" s="17">
      <c r="A3679" s="20" t="inlineStr">
        <is>
          <t>[젊줌마]스테이포에버_영상</t>
        </is>
      </c>
      <c r="B3679" s="16" t="inlineStr">
        <is>
          <t>2021-02-26</t>
        </is>
      </c>
      <c r="C3679" s="20" t="inlineStr">
        <is>
          <t>금</t>
        </is>
      </c>
      <c r="D3679" s="20" t="inlineStr">
        <is>
          <t>페이스북/인스타그램</t>
        </is>
      </c>
      <c r="E3679" s="20" t="inlineStr">
        <is>
          <t>고체향수</t>
        </is>
      </c>
      <c r="K3679" s="20" t="n">
        <v>96471</v>
      </c>
    </row>
    <row r="3680" ht="16.5" customHeight="1" s="17">
      <c r="A3680" s="20" t="inlineStr">
        <is>
          <t>[이성소구]스테이포에버_영상</t>
        </is>
      </c>
      <c r="B3680" s="16" t="inlineStr">
        <is>
          <t>2021-02-26</t>
        </is>
      </c>
      <c r="C3680" s="20" t="inlineStr">
        <is>
          <t>금</t>
        </is>
      </c>
      <c r="D3680" s="20" t="inlineStr">
        <is>
          <t>페이스북/인스타그램</t>
        </is>
      </c>
      <c r="E3680" s="20" t="inlineStr">
        <is>
          <t>고체향수</t>
        </is>
      </c>
      <c r="K3680" s="20" t="n">
        <v>29338</v>
      </c>
    </row>
    <row r="3681" ht="16.5" customHeight="1" s="17">
      <c r="A3681" s="20" t="inlineStr">
        <is>
          <t>[승무원]2019년썰 카드뉴스+ 향묘사_영상</t>
        </is>
      </c>
      <c r="B3681" s="16" t="inlineStr">
        <is>
          <t>2021-02-26</t>
        </is>
      </c>
      <c r="C3681" s="20" t="inlineStr">
        <is>
          <t>금</t>
        </is>
      </c>
      <c r="D3681" s="20" t="inlineStr">
        <is>
          <t>페이스북/인스타그램</t>
        </is>
      </c>
      <c r="E3681" s="20" t="inlineStr">
        <is>
          <t>고체향수</t>
        </is>
      </c>
      <c r="K3681" s="20" t="n">
        <v>97418</v>
      </c>
    </row>
    <row r="3682" ht="16.5" customHeight="1" s="17">
      <c r="A3682" s="20" t="inlineStr">
        <is>
          <t>[승무원어피]스테이포에버_이미지</t>
        </is>
      </c>
      <c r="B3682" s="16" t="inlineStr">
        <is>
          <t>2021-02-26</t>
        </is>
      </c>
      <c r="C3682" s="20" t="inlineStr">
        <is>
          <t>금</t>
        </is>
      </c>
      <c r="D3682" s="20" t="inlineStr">
        <is>
          <t>페이스북/인스타그램</t>
        </is>
      </c>
      <c r="E3682" s="20" t="inlineStr">
        <is>
          <t>고체향수</t>
        </is>
      </c>
      <c r="K3682" s="20" t="n">
        <v>97720</v>
      </c>
    </row>
    <row r="3683" ht="16.5" customHeight="1" s="17">
      <c r="A3683" s="20" t="inlineStr">
        <is>
          <t>[다현]스테이포에버_이미지</t>
        </is>
      </c>
      <c r="B3683" s="16" t="inlineStr">
        <is>
          <t>2021-02-26</t>
        </is>
      </c>
      <c r="C3683" s="20" t="inlineStr">
        <is>
          <t>금</t>
        </is>
      </c>
      <c r="D3683" s="20" t="inlineStr">
        <is>
          <t>페이스북/인스타그램</t>
        </is>
      </c>
      <c r="E3683" s="20" t="inlineStr">
        <is>
          <t>고체향수</t>
        </is>
      </c>
      <c r="K3683" s="20" t="n">
        <v>291281</v>
      </c>
    </row>
    <row r="3684" ht="16.5" customHeight="1" s="17">
      <c r="A3684" s="20" t="inlineStr">
        <is>
          <t>[승무원]스테이포에버_카드뉴스</t>
        </is>
      </c>
      <c r="B3684" s="16" t="inlineStr">
        <is>
          <t>2021-02-26</t>
        </is>
      </c>
      <c r="C3684" s="20" t="inlineStr">
        <is>
          <t>금</t>
        </is>
      </c>
      <c r="D3684" s="20" t="inlineStr">
        <is>
          <t>페이스북/인스타그램</t>
        </is>
      </c>
      <c r="E3684" s="20" t="inlineStr">
        <is>
          <t>고체향수</t>
        </is>
      </c>
      <c r="K3684" s="20" t="n">
        <v>293790</v>
      </c>
    </row>
    <row r="3685" ht="16.5" customHeight="1" s="17">
      <c r="A3685" s="20" t="inlineStr">
        <is>
          <t>[후기타입]스테이포에버_영상</t>
        </is>
      </c>
      <c r="B3685" s="16" t="inlineStr">
        <is>
          <t>2021-02-26</t>
        </is>
      </c>
      <c r="C3685" s="20" t="inlineStr">
        <is>
          <t>금</t>
        </is>
      </c>
      <c r="D3685" s="20" t="inlineStr">
        <is>
          <t>페이스북/인스타그램</t>
        </is>
      </c>
      <c r="E3685" s="20" t="inlineStr">
        <is>
          <t>고체향수</t>
        </is>
      </c>
      <c r="K3685" s="20" t="n">
        <v>145902</v>
      </c>
    </row>
    <row r="3686" ht="16.5" customHeight="1" s="17">
      <c r="A3686" s="20" t="inlineStr">
        <is>
          <t>전환_스테이포에버</t>
        </is>
      </c>
      <c r="B3686" s="16" t="inlineStr">
        <is>
          <t>2021-02-26</t>
        </is>
      </c>
      <c r="C3686" s="20" t="inlineStr">
        <is>
          <t>금</t>
        </is>
      </c>
      <c r="D3686" s="20" t="inlineStr">
        <is>
          <t>페이스북/인스타그램</t>
        </is>
      </c>
      <c r="E3686" s="20" t="inlineStr">
        <is>
          <t>고체향수</t>
        </is>
      </c>
      <c r="K3686" s="20" t="n">
        <v>146174</v>
      </c>
    </row>
    <row r="3687" ht="16.5" customHeight="1" s="17">
      <c r="A3687" s="20" t="inlineStr">
        <is>
          <t>[권태기커플]스테이포에버_영상</t>
        </is>
      </c>
      <c r="B3687" s="16" t="inlineStr">
        <is>
          <t>2021-02-26</t>
        </is>
      </c>
      <c r="C3687" s="20" t="inlineStr">
        <is>
          <t>금</t>
        </is>
      </c>
      <c r="D3687" s="20" t="inlineStr">
        <is>
          <t>페이스북/인스타그램</t>
        </is>
      </c>
      <c r="E3687" s="20" t="inlineStr">
        <is>
          <t>고체향수</t>
        </is>
      </c>
      <c r="K3687" s="20" t="n">
        <v>145448</v>
      </c>
    </row>
    <row r="3688" ht="16.5" customHeight="1" s="17">
      <c r="A3688" s="20" t="inlineStr">
        <is>
          <t>[성민 TEST] 스테이포에버_이미지</t>
        </is>
      </c>
      <c r="B3688" s="16" t="inlineStr">
        <is>
          <t>2021-02-27</t>
        </is>
      </c>
      <c r="C3688" s="20" t="inlineStr">
        <is>
          <t>토</t>
        </is>
      </c>
      <c r="D3688" s="20">
        <f>VLOOKUP($A3688,매칭테이블!$B$548:$D$1048576,2,0)</f>
        <v/>
      </c>
      <c r="E3688" s="20">
        <f>VLOOKUP($A3688,매칭테이블!$B$548:$D$1048576,3,0)</f>
        <v/>
      </c>
      <c r="K3688" s="20" t="n">
        <v>31330</v>
      </c>
    </row>
    <row r="3689" ht="16.5" customHeight="1" s="17">
      <c r="A3689" s="20" t="inlineStr">
        <is>
          <t>[승은 TEST] 스테이포에버_카드뉴스</t>
        </is>
      </c>
      <c r="B3689" s="16" t="inlineStr">
        <is>
          <t>2021-02-27</t>
        </is>
      </c>
      <c r="C3689" s="20" t="inlineStr">
        <is>
          <t>토</t>
        </is>
      </c>
      <c r="D3689" s="20" t="inlineStr">
        <is>
          <t>페이스북/인스타그램</t>
        </is>
      </c>
      <c r="E3689" s="20" t="inlineStr">
        <is>
          <t>고체향수</t>
        </is>
      </c>
      <c r="K3689" s="20" t="n">
        <v>60297</v>
      </c>
    </row>
    <row r="3690" ht="16.5" customHeight="1" s="17">
      <c r="A3690" s="20" t="inlineStr">
        <is>
          <t>[승무원 2] 스테이포에버_카드뉴스</t>
        </is>
      </c>
      <c r="B3690" s="16" t="inlineStr">
        <is>
          <t>2021-02-27</t>
        </is>
      </c>
      <c r="C3690" s="20" t="inlineStr">
        <is>
          <t>토</t>
        </is>
      </c>
      <c r="D3690" s="20">
        <f>VLOOKUP($A3690,매칭테이블!$B$548:$D$1048576,2,0)</f>
        <v/>
      </c>
      <c r="E3690" s="20">
        <f>VLOOKUP($A3690,매칭테이블!$B$548:$D$1048576,3,0)</f>
        <v/>
      </c>
      <c r="K3690" s="20" t="n">
        <v>512087</v>
      </c>
    </row>
    <row r="3691" ht="16.5" customHeight="1" s="17">
      <c r="A3691" s="20" t="inlineStr">
        <is>
          <t>[테스트]아줌마</t>
        </is>
      </c>
      <c r="B3691" s="16" t="inlineStr">
        <is>
          <t>2021-02-27</t>
        </is>
      </c>
      <c r="C3691" s="20" t="inlineStr">
        <is>
          <t>토</t>
        </is>
      </c>
      <c r="D3691" s="20" t="inlineStr">
        <is>
          <t>페이스북/인스타그램</t>
        </is>
      </c>
      <c r="E3691" s="20" t="inlineStr">
        <is>
          <t>고체향수</t>
        </is>
      </c>
      <c r="K3691" s="20" t="n">
        <v>221911</v>
      </c>
    </row>
    <row r="3692" ht="16.5" customHeight="1" s="17">
      <c r="A3692" s="20" t="inlineStr">
        <is>
          <t>[키워드 확장 테스트]스테이포에버_이미지</t>
        </is>
      </c>
      <c r="B3692" s="16" t="inlineStr">
        <is>
          <t>2021-02-27</t>
        </is>
      </c>
      <c r="C3692" s="20" t="inlineStr">
        <is>
          <t>토</t>
        </is>
      </c>
      <c r="D3692" s="20" t="inlineStr">
        <is>
          <t>페이스북/인스타그램</t>
        </is>
      </c>
      <c r="E3692" s="20" t="inlineStr">
        <is>
          <t>고체향수</t>
        </is>
      </c>
      <c r="K3692" s="20" t="n">
        <v>275883</v>
      </c>
    </row>
    <row r="3693" ht="16.5" customHeight="1" s="17">
      <c r="A3693" s="20" t="inlineStr">
        <is>
          <t>[재입고]스테이포에버_이미지</t>
        </is>
      </c>
      <c r="B3693" s="16" t="inlineStr">
        <is>
          <t>2021-02-27</t>
        </is>
      </c>
      <c r="C3693" s="20" t="inlineStr">
        <is>
          <t>토</t>
        </is>
      </c>
      <c r="D3693" s="20" t="inlineStr">
        <is>
          <t>페이스북/인스타그램</t>
        </is>
      </c>
      <c r="E3693" s="20" t="inlineStr">
        <is>
          <t>고체향수</t>
        </is>
      </c>
      <c r="K3693" s="20" t="n">
        <v>153608</v>
      </c>
    </row>
    <row r="3694" ht="16.5" customHeight="1" s="17">
      <c r="A3694" s="20" t="inlineStr">
        <is>
          <t>[승무원]숏폼_영상</t>
        </is>
      </c>
      <c r="B3694" s="16" t="inlineStr">
        <is>
          <t>2021-02-27</t>
        </is>
      </c>
      <c r="C3694" s="20" t="inlineStr">
        <is>
          <t>토</t>
        </is>
      </c>
      <c r="D3694" s="20" t="inlineStr">
        <is>
          <t>페이스북/인스타그램</t>
        </is>
      </c>
      <c r="E3694" s="20" t="inlineStr">
        <is>
          <t>고체향수</t>
        </is>
      </c>
      <c r="K3694" s="20" t="n">
        <v>99436</v>
      </c>
    </row>
    <row r="3695" ht="16.5" customHeight="1" s="17">
      <c r="A3695" s="20" t="inlineStr">
        <is>
          <t>[재입고]스테이포에버_영상</t>
        </is>
      </c>
      <c r="B3695" s="16" t="inlineStr">
        <is>
          <t>2021-02-27</t>
        </is>
      </c>
      <c r="C3695" s="20" t="inlineStr">
        <is>
          <t>토</t>
        </is>
      </c>
      <c r="D3695" s="20" t="inlineStr">
        <is>
          <t>페이스북/인스타그램</t>
        </is>
      </c>
      <c r="E3695" s="20" t="inlineStr">
        <is>
          <t>고체향수</t>
        </is>
      </c>
      <c r="K3695" s="20" t="n">
        <v>203747</v>
      </c>
    </row>
    <row r="3696" ht="16.5" customHeight="1" s="17">
      <c r="A3696" s="20" t="inlineStr">
        <is>
          <t>[필라테스]스테이포에버_카드뉴스</t>
        </is>
      </c>
      <c r="B3696" s="16" t="inlineStr">
        <is>
          <t>2021-02-27</t>
        </is>
      </c>
      <c r="C3696" s="20" t="inlineStr">
        <is>
          <t>토</t>
        </is>
      </c>
      <c r="D3696" s="20" t="inlineStr">
        <is>
          <t>페이스북/인스타그램</t>
        </is>
      </c>
      <c r="E3696" s="20" t="inlineStr">
        <is>
          <t>고체향수</t>
        </is>
      </c>
      <c r="K3696" s="20" t="n">
        <v>50374</v>
      </c>
    </row>
    <row r="3697" ht="16.5" customHeight="1" s="17">
      <c r="A3697" s="20" t="inlineStr">
        <is>
          <t>[젊줌마]스테이포에버_영상</t>
        </is>
      </c>
      <c r="B3697" s="16" t="inlineStr">
        <is>
          <t>2021-02-27</t>
        </is>
      </c>
      <c r="C3697" s="20" t="inlineStr">
        <is>
          <t>토</t>
        </is>
      </c>
      <c r="D3697" s="20" t="inlineStr">
        <is>
          <t>페이스북/인스타그램</t>
        </is>
      </c>
      <c r="E3697" s="20" t="inlineStr">
        <is>
          <t>고체향수</t>
        </is>
      </c>
      <c r="K3697" s="20" t="n">
        <v>101581</v>
      </c>
    </row>
    <row r="3698" ht="16.5" customHeight="1" s="17">
      <c r="A3698" s="20" t="inlineStr">
        <is>
          <t>[이성소구]스테이포에버_영상</t>
        </is>
      </c>
      <c r="B3698" s="16" t="inlineStr">
        <is>
          <t>2021-02-27</t>
        </is>
      </c>
      <c r="C3698" s="20" t="inlineStr">
        <is>
          <t>토</t>
        </is>
      </c>
      <c r="D3698" s="20" t="inlineStr">
        <is>
          <t>페이스북/인스타그램</t>
        </is>
      </c>
      <c r="E3698" s="20" t="inlineStr">
        <is>
          <t>고체향수</t>
        </is>
      </c>
      <c r="K3698" s="20" t="n">
        <v>29829</v>
      </c>
    </row>
    <row r="3699" ht="16.5" customHeight="1" s="17">
      <c r="A3699" s="20" t="inlineStr">
        <is>
          <t>[승무원]2019년썰 카드뉴스+ 향묘사_영상</t>
        </is>
      </c>
      <c r="B3699" s="16" t="inlineStr">
        <is>
          <t>2021-02-27</t>
        </is>
      </c>
      <c r="C3699" s="20" t="inlineStr">
        <is>
          <t>토</t>
        </is>
      </c>
      <c r="D3699" s="20" t="inlineStr">
        <is>
          <t>페이스북/인스타그램</t>
        </is>
      </c>
      <c r="E3699" s="20" t="inlineStr">
        <is>
          <t>고체향수</t>
        </is>
      </c>
      <c r="K3699" s="20" t="n">
        <v>101128</v>
      </c>
    </row>
    <row r="3700" ht="16.5" customHeight="1" s="17">
      <c r="A3700" s="20" t="inlineStr">
        <is>
          <t>[승무원어피]스테이포에버_이미지</t>
        </is>
      </c>
      <c r="B3700" s="16" t="inlineStr">
        <is>
          <t>2021-02-27</t>
        </is>
      </c>
      <c r="C3700" s="20" t="inlineStr">
        <is>
          <t>토</t>
        </is>
      </c>
      <c r="D3700" s="20" t="inlineStr">
        <is>
          <t>페이스북/인스타그램</t>
        </is>
      </c>
      <c r="E3700" s="20" t="inlineStr">
        <is>
          <t>고체향수</t>
        </is>
      </c>
      <c r="K3700" s="20" t="n">
        <v>100808</v>
      </c>
    </row>
    <row r="3701" ht="16.5" customHeight="1" s="17">
      <c r="A3701" s="20" t="inlineStr">
        <is>
          <t>[다현]스테이포에버_이미지</t>
        </is>
      </c>
      <c r="B3701" s="16" t="inlineStr">
        <is>
          <t>2021-02-27</t>
        </is>
      </c>
      <c r="C3701" s="20" t="inlineStr">
        <is>
          <t>토</t>
        </is>
      </c>
      <c r="D3701" s="20" t="inlineStr">
        <is>
          <t>페이스북/인스타그램</t>
        </is>
      </c>
      <c r="E3701" s="20" t="inlineStr">
        <is>
          <t>고체향수</t>
        </is>
      </c>
      <c r="K3701" s="20" t="n">
        <v>305151</v>
      </c>
    </row>
    <row r="3702" ht="16.5" customHeight="1" s="17">
      <c r="A3702" s="20" t="inlineStr">
        <is>
          <t>[승무원]스테이포에버_카드뉴스</t>
        </is>
      </c>
      <c r="B3702" s="16" t="inlineStr">
        <is>
          <t>2021-02-27</t>
        </is>
      </c>
      <c r="C3702" s="20" t="inlineStr">
        <is>
          <t>토</t>
        </is>
      </c>
      <c r="D3702" s="20" t="inlineStr">
        <is>
          <t>페이스북/인스타그램</t>
        </is>
      </c>
      <c r="E3702" s="20" t="inlineStr">
        <is>
          <t>고체향수</t>
        </is>
      </c>
      <c r="K3702" s="20" t="n">
        <v>306597</v>
      </c>
    </row>
    <row r="3703" ht="16.5" customHeight="1" s="17">
      <c r="A3703" s="20" t="inlineStr">
        <is>
          <t>[후기타입]스테이포에버_영상</t>
        </is>
      </c>
      <c r="B3703" s="16" t="inlineStr">
        <is>
          <t>2021-02-27</t>
        </is>
      </c>
      <c r="C3703" s="20" t="inlineStr">
        <is>
          <t>토</t>
        </is>
      </c>
      <c r="D3703" s="20" t="inlineStr">
        <is>
          <t>페이스북/인스타그램</t>
        </is>
      </c>
      <c r="E3703" s="20" t="inlineStr">
        <is>
          <t>고체향수</t>
        </is>
      </c>
      <c r="K3703" s="20" t="n">
        <v>152733</v>
      </c>
    </row>
    <row r="3704" ht="16.5" customHeight="1" s="17">
      <c r="A3704" s="20" t="inlineStr">
        <is>
          <t>전환_스테이포에버</t>
        </is>
      </c>
      <c r="B3704" s="16" t="inlineStr">
        <is>
          <t>2021-02-27</t>
        </is>
      </c>
      <c r="C3704" s="20" t="inlineStr">
        <is>
          <t>토</t>
        </is>
      </c>
      <c r="D3704" s="20" t="inlineStr">
        <is>
          <t>페이스북/인스타그램</t>
        </is>
      </c>
      <c r="E3704" s="20" t="inlineStr">
        <is>
          <t>고체향수</t>
        </is>
      </c>
      <c r="K3704" s="20" t="n">
        <v>152605</v>
      </c>
    </row>
    <row r="3705" ht="16.5" customHeight="1" s="17">
      <c r="A3705" s="20" t="inlineStr">
        <is>
          <t>[권태기커플]스테이포에버_영상</t>
        </is>
      </c>
      <c r="B3705" s="16" t="inlineStr">
        <is>
          <t>2021-02-27</t>
        </is>
      </c>
      <c r="C3705" s="20" t="inlineStr">
        <is>
          <t>토</t>
        </is>
      </c>
      <c r="D3705" s="20" t="inlineStr">
        <is>
          <t>페이스북/인스타그램</t>
        </is>
      </c>
      <c r="E3705" s="20" t="inlineStr">
        <is>
          <t>고체향수</t>
        </is>
      </c>
      <c r="K3705" s="20" t="n">
        <v>150860</v>
      </c>
    </row>
    <row r="3706" ht="16.5" customHeight="1" s="17">
      <c r="A3706" s="20" t="inlineStr">
        <is>
          <t>[성민 TEST] 스테이포에버_이미지</t>
        </is>
      </c>
      <c r="B3706" s="16" t="inlineStr">
        <is>
          <t>2021-02-28</t>
        </is>
      </c>
      <c r="C3706" s="20" t="inlineStr">
        <is>
          <t>일</t>
        </is>
      </c>
      <c r="D3706" s="20">
        <f>VLOOKUP($A3706,매칭테이블!$B$548:$D$1048576,2,0)</f>
        <v/>
      </c>
      <c r="E3706" s="20">
        <f>VLOOKUP($A3706,매칭테이블!$B$548:$D$1048576,3,0)</f>
        <v/>
      </c>
      <c r="K3706" s="20" t="n">
        <v>30143</v>
      </c>
    </row>
    <row r="3707" ht="16.5" customHeight="1" s="17">
      <c r="A3707" s="20" t="inlineStr">
        <is>
          <t>[승은 TEST] 스테이포에버_카드뉴스</t>
        </is>
      </c>
      <c r="B3707" s="16" t="inlineStr">
        <is>
          <t>2021-02-28</t>
        </is>
      </c>
      <c r="C3707" s="20" t="inlineStr">
        <is>
          <t>일</t>
        </is>
      </c>
      <c r="D3707" s="20" t="inlineStr">
        <is>
          <t>페이스북/인스타그램</t>
        </is>
      </c>
      <c r="E3707" s="20" t="inlineStr">
        <is>
          <t>고체향수</t>
        </is>
      </c>
      <c r="K3707" s="20" t="n">
        <v>60351</v>
      </c>
    </row>
    <row r="3708" ht="16.5" customHeight="1" s="17">
      <c r="A3708" s="20" t="inlineStr">
        <is>
          <t>[승무원 2] 스테이포에버_카드뉴스</t>
        </is>
      </c>
      <c r="B3708" s="16" t="inlineStr">
        <is>
          <t>2021-02-28</t>
        </is>
      </c>
      <c r="C3708" s="20" t="inlineStr">
        <is>
          <t>일</t>
        </is>
      </c>
      <c r="D3708" s="20">
        <f>VLOOKUP($A3708,매칭테이블!$B$548:$D$1048576,2,0)</f>
        <v/>
      </c>
      <c r="E3708" s="20">
        <f>VLOOKUP($A3708,매칭테이블!$B$548:$D$1048576,3,0)</f>
        <v/>
      </c>
      <c r="K3708" s="20" t="n">
        <v>500920</v>
      </c>
    </row>
    <row r="3709" ht="16.5" customHeight="1" s="17">
      <c r="A3709" s="20" t="inlineStr">
        <is>
          <t>[테스트]아줌마</t>
        </is>
      </c>
      <c r="B3709" s="16" t="inlineStr">
        <is>
          <t>2021-02-28</t>
        </is>
      </c>
      <c r="C3709" s="20" t="inlineStr">
        <is>
          <t>일</t>
        </is>
      </c>
      <c r="D3709" s="20" t="inlineStr">
        <is>
          <t>페이스북/인스타그램</t>
        </is>
      </c>
      <c r="E3709" s="20" t="inlineStr">
        <is>
          <t>고체향수</t>
        </is>
      </c>
      <c r="K3709" s="20" t="n">
        <v>222348</v>
      </c>
    </row>
    <row r="3710" ht="16.5" customHeight="1" s="17">
      <c r="A3710" s="20" t="inlineStr">
        <is>
          <t>[키워드 확장 테스트]스테이포에버_이미지</t>
        </is>
      </c>
      <c r="B3710" s="16" t="inlineStr">
        <is>
          <t>2021-02-28</t>
        </is>
      </c>
      <c r="C3710" s="20" t="inlineStr">
        <is>
          <t>일</t>
        </is>
      </c>
      <c r="D3710" s="20" t="inlineStr">
        <is>
          <t>페이스북/인스타그램</t>
        </is>
      </c>
      <c r="E3710" s="20" t="inlineStr">
        <is>
          <t>고체향수</t>
        </is>
      </c>
      <c r="K3710" s="20" t="n">
        <v>272017</v>
      </c>
    </row>
    <row r="3711" ht="16.5" customHeight="1" s="17">
      <c r="A3711" s="20" t="inlineStr">
        <is>
          <t>[재입고]스테이포에버_이미지</t>
        </is>
      </c>
      <c r="B3711" s="16" t="inlineStr">
        <is>
          <t>2021-02-28</t>
        </is>
      </c>
      <c r="C3711" s="20" t="inlineStr">
        <is>
          <t>일</t>
        </is>
      </c>
      <c r="D3711" s="20" t="inlineStr">
        <is>
          <t>페이스북/인스타그램</t>
        </is>
      </c>
      <c r="E3711" s="20" t="inlineStr">
        <is>
          <t>고체향수</t>
        </is>
      </c>
      <c r="K3711" s="20" t="n">
        <v>150188</v>
      </c>
    </row>
    <row r="3712" ht="16.5" customHeight="1" s="17">
      <c r="A3712" s="20" t="inlineStr">
        <is>
          <t>[승무원]숏폼_영상</t>
        </is>
      </c>
      <c r="B3712" s="16" t="inlineStr">
        <is>
          <t>2021-02-28</t>
        </is>
      </c>
      <c r="C3712" s="20" t="inlineStr">
        <is>
          <t>일</t>
        </is>
      </c>
      <c r="D3712" s="20" t="inlineStr">
        <is>
          <t>페이스북/인스타그램</t>
        </is>
      </c>
      <c r="E3712" s="20" t="inlineStr">
        <is>
          <t>고체향수</t>
        </is>
      </c>
      <c r="K3712" s="20" t="n">
        <v>100851</v>
      </c>
    </row>
    <row r="3713" ht="16.5" customHeight="1" s="17">
      <c r="A3713" s="20" t="inlineStr">
        <is>
          <t>[재입고]스테이포에버_영상</t>
        </is>
      </c>
      <c r="B3713" s="16" t="inlineStr">
        <is>
          <t>2021-02-28</t>
        </is>
      </c>
      <c r="C3713" s="20" t="inlineStr">
        <is>
          <t>일</t>
        </is>
      </c>
      <c r="D3713" s="20" t="inlineStr">
        <is>
          <t>페이스북/인스타그램</t>
        </is>
      </c>
      <c r="E3713" s="20" t="inlineStr">
        <is>
          <t>고체향수</t>
        </is>
      </c>
      <c r="K3713" s="20" t="n">
        <v>201276</v>
      </c>
    </row>
    <row r="3714" ht="16.5" customHeight="1" s="17">
      <c r="A3714" s="20" t="inlineStr">
        <is>
          <t>[필라테스]스테이포에버_카드뉴스</t>
        </is>
      </c>
      <c r="B3714" s="16" t="inlineStr">
        <is>
          <t>2021-02-28</t>
        </is>
      </c>
      <c r="C3714" s="20" t="inlineStr">
        <is>
          <t>일</t>
        </is>
      </c>
      <c r="D3714" s="20" t="inlineStr">
        <is>
          <t>페이스북/인스타그램</t>
        </is>
      </c>
      <c r="E3714" s="20" t="inlineStr">
        <is>
          <t>고체향수</t>
        </is>
      </c>
      <c r="K3714" s="20" t="n">
        <v>50320</v>
      </c>
    </row>
    <row r="3715" ht="16.5" customHeight="1" s="17">
      <c r="A3715" s="20" t="inlineStr">
        <is>
          <t>[젊줌마]스테이포에버_영상</t>
        </is>
      </c>
      <c r="B3715" s="16" t="inlineStr">
        <is>
          <t>2021-02-28</t>
        </is>
      </c>
      <c r="C3715" s="20" t="inlineStr">
        <is>
          <t>일</t>
        </is>
      </c>
      <c r="D3715" s="20" t="inlineStr">
        <is>
          <t>페이스북/인스타그램</t>
        </is>
      </c>
      <c r="E3715" s="20" t="inlineStr">
        <is>
          <t>고체향수</t>
        </is>
      </c>
      <c r="K3715" s="20" t="n">
        <v>100694</v>
      </c>
    </row>
    <row r="3716" ht="16.5" customHeight="1" s="17">
      <c r="A3716" s="20" t="inlineStr">
        <is>
          <t>[이성소구]스테이포에버_영상</t>
        </is>
      </c>
      <c r="B3716" s="16" t="inlineStr">
        <is>
          <t>2021-02-28</t>
        </is>
      </c>
      <c r="C3716" s="20" t="inlineStr">
        <is>
          <t>일</t>
        </is>
      </c>
      <c r="D3716" s="20" t="inlineStr">
        <is>
          <t>페이스북/인스타그램</t>
        </is>
      </c>
      <c r="E3716" s="20" t="inlineStr">
        <is>
          <t>고체향수</t>
        </is>
      </c>
      <c r="K3716" s="20" t="n">
        <v>30307</v>
      </c>
    </row>
    <row r="3717" ht="16.5" customHeight="1" s="17">
      <c r="A3717" s="20" t="inlineStr">
        <is>
          <t>[승무원]2019년썰 카드뉴스+ 향묘사_영상</t>
        </is>
      </c>
      <c r="B3717" s="16" t="inlineStr">
        <is>
          <t>2021-02-28</t>
        </is>
      </c>
      <c r="C3717" s="20" t="inlineStr">
        <is>
          <t>일</t>
        </is>
      </c>
      <c r="D3717" s="20" t="inlineStr">
        <is>
          <t>페이스북/인스타그램</t>
        </is>
      </c>
      <c r="E3717" s="20" t="inlineStr">
        <is>
          <t>고체향수</t>
        </is>
      </c>
      <c r="K3717" s="20" t="n">
        <v>100489</v>
      </c>
    </row>
    <row r="3718" ht="16.5" customHeight="1" s="17">
      <c r="A3718" s="20" t="inlineStr">
        <is>
          <t>[승무원어피]스테이포에버_이미지</t>
        </is>
      </c>
      <c r="B3718" s="16" t="inlineStr">
        <is>
          <t>2021-02-28</t>
        </is>
      </c>
      <c r="C3718" s="20" t="inlineStr">
        <is>
          <t>일</t>
        </is>
      </c>
      <c r="D3718" s="20" t="inlineStr">
        <is>
          <t>페이스북/인스타그램</t>
        </is>
      </c>
      <c r="E3718" s="20" t="inlineStr">
        <is>
          <t>고체향수</t>
        </is>
      </c>
      <c r="K3718" s="20" t="n">
        <v>100947</v>
      </c>
    </row>
    <row r="3719" ht="16.5" customHeight="1" s="17">
      <c r="A3719" s="20" t="inlineStr">
        <is>
          <t>[다현]스테이포에버_이미지</t>
        </is>
      </c>
      <c r="B3719" s="16" t="inlineStr">
        <is>
          <t>2021-02-28</t>
        </is>
      </c>
      <c r="C3719" s="20" t="inlineStr">
        <is>
          <t>일</t>
        </is>
      </c>
      <c r="D3719" s="20" t="inlineStr">
        <is>
          <t>페이스북/인스타그램</t>
        </is>
      </c>
      <c r="E3719" s="20" t="inlineStr">
        <is>
          <t>고체향수</t>
        </is>
      </c>
      <c r="K3719" s="20" t="n">
        <v>302618</v>
      </c>
    </row>
    <row r="3720" ht="16.5" customHeight="1" s="17">
      <c r="A3720" s="20" t="inlineStr">
        <is>
          <t>[승무원]스테이포에버_카드뉴스</t>
        </is>
      </c>
      <c r="B3720" s="16" t="inlineStr">
        <is>
          <t>2021-02-28</t>
        </is>
      </c>
      <c r="C3720" s="20" t="inlineStr">
        <is>
          <t>일</t>
        </is>
      </c>
      <c r="D3720" s="20" t="inlineStr">
        <is>
          <t>페이스북/인스타그램</t>
        </is>
      </c>
      <c r="E3720" s="20" t="inlineStr">
        <is>
          <t>고체향수</t>
        </is>
      </c>
      <c r="K3720" s="20" t="n">
        <v>300573</v>
      </c>
    </row>
    <row r="3721" ht="16.5" customHeight="1" s="17">
      <c r="A3721" s="20" t="inlineStr">
        <is>
          <t>[후기타입]스테이포에버_영상</t>
        </is>
      </c>
      <c r="B3721" s="16" t="inlineStr">
        <is>
          <t>2021-02-28</t>
        </is>
      </c>
      <c r="C3721" s="20" t="inlineStr">
        <is>
          <t>일</t>
        </is>
      </c>
      <c r="D3721" s="20" t="inlineStr">
        <is>
          <t>페이스북/인스타그램</t>
        </is>
      </c>
      <c r="E3721" s="20" t="inlineStr">
        <is>
          <t>고체향수</t>
        </is>
      </c>
      <c r="K3721" s="20" t="n">
        <v>150545</v>
      </c>
    </row>
    <row r="3722" ht="16.5" customHeight="1" s="17">
      <c r="A3722" s="20" t="inlineStr">
        <is>
          <t>전환_스테이포에버</t>
        </is>
      </c>
      <c r="B3722" s="16" t="inlineStr">
        <is>
          <t>2021-02-28</t>
        </is>
      </c>
      <c r="C3722" s="20" t="inlineStr">
        <is>
          <t>일</t>
        </is>
      </c>
      <c r="D3722" s="20" t="inlineStr">
        <is>
          <t>페이스북/인스타그램</t>
        </is>
      </c>
      <c r="E3722" s="20" t="inlineStr">
        <is>
          <t>고체향수</t>
        </is>
      </c>
      <c r="K3722" s="20" t="n">
        <v>150318</v>
      </c>
    </row>
    <row r="3723" ht="16.5" customHeight="1" s="17">
      <c r="A3723" s="20" t="inlineStr">
        <is>
          <t>[권태기커플]스테이포에버_영상</t>
        </is>
      </c>
      <c r="B3723" s="16" t="inlineStr">
        <is>
          <t>2021-02-28</t>
        </is>
      </c>
      <c r="C3723" s="20" t="inlineStr">
        <is>
          <t>일</t>
        </is>
      </c>
      <c r="D3723" s="20" t="inlineStr">
        <is>
          <t>페이스북/인스타그램</t>
        </is>
      </c>
      <c r="E3723" s="20" t="inlineStr">
        <is>
          <t>고체향수</t>
        </is>
      </c>
      <c r="K3723" s="20" t="n">
        <v>150648</v>
      </c>
    </row>
    <row r="3724" ht="16.5" customHeight="1" s="17">
      <c r="A3724" s="20" t="inlineStr">
        <is>
          <t>[성민 TEST] 스테이포에버_이미지</t>
        </is>
      </c>
      <c r="B3724" s="16" t="inlineStr">
        <is>
          <t>2021-03-01</t>
        </is>
      </c>
      <c r="C3724" s="20" t="inlineStr">
        <is>
          <t>월</t>
        </is>
      </c>
      <c r="D3724" s="20">
        <f>VLOOKUP($A3724,매칭테이블!$B$548:$D$1048576,2,0)</f>
        <v/>
      </c>
      <c r="E3724" s="20">
        <f>VLOOKUP($A3724,매칭테이블!$B$548:$D$1048576,3,0)</f>
        <v/>
      </c>
      <c r="K3724" s="20" t="n">
        <v>30001</v>
      </c>
    </row>
    <row r="3725" ht="16.5" customHeight="1" s="17">
      <c r="A3725" s="20" t="inlineStr">
        <is>
          <t>[승은 TEST] 스테이포에버_카드뉴스</t>
        </is>
      </c>
      <c r="B3725" s="16" t="inlineStr">
        <is>
          <t>2021-03-01</t>
        </is>
      </c>
      <c r="C3725" s="20" t="inlineStr">
        <is>
          <t>월</t>
        </is>
      </c>
      <c r="D3725" s="20" t="inlineStr">
        <is>
          <t>페이스북/인스타그램</t>
        </is>
      </c>
      <c r="E3725" s="20" t="inlineStr">
        <is>
          <t>고체향수</t>
        </is>
      </c>
      <c r="K3725" s="20" t="n">
        <v>60276</v>
      </c>
    </row>
    <row r="3726" ht="16.5" customHeight="1" s="17">
      <c r="A3726" s="20" t="inlineStr">
        <is>
          <t>[승무원 2] 스테이포에버_카드뉴스</t>
        </is>
      </c>
      <c r="B3726" s="16" t="inlineStr">
        <is>
          <t>2021-03-01</t>
        </is>
      </c>
      <c r="C3726" s="20" t="inlineStr">
        <is>
          <t>월</t>
        </is>
      </c>
      <c r="D3726" s="20">
        <f>VLOOKUP($A3726,매칭테이블!$B$548:$D$1048576,2,0)</f>
        <v/>
      </c>
      <c r="E3726" s="20">
        <f>VLOOKUP($A3726,매칭테이블!$B$548:$D$1048576,3,0)</f>
        <v/>
      </c>
      <c r="K3726" s="20" t="n">
        <v>500432</v>
      </c>
    </row>
    <row r="3727" ht="16.5" customHeight="1" s="17">
      <c r="A3727" s="20" t="inlineStr">
        <is>
          <t>[테스트]아줌마</t>
        </is>
      </c>
      <c r="B3727" s="16" t="inlineStr">
        <is>
          <t>2021-03-01</t>
        </is>
      </c>
      <c r="C3727" s="20" t="inlineStr">
        <is>
          <t>월</t>
        </is>
      </c>
      <c r="D3727" s="20" t="inlineStr">
        <is>
          <t>페이스북/인스타그램</t>
        </is>
      </c>
      <c r="E3727" s="20" t="inlineStr">
        <is>
          <t>고체향수</t>
        </is>
      </c>
      <c r="K3727" s="20" t="n">
        <v>220659</v>
      </c>
    </row>
    <row r="3728" ht="16.5" customHeight="1" s="17">
      <c r="A3728" s="20" t="inlineStr">
        <is>
          <t>[키워드 확장 테스트]스테이포에버_이미지</t>
        </is>
      </c>
      <c r="B3728" s="16" t="inlineStr">
        <is>
          <t>2021-03-01</t>
        </is>
      </c>
      <c r="C3728" s="20" t="inlineStr">
        <is>
          <t>월</t>
        </is>
      </c>
      <c r="D3728" s="20" t="inlineStr">
        <is>
          <t>페이스북/인스타그램</t>
        </is>
      </c>
      <c r="E3728" s="20" t="inlineStr">
        <is>
          <t>고체향수</t>
        </is>
      </c>
      <c r="K3728" s="20" t="n">
        <v>270500</v>
      </c>
    </row>
    <row r="3729" ht="16.5" customHeight="1" s="17">
      <c r="A3729" s="20" t="inlineStr">
        <is>
          <t>[재입고]스테이포에버_이미지</t>
        </is>
      </c>
      <c r="B3729" s="16" t="inlineStr">
        <is>
          <t>2021-03-01</t>
        </is>
      </c>
      <c r="C3729" s="20" t="inlineStr">
        <is>
          <t>월</t>
        </is>
      </c>
      <c r="D3729" s="20" t="inlineStr">
        <is>
          <t>페이스북/인스타그램</t>
        </is>
      </c>
      <c r="E3729" s="20" t="inlineStr">
        <is>
          <t>고체향수</t>
        </is>
      </c>
      <c r="K3729" s="20" t="n">
        <v>150620</v>
      </c>
    </row>
    <row r="3730" ht="16.5" customHeight="1" s="17">
      <c r="A3730" s="20" t="inlineStr">
        <is>
          <t>[승무원]숏폼_영상</t>
        </is>
      </c>
      <c r="B3730" s="16" t="inlineStr">
        <is>
          <t>2021-03-01</t>
        </is>
      </c>
      <c r="C3730" s="20" t="inlineStr">
        <is>
          <t>월</t>
        </is>
      </c>
      <c r="D3730" s="20" t="inlineStr">
        <is>
          <t>페이스북/인스타그램</t>
        </is>
      </c>
      <c r="E3730" s="20" t="inlineStr">
        <is>
          <t>고체향수</t>
        </is>
      </c>
      <c r="K3730" s="20" t="n">
        <v>100114</v>
      </c>
    </row>
    <row r="3731" ht="16.5" customHeight="1" s="17">
      <c r="A3731" s="20" t="inlineStr">
        <is>
          <t>[재입고]스테이포에버_영상</t>
        </is>
      </c>
      <c r="B3731" s="16" t="inlineStr">
        <is>
          <t>2021-03-01</t>
        </is>
      </c>
      <c r="C3731" s="20" t="inlineStr">
        <is>
          <t>월</t>
        </is>
      </c>
      <c r="D3731" s="20" t="inlineStr">
        <is>
          <t>페이스북/인스타그램</t>
        </is>
      </c>
      <c r="E3731" s="20" t="inlineStr">
        <is>
          <t>고체향수</t>
        </is>
      </c>
      <c r="K3731" s="20" t="n">
        <v>200556</v>
      </c>
    </row>
    <row r="3732" ht="16.5" customHeight="1" s="17">
      <c r="A3732" s="20" t="inlineStr">
        <is>
          <t>[필라테스]스테이포에버_카드뉴스</t>
        </is>
      </c>
      <c r="B3732" s="16" t="inlineStr">
        <is>
          <t>2021-03-01</t>
        </is>
      </c>
      <c r="C3732" s="20" t="inlineStr">
        <is>
          <t>월</t>
        </is>
      </c>
      <c r="D3732" s="20" t="inlineStr">
        <is>
          <t>페이스북/인스타그램</t>
        </is>
      </c>
      <c r="E3732" s="20" t="inlineStr">
        <is>
          <t>고체향수</t>
        </is>
      </c>
      <c r="K3732" s="20" t="n">
        <v>50762</v>
      </c>
    </row>
    <row r="3733" ht="16.5" customHeight="1" s="17">
      <c r="A3733" s="20" t="inlineStr">
        <is>
          <t>[젊줌마]스테이포에버_영상</t>
        </is>
      </c>
      <c r="B3733" s="16" t="inlineStr">
        <is>
          <t>2021-03-01</t>
        </is>
      </c>
      <c r="C3733" s="20" t="inlineStr">
        <is>
          <t>월</t>
        </is>
      </c>
      <c r="D3733" s="20" t="inlineStr">
        <is>
          <t>페이스북/인스타그램</t>
        </is>
      </c>
      <c r="E3733" s="20" t="inlineStr">
        <is>
          <t>고체향수</t>
        </is>
      </c>
      <c r="K3733" s="20" t="n">
        <v>100549</v>
      </c>
    </row>
    <row r="3734" ht="16.5" customHeight="1" s="17">
      <c r="A3734" s="20" t="inlineStr">
        <is>
          <t>[이성소구]스테이포에버_영상</t>
        </is>
      </c>
      <c r="B3734" s="16" t="inlineStr">
        <is>
          <t>2021-03-01</t>
        </is>
      </c>
      <c r="C3734" s="20" t="inlineStr">
        <is>
          <t>월</t>
        </is>
      </c>
      <c r="D3734" s="20" t="inlineStr">
        <is>
          <t>페이스북/인스타그램</t>
        </is>
      </c>
      <c r="E3734" s="20" t="inlineStr">
        <is>
          <t>고체향수</t>
        </is>
      </c>
      <c r="K3734" s="20" t="n">
        <v>30028</v>
      </c>
    </row>
    <row r="3735" ht="16.5" customHeight="1" s="17">
      <c r="A3735" s="20" t="inlineStr">
        <is>
          <t>[승무원]2019년썰 카드뉴스+ 향묘사_영상</t>
        </is>
      </c>
      <c r="B3735" s="16" t="inlineStr">
        <is>
          <t>2021-03-01</t>
        </is>
      </c>
      <c r="C3735" s="20" t="inlineStr">
        <is>
          <t>월</t>
        </is>
      </c>
      <c r="D3735" s="20" t="inlineStr">
        <is>
          <t>페이스북/인스타그램</t>
        </is>
      </c>
      <c r="E3735" s="20" t="inlineStr">
        <is>
          <t>고체향수</t>
        </is>
      </c>
      <c r="K3735" s="20" t="n">
        <v>100245</v>
      </c>
    </row>
    <row r="3736" ht="16.5" customHeight="1" s="17">
      <c r="A3736" s="20" t="inlineStr">
        <is>
          <t>[승무원어피]스테이포에버_이미지</t>
        </is>
      </c>
      <c r="B3736" s="16" t="inlineStr">
        <is>
          <t>2021-03-01</t>
        </is>
      </c>
      <c r="C3736" s="20" t="inlineStr">
        <is>
          <t>월</t>
        </is>
      </c>
      <c r="D3736" s="20" t="inlineStr">
        <is>
          <t>페이스북/인스타그램</t>
        </is>
      </c>
      <c r="E3736" s="20" t="inlineStr">
        <is>
          <t>고체향수</t>
        </is>
      </c>
      <c r="K3736" s="20" t="n">
        <v>100456</v>
      </c>
    </row>
    <row r="3737" ht="16.5" customHeight="1" s="17">
      <c r="A3737" s="20" t="inlineStr">
        <is>
          <t>[다현]스테이포에버_이미지</t>
        </is>
      </c>
      <c r="B3737" s="16" t="inlineStr">
        <is>
          <t>2021-03-01</t>
        </is>
      </c>
      <c r="C3737" s="20" t="inlineStr">
        <is>
          <t>월</t>
        </is>
      </c>
      <c r="D3737" s="20" t="inlineStr">
        <is>
          <t>페이스북/인스타그램</t>
        </is>
      </c>
      <c r="E3737" s="20" t="inlineStr">
        <is>
          <t>고체향수</t>
        </is>
      </c>
      <c r="K3737" s="20" t="n">
        <v>301568</v>
      </c>
    </row>
    <row r="3738" ht="16.5" customHeight="1" s="17">
      <c r="A3738" s="20" t="inlineStr">
        <is>
          <t>[승무원]스테이포에버_카드뉴스</t>
        </is>
      </c>
      <c r="B3738" s="16" t="inlineStr">
        <is>
          <t>2021-03-01</t>
        </is>
      </c>
      <c r="C3738" s="20" t="inlineStr">
        <is>
          <t>월</t>
        </is>
      </c>
      <c r="D3738" s="20" t="inlineStr">
        <is>
          <t>페이스북/인스타그램</t>
        </is>
      </c>
      <c r="E3738" s="20" t="inlineStr">
        <is>
          <t>고체향수</t>
        </is>
      </c>
      <c r="K3738" s="20" t="n">
        <v>300433</v>
      </c>
    </row>
    <row r="3739" ht="16.5" customHeight="1" s="17">
      <c r="A3739" s="20" t="inlineStr">
        <is>
          <t>[후기타입]스테이포에버_영상</t>
        </is>
      </c>
      <c r="B3739" s="16" t="inlineStr">
        <is>
          <t>2021-03-01</t>
        </is>
      </c>
      <c r="C3739" s="20" t="inlineStr">
        <is>
          <t>월</t>
        </is>
      </c>
      <c r="D3739" s="20" t="inlineStr">
        <is>
          <t>페이스북/인스타그램</t>
        </is>
      </c>
      <c r="E3739" s="20" t="inlineStr">
        <is>
          <t>고체향수</t>
        </is>
      </c>
      <c r="K3739" s="20" t="n">
        <v>150314</v>
      </c>
    </row>
    <row r="3740" ht="16.5" customHeight="1" s="17">
      <c r="A3740" s="20" t="inlineStr">
        <is>
          <t>전환_스테이포에버</t>
        </is>
      </c>
      <c r="B3740" s="16" t="inlineStr">
        <is>
          <t>2021-03-01</t>
        </is>
      </c>
      <c r="C3740" s="20" t="inlineStr">
        <is>
          <t>월</t>
        </is>
      </c>
      <c r="D3740" s="20" t="inlineStr">
        <is>
          <t>페이스북/인스타그램</t>
        </is>
      </c>
      <c r="E3740" s="20" t="inlineStr">
        <is>
          <t>고체향수</t>
        </is>
      </c>
      <c r="K3740" s="20" t="n">
        <v>150240</v>
      </c>
    </row>
    <row r="3741" ht="16.5" customHeight="1" s="17">
      <c r="A3741" s="20" t="inlineStr">
        <is>
          <t>[권태기커플]스테이포에버_영상</t>
        </is>
      </c>
      <c r="B3741" s="16" t="inlineStr">
        <is>
          <t>2021-03-01</t>
        </is>
      </c>
      <c r="C3741" s="20" t="inlineStr">
        <is>
          <t>월</t>
        </is>
      </c>
      <c r="D3741" s="20" t="inlineStr">
        <is>
          <t>페이스북/인스타그램</t>
        </is>
      </c>
      <c r="E3741" s="20" t="inlineStr">
        <is>
          <t>고체향수</t>
        </is>
      </c>
      <c r="K3741" s="20" t="n">
        <v>150532</v>
      </c>
    </row>
    <row r="3742" ht="16.5" customHeight="1" s="17">
      <c r="A3742" s="20" t="inlineStr">
        <is>
          <t>동영상캠페인_승무원_2019년썰(25일, cpa 30000)</t>
        </is>
      </c>
      <c r="B3742" s="16" t="inlineStr">
        <is>
          <t>2021-02-26</t>
        </is>
      </c>
      <c r="C3742" s="20" t="inlineStr">
        <is>
          <t>금</t>
        </is>
      </c>
      <c r="D3742" s="20">
        <f>VLOOKUP($A3742,매칭테이블!$B$548:$D$1048576,2,0)</f>
        <v/>
      </c>
      <c r="E3742" s="20">
        <f>VLOOKUP($A3742,매칭테이블!$B$548:$D$1048576,3,0)</f>
        <v/>
      </c>
      <c r="K3742" s="20" t="n">
        <v>286674</v>
      </c>
    </row>
    <row r="3743" ht="16.5" customHeight="1" s="17">
      <c r="A3743" s="20" t="inlineStr">
        <is>
          <t>웹사이트 트래픽 서치</t>
        </is>
      </c>
      <c r="B3743" s="16" t="inlineStr">
        <is>
          <t>2021-02-26</t>
        </is>
      </c>
      <c r="C3743" s="20" t="inlineStr">
        <is>
          <t>금</t>
        </is>
      </c>
      <c r="D3743" s="20" t="inlineStr">
        <is>
          <t>유튜브 광고</t>
        </is>
      </c>
      <c r="E3743" s="20" t="inlineStr">
        <is>
          <t>고체향수</t>
        </is>
      </c>
      <c r="K3743" s="20" t="n">
        <v>22645</v>
      </c>
    </row>
    <row r="3744" ht="16.5" customHeight="1" s="17">
      <c r="A3744" s="20" t="inlineStr">
        <is>
          <t>동영상캠페인_승무원_보이는 라디오</t>
        </is>
      </c>
      <c r="B3744" s="16" t="inlineStr">
        <is>
          <t>2021-02-26</t>
        </is>
      </c>
      <c r="C3744" s="20" t="inlineStr">
        <is>
          <t>금</t>
        </is>
      </c>
      <c r="D3744" s="20" t="inlineStr">
        <is>
          <t>유튜브 광고</t>
        </is>
      </c>
      <c r="E3744" s="20" t="inlineStr">
        <is>
          <t>고체향수</t>
        </is>
      </c>
      <c r="K3744" s="20" t="n">
        <v>486950</v>
      </c>
    </row>
    <row r="3745" ht="16.5" customHeight="1" s="17">
      <c r="A3745" s="20" t="inlineStr">
        <is>
          <t>동영상캠페인_무드1</t>
        </is>
      </c>
      <c r="B3745" s="16" t="inlineStr">
        <is>
          <t>2021-02-26</t>
        </is>
      </c>
      <c r="C3745" s="20" t="inlineStr">
        <is>
          <t>금</t>
        </is>
      </c>
      <c r="D3745" s="20">
        <f>VLOOKUP($A3745,매칭테이블!$B$548:$D$1048576,2,0)</f>
        <v/>
      </c>
      <c r="E3745" s="20">
        <f>VLOOKUP($A3745,매칭테이블!$B$548:$D$1048576,3,0)</f>
        <v/>
      </c>
      <c r="K3745" s="20" t="n">
        <v>154574</v>
      </c>
    </row>
    <row r="3746" ht="16.5" customHeight="1" s="17">
      <c r="A3746" s="20" t="inlineStr">
        <is>
          <t>디스커버리 배너_승무원,할인_리마케팅</t>
        </is>
      </c>
      <c r="B3746" s="16" t="inlineStr">
        <is>
          <t>2021-02-26</t>
        </is>
      </c>
      <c r="C3746" s="20" t="inlineStr">
        <is>
          <t>금</t>
        </is>
      </c>
      <c r="D3746" s="20" t="inlineStr">
        <is>
          <t>유튜브 광고</t>
        </is>
      </c>
      <c r="E3746" s="20" t="inlineStr">
        <is>
          <t>고체향수</t>
        </is>
      </c>
      <c r="K3746" s="20" t="n">
        <v>450033</v>
      </c>
    </row>
    <row r="3747" ht="16.5" customHeight="1" s="17">
      <c r="A3747" s="20" t="inlineStr">
        <is>
          <t>동영상캠페인_승무원_써니스카이</t>
        </is>
      </c>
      <c r="B3747" s="16" t="inlineStr">
        <is>
          <t>2021-02-26</t>
        </is>
      </c>
      <c r="C3747" s="20" t="inlineStr">
        <is>
          <t>금</t>
        </is>
      </c>
      <c r="D3747" s="20" t="inlineStr">
        <is>
          <t>유튜브 광고</t>
        </is>
      </c>
      <c r="E3747" s="20" t="inlineStr">
        <is>
          <t>고체향수</t>
        </is>
      </c>
      <c r="K3747" s="20" t="n">
        <v>405751</v>
      </c>
    </row>
    <row r="3748" ht="16.5" customHeight="1" s="17">
      <c r="A3748" s="20" t="inlineStr">
        <is>
          <t>동영상캠페인_필라테스_자기관리(CPA)</t>
        </is>
      </c>
      <c r="B3748" s="16" t="inlineStr">
        <is>
          <t>2021-02-26</t>
        </is>
      </c>
      <c r="C3748" s="20" t="inlineStr">
        <is>
          <t>금</t>
        </is>
      </c>
      <c r="D3748" s="20">
        <f>VLOOKUP($A3748,매칭테이블!$B$548:$D$1048576,2,0)</f>
        <v/>
      </c>
      <c r="E3748" s="20">
        <f>VLOOKUP($A3748,매칭테이블!$B$548:$D$1048576,3,0)</f>
        <v/>
      </c>
      <c r="K3748" s="20" t="n">
        <v>13583</v>
      </c>
    </row>
    <row r="3749" ht="16.5" customHeight="1" s="17">
      <c r="A3749" s="20" t="inlineStr">
        <is>
          <t>동영상캠페인_승무원_비누향 나는 승무원에게</t>
        </is>
      </c>
      <c r="B3749" s="16" t="inlineStr">
        <is>
          <t>2021-02-26</t>
        </is>
      </c>
      <c r="C3749" s="20" t="inlineStr">
        <is>
          <t>금</t>
        </is>
      </c>
      <c r="D3749" s="20" t="inlineStr">
        <is>
          <t>유튜브 광고</t>
        </is>
      </c>
      <c r="E3749" s="20" t="inlineStr">
        <is>
          <t>고체향수</t>
        </is>
      </c>
      <c r="K3749" s="20" t="n">
        <v>492136</v>
      </c>
    </row>
    <row r="3750" ht="16.5" customHeight="1" s="17">
      <c r="A3750" s="20" t="inlineStr">
        <is>
          <t>동영상캠페인_유즈모먼트_2차_30대 여성 회사원</t>
        </is>
      </c>
      <c r="B3750" s="16" t="inlineStr">
        <is>
          <t>2021-02-26</t>
        </is>
      </c>
      <c r="C3750" s="20" t="inlineStr">
        <is>
          <t>금</t>
        </is>
      </c>
      <c r="D3750" s="20">
        <f>VLOOKUP($A3750,매칭테이블!$B$548:$D$1048576,2,0)</f>
        <v/>
      </c>
      <c r="E3750" s="20">
        <f>VLOOKUP($A3750,매칭테이블!$B$548:$D$1048576,3,0)</f>
        <v/>
      </c>
      <c r="K3750" s="20" t="n">
        <v>301600</v>
      </c>
    </row>
    <row r="3751" ht="16.5" customHeight="1" s="17">
      <c r="A3751" s="20" t="inlineStr">
        <is>
          <t>동영상캠페인_승무원_2019년썰(25일, cpa 30000)</t>
        </is>
      </c>
      <c r="B3751" s="16" t="inlineStr">
        <is>
          <t>2021-02-27</t>
        </is>
      </c>
      <c r="C3751" s="20" t="inlineStr">
        <is>
          <t>토</t>
        </is>
      </c>
      <c r="D3751" s="20">
        <f>VLOOKUP($A3751,매칭테이블!$B$548:$D$1048576,2,0)</f>
        <v/>
      </c>
      <c r="E3751" s="20">
        <f>VLOOKUP($A3751,매칭테이블!$B$548:$D$1048576,3,0)</f>
        <v/>
      </c>
      <c r="K3751" s="20" t="n">
        <v>296225</v>
      </c>
    </row>
    <row r="3752" ht="16.5" customHeight="1" s="17">
      <c r="A3752" s="20" t="inlineStr">
        <is>
          <t>웹사이트 트래픽 서치</t>
        </is>
      </c>
      <c r="B3752" s="16" t="inlineStr">
        <is>
          <t>2021-02-27</t>
        </is>
      </c>
      <c r="C3752" s="20" t="inlineStr">
        <is>
          <t>토</t>
        </is>
      </c>
      <c r="D3752" s="20" t="inlineStr">
        <is>
          <t>유튜브 광고</t>
        </is>
      </c>
      <c r="E3752" s="20" t="inlineStr">
        <is>
          <t>고체향수</t>
        </is>
      </c>
      <c r="K3752" s="20" t="n">
        <v>26056</v>
      </c>
    </row>
    <row r="3753" ht="16.5" customHeight="1" s="17">
      <c r="A3753" s="20" t="inlineStr">
        <is>
          <t>동영상캠페인_승무원_보이는 라디오</t>
        </is>
      </c>
      <c r="B3753" s="16" t="inlineStr">
        <is>
          <t>2021-02-27</t>
        </is>
      </c>
      <c r="C3753" s="20" t="inlineStr">
        <is>
          <t>토</t>
        </is>
      </c>
      <c r="D3753" s="20" t="inlineStr">
        <is>
          <t>유튜브 광고</t>
        </is>
      </c>
      <c r="E3753" s="20" t="inlineStr">
        <is>
          <t>고체향수</t>
        </is>
      </c>
      <c r="K3753" s="20" t="n">
        <v>465636</v>
      </c>
    </row>
    <row r="3754" ht="16.5" customHeight="1" s="17">
      <c r="A3754" s="20" t="inlineStr">
        <is>
          <t>동영상캠페인_무드1</t>
        </is>
      </c>
      <c r="B3754" s="16" t="inlineStr">
        <is>
          <t>2021-02-27</t>
        </is>
      </c>
      <c r="C3754" s="20" t="inlineStr">
        <is>
          <t>토</t>
        </is>
      </c>
      <c r="D3754" s="20">
        <f>VLOOKUP($A3754,매칭테이블!$B$548:$D$1048576,2,0)</f>
        <v/>
      </c>
      <c r="E3754" s="20">
        <f>VLOOKUP($A3754,매칭테이블!$B$548:$D$1048576,3,0)</f>
        <v/>
      </c>
      <c r="K3754" s="20" t="n">
        <v>148167</v>
      </c>
    </row>
    <row r="3755" ht="16.5" customHeight="1" s="17">
      <c r="A3755" s="20" t="inlineStr">
        <is>
          <t>디스커버리 배너_승무원,할인_리마케팅</t>
        </is>
      </c>
      <c r="B3755" s="16" t="inlineStr">
        <is>
          <t>2021-02-27</t>
        </is>
      </c>
      <c r="C3755" s="20" t="inlineStr">
        <is>
          <t>토</t>
        </is>
      </c>
      <c r="D3755" s="20" t="inlineStr">
        <is>
          <t>유튜브 광고</t>
        </is>
      </c>
      <c r="E3755" s="20" t="inlineStr">
        <is>
          <t>고체향수</t>
        </is>
      </c>
      <c r="K3755" s="20" t="n">
        <v>411339</v>
      </c>
    </row>
    <row r="3756" ht="16.5" customHeight="1" s="17">
      <c r="A3756" s="20" t="inlineStr">
        <is>
          <t>동영상캠페인_승무원_써니스카이</t>
        </is>
      </c>
      <c r="B3756" s="16" t="inlineStr">
        <is>
          <t>2021-02-27</t>
        </is>
      </c>
      <c r="C3756" s="20" t="inlineStr">
        <is>
          <t>토</t>
        </is>
      </c>
      <c r="D3756" s="20" t="inlineStr">
        <is>
          <t>유튜브 광고</t>
        </is>
      </c>
      <c r="E3756" s="20" t="inlineStr">
        <is>
          <t>고체향수</t>
        </is>
      </c>
      <c r="K3756" s="20" t="n">
        <v>499741</v>
      </c>
    </row>
    <row r="3757" ht="16.5" customHeight="1" s="17">
      <c r="A3757" s="20" t="inlineStr">
        <is>
          <t>동영상캠페인_필라테스_자기관리(CPA)</t>
        </is>
      </c>
      <c r="B3757" s="16" t="inlineStr">
        <is>
          <t>2021-02-27</t>
        </is>
      </c>
      <c r="C3757" s="20" t="inlineStr">
        <is>
          <t>토</t>
        </is>
      </c>
      <c r="D3757" s="20">
        <f>VLOOKUP($A3757,매칭테이블!$B$548:$D$1048576,2,0)</f>
        <v/>
      </c>
      <c r="E3757" s="20">
        <f>VLOOKUP($A3757,매칭테이블!$B$548:$D$1048576,3,0)</f>
        <v/>
      </c>
      <c r="K3757" s="20" t="n">
        <v>111250</v>
      </c>
    </row>
    <row r="3758" ht="16.5" customHeight="1" s="17">
      <c r="A3758" s="20" t="inlineStr">
        <is>
          <t>동영상캠페인_승무원_비누향 나는 승무원에게</t>
        </is>
      </c>
      <c r="B3758" s="16" t="inlineStr">
        <is>
          <t>2021-02-27</t>
        </is>
      </c>
      <c r="C3758" s="20" t="inlineStr">
        <is>
          <t>토</t>
        </is>
      </c>
      <c r="D3758" s="20" t="inlineStr">
        <is>
          <t>유튜브 광고</t>
        </is>
      </c>
      <c r="E3758" s="20" t="inlineStr">
        <is>
          <t>고체향수</t>
        </is>
      </c>
      <c r="K3758" s="20" t="n">
        <v>470571</v>
      </c>
    </row>
    <row r="3759" ht="16.5" customHeight="1" s="17">
      <c r="A3759" s="20" t="inlineStr">
        <is>
          <t>동영상캠페인_유즈모먼트_2차_30대 여성 회사원</t>
        </is>
      </c>
      <c r="B3759" s="16" t="inlineStr">
        <is>
          <t>2021-02-27</t>
        </is>
      </c>
      <c r="C3759" s="20" t="inlineStr">
        <is>
          <t>토</t>
        </is>
      </c>
      <c r="D3759" s="20">
        <f>VLOOKUP($A3759,매칭테이블!$B$548:$D$1048576,2,0)</f>
        <v/>
      </c>
      <c r="E3759" s="20">
        <f>VLOOKUP($A3759,매칭테이블!$B$548:$D$1048576,3,0)</f>
        <v/>
      </c>
      <c r="K3759" s="20" t="n">
        <v>400214</v>
      </c>
    </row>
    <row r="3760" ht="16.5" customHeight="1" s="17">
      <c r="A3760" s="20" t="inlineStr">
        <is>
          <t>동영상캠페인_승무원_2019년썰(25일, cpa 30000)</t>
        </is>
      </c>
      <c r="B3760" s="16" t="inlineStr">
        <is>
          <t>2021-02-28</t>
        </is>
      </c>
      <c r="C3760" s="20" t="inlineStr">
        <is>
          <t>일</t>
        </is>
      </c>
      <c r="D3760" s="20">
        <f>VLOOKUP($A3760,매칭테이블!$B$548:$D$1048576,2,0)</f>
        <v/>
      </c>
      <c r="E3760" s="20">
        <f>VLOOKUP($A3760,매칭테이블!$B$548:$D$1048576,3,0)</f>
        <v/>
      </c>
      <c r="K3760" s="20" t="n">
        <v>285064</v>
      </c>
    </row>
    <row r="3761" ht="16.5" customHeight="1" s="17">
      <c r="A3761" s="20" t="inlineStr">
        <is>
          <t>웹사이트 트래픽 서치</t>
        </is>
      </c>
      <c r="B3761" s="16" t="inlineStr">
        <is>
          <t>2021-02-28</t>
        </is>
      </c>
      <c r="C3761" s="20" t="inlineStr">
        <is>
          <t>일</t>
        </is>
      </c>
      <c r="D3761" s="20" t="inlineStr">
        <is>
          <t>유튜브 광고</t>
        </is>
      </c>
      <c r="E3761" s="20" t="inlineStr">
        <is>
          <t>고체향수</t>
        </is>
      </c>
      <c r="K3761" s="20" t="n">
        <v>36207</v>
      </c>
    </row>
    <row r="3762" ht="16.5" customHeight="1" s="17">
      <c r="A3762" s="20" t="inlineStr">
        <is>
          <t>동영상캠페인_승무원_보이는 라디오</t>
        </is>
      </c>
      <c r="B3762" s="16" t="inlineStr">
        <is>
          <t>2021-02-28</t>
        </is>
      </c>
      <c r="C3762" s="20" t="inlineStr">
        <is>
          <t>일</t>
        </is>
      </c>
      <c r="D3762" s="20" t="inlineStr">
        <is>
          <t>유튜브 광고</t>
        </is>
      </c>
      <c r="E3762" s="20" t="inlineStr">
        <is>
          <t>고체향수</t>
        </is>
      </c>
      <c r="K3762" s="20" t="n">
        <v>466052</v>
      </c>
    </row>
    <row r="3763" ht="16.5" customHeight="1" s="17">
      <c r="A3763" s="20" t="inlineStr">
        <is>
          <t>동영상캠페인_무드1</t>
        </is>
      </c>
      <c r="B3763" s="16" t="inlineStr">
        <is>
          <t>2021-02-28</t>
        </is>
      </c>
      <c r="C3763" s="20" t="inlineStr">
        <is>
          <t>일</t>
        </is>
      </c>
      <c r="D3763" s="20">
        <f>VLOOKUP($A3763,매칭테이블!$B$548:$D$1048576,2,0)</f>
        <v/>
      </c>
      <c r="E3763" s="20">
        <f>VLOOKUP($A3763,매칭테이블!$B$548:$D$1048576,3,0)</f>
        <v/>
      </c>
      <c r="K3763" s="20" t="n">
        <v>22046</v>
      </c>
    </row>
    <row r="3764" ht="16.5" customHeight="1" s="17">
      <c r="A3764" s="20" t="inlineStr">
        <is>
          <t>디스커버리 배너_승무원,할인_리마케팅</t>
        </is>
      </c>
      <c r="B3764" s="16" t="inlineStr">
        <is>
          <t>2021-02-28</t>
        </is>
      </c>
      <c r="C3764" s="20" t="inlineStr">
        <is>
          <t>일</t>
        </is>
      </c>
      <c r="D3764" s="20" t="inlineStr">
        <is>
          <t>유튜브 광고</t>
        </is>
      </c>
      <c r="E3764" s="20" t="inlineStr">
        <is>
          <t>고체향수</t>
        </is>
      </c>
      <c r="K3764" s="20" t="n">
        <v>308811</v>
      </c>
    </row>
    <row r="3765" ht="16.5" customHeight="1" s="17">
      <c r="A3765" s="20" t="inlineStr">
        <is>
          <t>동영상캠페인_승무원_써니스카이</t>
        </is>
      </c>
      <c r="B3765" s="16" t="inlineStr">
        <is>
          <t>2021-02-28</t>
        </is>
      </c>
      <c r="C3765" s="20" t="inlineStr">
        <is>
          <t>일</t>
        </is>
      </c>
      <c r="D3765" s="20" t="inlineStr">
        <is>
          <t>유튜브 광고</t>
        </is>
      </c>
      <c r="E3765" s="20" t="inlineStr">
        <is>
          <t>고체향수</t>
        </is>
      </c>
      <c r="K3765" s="20" t="n">
        <v>500187</v>
      </c>
    </row>
    <row r="3766" ht="16.5" customHeight="1" s="17">
      <c r="A3766" s="20" t="inlineStr">
        <is>
          <t>동영상캠페인_필라테스_자기관리(CPA)</t>
        </is>
      </c>
      <c r="B3766" s="16" t="inlineStr">
        <is>
          <t>2021-02-28</t>
        </is>
      </c>
      <c r="C3766" s="20" t="inlineStr">
        <is>
          <t>일</t>
        </is>
      </c>
      <c r="D3766" s="20">
        <f>VLOOKUP($A3766,매칭테이블!$B$548:$D$1048576,2,0)</f>
        <v/>
      </c>
      <c r="E3766" s="20">
        <f>VLOOKUP($A3766,매칭테이블!$B$548:$D$1048576,3,0)</f>
        <v/>
      </c>
      <c r="K3766" s="20" t="n">
        <v>798725</v>
      </c>
    </row>
    <row r="3767" ht="16.5" customHeight="1" s="17">
      <c r="A3767" s="20" t="inlineStr">
        <is>
          <t>동영상캠페인_승무원_비누향 나는 승무원에게</t>
        </is>
      </c>
      <c r="B3767" s="16" t="inlineStr">
        <is>
          <t>2021-02-28</t>
        </is>
      </c>
      <c r="C3767" s="20" t="inlineStr">
        <is>
          <t>일</t>
        </is>
      </c>
      <c r="D3767" s="20" t="inlineStr">
        <is>
          <t>유튜브 광고</t>
        </is>
      </c>
      <c r="E3767" s="20" t="inlineStr">
        <is>
          <t>고체향수</t>
        </is>
      </c>
      <c r="K3767" s="20" t="n">
        <v>399459</v>
      </c>
    </row>
    <row r="3768" ht="16.5" customHeight="1" s="17">
      <c r="A3768" s="20" t="inlineStr">
        <is>
          <t>동영상캠페인_유즈모먼트_2차_30대 여성 회사원</t>
        </is>
      </c>
      <c r="B3768" s="16" t="inlineStr">
        <is>
          <t>2021-02-28</t>
        </is>
      </c>
      <c r="C3768" s="20" t="inlineStr">
        <is>
          <t>일</t>
        </is>
      </c>
      <c r="D3768" s="20">
        <f>VLOOKUP($A3768,매칭테이블!$B$548:$D$1048576,2,0)</f>
        <v/>
      </c>
      <c r="E3768" s="20">
        <f>VLOOKUP($A3768,매칭테이블!$B$548:$D$1048576,3,0)</f>
        <v/>
      </c>
      <c r="K3768" s="20" t="n">
        <v>399843</v>
      </c>
    </row>
    <row r="3769" ht="16.5" customHeight="1" s="17">
      <c r="A3769" s="20" t="inlineStr">
        <is>
          <t>동영상캠페인_승무원_2019년썰(25일, cpa 30000)</t>
        </is>
      </c>
      <c r="B3769" s="16" t="inlineStr">
        <is>
          <t>2021-03-01</t>
        </is>
      </c>
      <c r="C3769" s="20" t="inlineStr">
        <is>
          <t>월</t>
        </is>
      </c>
      <c r="D3769" s="20">
        <f>VLOOKUP($A3769,매칭테이블!$B$548:$D$1048576,2,0)</f>
        <v/>
      </c>
      <c r="E3769" s="20">
        <f>VLOOKUP($A3769,매칭테이블!$B$548:$D$1048576,3,0)</f>
        <v/>
      </c>
      <c r="K3769" s="20" t="n">
        <v>310010</v>
      </c>
    </row>
    <row r="3770" ht="16.5" customHeight="1" s="17">
      <c r="A3770" s="20" t="inlineStr">
        <is>
          <t>웹사이트 트래픽 서치</t>
        </is>
      </c>
      <c r="B3770" s="16" t="inlineStr">
        <is>
          <t>2021-03-01</t>
        </is>
      </c>
      <c r="C3770" s="20" t="inlineStr">
        <is>
          <t>월</t>
        </is>
      </c>
      <c r="D3770" s="20" t="inlineStr">
        <is>
          <t>유튜브 광고</t>
        </is>
      </c>
      <c r="E3770" s="20" t="inlineStr">
        <is>
          <t>고체향수</t>
        </is>
      </c>
      <c r="K3770" s="20" t="n">
        <v>32604</v>
      </c>
    </row>
    <row r="3771" ht="16.5" customHeight="1" s="17">
      <c r="A3771" s="20" t="inlineStr">
        <is>
          <t>동영상캠페인_승무원_보이는 라디오</t>
        </is>
      </c>
      <c r="B3771" s="16" t="inlineStr">
        <is>
          <t>2021-03-01</t>
        </is>
      </c>
      <c r="C3771" s="20" t="inlineStr">
        <is>
          <t>월</t>
        </is>
      </c>
      <c r="D3771" s="20" t="inlineStr">
        <is>
          <t>유튜브 광고</t>
        </is>
      </c>
      <c r="E3771" s="20" t="inlineStr">
        <is>
          <t>고체향수</t>
        </is>
      </c>
      <c r="K3771" s="20" t="n">
        <v>509975</v>
      </c>
    </row>
    <row r="3772" ht="16.5" customHeight="1" s="17">
      <c r="A3772" s="20" t="inlineStr">
        <is>
          <t>동영상캠페인_무드1</t>
        </is>
      </c>
      <c r="B3772" s="16" t="inlineStr">
        <is>
          <t>2021-03-01</t>
        </is>
      </c>
      <c r="C3772" s="20" t="inlineStr">
        <is>
          <t>월</t>
        </is>
      </c>
      <c r="D3772" s="20">
        <f>VLOOKUP($A3772,매칭테이블!$B$548:$D$1048576,2,0)</f>
        <v/>
      </c>
      <c r="E3772" s="20">
        <f>VLOOKUP($A3772,매칭테이블!$B$548:$D$1048576,3,0)</f>
        <v/>
      </c>
      <c r="K3772" s="20" t="n">
        <v>15474</v>
      </c>
    </row>
    <row r="3773" ht="16.5" customHeight="1" s="17">
      <c r="A3773" s="20" t="inlineStr">
        <is>
          <t>디스커버리 배너_승무원,할인_리마케팅</t>
        </is>
      </c>
      <c r="B3773" s="16" t="inlineStr">
        <is>
          <t>2021-03-01</t>
        </is>
      </c>
      <c r="C3773" s="20" t="inlineStr">
        <is>
          <t>월</t>
        </is>
      </c>
      <c r="D3773" s="20" t="inlineStr">
        <is>
          <t>유튜브 광고</t>
        </is>
      </c>
      <c r="E3773" s="20" t="inlineStr">
        <is>
          <t>고체향수</t>
        </is>
      </c>
      <c r="K3773" s="20" t="n">
        <v>292984</v>
      </c>
    </row>
    <row r="3774" ht="16.5" customHeight="1" s="17">
      <c r="A3774" s="20" t="inlineStr">
        <is>
          <t>동영상캠페인_승무원_써니스카이</t>
        </is>
      </c>
      <c r="B3774" s="16" t="inlineStr">
        <is>
          <t>2021-03-01</t>
        </is>
      </c>
      <c r="C3774" s="20" t="inlineStr">
        <is>
          <t>월</t>
        </is>
      </c>
      <c r="D3774" s="20" t="inlineStr">
        <is>
          <t>유튜브 광고</t>
        </is>
      </c>
      <c r="E3774" s="20" t="inlineStr">
        <is>
          <t>고체향수</t>
        </is>
      </c>
      <c r="K3774" s="20" t="n">
        <v>509181</v>
      </c>
    </row>
    <row r="3775" ht="16.5" customHeight="1" s="17">
      <c r="A3775" s="20" t="inlineStr">
        <is>
          <t>동영상캠페인_필라테스_자기관리(CPA)</t>
        </is>
      </c>
      <c r="B3775" s="16" t="inlineStr">
        <is>
          <t>2021-03-01</t>
        </is>
      </c>
      <c r="C3775" s="20" t="inlineStr">
        <is>
          <t>월</t>
        </is>
      </c>
      <c r="D3775" s="20">
        <f>VLOOKUP($A3775,매칭테이블!$B$548:$D$1048576,2,0)</f>
        <v/>
      </c>
      <c r="E3775" s="20">
        <f>VLOOKUP($A3775,매칭테이블!$B$548:$D$1048576,3,0)</f>
        <v/>
      </c>
      <c r="K3775" s="20" t="n">
        <v>489475</v>
      </c>
    </row>
    <row r="3776" ht="16.5" customHeight="1" s="17">
      <c r="A3776" s="20" t="inlineStr">
        <is>
          <t>동영상캠페인_승무원_비누향 나는 승무원에게</t>
        </is>
      </c>
      <c r="B3776" s="16" t="inlineStr">
        <is>
          <t>2021-03-01</t>
        </is>
      </c>
      <c r="C3776" s="20" t="inlineStr">
        <is>
          <t>월</t>
        </is>
      </c>
      <c r="D3776" s="20" t="inlineStr">
        <is>
          <t>유튜브 광고</t>
        </is>
      </c>
      <c r="E3776" s="20" t="inlineStr">
        <is>
          <t>고체향수</t>
        </is>
      </c>
      <c r="K3776" s="20" t="n">
        <v>404116</v>
      </c>
    </row>
    <row r="3777" ht="16.5" customHeight="1" s="17">
      <c r="A3777" s="20" t="inlineStr">
        <is>
          <t>동영상캠페인_유즈모먼트_2차_30대 여성 회사원</t>
        </is>
      </c>
      <c r="B3777" s="16" t="inlineStr">
        <is>
          <t>2021-03-01</t>
        </is>
      </c>
      <c r="C3777" s="20" t="inlineStr">
        <is>
          <t>월</t>
        </is>
      </c>
      <c r="D3777" s="20">
        <f>VLOOKUP($A3777,매칭테이블!$B$548:$D$1048576,2,0)</f>
        <v/>
      </c>
      <c r="E3777" s="20">
        <f>VLOOKUP($A3777,매칭테이블!$B$548:$D$1048576,3,0)</f>
        <v/>
      </c>
      <c r="K3777" s="20" t="n">
        <v>406641</v>
      </c>
    </row>
    <row r="3778" ht="16.5" customHeight="1" s="17">
      <c r="A3778" s="20" t="inlineStr">
        <is>
          <t>쇼핑검색_고체향수</t>
        </is>
      </c>
      <c r="B3778" s="16" t="inlineStr">
        <is>
          <t>2021-03-01</t>
        </is>
      </c>
      <c r="C3778" s="20" t="inlineStr">
        <is>
          <t>월</t>
        </is>
      </c>
      <c r="D3778" s="20" t="inlineStr">
        <is>
          <t>네이버 쇼핑검색</t>
        </is>
      </c>
      <c r="E3778" s="20" t="inlineStr">
        <is>
          <t>고체향수</t>
        </is>
      </c>
      <c r="K3778" s="20" t="n">
        <v>3250</v>
      </c>
    </row>
    <row r="3779" ht="16.5" customHeight="1" s="17">
      <c r="A3779" s="20" t="inlineStr">
        <is>
          <t>쇼핑검색_고체향수세부키워드</t>
        </is>
      </c>
      <c r="B3779" s="16" t="inlineStr">
        <is>
          <t>2021-03-01</t>
        </is>
      </c>
      <c r="C3779" s="20" t="inlineStr">
        <is>
          <t>월</t>
        </is>
      </c>
      <c r="D3779" s="20" t="inlineStr">
        <is>
          <t>네이버 쇼핑검색</t>
        </is>
      </c>
      <c r="E3779" s="20" t="inlineStr">
        <is>
          <t>고체향수</t>
        </is>
      </c>
      <c r="K3779" s="20" t="n">
        <v>128130</v>
      </c>
    </row>
    <row r="3780" ht="16.5" customHeight="1" s="17">
      <c r="A3780" s="20" t="inlineStr">
        <is>
          <t>쇼핑검색_고체향수세부키워드2</t>
        </is>
      </c>
      <c r="B3780" s="16" t="inlineStr">
        <is>
          <t>2021-03-01</t>
        </is>
      </c>
      <c r="C3780" s="20" t="inlineStr">
        <is>
          <t>월</t>
        </is>
      </c>
      <c r="D3780" s="20" t="inlineStr">
        <is>
          <t>네이버 쇼핑검색</t>
        </is>
      </c>
      <c r="E3780" s="20" t="inlineStr">
        <is>
          <t>고체향수</t>
        </is>
      </c>
      <c r="K3780" s="20" t="n">
        <v>4110</v>
      </c>
    </row>
    <row r="3781" ht="16.5" customHeight="1" s="17">
      <c r="A3781" s="20" t="inlineStr">
        <is>
          <t>모바일 브검</t>
        </is>
      </c>
      <c r="B3781" s="16" t="inlineStr">
        <is>
          <t>2021-03-01</t>
        </is>
      </c>
      <c r="C3781" s="20" t="inlineStr">
        <is>
          <t>월</t>
        </is>
      </c>
      <c r="D3781" s="20" t="inlineStr">
        <is>
          <t>네이버 브랜드검색</t>
        </is>
      </c>
      <c r="E3781" s="20" t="inlineStr">
        <is>
          <t>브랜드</t>
        </is>
      </c>
      <c r="K3781" s="20" t="n">
        <v>0</v>
      </c>
    </row>
    <row r="3782" ht="16.5" customHeight="1" s="17">
      <c r="A3782" s="20" t="inlineStr">
        <is>
          <t>쇼핑검색_고체향수</t>
        </is>
      </c>
      <c r="B3782" s="16" t="inlineStr">
        <is>
          <t>2021-02-28</t>
        </is>
      </c>
      <c r="C3782" s="20" t="inlineStr">
        <is>
          <t>일</t>
        </is>
      </c>
      <c r="D3782" s="20" t="inlineStr">
        <is>
          <t>네이버 쇼핑검색</t>
        </is>
      </c>
      <c r="E3782" s="20" t="inlineStr">
        <is>
          <t>고체향수</t>
        </is>
      </c>
      <c r="K3782" s="20" t="n">
        <v>3740</v>
      </c>
    </row>
    <row r="3783" ht="16.5" customHeight="1" s="17">
      <c r="A3783" s="20" t="inlineStr">
        <is>
          <t>쇼핑검색_고체향수세부키워드</t>
        </is>
      </c>
      <c r="B3783" s="16" t="inlineStr">
        <is>
          <t>2021-02-28</t>
        </is>
      </c>
      <c r="C3783" s="20" t="inlineStr">
        <is>
          <t>일</t>
        </is>
      </c>
      <c r="D3783" s="20" t="inlineStr">
        <is>
          <t>네이버 쇼핑검색</t>
        </is>
      </c>
      <c r="E3783" s="20" t="inlineStr">
        <is>
          <t>고체향수</t>
        </is>
      </c>
      <c r="K3783" s="20" t="n">
        <v>121470</v>
      </c>
    </row>
    <row r="3784" ht="16.5" customHeight="1" s="17">
      <c r="A3784" s="20" t="inlineStr">
        <is>
          <t>쇼핑검색_고체향수세부키워드2</t>
        </is>
      </c>
      <c r="B3784" s="16" t="inlineStr">
        <is>
          <t>2021-02-28</t>
        </is>
      </c>
      <c r="C3784" s="20" t="inlineStr">
        <is>
          <t>일</t>
        </is>
      </c>
      <c r="D3784" s="20" t="inlineStr">
        <is>
          <t>네이버 쇼핑검색</t>
        </is>
      </c>
      <c r="E3784" s="20" t="inlineStr">
        <is>
          <t>고체향수</t>
        </is>
      </c>
      <c r="K3784" s="20" t="n">
        <v>2450</v>
      </c>
    </row>
    <row r="3785" ht="16.5" customHeight="1" s="17">
      <c r="A3785" s="20" t="inlineStr">
        <is>
          <t>모바일 브검</t>
        </is>
      </c>
      <c r="B3785" s="16" t="inlineStr">
        <is>
          <t>2021-02-28</t>
        </is>
      </c>
      <c r="C3785" s="20" t="inlineStr">
        <is>
          <t>일</t>
        </is>
      </c>
      <c r="D3785" s="20" t="inlineStr">
        <is>
          <t>네이버 브랜드검색</t>
        </is>
      </c>
      <c r="E3785" s="20" t="inlineStr">
        <is>
          <t>브랜드</t>
        </is>
      </c>
      <c r="K3785" s="20" t="n">
        <v>0</v>
      </c>
    </row>
    <row r="3786" ht="16.5" customHeight="1" s="17">
      <c r="A3786" s="20" t="inlineStr">
        <is>
          <t>쇼핑검색_고체향수</t>
        </is>
      </c>
      <c r="B3786" s="16" t="inlineStr">
        <is>
          <t>2021-02-27</t>
        </is>
      </c>
      <c r="C3786" s="20" t="inlineStr">
        <is>
          <t>토</t>
        </is>
      </c>
      <c r="D3786" s="20" t="inlineStr">
        <is>
          <t>네이버 쇼핑검색</t>
        </is>
      </c>
      <c r="E3786" s="20" t="inlineStr">
        <is>
          <t>고체향수</t>
        </is>
      </c>
      <c r="K3786" s="20" t="n">
        <v>1750</v>
      </c>
    </row>
    <row r="3787" ht="16.5" customHeight="1" s="17">
      <c r="A3787" s="20" t="inlineStr">
        <is>
          <t>쇼핑검색_고체향수세부키워드</t>
        </is>
      </c>
      <c r="B3787" s="16" t="inlineStr">
        <is>
          <t>2021-02-27</t>
        </is>
      </c>
      <c r="C3787" s="20" t="inlineStr">
        <is>
          <t>토</t>
        </is>
      </c>
      <c r="D3787" s="20" t="inlineStr">
        <is>
          <t>네이버 쇼핑검색</t>
        </is>
      </c>
      <c r="E3787" s="20" t="inlineStr">
        <is>
          <t>고체향수</t>
        </is>
      </c>
      <c r="K3787" s="20" t="n">
        <v>99949.99999999999</v>
      </c>
    </row>
    <row r="3788" ht="16.5" customHeight="1" s="17">
      <c r="A3788" s="20" t="inlineStr">
        <is>
          <t>쇼핑검색_고체향수세부키워드2</t>
        </is>
      </c>
      <c r="B3788" s="16" t="inlineStr">
        <is>
          <t>2021-02-27</t>
        </is>
      </c>
      <c r="C3788" s="20" t="inlineStr">
        <is>
          <t>토</t>
        </is>
      </c>
      <c r="D3788" s="20" t="inlineStr">
        <is>
          <t>네이버 쇼핑검색</t>
        </is>
      </c>
      <c r="E3788" s="20" t="inlineStr">
        <is>
          <t>고체향수</t>
        </is>
      </c>
      <c r="K3788" s="20" t="n">
        <v>2450</v>
      </c>
    </row>
    <row r="3789" ht="16.5" customHeight="1" s="17">
      <c r="A3789" s="20" t="inlineStr">
        <is>
          <t>모바일 브검</t>
        </is>
      </c>
      <c r="B3789" s="16" t="inlineStr">
        <is>
          <t>2021-02-27</t>
        </is>
      </c>
      <c r="C3789" s="20" t="inlineStr">
        <is>
          <t>토</t>
        </is>
      </c>
      <c r="D3789" s="20" t="inlineStr">
        <is>
          <t>네이버 브랜드검색</t>
        </is>
      </c>
      <c r="E3789" s="20" t="inlineStr">
        <is>
          <t>브랜드</t>
        </is>
      </c>
      <c r="K3789" s="20" t="n">
        <v>0</v>
      </c>
    </row>
    <row r="3790" ht="16.5" customHeight="1" s="17">
      <c r="A3790" s="20" t="inlineStr">
        <is>
          <t>쇼핑검색_고체향수</t>
        </is>
      </c>
      <c r="B3790" s="16" t="inlineStr">
        <is>
          <t>2021-02-26</t>
        </is>
      </c>
      <c r="C3790" s="20" t="inlineStr">
        <is>
          <t>금</t>
        </is>
      </c>
      <c r="D3790" s="20" t="inlineStr">
        <is>
          <t>네이버 쇼핑검색</t>
        </is>
      </c>
      <c r="E3790" s="20" t="inlineStr">
        <is>
          <t>고체향수</t>
        </is>
      </c>
      <c r="K3790" s="20" t="n">
        <v>1260</v>
      </c>
    </row>
    <row r="3791" ht="16.5" customHeight="1" s="17">
      <c r="A3791" s="20" t="inlineStr">
        <is>
          <t>쇼핑검색_고체향수세부키워드</t>
        </is>
      </c>
      <c r="B3791" s="16" t="inlineStr">
        <is>
          <t>2021-02-26</t>
        </is>
      </c>
      <c r="C3791" s="20" t="inlineStr">
        <is>
          <t>금</t>
        </is>
      </c>
      <c r="D3791" s="20" t="inlineStr">
        <is>
          <t>네이버 쇼핑검색</t>
        </is>
      </c>
      <c r="E3791" s="20" t="inlineStr">
        <is>
          <t>고체향수</t>
        </is>
      </c>
      <c r="K3791" s="20" t="n">
        <v>49819.99999999999</v>
      </c>
    </row>
    <row r="3792" ht="16.5" customHeight="1" s="17">
      <c r="A3792" s="20" t="inlineStr">
        <is>
          <t>쇼핑검색_고체향수세부키워드2</t>
        </is>
      </c>
      <c r="B3792" s="16" t="inlineStr">
        <is>
          <t>2021-02-26</t>
        </is>
      </c>
      <c r="C3792" s="20" t="inlineStr">
        <is>
          <t>금</t>
        </is>
      </c>
      <c r="D3792" s="20" t="inlineStr">
        <is>
          <t>네이버 쇼핑검색</t>
        </is>
      </c>
      <c r="E3792" s="20" t="inlineStr">
        <is>
          <t>고체향수</t>
        </is>
      </c>
      <c r="K3792" s="20" t="n">
        <v>989.9999999999999</v>
      </c>
    </row>
    <row r="3793" ht="16.5" customHeight="1" s="17">
      <c r="A3793" s="20" t="inlineStr">
        <is>
          <t>모바일 브검</t>
        </is>
      </c>
      <c r="B3793" s="16" t="inlineStr">
        <is>
          <t>2021-02-26</t>
        </is>
      </c>
      <c r="C3793" s="20" t="inlineStr">
        <is>
          <t>금</t>
        </is>
      </c>
      <c r="D3793" s="20" t="inlineStr">
        <is>
          <t>네이버 브랜드검색</t>
        </is>
      </c>
      <c r="E3793" s="20" t="inlineStr">
        <is>
          <t>브랜드</t>
        </is>
      </c>
      <c r="K3793" s="20" t="n">
        <v>0</v>
      </c>
    </row>
    <row r="3794" ht="16.5" customHeight="1" s="17">
      <c r="A3794" s="20" t="inlineStr">
        <is>
          <t>고체향수_승무원 어피_Npay 추적</t>
        </is>
      </c>
      <c r="B3794" s="16" t="inlineStr">
        <is>
          <t>2021-02-26</t>
        </is>
      </c>
      <c r="C3794" s="20" t="inlineStr">
        <is>
          <t>금</t>
        </is>
      </c>
      <c r="D3794" s="20" t="inlineStr">
        <is>
          <t>카카오 배너</t>
        </is>
      </c>
      <c r="E3794" s="20" t="inlineStr">
        <is>
          <t>고체향수</t>
        </is>
      </c>
      <c r="K3794" s="20" t="n">
        <v>90889.99999999999</v>
      </c>
    </row>
    <row r="3795" ht="16.5" customHeight="1" s="17">
      <c r="A3795" s="20" t="inlineStr">
        <is>
          <t>고체향수_Npay 추적</t>
        </is>
      </c>
      <c r="B3795" s="16" t="inlineStr">
        <is>
          <t>2021-02-26</t>
        </is>
      </c>
      <c r="C3795" s="20" t="inlineStr">
        <is>
          <t>금</t>
        </is>
      </c>
      <c r="D3795" s="20" t="inlineStr">
        <is>
          <t>카카오 배너</t>
        </is>
      </c>
      <c r="E3795" s="20" t="inlineStr">
        <is>
          <t>고체향수</t>
        </is>
      </c>
      <c r="K3795" s="20" t="n">
        <v>409429.9999999999</v>
      </c>
    </row>
    <row r="3796" ht="16.5" customHeight="1" s="17">
      <c r="A3796" s="20" t="inlineStr">
        <is>
          <t>고체향수_승무원 어피_Npay 추적</t>
        </is>
      </c>
      <c r="B3796" s="16" t="inlineStr">
        <is>
          <t>2021-02-27</t>
        </is>
      </c>
      <c r="C3796" s="20" t="inlineStr">
        <is>
          <t>토</t>
        </is>
      </c>
      <c r="D3796" s="20" t="inlineStr">
        <is>
          <t>카카오 배너</t>
        </is>
      </c>
      <c r="E3796" s="20" t="inlineStr">
        <is>
          <t>고체향수</t>
        </is>
      </c>
      <c r="K3796" s="20" t="n">
        <v>90969.99999999999</v>
      </c>
    </row>
    <row r="3797" ht="16.5" customHeight="1" s="17">
      <c r="A3797" s="20" t="inlineStr">
        <is>
          <t>고체향수_Npay 추적</t>
        </is>
      </c>
      <c r="B3797" s="16" t="inlineStr">
        <is>
          <t>2021-02-27</t>
        </is>
      </c>
      <c r="C3797" s="20" t="inlineStr">
        <is>
          <t>토</t>
        </is>
      </c>
      <c r="D3797" s="20" t="inlineStr">
        <is>
          <t>카카오 배너</t>
        </is>
      </c>
      <c r="E3797" s="20" t="inlineStr">
        <is>
          <t>고체향수</t>
        </is>
      </c>
      <c r="K3797" s="20" t="n">
        <v>695260</v>
      </c>
    </row>
    <row r="3798" ht="16.5" customHeight="1" s="17">
      <c r="A3798" s="20" t="inlineStr">
        <is>
          <t>고체향수_승무원 어피_Npay 추적</t>
        </is>
      </c>
      <c r="B3798" s="16" t="inlineStr">
        <is>
          <t>2021-02-28</t>
        </is>
      </c>
      <c r="C3798" s="20" t="inlineStr">
        <is>
          <t>일</t>
        </is>
      </c>
      <c r="D3798" s="20" t="inlineStr">
        <is>
          <t>카카오 배너</t>
        </is>
      </c>
      <c r="E3798" s="20" t="inlineStr">
        <is>
          <t>고체향수</t>
        </is>
      </c>
      <c r="K3798" s="20" t="n">
        <v>90769.99999999999</v>
      </c>
    </row>
    <row r="3799" ht="16.5" customHeight="1" s="17">
      <c r="A3799" s="20" t="inlineStr">
        <is>
          <t>고체향수_Npay 추적</t>
        </is>
      </c>
      <c r="B3799" s="16" t="inlineStr">
        <is>
          <t>2021-02-28</t>
        </is>
      </c>
      <c r="C3799" s="20" t="inlineStr">
        <is>
          <t>일</t>
        </is>
      </c>
      <c r="D3799" s="20" t="inlineStr">
        <is>
          <t>카카오 배너</t>
        </is>
      </c>
      <c r="E3799" s="20" t="inlineStr">
        <is>
          <t>고체향수</t>
        </is>
      </c>
      <c r="K3799" s="20" t="n">
        <v>666570</v>
      </c>
    </row>
    <row r="3800" ht="16.5" customHeight="1" s="17">
      <c r="A3800" s="20" t="inlineStr">
        <is>
          <t>고체향수_승무원 어피_Npay 추적</t>
        </is>
      </c>
      <c r="B3800" s="16" t="inlineStr">
        <is>
          <t>2021-03-01</t>
        </is>
      </c>
      <c r="C3800" s="20" t="inlineStr">
        <is>
          <t>월</t>
        </is>
      </c>
      <c r="D3800" s="20" t="inlineStr">
        <is>
          <t>카카오 배너</t>
        </is>
      </c>
      <c r="E3800" s="20" t="inlineStr">
        <is>
          <t>고체향수</t>
        </is>
      </c>
      <c r="K3800" s="20" t="n">
        <v>90869.99999999999</v>
      </c>
    </row>
    <row r="3801" ht="16.5" customHeight="1" s="17">
      <c r="A3801" s="20" t="inlineStr">
        <is>
          <t>고체향수_Npay 추적</t>
        </is>
      </c>
      <c r="B3801" s="16" t="inlineStr">
        <is>
          <t>2021-03-01</t>
        </is>
      </c>
      <c r="C3801" s="20" t="inlineStr">
        <is>
          <t>월</t>
        </is>
      </c>
      <c r="D3801" s="20" t="inlineStr">
        <is>
          <t>카카오 배너</t>
        </is>
      </c>
      <c r="E3801" s="20" t="inlineStr">
        <is>
          <t>고체향수</t>
        </is>
      </c>
      <c r="K3801" s="20" t="n">
        <v>952689.9999999999</v>
      </c>
    </row>
    <row r="3802" ht="16.5" customHeight="1" s="17">
      <c r="B3802" s="16" t="inlineStr">
        <is>
          <t>2021-02-26</t>
        </is>
      </c>
      <c r="C3802" s="20" t="inlineStr">
        <is>
          <t>금</t>
        </is>
      </c>
      <c r="E3802" s="20">
        <f>INDEX(매칭테이블!C:C,MATCH(RD!G3802,매칭테이블!D:D,0))</f>
        <v/>
      </c>
      <c r="F3802" s="20" t="inlineStr">
        <is>
          <t>스마트스토어</t>
        </is>
      </c>
      <c r="G3802" s="20" t="inlineStr">
        <is>
          <t>유즈 고체향수 세트(유즈 스테이포에버, 유즈 이그나이트)고체향수: 스테이포에버 1개 + 이그나이트 1개</t>
        </is>
      </c>
      <c r="H3802" s="20" t="n">
        <v>1</v>
      </c>
      <c r="I3802" s="20">
        <f>VLOOKUP(G3802,매칭테이블!D:E,2,0)</f>
        <v/>
      </c>
      <c r="J3802" s="20" t="inlineStr">
        <is>
          <t>210207</t>
        </is>
      </c>
      <c r="L3802" s="20">
        <f>VLOOKUP($O3802,매칭테이블!$G:$J,2,0)*H3802</f>
        <v/>
      </c>
      <c r="M3802" s="20">
        <f>L3802-L3802*VLOOKUP($O3802,매칭테이블!$G:$J,3,0)</f>
        <v/>
      </c>
      <c r="N3802" s="20">
        <f>VLOOKUP($O3802,매칭테이블!$G:$J,4,0)*H3802</f>
        <v/>
      </c>
      <c r="O3802" s="20">
        <f>F3802&amp;E3802&amp;G3802&amp;J3802</f>
        <v/>
      </c>
    </row>
    <row r="3803" ht="16.5" customHeight="1" s="17">
      <c r="B3803" s="16" t="inlineStr">
        <is>
          <t>2021-02-26</t>
        </is>
      </c>
      <c r="C3803" s="20" t="inlineStr">
        <is>
          <t>금</t>
        </is>
      </c>
      <c r="E3803" s="20">
        <f>INDEX(매칭테이블!C:C,MATCH(RD!G3803,매칭테이블!D:D,0))</f>
        <v/>
      </c>
      <c r="F3803" s="20" t="inlineStr">
        <is>
          <t>스마트스토어</t>
        </is>
      </c>
      <c r="G3803" s="20" t="inlineStr">
        <is>
          <t>유즈 고체향수 세트(유즈 스테이포에버, 유즈 이그나이트)고체향수: 스테이포에버 2개</t>
        </is>
      </c>
      <c r="H3803" s="20" t="n">
        <v>2</v>
      </c>
      <c r="I3803" s="20">
        <f>VLOOKUP(G3803,매칭테이블!D:E,2,0)</f>
        <v/>
      </c>
      <c r="J3803" s="20" t="inlineStr">
        <is>
          <t>210207</t>
        </is>
      </c>
      <c r="L3803" s="20">
        <f>VLOOKUP($O3803,매칭테이블!$G:$J,2,0)*H3803</f>
        <v/>
      </c>
      <c r="M3803" s="20">
        <f>L3803-L3803*VLOOKUP($O3803,매칭테이블!$G:$J,3,0)</f>
        <v/>
      </c>
      <c r="N3803" s="20">
        <f>VLOOKUP($O3803,매칭테이블!$G:$J,4,0)*H3803</f>
        <v/>
      </c>
      <c r="O3803" s="20">
        <f>F3803&amp;E3803&amp;G3803&amp;J3803</f>
        <v/>
      </c>
    </row>
    <row r="3804" ht="16.5" customHeight="1" s="17">
      <c r="B3804" s="16" t="inlineStr">
        <is>
          <t>2021-02-26</t>
        </is>
      </c>
      <c r="C3804" s="20" t="inlineStr">
        <is>
          <t>금</t>
        </is>
      </c>
      <c r="E3804" s="20">
        <f>INDEX(매칭테이블!C:C,MATCH(RD!G3804,매칭테이블!D:D,0))</f>
        <v/>
      </c>
      <c r="F3804" s="20" t="inlineStr">
        <is>
          <t>스마트스토어</t>
        </is>
      </c>
      <c r="G3804" s="20" t="inlineStr">
        <is>
          <t>유즈 고체향수 스테이포에버 002고체향수: 스테이포에버 1개</t>
        </is>
      </c>
      <c r="H3804" s="20" t="n">
        <v>12</v>
      </c>
      <c r="I3804" s="20">
        <f>VLOOKUP(G3804,매칭테이블!D:E,2,0)</f>
        <v/>
      </c>
      <c r="J3804" s="20" t="inlineStr">
        <is>
          <t>210207</t>
        </is>
      </c>
      <c r="L3804" s="20">
        <f>VLOOKUP($O3804,매칭테이블!$G:$J,2,0)*H3804</f>
        <v/>
      </c>
      <c r="M3804" s="20">
        <f>L3804-L3804*VLOOKUP($O3804,매칭테이블!$G:$J,3,0)</f>
        <v/>
      </c>
      <c r="N3804" s="20">
        <f>VLOOKUP($O3804,매칭테이블!$G:$J,4,0)*H3804</f>
        <v/>
      </c>
      <c r="O3804" s="20">
        <f>F3804&amp;E3804&amp;G3804&amp;J3804</f>
        <v/>
      </c>
    </row>
    <row r="3805" ht="16.5" customHeight="1" s="17">
      <c r="B3805" s="16" t="inlineStr">
        <is>
          <t>2021-02-26</t>
        </is>
      </c>
      <c r="C3805" s="20" t="inlineStr">
        <is>
          <t>금</t>
        </is>
      </c>
      <c r="E3805" s="20" t="inlineStr">
        <is>
          <t>고체향수</t>
        </is>
      </c>
      <c r="F3805" s="20" t="inlineStr">
        <is>
          <t>카페24</t>
        </is>
      </c>
      <c r="G3805" s="20" t="inlineStr">
        <is>
          <t>솔리드퍼퓸 세트향=스테이포에버 002 SOLID PERFUME, 세트 선택=1개</t>
        </is>
      </c>
      <c r="H3805" s="20" t="n">
        <v>3</v>
      </c>
      <c r="I3805" s="20" t="inlineStr">
        <is>
          <t>스테이포에버</t>
        </is>
      </c>
      <c r="J3805" s="20" t="inlineStr">
        <is>
          <t>210207</t>
        </is>
      </c>
      <c r="L3805" s="20">
        <f>VLOOKUP($O3805,매칭테이블!$G:$J,2,0)*H3805</f>
        <v/>
      </c>
      <c r="M3805" s="20">
        <f>L3805-L3805*VLOOKUP($O3805,매칭테이블!$G:$J,3,0)</f>
        <v/>
      </c>
      <c r="N3805" s="20">
        <f>VLOOKUP($O3805,매칭테이블!$G:$J,4,0)*H3805</f>
        <v/>
      </c>
      <c r="O3805" s="20">
        <f>F3805&amp;E3805&amp;G3805&amp;J3805</f>
        <v/>
      </c>
    </row>
    <row r="3806" ht="16.5" customHeight="1" s="17">
      <c r="B3806" s="16" t="inlineStr">
        <is>
          <t>2021-02-26</t>
        </is>
      </c>
      <c r="C3806" s="20" t="inlineStr">
        <is>
          <t>금</t>
        </is>
      </c>
      <c r="E3806" s="20" t="inlineStr">
        <is>
          <t>고체향수</t>
        </is>
      </c>
      <c r="F3806" s="20" t="inlineStr">
        <is>
          <t>카페24</t>
        </is>
      </c>
      <c r="G3806" s="20" t="inlineStr">
        <is>
          <t>솔리드퍼퓸 세트향=스테이포에버 002 SOLID PERFUME, 세트 선택=best 2개 (28% 할인)</t>
        </is>
      </c>
      <c r="H3806" s="20" t="n">
        <v>5</v>
      </c>
      <c r="I3806" s="20" t="inlineStr">
        <is>
          <t>스테이포에버 2set</t>
        </is>
      </c>
      <c r="J3806" s="20" t="inlineStr">
        <is>
          <t>210207</t>
        </is>
      </c>
      <c r="L3806" s="20">
        <f>VLOOKUP($O3806,매칭테이블!$G:$J,2,0)*H3806</f>
        <v/>
      </c>
      <c r="M3806" s="20">
        <f>L3806-L3806*VLOOKUP($O3806,매칭테이블!$G:$J,3,0)</f>
        <v/>
      </c>
      <c r="N3806" s="20">
        <f>VLOOKUP($O3806,매칭테이블!$G:$J,4,0)*H3806</f>
        <v/>
      </c>
      <c r="O3806" s="20">
        <f>F3806&amp;E3806&amp;G3806&amp;J3806</f>
        <v/>
      </c>
    </row>
    <row r="3807" ht="16.5" customHeight="1" s="17">
      <c r="B3807" s="16" t="inlineStr">
        <is>
          <t>2021-02-26</t>
        </is>
      </c>
      <c r="C3807" s="20" t="inlineStr">
        <is>
          <t>금</t>
        </is>
      </c>
      <c r="E3807" s="20" t="inlineStr">
        <is>
          <t>고체향수</t>
        </is>
      </c>
      <c r="F3807" s="20" t="inlineStr">
        <is>
          <t>카페24</t>
        </is>
      </c>
      <c r="G3807" s="20" t="inlineStr">
        <is>
          <t>솔리드퍼퓸 세트향=커플세트(이그나이트 + 스테이포에버), 세트 선택=1 SET</t>
        </is>
      </c>
      <c r="H3807" s="20" t="n">
        <v>10</v>
      </c>
      <c r="I3807" s="20" t="inlineStr">
        <is>
          <t>이그나이트 + 스테이포에버</t>
        </is>
      </c>
      <c r="J3807" s="20" t="inlineStr">
        <is>
          <t>210207</t>
        </is>
      </c>
      <c r="L3807" s="20">
        <f>VLOOKUP($O3807,매칭테이블!$G:$J,2,0)*H3807</f>
        <v/>
      </c>
      <c r="M3807" s="20">
        <f>L3807-L3807*VLOOKUP($O3807,매칭테이블!$G:$J,3,0)</f>
        <v/>
      </c>
      <c r="N3807" s="20">
        <f>VLOOKUP($O3807,매칭테이블!$G:$J,4,0)*H3807</f>
        <v/>
      </c>
      <c r="O3807" s="20">
        <f>F3807&amp;E3807&amp;G3807&amp;J3807</f>
        <v/>
      </c>
    </row>
    <row r="3808" ht="16.5" customHeight="1" s="17">
      <c r="B3808" s="16" t="inlineStr">
        <is>
          <t>2021-02-26</t>
        </is>
      </c>
      <c r="C3808" s="20" t="inlineStr">
        <is>
          <t>금</t>
        </is>
      </c>
      <c r="E3808" s="20" t="inlineStr">
        <is>
          <t>고체향수</t>
        </is>
      </c>
      <c r="F3808" s="20" t="inlineStr">
        <is>
          <t>카페24</t>
        </is>
      </c>
      <c r="G3808" s="20" t="inlineStr">
        <is>
          <t>솔리드퍼퓸 세트향=커플세트(이그나이트 + 스테이포에버), 세트 선택=2 SET (42% 할인)</t>
        </is>
      </c>
      <c r="H3808" s="20" t="n">
        <v>1</v>
      </c>
      <c r="I3808" s="20" t="inlineStr">
        <is>
          <t>이그나이트 + 스테이포에버</t>
        </is>
      </c>
      <c r="J3808" s="20" t="inlineStr">
        <is>
          <t>210207</t>
        </is>
      </c>
      <c r="L3808" s="20">
        <f>VLOOKUP($O3808,매칭테이블!$G:$J,2,0)*H3808</f>
        <v/>
      </c>
      <c r="M3808" s="20">
        <f>L3808-L3808*VLOOKUP($O3808,매칭테이블!$G:$J,3,0)</f>
        <v/>
      </c>
      <c r="N3808" s="20">
        <f>VLOOKUP($O3808,매칭테이블!$G:$J,4,0)*H3808</f>
        <v/>
      </c>
      <c r="O3808" s="20">
        <f>F3808&amp;E3808&amp;G3808&amp;J3808</f>
        <v/>
      </c>
    </row>
    <row r="3809" ht="16.5" customHeight="1" s="17">
      <c r="B3809" s="16" t="inlineStr">
        <is>
          <t>2021-02-26</t>
        </is>
      </c>
      <c r="C3809" s="20" t="inlineStr">
        <is>
          <t>금</t>
        </is>
      </c>
      <c r="E3809" s="20" t="inlineStr">
        <is>
          <t>고체향수</t>
        </is>
      </c>
      <c r="F3809" s="20" t="inlineStr">
        <is>
          <t>카페24</t>
        </is>
      </c>
      <c r="G3809" s="20" t="inlineStr">
        <is>
          <t>솔리드퍼퓸 스테이포에버 002제품선택=스테이포에버 1개</t>
        </is>
      </c>
      <c r="H3809" s="20" t="n">
        <v>181</v>
      </c>
      <c r="I3809" s="20" t="inlineStr">
        <is>
          <t>스테이포에버</t>
        </is>
      </c>
      <c r="J3809" s="20" t="inlineStr">
        <is>
          <t>210207</t>
        </is>
      </c>
      <c r="L3809" s="20">
        <f>VLOOKUP($O3809,매칭테이블!$G:$J,2,0)*H3809</f>
        <v/>
      </c>
      <c r="M3809" s="20">
        <f>L3809-L3809*VLOOKUP($O3809,매칭테이블!$G:$J,3,0)</f>
        <v/>
      </c>
      <c r="N3809" s="20">
        <f>VLOOKUP($O3809,매칭테이블!$G:$J,4,0)*H3809</f>
        <v/>
      </c>
      <c r="O3809" s="20">
        <f>F3809&amp;E3809&amp;G3809&amp;J3809</f>
        <v/>
      </c>
    </row>
    <row r="3810" ht="16.5" customHeight="1" s="17">
      <c r="B3810" s="16" t="inlineStr">
        <is>
          <t>2021-02-26</t>
        </is>
      </c>
      <c r="C3810" s="20" t="inlineStr">
        <is>
          <t>금</t>
        </is>
      </c>
      <c r="E3810" s="20" t="inlineStr">
        <is>
          <t>고체향수</t>
        </is>
      </c>
      <c r="F3810" s="20" t="inlineStr">
        <is>
          <t>카페24</t>
        </is>
      </c>
      <c r="G3810" s="20" t="inlineStr">
        <is>
          <t>솔리드퍼퓸 스테이포에버 002제품선택=best스테이포에버 2개[28% 할인]</t>
        </is>
      </c>
      <c r="H3810" s="20" t="n">
        <v>110</v>
      </c>
      <c r="I3810" s="20" t="inlineStr">
        <is>
          <t>스테이포에버 2set</t>
        </is>
      </c>
      <c r="J3810" s="20" t="inlineStr">
        <is>
          <t>210207</t>
        </is>
      </c>
      <c r="L3810" s="20">
        <f>VLOOKUP($O3810,매칭테이블!$G:$J,2,0)*H3810</f>
        <v/>
      </c>
      <c r="M3810" s="20">
        <f>L3810-L3810*VLOOKUP($O3810,매칭테이블!$G:$J,3,0)</f>
        <v/>
      </c>
      <c r="N3810" s="20">
        <f>VLOOKUP($O3810,매칭테이블!$G:$J,4,0)*H3810</f>
        <v/>
      </c>
      <c r="O3810" s="20">
        <f>F3810&amp;E3810&amp;G3810&amp;J3810</f>
        <v/>
      </c>
    </row>
    <row r="3811" ht="16.5" customHeight="1" s="17">
      <c r="B3811" s="16" t="inlineStr">
        <is>
          <t>2021-02-26</t>
        </is>
      </c>
      <c r="C3811" s="20" t="inlineStr">
        <is>
          <t>금</t>
        </is>
      </c>
      <c r="E3811" s="20" t="inlineStr">
        <is>
          <t>고체향수</t>
        </is>
      </c>
      <c r="F3811" s="20" t="inlineStr">
        <is>
          <t>카페24</t>
        </is>
      </c>
      <c r="G3811" s="20" t="inlineStr">
        <is>
          <t>솔리드퍼퓸 스테이포에버 002제품선택=커플추천스테이포에버 + 이그나이트 세트</t>
        </is>
      </c>
      <c r="H3811" s="20" t="n">
        <v>11</v>
      </c>
      <c r="I3811" s="20" t="inlineStr">
        <is>
          <t>이그나이트 + 스테이포에버</t>
        </is>
      </c>
      <c r="J3811" s="20" t="inlineStr">
        <is>
          <t>210207</t>
        </is>
      </c>
      <c r="L3811" s="20">
        <f>VLOOKUP($O3811,매칭테이블!$G:$J,2,0)*H3811</f>
        <v/>
      </c>
      <c r="M3811" s="20">
        <f>L3811-L3811*VLOOKUP($O3811,매칭테이블!$G:$J,3,0)</f>
        <v/>
      </c>
      <c r="N3811" s="20">
        <f>VLOOKUP($O3811,매칭테이블!$G:$J,4,0)*H3811</f>
        <v/>
      </c>
      <c r="O3811" s="20">
        <f>F3811&amp;E3811&amp;G3811&amp;J3811</f>
        <v/>
      </c>
    </row>
    <row r="3812" ht="16.5" customHeight="1" s="17">
      <c r="B3812" s="16" t="inlineStr">
        <is>
          <t>2021-02-26</t>
        </is>
      </c>
      <c r="C3812" s="20" t="inlineStr">
        <is>
          <t>금</t>
        </is>
      </c>
      <c r="E3812" s="20" t="inlineStr">
        <is>
          <t>쇼핑백</t>
        </is>
      </c>
      <c r="F3812" s="20" t="inlineStr">
        <is>
          <t>카페24</t>
        </is>
      </c>
      <c r="G3812" s="20" t="inlineStr">
        <is>
          <t>솔리드퍼퓸 스테이포에버 002쇼핑백=선물용 쇼핑백</t>
        </is>
      </c>
      <c r="H3812" s="20" t="n">
        <v>11</v>
      </c>
      <c r="I3812" s="20" t="inlineStr">
        <is>
          <t>쇼핑백</t>
        </is>
      </c>
      <c r="J3812" s="20" t="inlineStr">
        <is>
          <t>210207</t>
        </is>
      </c>
      <c r="L3812" s="20">
        <f>VLOOKUP($O3812,매칭테이블!$G:$J,2,0)*H3812</f>
        <v/>
      </c>
      <c r="M3812" s="20">
        <f>L3812-L3812*VLOOKUP($O3812,매칭테이블!$G:$J,3,0)</f>
        <v/>
      </c>
      <c r="N3812" s="20">
        <f>VLOOKUP($O3812,매칭테이블!$G:$J,4,0)*H3812</f>
        <v/>
      </c>
      <c r="O3812" s="20">
        <f>F3812&amp;E3812&amp;G3812&amp;J3812</f>
        <v/>
      </c>
    </row>
    <row r="3813" ht="16.5" customHeight="1" s="17">
      <c r="B3813" s="16" t="inlineStr">
        <is>
          <t>2021-02-26</t>
        </is>
      </c>
      <c r="C3813" s="20" t="inlineStr">
        <is>
          <t>금</t>
        </is>
      </c>
      <c r="E3813" s="20" t="inlineStr">
        <is>
          <t>고체향수</t>
        </is>
      </c>
      <c r="F3813" s="20" t="inlineStr">
        <is>
          <t>카페24</t>
        </is>
      </c>
      <c r="G3813" s="20" t="inlineStr">
        <is>
          <t>솔리드퍼퓸 스테이포에버 002 30ml</t>
        </is>
      </c>
      <c r="H3813" s="20" t="n">
        <v>1</v>
      </c>
      <c r="I3813" s="20" t="inlineStr">
        <is>
          <t>스테이포에버</t>
        </is>
      </c>
      <c r="J3813" s="20" t="inlineStr">
        <is>
          <t>210207</t>
        </is>
      </c>
      <c r="L3813" s="20" t="n">
        <v>38000</v>
      </c>
      <c r="M3813" s="20" t="n">
        <v>35777</v>
      </c>
      <c r="N3813" s="20" t="n">
        <v>2592</v>
      </c>
      <c r="O3813" s="20" t="inlineStr">
        <is>
          <t>카페24고체향수솔리드퍼퓸 스테이포에버 002 30ml210207</t>
        </is>
      </c>
    </row>
    <row r="3814" ht="16.5" customHeight="1" s="17">
      <c r="B3814" s="16" t="inlineStr">
        <is>
          <t>2021-02-26</t>
        </is>
      </c>
      <c r="C3814" s="20" t="inlineStr">
        <is>
          <t>금</t>
        </is>
      </c>
      <c r="E3814" s="20" t="inlineStr">
        <is>
          <t>고체향수</t>
        </is>
      </c>
      <c r="F3814" s="20" t="inlineStr">
        <is>
          <t>카페24</t>
        </is>
      </c>
      <c r="G3814" s="20" t="inlineStr">
        <is>
          <t>솔리드퍼퓸 이그나이트 001제품선택=이그나이트 솔리드퍼퓸 - 30ml</t>
        </is>
      </c>
      <c r="H3814" s="20" t="n">
        <v>2</v>
      </c>
      <c r="I3814" s="20" t="inlineStr">
        <is>
          <t>이그나이트</t>
        </is>
      </c>
      <c r="J3814" s="20" t="inlineStr">
        <is>
          <t>210207</t>
        </is>
      </c>
      <c r="L3814" s="20">
        <f>VLOOKUP($O3814,매칭테이블!$G:$J,2,0)*H3814</f>
        <v/>
      </c>
      <c r="M3814" s="20">
        <f>L3814-L3814*VLOOKUP($O3814,매칭테이블!$G:$J,3,0)</f>
        <v/>
      </c>
      <c r="N3814" s="20">
        <f>VLOOKUP($O3814,매칭테이블!$G:$J,4,0)*H3814</f>
        <v/>
      </c>
      <c r="O3814" s="20">
        <f>F3814&amp;E3814&amp;G3814&amp;J3814</f>
        <v/>
      </c>
    </row>
    <row r="3815" ht="16.5" customHeight="1" s="17">
      <c r="B3815" s="16" t="inlineStr">
        <is>
          <t>2021-02-26</t>
        </is>
      </c>
      <c r="C3815" s="20" t="inlineStr">
        <is>
          <t>금</t>
        </is>
      </c>
      <c r="E3815" s="20" t="inlineStr">
        <is>
          <t>고체향수</t>
        </is>
      </c>
      <c r="F3815" s="20" t="inlineStr">
        <is>
          <t>카페24</t>
        </is>
      </c>
      <c r="G3815" s="20" t="inlineStr">
        <is>
          <t>솔리드퍼퓸 이그나이트 001제품선택=이그나이트 2개 세트</t>
        </is>
      </c>
      <c r="H3815" s="20" t="n">
        <v>2</v>
      </c>
      <c r="I3815" s="20" t="inlineStr">
        <is>
          <t>이그나이트 2set</t>
        </is>
      </c>
      <c r="J3815" s="20" t="inlineStr">
        <is>
          <t>210207</t>
        </is>
      </c>
      <c r="L3815" s="20">
        <f>VLOOKUP($O3815,매칭테이블!$G:$J,2,0)*H3815</f>
        <v/>
      </c>
      <c r="M3815" s="20">
        <f>L3815-L3815*VLOOKUP($O3815,매칭테이블!$G:$J,3,0)</f>
        <v/>
      </c>
      <c r="N3815" s="20">
        <f>VLOOKUP($O3815,매칭테이블!$G:$J,4,0)*H3815</f>
        <v/>
      </c>
      <c r="O3815" s="20">
        <f>F3815&amp;E3815&amp;G3815&amp;J3815</f>
        <v/>
      </c>
    </row>
    <row r="3816" ht="16.5" customHeight="1" s="17">
      <c r="B3816" s="16" t="inlineStr">
        <is>
          <t>2021-02-27</t>
        </is>
      </c>
      <c r="C3816" s="20" t="inlineStr">
        <is>
          <t>토</t>
        </is>
      </c>
      <c r="E3816" s="20">
        <f>INDEX(매칭테이블!C:C,MATCH(RD!G3816,매칭테이블!D:D,0))</f>
        <v/>
      </c>
      <c r="F3816" s="20" t="inlineStr">
        <is>
          <t>스마트스토어</t>
        </is>
      </c>
      <c r="G3816" s="20" t="inlineStr">
        <is>
          <t>유즈 고체향수 세트(유즈 스테이포에버, 유즈 이그나이트)고체향수: 스테이포에버 1개 + 이그나이트 1개</t>
        </is>
      </c>
      <c r="H3816" s="20" t="n">
        <v>4</v>
      </c>
      <c r="I3816" s="20">
        <f>VLOOKUP(G3816,매칭테이블!D:E,2,0)</f>
        <v/>
      </c>
      <c r="J3816" s="20" t="inlineStr">
        <is>
          <t>210207</t>
        </is>
      </c>
      <c r="L3816" s="20">
        <f>VLOOKUP($O3816,매칭테이블!$G:$J,2,0)*H3816</f>
        <v/>
      </c>
      <c r="M3816" s="20">
        <f>L3816-L3816*VLOOKUP($O3816,매칭테이블!$G:$J,3,0)</f>
        <v/>
      </c>
      <c r="N3816" s="20">
        <f>VLOOKUP($O3816,매칭테이블!$G:$J,4,0)*H3816</f>
        <v/>
      </c>
      <c r="O3816" s="20">
        <f>F3816&amp;E3816&amp;G3816&amp;J3816</f>
        <v/>
      </c>
    </row>
    <row r="3817" ht="16.5" customHeight="1" s="17">
      <c r="B3817" s="16" t="inlineStr">
        <is>
          <t>2021-02-27</t>
        </is>
      </c>
      <c r="C3817" s="20" t="inlineStr">
        <is>
          <t>토</t>
        </is>
      </c>
      <c r="E3817" s="20">
        <f>INDEX(매칭테이블!C:C,MATCH(RD!G3817,매칭테이블!D:D,0))</f>
        <v/>
      </c>
      <c r="F3817" s="20" t="inlineStr">
        <is>
          <t>스마트스토어</t>
        </is>
      </c>
      <c r="G3817" s="20" t="inlineStr">
        <is>
          <t>유즈 고체향수 세트(유즈 스테이포에버, 유즈 이그나이트)고체향수: 스테이포에버 2개</t>
        </is>
      </c>
      <c r="H3817" s="20" t="n">
        <v>3</v>
      </c>
      <c r="I3817" s="20">
        <f>VLOOKUP(G3817,매칭테이블!D:E,2,0)</f>
        <v/>
      </c>
      <c r="J3817" s="20" t="inlineStr">
        <is>
          <t>210207</t>
        </is>
      </c>
      <c r="L3817" s="20">
        <f>VLOOKUP($O3817,매칭테이블!$G:$J,2,0)*H3817</f>
        <v/>
      </c>
      <c r="M3817" s="20">
        <f>L3817-L3817*VLOOKUP($O3817,매칭테이블!$G:$J,3,0)</f>
        <v/>
      </c>
      <c r="N3817" s="20">
        <f>VLOOKUP($O3817,매칭테이블!$G:$J,4,0)*H3817</f>
        <v/>
      </c>
      <c r="O3817" s="20">
        <f>F3817&amp;E3817&amp;G3817&amp;J3817</f>
        <v/>
      </c>
    </row>
    <row r="3818" ht="16.5" customHeight="1" s="17">
      <c r="B3818" s="16" t="inlineStr">
        <is>
          <t>2021-02-27</t>
        </is>
      </c>
      <c r="C3818" s="20" t="inlineStr">
        <is>
          <t>토</t>
        </is>
      </c>
      <c r="E3818" s="20">
        <f>INDEX(매칭테이블!C:C,MATCH(RD!G3818,매칭테이블!D:D,0))</f>
        <v/>
      </c>
      <c r="F3818" s="20" t="inlineStr">
        <is>
          <t>스마트스토어</t>
        </is>
      </c>
      <c r="G3818" s="20" t="inlineStr">
        <is>
          <t>유즈 고체향수 스테이포에버 002고체향수: 스테이포에버 1개</t>
        </is>
      </c>
      <c r="H3818" s="20" t="n">
        <v>21</v>
      </c>
      <c r="I3818" s="20">
        <f>VLOOKUP(G3818,매칭테이블!D:E,2,0)</f>
        <v/>
      </c>
      <c r="J3818" s="20" t="inlineStr">
        <is>
          <t>210207</t>
        </is>
      </c>
      <c r="L3818" s="20">
        <f>VLOOKUP($O3818,매칭테이블!$G:$J,2,0)*H3818</f>
        <v/>
      </c>
      <c r="M3818" s="20">
        <f>L3818-L3818*VLOOKUP($O3818,매칭테이블!$G:$J,3,0)</f>
        <v/>
      </c>
      <c r="N3818" s="20">
        <f>VLOOKUP($O3818,매칭테이블!$G:$J,4,0)*H3818</f>
        <v/>
      </c>
      <c r="O3818" s="20">
        <f>F3818&amp;E3818&amp;G3818&amp;J3818</f>
        <v/>
      </c>
    </row>
    <row r="3819" ht="16.5" customHeight="1" s="17">
      <c r="B3819" s="16" t="inlineStr">
        <is>
          <t>2021-02-27</t>
        </is>
      </c>
      <c r="C3819" s="20" t="inlineStr">
        <is>
          <t>토</t>
        </is>
      </c>
      <c r="E3819" s="20" t="inlineStr">
        <is>
          <t>고체향수</t>
        </is>
      </c>
      <c r="F3819" s="20" t="inlineStr">
        <is>
          <t>카페24</t>
        </is>
      </c>
      <c r="G3819" s="20" t="inlineStr">
        <is>
          <t>솔리드퍼퓸 세트향=이그나이트 001 SOLID PERFUME, 세트 선택=1개</t>
        </is>
      </c>
      <c r="H3819" s="20" t="n">
        <v>1</v>
      </c>
      <c r="I3819" s="20" t="inlineStr">
        <is>
          <t>이그나이트</t>
        </is>
      </c>
      <c r="J3819" s="20" t="inlineStr">
        <is>
          <t>210207</t>
        </is>
      </c>
      <c r="L3819" s="20">
        <f>VLOOKUP($O3819,매칭테이블!$G:$J,2,0)*H3819</f>
        <v/>
      </c>
      <c r="M3819" s="20">
        <f>L3819-L3819*VLOOKUP($O3819,매칭테이블!$G:$J,3,0)</f>
        <v/>
      </c>
      <c r="N3819" s="20">
        <f>VLOOKUP($O3819,매칭테이블!$G:$J,4,0)*H3819</f>
        <v/>
      </c>
      <c r="O3819" s="20">
        <f>F3819&amp;E3819&amp;G3819&amp;J3819</f>
        <v/>
      </c>
    </row>
    <row r="3820" ht="16.5" customHeight="1" s="17">
      <c r="B3820" s="16" t="inlineStr">
        <is>
          <t>2021-02-27</t>
        </is>
      </c>
      <c r="C3820" s="20" t="inlineStr">
        <is>
          <t>토</t>
        </is>
      </c>
      <c r="E3820" s="20" t="inlineStr">
        <is>
          <t>고체향수</t>
        </is>
      </c>
      <c r="F3820" s="20" t="inlineStr">
        <is>
          <t>카페24</t>
        </is>
      </c>
      <c r="G3820" s="20" t="inlineStr">
        <is>
          <t>솔리드퍼퓸 세트향=이그나이트 001 SOLID PERFUME, 세트 선택=best 2개 (28% 할인)</t>
        </is>
      </c>
      <c r="H3820" s="20" t="n">
        <v>1</v>
      </c>
      <c r="I3820" s="20" t="inlineStr">
        <is>
          <t>이그나이트 2set</t>
        </is>
      </c>
      <c r="J3820" s="20" t="inlineStr">
        <is>
          <t>210207</t>
        </is>
      </c>
      <c r="L3820" s="20">
        <f>VLOOKUP($O3820,매칭테이블!$G:$J,2,0)*H3820</f>
        <v/>
      </c>
      <c r="M3820" s="20">
        <f>L3820-L3820*VLOOKUP($O3820,매칭테이블!$G:$J,3,0)</f>
        <v/>
      </c>
      <c r="N3820" s="20">
        <f>VLOOKUP($O3820,매칭테이블!$G:$J,4,0)*H3820</f>
        <v/>
      </c>
      <c r="O3820" s="20">
        <f>F3820&amp;E3820&amp;G3820&amp;J3820</f>
        <v/>
      </c>
    </row>
    <row r="3821" ht="16.5" customHeight="1" s="17">
      <c r="B3821" s="16" t="inlineStr">
        <is>
          <t>2021-02-27</t>
        </is>
      </c>
      <c r="C3821" s="20" t="inlineStr">
        <is>
          <t>토</t>
        </is>
      </c>
      <c r="E3821" s="20" t="inlineStr">
        <is>
          <t>고체향수</t>
        </is>
      </c>
      <c r="F3821" s="20" t="inlineStr">
        <is>
          <t>카페24</t>
        </is>
      </c>
      <c r="G3821" s="20" t="inlineStr">
        <is>
          <t>솔리드퍼퓸 세트향=스테이포에버 002 SOLID PERFUME, 세트 선택=1개</t>
        </is>
      </c>
      <c r="H3821" s="20" t="n">
        <v>7</v>
      </c>
      <c r="I3821" s="20" t="inlineStr">
        <is>
          <t>스테이포에버</t>
        </is>
      </c>
      <c r="J3821" s="20" t="inlineStr">
        <is>
          <t>210207</t>
        </is>
      </c>
      <c r="L3821" s="20">
        <f>VLOOKUP($O3821,매칭테이블!$G:$J,2,0)*H3821</f>
        <v/>
      </c>
      <c r="M3821" s="20">
        <f>L3821-L3821*VLOOKUP($O3821,매칭테이블!$G:$J,3,0)</f>
        <v/>
      </c>
      <c r="N3821" s="20">
        <f>VLOOKUP($O3821,매칭테이블!$G:$J,4,0)*H3821</f>
        <v/>
      </c>
      <c r="O3821" s="20">
        <f>F3821&amp;E3821&amp;G3821&amp;J3821</f>
        <v/>
      </c>
    </row>
    <row r="3822" ht="16.5" customHeight="1" s="17">
      <c r="B3822" s="16" t="inlineStr">
        <is>
          <t>2021-02-27</t>
        </is>
      </c>
      <c r="C3822" s="20" t="inlineStr">
        <is>
          <t>토</t>
        </is>
      </c>
      <c r="E3822" s="20" t="inlineStr">
        <is>
          <t>고체향수</t>
        </is>
      </c>
      <c r="F3822" s="20" t="inlineStr">
        <is>
          <t>카페24</t>
        </is>
      </c>
      <c r="G3822" s="20" t="inlineStr">
        <is>
          <t>솔리드퍼퓸 세트향=스테이포에버 002 SOLID PERFUME, 세트 선택=best 2개 (28% 할인)</t>
        </is>
      </c>
      <c r="H3822" s="20" t="n">
        <v>8</v>
      </c>
      <c r="I3822" s="20" t="inlineStr">
        <is>
          <t>스테이포에버 2set</t>
        </is>
      </c>
      <c r="J3822" s="20" t="inlineStr">
        <is>
          <t>210207</t>
        </is>
      </c>
      <c r="L3822" s="20">
        <f>VLOOKUP($O3822,매칭테이블!$G:$J,2,0)*H3822</f>
        <v/>
      </c>
      <c r="M3822" s="20">
        <f>L3822-L3822*VLOOKUP($O3822,매칭테이블!$G:$J,3,0)</f>
        <v/>
      </c>
      <c r="N3822" s="20">
        <f>VLOOKUP($O3822,매칭테이블!$G:$J,4,0)*H3822</f>
        <v/>
      </c>
      <c r="O3822" s="20">
        <f>F3822&amp;E3822&amp;G3822&amp;J3822</f>
        <v/>
      </c>
    </row>
    <row r="3823" ht="16.5" customHeight="1" s="17">
      <c r="B3823" s="16" t="inlineStr">
        <is>
          <t>2021-02-27</t>
        </is>
      </c>
      <c r="C3823" s="20" t="inlineStr">
        <is>
          <t>토</t>
        </is>
      </c>
      <c r="E3823" s="20" t="inlineStr">
        <is>
          <t>고체향수</t>
        </is>
      </c>
      <c r="F3823" s="20" t="inlineStr">
        <is>
          <t>카페24</t>
        </is>
      </c>
      <c r="G3823" s="20" t="inlineStr">
        <is>
          <t>솔리드퍼퓸 세트향=커플세트(이그나이트 + 스테이포에버), 세트 선택=1 SET</t>
        </is>
      </c>
      <c r="H3823" s="20" t="n">
        <v>19</v>
      </c>
      <c r="I3823" s="20" t="inlineStr">
        <is>
          <t>이그나이트 + 스테이포에버</t>
        </is>
      </c>
      <c r="J3823" s="20" t="inlineStr">
        <is>
          <t>210207</t>
        </is>
      </c>
      <c r="L3823" s="20">
        <f>VLOOKUP($O3823,매칭테이블!$G:$J,2,0)*H3823</f>
        <v/>
      </c>
      <c r="M3823" s="20">
        <f>L3823-L3823*VLOOKUP($O3823,매칭테이블!$G:$J,3,0)</f>
        <v/>
      </c>
      <c r="N3823" s="20">
        <f>VLOOKUP($O3823,매칭테이블!$G:$J,4,0)*H3823</f>
        <v/>
      </c>
      <c r="O3823" s="20">
        <f>F3823&amp;E3823&amp;G3823&amp;J3823</f>
        <v/>
      </c>
    </row>
    <row r="3824" ht="16.5" customHeight="1" s="17">
      <c r="B3824" s="16" t="inlineStr">
        <is>
          <t>2021-02-27</t>
        </is>
      </c>
      <c r="C3824" s="20" t="inlineStr">
        <is>
          <t>토</t>
        </is>
      </c>
      <c r="E3824" s="20" t="inlineStr">
        <is>
          <t>고체향수</t>
        </is>
      </c>
      <c r="F3824" s="20" t="inlineStr">
        <is>
          <t>카페24</t>
        </is>
      </c>
      <c r="G3824" s="20" t="inlineStr">
        <is>
          <t>솔리드퍼퓸 세트향=커플세트(이그나이트 + 스테이포에버), 세트 선택=2 SET (42% 할인)</t>
        </is>
      </c>
      <c r="H3824" s="20" t="n">
        <v>4</v>
      </c>
      <c r="I3824" s="20" t="inlineStr">
        <is>
          <t>이그나이트 + 스테이포에버</t>
        </is>
      </c>
      <c r="J3824" s="20" t="inlineStr">
        <is>
          <t>210207</t>
        </is>
      </c>
      <c r="L3824" s="20">
        <f>VLOOKUP($O3824,매칭테이블!$G:$J,2,0)*H3824</f>
        <v/>
      </c>
      <c r="M3824" s="20">
        <f>L3824-L3824*VLOOKUP($O3824,매칭테이블!$G:$J,3,0)</f>
        <v/>
      </c>
      <c r="N3824" s="20">
        <f>VLOOKUP($O3824,매칭테이블!$G:$J,4,0)*H3824</f>
        <v/>
      </c>
      <c r="O3824" s="20">
        <f>F3824&amp;E3824&amp;G3824&amp;J3824</f>
        <v/>
      </c>
    </row>
    <row r="3825" ht="16.5" customHeight="1" s="17">
      <c r="B3825" s="16" t="inlineStr">
        <is>
          <t>2021-02-27</t>
        </is>
      </c>
      <c r="C3825" s="20" t="inlineStr">
        <is>
          <t>토</t>
        </is>
      </c>
      <c r="E3825" s="20" t="inlineStr">
        <is>
          <t>고체향수</t>
        </is>
      </c>
      <c r="F3825" s="20" t="inlineStr">
        <is>
          <t>카페24</t>
        </is>
      </c>
      <c r="G3825" s="20" t="inlineStr">
        <is>
          <t>솔리드퍼퓸 스테이포에버 002제품선택=스테이포에버 1개</t>
        </is>
      </c>
      <c r="H3825" s="20" t="n">
        <v>228</v>
      </c>
      <c r="I3825" s="20" t="inlineStr">
        <is>
          <t>스테이포에버</t>
        </is>
      </c>
      <c r="J3825" s="20" t="inlineStr">
        <is>
          <t>210207</t>
        </is>
      </c>
      <c r="L3825" s="20">
        <f>VLOOKUP($O3825,매칭테이블!$G:$J,2,0)*H3825</f>
        <v/>
      </c>
      <c r="M3825" s="20">
        <f>L3825-L3825*VLOOKUP($O3825,매칭테이블!$G:$J,3,0)</f>
        <v/>
      </c>
      <c r="N3825" s="20">
        <f>VLOOKUP($O3825,매칭테이블!$G:$J,4,0)*H3825</f>
        <v/>
      </c>
      <c r="O3825" s="20">
        <f>F3825&amp;E3825&amp;G3825&amp;J3825</f>
        <v/>
      </c>
    </row>
    <row r="3826" ht="16.5" customHeight="1" s="17">
      <c r="B3826" s="16" t="inlineStr">
        <is>
          <t>2021-02-27</t>
        </is>
      </c>
      <c r="C3826" s="20" t="inlineStr">
        <is>
          <t>토</t>
        </is>
      </c>
      <c r="E3826" s="20" t="inlineStr">
        <is>
          <t>고체향수</t>
        </is>
      </c>
      <c r="F3826" s="20" t="inlineStr">
        <is>
          <t>카페24</t>
        </is>
      </c>
      <c r="G3826" s="20" t="inlineStr">
        <is>
          <t>솔리드퍼퓸 스테이포에버 002제품선택=best스테이포에버 2개[28% 할인]</t>
        </is>
      </c>
      <c r="H3826" s="20" t="n">
        <v>161</v>
      </c>
      <c r="I3826" s="20" t="inlineStr">
        <is>
          <t>스테이포에버 2set</t>
        </is>
      </c>
      <c r="J3826" s="20" t="inlineStr">
        <is>
          <t>210207</t>
        </is>
      </c>
      <c r="L3826" s="20">
        <f>VLOOKUP($O3826,매칭테이블!$G:$J,2,0)*H3826</f>
        <v/>
      </c>
      <c r="M3826" s="20">
        <f>L3826-L3826*VLOOKUP($O3826,매칭테이블!$G:$J,3,0)</f>
        <v/>
      </c>
      <c r="N3826" s="20">
        <f>VLOOKUP($O3826,매칭테이블!$G:$J,4,0)*H3826</f>
        <v/>
      </c>
      <c r="O3826" s="20">
        <f>F3826&amp;E3826&amp;G3826&amp;J3826</f>
        <v/>
      </c>
    </row>
    <row r="3827" ht="16.5" customHeight="1" s="17">
      <c r="B3827" s="16" t="inlineStr">
        <is>
          <t>2021-02-27</t>
        </is>
      </c>
      <c r="C3827" s="20" t="inlineStr">
        <is>
          <t>토</t>
        </is>
      </c>
      <c r="E3827" s="20" t="inlineStr">
        <is>
          <t>고체향수</t>
        </is>
      </c>
      <c r="F3827" s="20" t="inlineStr">
        <is>
          <t>카페24</t>
        </is>
      </c>
      <c r="G3827" s="20" t="inlineStr">
        <is>
          <t>솔리드퍼퓸 스테이포에버 002제품선택=커플추천스테이포에버 + 이그나이트 세트</t>
        </is>
      </c>
      <c r="H3827" s="20" t="n">
        <v>18</v>
      </c>
      <c r="I3827" s="20" t="inlineStr">
        <is>
          <t>이그나이트 + 스테이포에버</t>
        </is>
      </c>
      <c r="J3827" s="20" t="inlineStr">
        <is>
          <t>210207</t>
        </is>
      </c>
      <c r="L3827" s="20">
        <f>VLOOKUP($O3827,매칭테이블!$G:$J,2,0)*H3827</f>
        <v/>
      </c>
      <c r="M3827" s="20">
        <f>L3827-L3827*VLOOKUP($O3827,매칭테이블!$G:$J,3,0)</f>
        <v/>
      </c>
      <c r="N3827" s="20">
        <f>VLOOKUP($O3827,매칭테이블!$G:$J,4,0)*H3827</f>
        <v/>
      </c>
      <c r="O3827" s="20">
        <f>F3827&amp;E3827&amp;G3827&amp;J3827</f>
        <v/>
      </c>
    </row>
    <row r="3828" ht="16.5" customHeight="1" s="17">
      <c r="B3828" s="16" t="inlineStr">
        <is>
          <t>2021-02-27</t>
        </is>
      </c>
      <c r="C3828" s="20" t="inlineStr">
        <is>
          <t>토</t>
        </is>
      </c>
      <c r="E3828" s="20" t="inlineStr">
        <is>
          <t>쇼핑백</t>
        </is>
      </c>
      <c r="F3828" s="20" t="inlineStr">
        <is>
          <t>카페24</t>
        </is>
      </c>
      <c r="G3828" s="20" t="inlineStr">
        <is>
          <t>솔리드퍼퓸 스테이포에버 002쇼핑백=선물용 쇼핑백</t>
        </is>
      </c>
      <c r="H3828" s="20" t="n">
        <v>5</v>
      </c>
      <c r="I3828" s="20" t="inlineStr">
        <is>
          <t>쇼핑백</t>
        </is>
      </c>
      <c r="J3828" s="20" t="inlineStr">
        <is>
          <t>210207</t>
        </is>
      </c>
      <c r="L3828" s="20">
        <f>VLOOKUP($O3828,매칭테이블!$G:$J,2,0)*H3828</f>
        <v/>
      </c>
      <c r="M3828" s="20">
        <f>L3828-L3828*VLOOKUP($O3828,매칭테이블!$G:$J,3,0)</f>
        <v/>
      </c>
      <c r="N3828" s="20">
        <f>VLOOKUP($O3828,매칭테이블!$G:$J,4,0)*H3828</f>
        <v/>
      </c>
      <c r="O3828" s="20">
        <f>F3828&amp;E3828&amp;G3828&amp;J3828</f>
        <v/>
      </c>
    </row>
    <row r="3829" ht="16.5" customHeight="1" s="17">
      <c r="B3829" s="16" t="inlineStr">
        <is>
          <t>2021-02-27</t>
        </is>
      </c>
      <c r="C3829" s="20" t="inlineStr">
        <is>
          <t>토</t>
        </is>
      </c>
      <c r="E3829" s="20" t="inlineStr">
        <is>
          <t>고체향수</t>
        </is>
      </c>
      <c r="F3829" s="20" t="inlineStr">
        <is>
          <t>카페24</t>
        </is>
      </c>
      <c r="G3829" s="20" t="inlineStr">
        <is>
          <t>솔리드퍼퓸 이그나이트 001제품선택=이그나이트 솔리드퍼퓸 - 30ml</t>
        </is>
      </c>
      <c r="H3829" s="20" t="n">
        <v>2</v>
      </c>
      <c r="I3829" s="20" t="inlineStr">
        <is>
          <t>이그나이트</t>
        </is>
      </c>
      <c r="J3829" s="20" t="inlineStr">
        <is>
          <t>210207</t>
        </is>
      </c>
      <c r="L3829" s="20">
        <f>VLOOKUP($O3829,매칭테이블!$G:$J,2,0)*H3829</f>
        <v/>
      </c>
      <c r="M3829" s="20">
        <f>L3829-L3829*VLOOKUP($O3829,매칭테이블!$G:$J,3,0)</f>
        <v/>
      </c>
      <c r="N3829" s="20">
        <f>VLOOKUP($O3829,매칭테이블!$G:$J,4,0)*H3829</f>
        <v/>
      </c>
      <c r="O3829" s="20">
        <f>F3829&amp;E3829&amp;G3829&amp;J3829</f>
        <v/>
      </c>
    </row>
    <row r="3830" ht="16.5" customHeight="1" s="17">
      <c r="B3830" s="16" t="inlineStr">
        <is>
          <t>2021-02-28</t>
        </is>
      </c>
      <c r="C3830" s="20" t="inlineStr">
        <is>
          <t>일</t>
        </is>
      </c>
      <c r="E3830" s="20">
        <f>INDEX(매칭테이블!C:C,MATCH(RD!G3830,매칭테이블!D:D,0))</f>
        <v/>
      </c>
      <c r="F3830" s="20" t="inlineStr">
        <is>
          <t>스마트스토어</t>
        </is>
      </c>
      <c r="G3830" s="20" t="inlineStr">
        <is>
          <t>유즈 고체향수 세트(유즈 스테이포에버, 유즈 이그나이트)고체향수: 스테이포에버 1개 + 이그나이트 1개</t>
        </is>
      </c>
      <c r="H3830" s="20" t="n">
        <v>2</v>
      </c>
      <c r="I3830" s="20">
        <f>VLOOKUP(G3830,매칭테이블!D:E,2,0)</f>
        <v/>
      </c>
      <c r="J3830" s="20" t="inlineStr">
        <is>
          <t>210207</t>
        </is>
      </c>
      <c r="L3830" s="20">
        <f>VLOOKUP($O3830,매칭테이블!$G:$J,2,0)*H3830</f>
        <v/>
      </c>
      <c r="M3830" s="20">
        <f>L3830-L3830*VLOOKUP($O3830,매칭테이블!$G:$J,3,0)</f>
        <v/>
      </c>
      <c r="N3830" s="20">
        <f>VLOOKUP($O3830,매칭테이블!$G:$J,4,0)*H3830</f>
        <v/>
      </c>
      <c r="O3830" s="20">
        <f>F3830&amp;E3830&amp;G3830&amp;J3830</f>
        <v/>
      </c>
    </row>
    <row r="3831" ht="16.5" customHeight="1" s="17">
      <c r="B3831" s="16" t="inlineStr">
        <is>
          <t>2021-02-28</t>
        </is>
      </c>
      <c r="C3831" s="20" t="inlineStr">
        <is>
          <t>일</t>
        </is>
      </c>
      <c r="E3831" s="20">
        <f>INDEX(매칭테이블!C:C,MATCH(RD!G3831,매칭테이블!D:D,0))</f>
        <v/>
      </c>
      <c r="F3831" s="20" t="inlineStr">
        <is>
          <t>스마트스토어</t>
        </is>
      </c>
      <c r="G3831" s="20" t="inlineStr">
        <is>
          <t>유즈 고체향수 세트(유즈 스테이포에버, 유즈 이그나이트)고체향수: 스테이포에버 2개</t>
        </is>
      </c>
      <c r="H3831" s="20" t="n">
        <v>3</v>
      </c>
      <c r="I3831" s="20">
        <f>VLOOKUP(G3831,매칭테이블!D:E,2,0)</f>
        <v/>
      </c>
      <c r="J3831" s="20" t="inlineStr">
        <is>
          <t>210207</t>
        </is>
      </c>
      <c r="L3831" s="20">
        <f>VLOOKUP($O3831,매칭테이블!$G:$J,2,0)*H3831</f>
        <v/>
      </c>
      <c r="M3831" s="20">
        <f>L3831-L3831*VLOOKUP($O3831,매칭테이블!$G:$J,3,0)</f>
        <v/>
      </c>
      <c r="N3831" s="20">
        <f>VLOOKUP($O3831,매칭테이블!$G:$J,4,0)*H3831</f>
        <v/>
      </c>
      <c r="O3831" s="20">
        <f>F3831&amp;E3831&amp;G3831&amp;J3831</f>
        <v/>
      </c>
    </row>
    <row r="3832" ht="16.5" customHeight="1" s="17">
      <c r="B3832" s="16" t="inlineStr">
        <is>
          <t>2021-02-28</t>
        </is>
      </c>
      <c r="C3832" s="20" t="inlineStr">
        <is>
          <t>일</t>
        </is>
      </c>
      <c r="E3832" s="20">
        <f>INDEX(매칭테이블!C:C,MATCH(RD!G3832,매칭테이블!D:D,0))</f>
        <v/>
      </c>
      <c r="F3832" s="20" t="inlineStr">
        <is>
          <t>스마트스토어</t>
        </is>
      </c>
      <c r="G3832" s="20" t="inlineStr">
        <is>
          <t>유즈 고체향수 스테이포에버 002고체향수: 스테이포에버 1개</t>
        </is>
      </c>
      <c r="H3832" s="20" t="n">
        <v>22</v>
      </c>
      <c r="I3832" s="20">
        <f>VLOOKUP(G3832,매칭테이블!D:E,2,0)</f>
        <v/>
      </c>
      <c r="J3832" s="20" t="inlineStr">
        <is>
          <t>210207</t>
        </is>
      </c>
      <c r="L3832" s="20">
        <f>VLOOKUP($O3832,매칭테이블!$G:$J,2,0)*H3832</f>
        <v/>
      </c>
      <c r="M3832" s="20">
        <f>L3832-L3832*VLOOKUP($O3832,매칭테이블!$G:$J,3,0)</f>
        <v/>
      </c>
      <c r="N3832" s="20">
        <f>VLOOKUP($O3832,매칭테이블!$G:$J,4,0)*H3832</f>
        <v/>
      </c>
      <c r="O3832" s="20">
        <f>F3832&amp;E3832&amp;G3832&amp;J3832</f>
        <v/>
      </c>
    </row>
    <row r="3833" ht="16.5" customHeight="1" s="17">
      <c r="B3833" s="16" t="inlineStr">
        <is>
          <t>2021-02-28</t>
        </is>
      </c>
      <c r="C3833" s="20" t="inlineStr">
        <is>
          <t>일</t>
        </is>
      </c>
      <c r="E3833" s="20">
        <f>INDEX(매칭테이블!C:C,MATCH(RD!G3833,매칭테이블!D:D,0))</f>
        <v/>
      </c>
      <c r="F3833" s="20" t="inlineStr">
        <is>
          <t>스마트스토어</t>
        </is>
      </c>
      <c r="G3833" s="20" t="inlineStr">
        <is>
          <t>유즈 고체향수 이그나이트 001고체향수: 이그나이트 1개</t>
        </is>
      </c>
      <c r="H3833" s="20" t="n">
        <v>1</v>
      </c>
      <c r="I3833" s="20">
        <f>VLOOKUP(G3833,매칭테이블!D:E,2,0)</f>
        <v/>
      </c>
      <c r="J3833" s="20" t="inlineStr">
        <is>
          <t>210207</t>
        </is>
      </c>
      <c r="L3833" s="20">
        <f>VLOOKUP($O3833,매칭테이블!$G:$J,2,0)*H3833</f>
        <v/>
      </c>
      <c r="M3833" s="20">
        <f>L3833-L3833*VLOOKUP($O3833,매칭테이블!$G:$J,3,0)</f>
        <v/>
      </c>
      <c r="N3833" s="20">
        <f>VLOOKUP($O3833,매칭테이블!$G:$J,4,0)*H3833</f>
        <v/>
      </c>
      <c r="O3833" s="20">
        <f>F3833&amp;E3833&amp;G3833&amp;J3833</f>
        <v/>
      </c>
    </row>
    <row r="3834" ht="16.5" customHeight="1" s="17">
      <c r="B3834" s="16" t="inlineStr">
        <is>
          <t>2021-02-28</t>
        </is>
      </c>
      <c r="C3834" s="20" t="inlineStr">
        <is>
          <t>일</t>
        </is>
      </c>
      <c r="E3834" s="20" t="inlineStr">
        <is>
          <t>고체향수</t>
        </is>
      </c>
      <c r="F3834" s="20" t="inlineStr">
        <is>
          <t>카페24</t>
        </is>
      </c>
      <c r="G3834" s="20" t="inlineStr">
        <is>
          <t>솔리드퍼퓸 세트향=이그나이트 001 SOLID PERFUME, 세트 선택=best 2개 (28% 할인)</t>
        </is>
      </c>
      <c r="H3834" s="20" t="n">
        <v>2</v>
      </c>
      <c r="I3834" s="20" t="inlineStr">
        <is>
          <t>이그나이트 2set</t>
        </is>
      </c>
      <c r="J3834" s="20" t="inlineStr">
        <is>
          <t>210207</t>
        </is>
      </c>
      <c r="L3834" s="20">
        <f>VLOOKUP($O3834,매칭테이블!$G:$J,2,0)*H3834</f>
        <v/>
      </c>
      <c r="M3834" s="20">
        <f>L3834-L3834*VLOOKUP($O3834,매칭테이블!$G:$J,3,0)</f>
        <v/>
      </c>
      <c r="N3834" s="20">
        <f>VLOOKUP($O3834,매칭테이블!$G:$J,4,0)*H3834</f>
        <v/>
      </c>
      <c r="O3834" s="20">
        <f>F3834&amp;E3834&amp;G3834&amp;J3834</f>
        <v/>
      </c>
    </row>
    <row r="3835" ht="16.5" customHeight="1" s="17">
      <c r="B3835" s="16" t="inlineStr">
        <is>
          <t>2021-02-28</t>
        </is>
      </c>
      <c r="C3835" s="20" t="inlineStr">
        <is>
          <t>일</t>
        </is>
      </c>
      <c r="E3835" s="20" t="inlineStr">
        <is>
          <t>고체향수</t>
        </is>
      </c>
      <c r="F3835" s="20" t="inlineStr">
        <is>
          <t>카페24</t>
        </is>
      </c>
      <c r="G3835" s="20" t="inlineStr">
        <is>
          <t>솔리드퍼퓸 세트향=스테이포에버 002 SOLID PERFUME, 세트 선택=1개</t>
        </is>
      </c>
      <c r="H3835" s="20" t="n">
        <v>6</v>
      </c>
      <c r="I3835" s="20" t="inlineStr">
        <is>
          <t>스테이포에버</t>
        </is>
      </c>
      <c r="J3835" s="20" t="inlineStr">
        <is>
          <t>210207</t>
        </is>
      </c>
      <c r="L3835" s="20">
        <f>VLOOKUP($O3835,매칭테이블!$G:$J,2,0)*H3835</f>
        <v/>
      </c>
      <c r="M3835" s="20">
        <f>L3835-L3835*VLOOKUP($O3835,매칭테이블!$G:$J,3,0)</f>
        <v/>
      </c>
      <c r="N3835" s="20">
        <f>VLOOKUP($O3835,매칭테이블!$G:$J,4,0)*H3835</f>
        <v/>
      </c>
      <c r="O3835" s="20">
        <f>F3835&amp;E3835&amp;G3835&amp;J3835</f>
        <v/>
      </c>
    </row>
    <row r="3836" ht="16.5" customHeight="1" s="17">
      <c r="B3836" s="16" t="inlineStr">
        <is>
          <t>2021-02-28</t>
        </is>
      </c>
      <c r="C3836" s="20" t="inlineStr">
        <is>
          <t>일</t>
        </is>
      </c>
      <c r="E3836" s="20" t="inlineStr">
        <is>
          <t>고체향수</t>
        </is>
      </c>
      <c r="F3836" s="20" t="inlineStr">
        <is>
          <t>카페24</t>
        </is>
      </c>
      <c r="G3836" s="20" t="inlineStr">
        <is>
          <t>솔리드퍼퓸 세트향=스테이포에버 002 SOLID PERFUME, 세트 선택=best 2개 (28% 할인)</t>
        </is>
      </c>
      <c r="H3836" s="20" t="n">
        <v>10</v>
      </c>
      <c r="I3836" s="20" t="inlineStr">
        <is>
          <t>스테이포에버 2set</t>
        </is>
      </c>
      <c r="J3836" s="20" t="inlineStr">
        <is>
          <t>210207</t>
        </is>
      </c>
      <c r="L3836" s="20">
        <f>VLOOKUP($O3836,매칭테이블!$G:$J,2,0)*H3836</f>
        <v/>
      </c>
      <c r="M3836" s="20">
        <f>L3836-L3836*VLOOKUP($O3836,매칭테이블!$G:$J,3,0)</f>
        <v/>
      </c>
      <c r="N3836" s="20">
        <f>VLOOKUP($O3836,매칭테이블!$G:$J,4,0)*H3836</f>
        <v/>
      </c>
      <c r="O3836" s="20">
        <f>F3836&amp;E3836&amp;G3836&amp;J3836</f>
        <v/>
      </c>
    </row>
    <row r="3837" ht="16.5" customHeight="1" s="17">
      <c r="B3837" s="16" t="inlineStr">
        <is>
          <t>2021-02-28</t>
        </is>
      </c>
      <c r="C3837" s="20" t="inlineStr">
        <is>
          <t>일</t>
        </is>
      </c>
      <c r="E3837" s="20" t="inlineStr">
        <is>
          <t>고체향수</t>
        </is>
      </c>
      <c r="F3837" s="20" t="inlineStr">
        <is>
          <t>카페24</t>
        </is>
      </c>
      <c r="G3837" s="20" t="inlineStr">
        <is>
          <t>솔리드퍼퓸 세트향=커플세트(이그나이트 + 스테이포에버), 세트 선택=1 SET</t>
        </is>
      </c>
      <c r="H3837" s="20" t="n">
        <v>16</v>
      </c>
      <c r="I3837" s="20" t="inlineStr">
        <is>
          <t>이그나이트 + 스테이포에버</t>
        </is>
      </c>
      <c r="J3837" s="20" t="inlineStr">
        <is>
          <t>210207</t>
        </is>
      </c>
      <c r="L3837" s="20">
        <f>VLOOKUP($O3837,매칭테이블!$G:$J,2,0)*H3837</f>
        <v/>
      </c>
      <c r="M3837" s="20">
        <f>L3837-L3837*VLOOKUP($O3837,매칭테이블!$G:$J,3,0)</f>
        <v/>
      </c>
      <c r="N3837" s="20">
        <f>VLOOKUP($O3837,매칭테이블!$G:$J,4,0)*H3837</f>
        <v/>
      </c>
      <c r="O3837" s="20">
        <f>F3837&amp;E3837&amp;G3837&amp;J3837</f>
        <v/>
      </c>
    </row>
    <row r="3838" ht="16.5" customHeight="1" s="17">
      <c r="B3838" s="16" t="inlineStr">
        <is>
          <t>2021-02-28</t>
        </is>
      </c>
      <c r="C3838" s="20" t="inlineStr">
        <is>
          <t>일</t>
        </is>
      </c>
      <c r="E3838" s="20" t="inlineStr">
        <is>
          <t>고체향수</t>
        </is>
      </c>
      <c r="F3838" s="20" t="inlineStr">
        <is>
          <t>카페24</t>
        </is>
      </c>
      <c r="G3838" s="20" t="inlineStr">
        <is>
          <t>솔리드퍼퓸 세트향=커플세트(이그나이트 + 스테이포에버), 세트 선택=2 SET (42% 할인)</t>
        </is>
      </c>
      <c r="H3838" s="20" t="n">
        <v>5</v>
      </c>
      <c r="I3838" s="20" t="inlineStr">
        <is>
          <t>이그나이트 + 스테이포에버</t>
        </is>
      </c>
      <c r="J3838" s="20" t="inlineStr">
        <is>
          <t>210207</t>
        </is>
      </c>
      <c r="L3838" s="20">
        <f>VLOOKUP($O3838,매칭테이블!$G:$J,2,0)*H3838</f>
        <v/>
      </c>
      <c r="M3838" s="20">
        <f>L3838-L3838*VLOOKUP($O3838,매칭테이블!$G:$J,3,0)</f>
        <v/>
      </c>
      <c r="N3838" s="20">
        <f>VLOOKUP($O3838,매칭테이블!$G:$J,4,0)*H3838</f>
        <v/>
      </c>
      <c r="O3838" s="20">
        <f>F3838&amp;E3838&amp;G3838&amp;J3838</f>
        <v/>
      </c>
    </row>
    <row r="3839" ht="16.5" customHeight="1" s="17">
      <c r="B3839" s="16" t="inlineStr">
        <is>
          <t>2021-02-28</t>
        </is>
      </c>
      <c r="C3839" s="20" t="inlineStr">
        <is>
          <t>일</t>
        </is>
      </c>
      <c r="E3839" s="20" t="inlineStr">
        <is>
          <t>고체향수</t>
        </is>
      </c>
      <c r="F3839" s="20" t="inlineStr">
        <is>
          <t>카페24</t>
        </is>
      </c>
      <c r="G3839" s="20" t="inlineStr">
        <is>
          <t>솔리드퍼퓸 스테이포에버 002제품선택=스테이포에버 1개</t>
        </is>
      </c>
      <c r="H3839" s="20" t="n">
        <v>250</v>
      </c>
      <c r="I3839" s="20" t="inlineStr">
        <is>
          <t>스테이포에버</t>
        </is>
      </c>
      <c r="J3839" s="20" t="inlineStr">
        <is>
          <t>210207</t>
        </is>
      </c>
      <c r="L3839" s="20">
        <f>VLOOKUP($O3839,매칭테이블!$G:$J,2,0)*H3839</f>
        <v/>
      </c>
      <c r="M3839" s="20">
        <f>L3839-L3839*VLOOKUP($O3839,매칭테이블!$G:$J,3,0)</f>
        <v/>
      </c>
      <c r="N3839" s="20">
        <f>VLOOKUP($O3839,매칭테이블!$G:$J,4,0)*H3839</f>
        <v/>
      </c>
      <c r="O3839" s="20">
        <f>F3839&amp;E3839&amp;G3839&amp;J3839</f>
        <v/>
      </c>
    </row>
    <row r="3840" ht="16.5" customHeight="1" s="17">
      <c r="B3840" s="16" t="inlineStr">
        <is>
          <t>2021-02-28</t>
        </is>
      </c>
      <c r="C3840" s="20" t="inlineStr">
        <is>
          <t>일</t>
        </is>
      </c>
      <c r="E3840" s="20" t="inlineStr">
        <is>
          <t>고체향수</t>
        </is>
      </c>
      <c r="F3840" s="20" t="inlineStr">
        <is>
          <t>카페24</t>
        </is>
      </c>
      <c r="G3840" s="20" t="inlineStr">
        <is>
          <t>솔리드퍼퓸 스테이포에버 002제품선택=best스테이포에버 2개[28% 할인]</t>
        </is>
      </c>
      <c r="H3840" s="20" t="n">
        <v>147</v>
      </c>
      <c r="I3840" s="20" t="inlineStr">
        <is>
          <t>스테이포에버 2set</t>
        </is>
      </c>
      <c r="J3840" s="20" t="inlineStr">
        <is>
          <t>210207</t>
        </is>
      </c>
      <c r="L3840" s="20">
        <f>VLOOKUP($O3840,매칭테이블!$G:$J,2,0)*H3840</f>
        <v/>
      </c>
      <c r="M3840" s="20">
        <f>L3840-L3840*VLOOKUP($O3840,매칭테이블!$G:$J,3,0)</f>
        <v/>
      </c>
      <c r="N3840" s="20">
        <f>VLOOKUP($O3840,매칭테이블!$G:$J,4,0)*H3840</f>
        <v/>
      </c>
      <c r="O3840" s="20">
        <f>F3840&amp;E3840&amp;G3840&amp;J3840</f>
        <v/>
      </c>
    </row>
    <row r="3841" ht="16.5" customHeight="1" s="17">
      <c r="B3841" s="16" t="inlineStr">
        <is>
          <t>2021-02-28</t>
        </is>
      </c>
      <c r="C3841" s="20" t="inlineStr">
        <is>
          <t>일</t>
        </is>
      </c>
      <c r="E3841" s="20" t="inlineStr">
        <is>
          <t>고체향수</t>
        </is>
      </c>
      <c r="F3841" s="20" t="inlineStr">
        <is>
          <t>카페24</t>
        </is>
      </c>
      <c r="G3841" s="20" t="inlineStr">
        <is>
          <t>솔리드퍼퓸 스테이포에버 002제품선택=커플추천스테이포에버 + 이그나이트 세트</t>
        </is>
      </c>
      <c r="H3841" s="20" t="n">
        <v>6</v>
      </c>
      <c r="I3841" s="20" t="inlineStr">
        <is>
          <t>이그나이트 + 스테이포에버</t>
        </is>
      </c>
      <c r="J3841" s="20" t="inlineStr">
        <is>
          <t>210207</t>
        </is>
      </c>
      <c r="L3841" s="20">
        <f>VLOOKUP($O3841,매칭테이블!$G:$J,2,0)*H3841</f>
        <v/>
      </c>
      <c r="M3841" s="20">
        <f>L3841-L3841*VLOOKUP($O3841,매칭테이블!$G:$J,3,0)</f>
        <v/>
      </c>
      <c r="N3841" s="20">
        <f>VLOOKUP($O3841,매칭테이블!$G:$J,4,0)*H3841</f>
        <v/>
      </c>
      <c r="O3841" s="20">
        <f>F3841&amp;E3841&amp;G3841&amp;J3841</f>
        <v/>
      </c>
    </row>
    <row r="3842" ht="16.5" customHeight="1" s="17">
      <c r="B3842" s="16" t="inlineStr">
        <is>
          <t>2021-02-28</t>
        </is>
      </c>
      <c r="C3842" s="20" t="inlineStr">
        <is>
          <t>일</t>
        </is>
      </c>
      <c r="E3842" s="20" t="inlineStr">
        <is>
          <t>쇼핑백</t>
        </is>
      </c>
      <c r="F3842" s="20" t="inlineStr">
        <is>
          <t>카페24</t>
        </is>
      </c>
      <c r="G3842" s="20" t="inlineStr">
        <is>
          <t>솔리드퍼퓸 스테이포에버 002쇼핑백=선물용 쇼핑백</t>
        </is>
      </c>
      <c r="H3842" s="20" t="n">
        <v>9</v>
      </c>
      <c r="I3842" s="20" t="inlineStr">
        <is>
          <t>쇼핑백</t>
        </is>
      </c>
      <c r="J3842" s="20" t="inlineStr">
        <is>
          <t>210207</t>
        </is>
      </c>
      <c r="L3842" s="20">
        <f>VLOOKUP($O3842,매칭테이블!$G:$J,2,0)*H3842</f>
        <v/>
      </c>
      <c r="M3842" s="20">
        <f>L3842-L3842*VLOOKUP($O3842,매칭테이블!$G:$J,3,0)</f>
        <v/>
      </c>
      <c r="N3842" s="20">
        <f>VLOOKUP($O3842,매칭테이블!$G:$J,4,0)*H3842</f>
        <v/>
      </c>
      <c r="O3842" s="20">
        <f>F3842&amp;E3842&amp;G3842&amp;J3842</f>
        <v/>
      </c>
    </row>
    <row r="3843" ht="16.5" customHeight="1" s="17">
      <c r="B3843" s="16" t="inlineStr">
        <is>
          <t>2021-02-28</t>
        </is>
      </c>
      <c r="C3843" s="20" t="inlineStr">
        <is>
          <t>일</t>
        </is>
      </c>
      <c r="E3843" s="20" t="inlineStr">
        <is>
          <t>고체향수</t>
        </is>
      </c>
      <c r="F3843" s="20" t="inlineStr">
        <is>
          <t>카페24</t>
        </is>
      </c>
      <c r="G3843" s="20" t="inlineStr">
        <is>
          <t>솔리드퍼퓸 이그나이트 001제품선택=이그나이트 솔리드퍼퓸 - 30ml</t>
        </is>
      </c>
      <c r="H3843" s="20" t="n">
        <v>3</v>
      </c>
      <c r="I3843" s="20" t="inlineStr">
        <is>
          <t>이그나이트</t>
        </is>
      </c>
      <c r="J3843" s="20" t="inlineStr">
        <is>
          <t>210207</t>
        </is>
      </c>
      <c r="L3843" s="20">
        <f>VLOOKUP($O3843,매칭테이블!$G:$J,2,0)*H3843</f>
        <v/>
      </c>
      <c r="M3843" s="20">
        <f>L3843-L3843*VLOOKUP($O3843,매칭테이블!$G:$J,3,0)</f>
        <v/>
      </c>
      <c r="N3843" s="20">
        <f>VLOOKUP($O3843,매칭테이블!$G:$J,4,0)*H3843</f>
        <v/>
      </c>
      <c r="O3843" s="20">
        <f>F3843&amp;E3843&amp;G3843&amp;J3843</f>
        <v/>
      </c>
    </row>
    <row r="3844" ht="16.5" customHeight="1" s="17">
      <c r="B3844" s="16" t="inlineStr">
        <is>
          <t>2021-03-01</t>
        </is>
      </c>
      <c r="C3844" s="20" t="inlineStr">
        <is>
          <t>월</t>
        </is>
      </c>
      <c r="E3844" s="20">
        <f>INDEX(매칭테이블!C:C,MATCH(RD!G3844,매칭테이블!D:D,0))</f>
        <v/>
      </c>
      <c r="F3844" s="20" t="inlineStr">
        <is>
          <t>스마트스토어</t>
        </is>
      </c>
      <c r="G3844" s="20" t="inlineStr">
        <is>
          <t>유즈 고체향수 세트(유즈 스테이포에버, 유즈 이그나이트)고체향수: 스테이포에버 1개 + 이그나이트 1개</t>
        </is>
      </c>
      <c r="H3844" s="20" t="n">
        <v>2</v>
      </c>
      <c r="I3844" s="20">
        <f>VLOOKUP(G3844,매칭테이블!D:E,2,0)</f>
        <v/>
      </c>
      <c r="J3844" s="20" t="inlineStr">
        <is>
          <t>210207</t>
        </is>
      </c>
      <c r="L3844" s="20">
        <f>VLOOKUP($O3844,매칭테이블!$G:$J,2,0)*H3844</f>
        <v/>
      </c>
      <c r="M3844" s="20">
        <f>L3844-L3844*VLOOKUP($O3844,매칭테이블!$G:$J,3,0)</f>
        <v/>
      </c>
      <c r="N3844" s="20">
        <f>VLOOKUP($O3844,매칭테이블!$G:$J,4,0)*H3844</f>
        <v/>
      </c>
      <c r="O3844" s="20">
        <f>F3844&amp;E3844&amp;G3844&amp;J3844</f>
        <v/>
      </c>
    </row>
    <row r="3845" ht="16.5" customHeight="1" s="17">
      <c r="B3845" s="16" t="inlineStr">
        <is>
          <t>2021-03-01</t>
        </is>
      </c>
      <c r="C3845" s="20" t="inlineStr">
        <is>
          <t>월</t>
        </is>
      </c>
      <c r="E3845" s="20">
        <f>INDEX(매칭테이블!C:C,MATCH(RD!G3845,매칭테이블!D:D,0))</f>
        <v/>
      </c>
      <c r="F3845" s="20" t="inlineStr">
        <is>
          <t>스마트스토어</t>
        </is>
      </c>
      <c r="G3845" s="20" t="inlineStr">
        <is>
          <t>유즈 고체향수 세트(유즈 스테이포에버, 유즈 이그나이트)고체향수: 스테이포에버 2개</t>
        </is>
      </c>
      <c r="H3845" s="20" t="n">
        <v>3</v>
      </c>
      <c r="I3845" s="20">
        <f>VLOOKUP(G3845,매칭테이블!D:E,2,0)</f>
        <v/>
      </c>
      <c r="J3845" s="20" t="inlineStr">
        <is>
          <t>210207</t>
        </is>
      </c>
      <c r="L3845" s="20">
        <f>VLOOKUP($O3845,매칭테이블!$G:$J,2,0)*H3845</f>
        <v/>
      </c>
      <c r="M3845" s="20">
        <f>L3845-L3845*VLOOKUP($O3845,매칭테이블!$G:$J,3,0)</f>
        <v/>
      </c>
      <c r="N3845" s="20">
        <f>VLOOKUP($O3845,매칭테이블!$G:$J,4,0)*H3845</f>
        <v/>
      </c>
      <c r="O3845" s="20">
        <f>F3845&amp;E3845&amp;G3845&amp;J3845</f>
        <v/>
      </c>
    </row>
    <row r="3846" ht="16.5" customHeight="1" s="17">
      <c r="B3846" s="16" t="inlineStr">
        <is>
          <t>2021-03-01</t>
        </is>
      </c>
      <c r="C3846" s="20" t="inlineStr">
        <is>
          <t>월</t>
        </is>
      </c>
      <c r="E3846" s="20">
        <f>INDEX(매칭테이블!C:C,MATCH(RD!G3846,매칭테이블!D:D,0))</f>
        <v/>
      </c>
      <c r="F3846" s="20" t="inlineStr">
        <is>
          <t>스마트스토어</t>
        </is>
      </c>
      <c r="G3846" s="20" t="inlineStr">
        <is>
          <t>유즈 고체향수 스테이포에버 002고체향수: 스테이포에버 1개</t>
        </is>
      </c>
      <c r="H3846" s="20" t="n">
        <v>21</v>
      </c>
      <c r="I3846" s="20">
        <f>VLOOKUP(G3846,매칭테이블!D:E,2,0)</f>
        <v/>
      </c>
      <c r="J3846" s="20" t="inlineStr">
        <is>
          <t>210207</t>
        </is>
      </c>
      <c r="L3846" s="20">
        <f>VLOOKUP($O3846,매칭테이블!$G:$J,2,0)*H3846</f>
        <v/>
      </c>
      <c r="M3846" s="20">
        <f>L3846-L3846*VLOOKUP($O3846,매칭테이블!$G:$J,3,0)</f>
        <v/>
      </c>
      <c r="N3846" s="20">
        <f>VLOOKUP($O3846,매칭테이블!$G:$J,4,0)*H3846</f>
        <v/>
      </c>
      <c r="O3846" s="20">
        <f>F3846&amp;E3846&amp;G3846&amp;J3846</f>
        <v/>
      </c>
    </row>
    <row r="3847" ht="16.5" customHeight="1" s="17">
      <c r="B3847" s="16" t="inlineStr">
        <is>
          <t>2021-03-01</t>
        </is>
      </c>
      <c r="C3847" s="20" t="inlineStr">
        <is>
          <t>월</t>
        </is>
      </c>
      <c r="E3847" s="20">
        <f>INDEX(매칭테이블!C:C,MATCH(RD!G3847,매칭테이블!D:D,0))</f>
        <v/>
      </c>
      <c r="F3847" s="20" t="inlineStr">
        <is>
          <t>스마트스토어</t>
        </is>
      </c>
      <c r="G3847" s="20" t="inlineStr">
        <is>
          <t>유즈 고체향수 이그나이트 001고체향수: 이그나이트 1개</t>
        </is>
      </c>
      <c r="H3847" s="20" t="n">
        <v>1</v>
      </c>
      <c r="I3847" s="20">
        <f>VLOOKUP(G3847,매칭테이블!D:E,2,0)</f>
        <v/>
      </c>
      <c r="J3847" s="20" t="inlineStr">
        <is>
          <t>210207</t>
        </is>
      </c>
      <c r="L3847" s="20">
        <f>VLOOKUP($O3847,매칭테이블!$G:$J,2,0)*H3847</f>
        <v/>
      </c>
      <c r="M3847" s="20">
        <f>L3847-L3847*VLOOKUP($O3847,매칭테이블!$G:$J,3,0)</f>
        <v/>
      </c>
      <c r="N3847" s="20">
        <f>VLOOKUP($O3847,매칭테이블!$G:$J,4,0)*H3847</f>
        <v/>
      </c>
      <c r="O3847" s="20">
        <f>F3847&amp;E3847&amp;G3847&amp;J3847</f>
        <v/>
      </c>
    </row>
    <row r="3848" ht="16.5" customHeight="1" s="17">
      <c r="B3848" s="16" t="inlineStr">
        <is>
          <t>2021-03-01</t>
        </is>
      </c>
      <c r="C3848" s="20" t="inlineStr">
        <is>
          <t>월</t>
        </is>
      </c>
      <c r="E3848" s="20" t="inlineStr">
        <is>
          <t>고체향수</t>
        </is>
      </c>
      <c r="F3848" s="20" t="inlineStr">
        <is>
          <t>카페24</t>
        </is>
      </c>
      <c r="G3848" s="20" t="inlineStr">
        <is>
          <t>솔리드퍼퓸 세트향=스테이포에버 002 SOLID PERFUME, 세트 선택=1개</t>
        </is>
      </c>
      <c r="H3848" s="20" t="n">
        <v>7</v>
      </c>
      <c r="I3848" s="20" t="inlineStr">
        <is>
          <t>스테이포에버</t>
        </is>
      </c>
      <c r="J3848" s="20" t="inlineStr">
        <is>
          <t>210207</t>
        </is>
      </c>
      <c r="L3848" s="20">
        <f>VLOOKUP($O3848,매칭테이블!$G:$J,2,0)*H3848</f>
        <v/>
      </c>
      <c r="M3848" s="20">
        <f>L3848-L3848*VLOOKUP($O3848,매칭테이블!$G:$J,3,0)</f>
        <v/>
      </c>
      <c r="N3848" s="20">
        <f>VLOOKUP($O3848,매칭테이블!$G:$J,4,0)*H3848</f>
        <v/>
      </c>
      <c r="O3848" s="20">
        <f>F3848&amp;E3848&amp;G3848&amp;J3848</f>
        <v/>
      </c>
    </row>
    <row r="3849" ht="16.5" customHeight="1" s="17">
      <c r="B3849" s="16" t="inlineStr">
        <is>
          <t>2021-03-01</t>
        </is>
      </c>
      <c r="C3849" s="20" t="inlineStr">
        <is>
          <t>월</t>
        </is>
      </c>
      <c r="E3849" s="20" t="inlineStr">
        <is>
          <t>고체향수</t>
        </is>
      </c>
      <c r="F3849" s="20" t="inlineStr">
        <is>
          <t>카페24</t>
        </is>
      </c>
      <c r="G3849" s="20" t="inlineStr">
        <is>
          <t>솔리드퍼퓸 세트향=스테이포에버 002 SOLID PERFUME, 세트 선택=best 2개 (28% 할인)</t>
        </is>
      </c>
      <c r="H3849" s="20" t="n">
        <v>15</v>
      </c>
      <c r="I3849" s="20" t="inlineStr">
        <is>
          <t>스테이포에버 2set</t>
        </is>
      </c>
      <c r="J3849" s="20" t="inlineStr">
        <is>
          <t>210207</t>
        </is>
      </c>
      <c r="L3849" s="20">
        <f>VLOOKUP($O3849,매칭테이블!$G:$J,2,0)*H3849</f>
        <v/>
      </c>
      <c r="M3849" s="20">
        <f>L3849-L3849*VLOOKUP($O3849,매칭테이블!$G:$J,3,0)</f>
        <v/>
      </c>
      <c r="N3849" s="20">
        <f>VLOOKUP($O3849,매칭테이블!$G:$J,4,0)*H3849</f>
        <v/>
      </c>
      <c r="O3849" s="20">
        <f>F3849&amp;E3849&amp;G3849&amp;J3849</f>
        <v/>
      </c>
    </row>
    <row r="3850" ht="16.5" customHeight="1" s="17">
      <c r="B3850" s="16" t="inlineStr">
        <is>
          <t>2021-03-01</t>
        </is>
      </c>
      <c r="C3850" s="20" t="inlineStr">
        <is>
          <t>월</t>
        </is>
      </c>
      <c r="E3850" s="20" t="inlineStr">
        <is>
          <t>고체향수</t>
        </is>
      </c>
      <c r="F3850" s="20" t="inlineStr">
        <is>
          <t>카페24</t>
        </is>
      </c>
      <c r="G3850" s="20" t="inlineStr">
        <is>
          <t>솔리드퍼퓸 세트향=커플세트(이그나이트 + 스테이포에버), 세트 선택=1 SET</t>
        </is>
      </c>
      <c r="H3850" s="20" t="n">
        <v>14</v>
      </c>
      <c r="I3850" s="20" t="inlineStr">
        <is>
          <t>이그나이트 + 스테이포에버</t>
        </is>
      </c>
      <c r="J3850" s="20" t="inlineStr">
        <is>
          <t>210207</t>
        </is>
      </c>
      <c r="L3850" s="20">
        <f>VLOOKUP($O3850,매칭테이블!$G:$J,2,0)*H3850</f>
        <v/>
      </c>
      <c r="M3850" s="20">
        <f>L3850-L3850*VLOOKUP($O3850,매칭테이블!$G:$J,3,0)</f>
        <v/>
      </c>
      <c r="N3850" s="20">
        <f>VLOOKUP($O3850,매칭테이블!$G:$J,4,0)*H3850</f>
        <v/>
      </c>
      <c r="O3850" s="20">
        <f>F3850&amp;E3850&amp;G3850&amp;J3850</f>
        <v/>
      </c>
    </row>
    <row r="3851" ht="16.5" customHeight="1" s="17">
      <c r="B3851" s="16" t="inlineStr">
        <is>
          <t>2021-03-01</t>
        </is>
      </c>
      <c r="C3851" s="20" t="inlineStr">
        <is>
          <t>월</t>
        </is>
      </c>
      <c r="E3851" s="20" t="inlineStr">
        <is>
          <t>고체향수</t>
        </is>
      </c>
      <c r="F3851" s="20" t="inlineStr">
        <is>
          <t>카페24</t>
        </is>
      </c>
      <c r="G3851" s="20" t="inlineStr">
        <is>
          <t>솔리드퍼퓸 세트향=커플세트(이그나이트 + 스테이포에버), 세트 선택=2 SET (42% 할인)</t>
        </is>
      </c>
      <c r="H3851" s="20" t="n">
        <v>4</v>
      </c>
      <c r="I3851" s="20" t="inlineStr">
        <is>
          <t>이그나이트 + 스테이포에버</t>
        </is>
      </c>
      <c r="J3851" s="20" t="inlineStr">
        <is>
          <t>210207</t>
        </is>
      </c>
      <c r="L3851" s="20">
        <f>VLOOKUP($O3851,매칭테이블!$G:$J,2,0)*H3851</f>
        <v/>
      </c>
      <c r="M3851" s="20">
        <f>L3851-L3851*VLOOKUP($O3851,매칭테이블!$G:$J,3,0)</f>
        <v/>
      </c>
      <c r="N3851" s="20">
        <f>VLOOKUP($O3851,매칭테이블!$G:$J,4,0)*H3851</f>
        <v/>
      </c>
      <c r="O3851" s="20">
        <f>F3851&amp;E3851&amp;G3851&amp;J3851</f>
        <v/>
      </c>
    </row>
    <row r="3852" ht="16.5" customHeight="1" s="17">
      <c r="B3852" s="16" t="inlineStr">
        <is>
          <t>2021-03-01</t>
        </is>
      </c>
      <c r="C3852" s="20" t="inlineStr">
        <is>
          <t>월</t>
        </is>
      </c>
      <c r="E3852" s="20" t="inlineStr">
        <is>
          <t>고체향수</t>
        </is>
      </c>
      <c r="F3852" s="20" t="inlineStr">
        <is>
          <t>카페24</t>
        </is>
      </c>
      <c r="G3852" s="20" t="inlineStr">
        <is>
          <t>솔리드퍼퓸 스테이포에버 002제품선택=스테이포에버 1개</t>
        </is>
      </c>
      <c r="H3852" s="20" t="n">
        <v>319</v>
      </c>
      <c r="I3852" s="20" t="inlineStr">
        <is>
          <t>스테이포에버</t>
        </is>
      </c>
      <c r="J3852" s="20" t="inlineStr">
        <is>
          <t>210207</t>
        </is>
      </c>
      <c r="L3852" s="20">
        <f>VLOOKUP($O3852,매칭테이블!$G:$J,2,0)*H3852</f>
        <v/>
      </c>
      <c r="M3852" s="20">
        <f>L3852-L3852*VLOOKUP($O3852,매칭테이블!$G:$J,3,0)</f>
        <v/>
      </c>
      <c r="N3852" s="20">
        <f>VLOOKUP($O3852,매칭테이블!$G:$J,4,0)*H3852</f>
        <v/>
      </c>
      <c r="O3852" s="20">
        <f>F3852&amp;E3852&amp;G3852&amp;J3852</f>
        <v/>
      </c>
    </row>
    <row r="3853" ht="16.5" customHeight="1" s="17">
      <c r="B3853" s="16" t="inlineStr">
        <is>
          <t>2021-03-01</t>
        </is>
      </c>
      <c r="C3853" s="20" t="inlineStr">
        <is>
          <t>월</t>
        </is>
      </c>
      <c r="E3853" s="20" t="inlineStr">
        <is>
          <t>고체향수</t>
        </is>
      </c>
      <c r="F3853" s="20" t="inlineStr">
        <is>
          <t>카페24</t>
        </is>
      </c>
      <c r="G3853" s="20" t="inlineStr">
        <is>
          <t>솔리드퍼퓸 스테이포에버 002제품선택=best스테이포에버 2개[28% 할인]</t>
        </is>
      </c>
      <c r="H3853" s="20" t="n">
        <v>171</v>
      </c>
      <c r="I3853" s="20" t="inlineStr">
        <is>
          <t>스테이포에버 2set</t>
        </is>
      </c>
      <c r="J3853" s="20" t="inlineStr">
        <is>
          <t>210207</t>
        </is>
      </c>
      <c r="L3853" s="20">
        <f>VLOOKUP($O3853,매칭테이블!$G:$J,2,0)*H3853</f>
        <v/>
      </c>
      <c r="M3853" s="20">
        <f>L3853-L3853*VLOOKUP($O3853,매칭테이블!$G:$J,3,0)</f>
        <v/>
      </c>
      <c r="N3853" s="20">
        <f>VLOOKUP($O3853,매칭테이블!$G:$J,4,0)*H3853</f>
        <v/>
      </c>
      <c r="O3853" s="20">
        <f>F3853&amp;E3853&amp;G3853&amp;J3853</f>
        <v/>
      </c>
    </row>
    <row r="3854" ht="16.5" customHeight="1" s="17">
      <c r="B3854" s="16" t="inlineStr">
        <is>
          <t>2021-03-01</t>
        </is>
      </c>
      <c r="C3854" s="20" t="inlineStr">
        <is>
          <t>월</t>
        </is>
      </c>
      <c r="E3854" s="20" t="inlineStr">
        <is>
          <t>고체향수</t>
        </is>
      </c>
      <c r="F3854" s="20" t="inlineStr">
        <is>
          <t>카페24</t>
        </is>
      </c>
      <c r="G3854" s="20" t="inlineStr">
        <is>
          <t>솔리드퍼퓸 스테이포에버 002제품선택=커플추천스테이포에버 + 이그나이트 세트</t>
        </is>
      </c>
      <c r="H3854" s="20" t="n">
        <v>19</v>
      </c>
      <c r="I3854" s="20" t="inlineStr">
        <is>
          <t>이그나이트 + 스테이포에버</t>
        </is>
      </c>
      <c r="J3854" s="20" t="inlineStr">
        <is>
          <t>210207</t>
        </is>
      </c>
      <c r="L3854" s="20">
        <f>VLOOKUP($O3854,매칭테이블!$G:$J,2,0)*H3854</f>
        <v/>
      </c>
      <c r="M3854" s="20">
        <f>L3854-L3854*VLOOKUP($O3854,매칭테이블!$G:$J,3,0)</f>
        <v/>
      </c>
      <c r="N3854" s="20">
        <f>VLOOKUP($O3854,매칭테이블!$G:$J,4,0)*H3854</f>
        <v/>
      </c>
      <c r="O3854" s="20">
        <f>F3854&amp;E3854&amp;G3854&amp;J3854</f>
        <v/>
      </c>
    </row>
    <row r="3855" ht="16.5" customHeight="1" s="17">
      <c r="B3855" s="16" t="inlineStr">
        <is>
          <t>2021-03-01</t>
        </is>
      </c>
      <c r="C3855" s="20" t="inlineStr">
        <is>
          <t>월</t>
        </is>
      </c>
      <c r="E3855" s="20" t="inlineStr">
        <is>
          <t>쇼핑백</t>
        </is>
      </c>
      <c r="F3855" s="20" t="inlineStr">
        <is>
          <t>카페24</t>
        </is>
      </c>
      <c r="G3855" s="20" t="inlineStr">
        <is>
          <t>솔리드퍼퓸 스테이포에버 002쇼핑백=선물용 쇼핑백</t>
        </is>
      </c>
      <c r="H3855" s="20" t="n">
        <v>7</v>
      </c>
      <c r="I3855" s="20" t="inlineStr">
        <is>
          <t>쇼핑백</t>
        </is>
      </c>
      <c r="J3855" s="20" t="inlineStr">
        <is>
          <t>210207</t>
        </is>
      </c>
      <c r="L3855" s="20">
        <f>VLOOKUP($O3855,매칭테이블!$G:$J,2,0)*H3855</f>
        <v/>
      </c>
      <c r="M3855" s="20">
        <f>L3855-L3855*VLOOKUP($O3855,매칭테이블!$G:$J,3,0)</f>
        <v/>
      </c>
      <c r="N3855" s="20">
        <f>VLOOKUP($O3855,매칭테이블!$G:$J,4,0)*H3855</f>
        <v/>
      </c>
      <c r="O3855" s="20">
        <f>F3855&amp;E3855&amp;G3855&amp;J3855</f>
        <v/>
      </c>
    </row>
    <row r="3856" ht="16.5" customHeight="1" s="17">
      <c r="B3856" s="16" t="inlineStr">
        <is>
          <t>2021-03-01</t>
        </is>
      </c>
      <c r="C3856" s="20" t="inlineStr">
        <is>
          <t>월</t>
        </is>
      </c>
      <c r="E3856" s="20" t="inlineStr">
        <is>
          <t>고체향수</t>
        </is>
      </c>
      <c r="F3856" s="20" t="inlineStr">
        <is>
          <t>카페24</t>
        </is>
      </c>
      <c r="G3856" s="20" t="inlineStr">
        <is>
          <t>솔리드퍼퓸 이그나이트 001제품선택=이그나이트 2개 세트</t>
        </is>
      </c>
      <c r="H3856" s="20" t="n">
        <v>3</v>
      </c>
      <c r="I3856" s="20" t="inlineStr">
        <is>
          <t>이그나이트 2set</t>
        </is>
      </c>
      <c r="J3856" s="20" t="inlineStr">
        <is>
          <t>210207</t>
        </is>
      </c>
      <c r="L3856" s="20">
        <f>VLOOKUP($O3856,매칭테이블!$G:$J,2,0)*H3856</f>
        <v/>
      </c>
      <c r="M3856" s="20">
        <f>L3856-L3856*VLOOKUP($O3856,매칭테이블!$G:$J,3,0)</f>
        <v/>
      </c>
      <c r="N3856" s="20">
        <f>VLOOKUP($O3856,매칭테이블!$G:$J,4,0)*H3856</f>
        <v/>
      </c>
      <c r="O3856" s="20">
        <f>F3856&amp;E3856&amp;G3856&amp;J3856</f>
        <v/>
      </c>
    </row>
    <row r="3857" ht="16.5" customHeight="1" s="17">
      <c r="A3857" s="20" t="inlineStr">
        <is>
          <t>고체향수</t>
        </is>
      </c>
      <c r="B3857" s="16" t="inlineStr">
        <is>
          <t>2021-02-26</t>
        </is>
      </c>
      <c r="C3857" s="20" t="inlineStr">
        <is>
          <t>금</t>
        </is>
      </c>
      <c r="D3857" s="20">
        <f>VLOOKUP($A3857,매칭테이블!$B$548:$D$1048576,2,0)</f>
        <v/>
      </c>
      <c r="E3857" s="20">
        <f>VLOOKUP($A3857,매칭테이블!$B$548:$D$1048576,3,0)</f>
        <v/>
      </c>
      <c r="K3857" s="20" t="n">
        <v>1276858.181818182</v>
      </c>
    </row>
    <row r="3858" ht="16.5" customHeight="1" s="17">
      <c r="A3858" s="20" t="inlineStr">
        <is>
          <t>고체향수</t>
        </is>
      </c>
      <c r="B3858" s="16" t="inlineStr">
        <is>
          <t>2021-02-27</t>
        </is>
      </c>
      <c r="C3858" s="20" t="inlineStr">
        <is>
          <t>토</t>
        </is>
      </c>
      <c r="D3858" s="20">
        <f>VLOOKUP($A3858,매칭테이블!$B$548:$D$1048576,2,0)</f>
        <v/>
      </c>
      <c r="E3858" s="20">
        <f>VLOOKUP($A3858,매칭테이블!$B$548:$D$1048576,3,0)</f>
        <v/>
      </c>
      <c r="K3858" s="20" t="n">
        <v>1281479.090909091</v>
      </c>
    </row>
    <row r="3859" ht="16.5" customHeight="1" s="17">
      <c r="A3859" s="20" t="inlineStr">
        <is>
          <t>고체향수</t>
        </is>
      </c>
      <c r="B3859" s="16" t="inlineStr">
        <is>
          <t>2021-02-28</t>
        </is>
      </c>
      <c r="C3859" s="20" t="inlineStr">
        <is>
          <t>일</t>
        </is>
      </c>
      <c r="D3859" s="20">
        <f>VLOOKUP($A3859,매칭테이블!$B$548:$D$1048576,2,0)</f>
        <v/>
      </c>
      <c r="E3859" s="20">
        <f>VLOOKUP($A3859,매칭테이블!$B$548:$D$1048576,3,0)</f>
        <v/>
      </c>
      <c r="K3859" s="20" t="n">
        <v>1349502.727272727</v>
      </c>
    </row>
    <row r="3860" ht="16.5" customHeight="1" s="17">
      <c r="A3860" s="20" t="inlineStr">
        <is>
          <t>고체향수</t>
        </is>
      </c>
      <c r="B3860" s="16" t="inlineStr">
        <is>
          <t>2021-03-01</t>
        </is>
      </c>
      <c r="C3860" s="20" t="inlineStr">
        <is>
          <t>월</t>
        </is>
      </c>
      <c r="D3860" s="20">
        <f>VLOOKUP($A3860,매칭테이블!$B$548:$D$1048576,2,0)</f>
        <v/>
      </c>
      <c r="E3860" s="20">
        <f>VLOOKUP($A3860,매칭테이블!$B$548:$D$1048576,3,0)</f>
        <v/>
      </c>
      <c r="K3860" s="20" t="n">
        <v>1455170</v>
      </c>
    </row>
    <row r="3861" ht="16.5" customHeight="1" s="17">
      <c r="A3861" s="20" t="inlineStr">
        <is>
          <t>[다현 TEST] 스테이포에버_유즈모먼트</t>
        </is>
      </c>
      <c r="B3861" s="16" t="inlineStr">
        <is>
          <t>2021-03-02</t>
        </is>
      </c>
      <c r="C3861" s="20" t="inlineStr">
        <is>
          <t>화</t>
        </is>
      </c>
      <c r="D3861" s="20">
        <f>VLOOKUP($A3861,매칭테이블!$B$548:$D$1048576,2,0)</f>
        <v/>
      </c>
      <c r="E3861" s="20">
        <f>VLOOKUP($A3861,매칭테이블!$B$548:$D$1048576,3,0)</f>
        <v/>
      </c>
      <c r="K3861" s="20" t="n">
        <v>10801</v>
      </c>
    </row>
    <row r="3862" ht="16.5" customHeight="1" s="17">
      <c r="A3862" s="20" t="inlineStr">
        <is>
          <t>[성민 TEST] 스테이포에버_이미지</t>
        </is>
      </c>
      <c r="B3862" s="16" t="inlineStr">
        <is>
          <t>2021-03-02</t>
        </is>
      </c>
      <c r="C3862" s="20" t="inlineStr">
        <is>
          <t>화</t>
        </is>
      </c>
      <c r="D3862" s="20" t="inlineStr">
        <is>
          <t>페이스북/인스타그램</t>
        </is>
      </c>
      <c r="E3862" s="20" t="inlineStr">
        <is>
          <t>고체향수</t>
        </is>
      </c>
      <c r="K3862" s="20" t="n">
        <v>29004</v>
      </c>
    </row>
    <row r="3863" ht="16.5" customHeight="1" s="17">
      <c r="A3863" s="20" t="inlineStr">
        <is>
          <t>[승은 TEST] 스테이포에버_카드뉴스</t>
        </is>
      </c>
      <c r="B3863" s="16" t="inlineStr">
        <is>
          <t>2021-03-02</t>
        </is>
      </c>
      <c r="C3863" s="20" t="inlineStr">
        <is>
          <t>화</t>
        </is>
      </c>
      <c r="D3863" s="20" t="inlineStr">
        <is>
          <t>페이스북/인스타그램</t>
        </is>
      </c>
      <c r="E3863" s="20" t="inlineStr">
        <is>
          <t>고체향수</t>
        </is>
      </c>
      <c r="K3863" s="20" t="n">
        <v>58769</v>
      </c>
    </row>
    <row r="3864" ht="16.5" customHeight="1" s="17">
      <c r="A3864" s="20" t="inlineStr">
        <is>
          <t>[승무원 2] 스테이포에버_카드뉴스</t>
        </is>
      </c>
      <c r="B3864" s="16" t="inlineStr">
        <is>
          <t>2021-03-02</t>
        </is>
      </c>
      <c r="C3864" s="20" t="inlineStr">
        <is>
          <t>화</t>
        </is>
      </c>
      <c r="D3864" s="20" t="inlineStr">
        <is>
          <t>페이스북/인스타그램</t>
        </is>
      </c>
      <c r="E3864" s="20" t="inlineStr">
        <is>
          <t>고체향수</t>
        </is>
      </c>
      <c r="K3864" s="20" t="n">
        <v>394908</v>
      </c>
    </row>
    <row r="3865" ht="16.5" customHeight="1" s="17">
      <c r="A3865" s="20" t="inlineStr">
        <is>
          <t>[테스트]아줌마</t>
        </is>
      </c>
      <c r="B3865" s="16" t="inlineStr">
        <is>
          <t>2021-03-02</t>
        </is>
      </c>
      <c r="C3865" s="20" t="inlineStr">
        <is>
          <t>화</t>
        </is>
      </c>
      <c r="D3865" s="20" t="inlineStr">
        <is>
          <t>페이스북/인스타그램</t>
        </is>
      </c>
      <c r="E3865" s="20" t="inlineStr">
        <is>
          <t>고체향수</t>
        </is>
      </c>
      <c r="K3865" s="20" t="n">
        <v>215748</v>
      </c>
    </row>
    <row r="3866" ht="16.5" customHeight="1" s="17">
      <c r="A3866" s="20" t="inlineStr">
        <is>
          <t>[키워드 확장 테스트]스테이포에버_이미지</t>
        </is>
      </c>
      <c r="B3866" s="16" t="inlineStr">
        <is>
          <t>2021-03-02</t>
        </is>
      </c>
      <c r="C3866" s="20" t="inlineStr">
        <is>
          <t>화</t>
        </is>
      </c>
      <c r="D3866" s="20" t="inlineStr">
        <is>
          <t>페이스북/인스타그램</t>
        </is>
      </c>
      <c r="E3866" s="20" t="inlineStr">
        <is>
          <t>고체향수</t>
        </is>
      </c>
      <c r="K3866" s="20" t="n">
        <v>267536</v>
      </c>
    </row>
    <row r="3867" ht="16.5" customHeight="1" s="17">
      <c r="A3867" s="20" t="inlineStr">
        <is>
          <t>[재입고]스테이포에버_이미지</t>
        </is>
      </c>
      <c r="B3867" s="16" t="inlineStr">
        <is>
          <t>2021-03-02</t>
        </is>
      </c>
      <c r="C3867" s="20" t="inlineStr">
        <is>
          <t>화</t>
        </is>
      </c>
      <c r="D3867" s="20" t="inlineStr">
        <is>
          <t>페이스북/인스타그램</t>
        </is>
      </c>
      <c r="E3867" s="20" t="inlineStr">
        <is>
          <t>고체향수</t>
        </is>
      </c>
      <c r="K3867" s="20" t="n">
        <v>149935</v>
      </c>
    </row>
    <row r="3868" ht="16.5" customHeight="1" s="17">
      <c r="A3868" s="20" t="inlineStr">
        <is>
          <t>[승무원]숏폼_영상</t>
        </is>
      </c>
      <c r="B3868" s="16" t="inlineStr">
        <is>
          <t>2021-03-02</t>
        </is>
      </c>
      <c r="C3868" s="20" t="inlineStr">
        <is>
          <t>화</t>
        </is>
      </c>
      <c r="D3868" s="20" t="inlineStr">
        <is>
          <t>페이스북/인스타그램</t>
        </is>
      </c>
      <c r="E3868" s="20" t="inlineStr">
        <is>
          <t>고체향수</t>
        </is>
      </c>
      <c r="K3868" s="20" t="n">
        <v>98529</v>
      </c>
    </row>
    <row r="3869" ht="16.5" customHeight="1" s="17">
      <c r="A3869" s="20" t="inlineStr">
        <is>
          <t>[재입고]스테이포에버_영상</t>
        </is>
      </c>
      <c r="B3869" s="16" t="inlineStr">
        <is>
          <t>2021-03-02</t>
        </is>
      </c>
      <c r="C3869" s="20" t="inlineStr">
        <is>
          <t>화</t>
        </is>
      </c>
      <c r="D3869" s="20" t="inlineStr">
        <is>
          <t>페이스북/인스타그램</t>
        </is>
      </c>
      <c r="E3869" s="20" t="inlineStr">
        <is>
          <t>고체향수</t>
        </is>
      </c>
      <c r="K3869" s="20" t="n">
        <v>196784</v>
      </c>
    </row>
    <row r="3870" ht="16.5" customHeight="1" s="17">
      <c r="A3870" s="20" t="inlineStr">
        <is>
          <t>[필라테스]스테이포에버_카드뉴스</t>
        </is>
      </c>
      <c r="B3870" s="16" t="inlineStr">
        <is>
          <t>2021-03-02</t>
        </is>
      </c>
      <c r="C3870" s="20" t="inlineStr">
        <is>
          <t>화</t>
        </is>
      </c>
      <c r="D3870" s="20" t="inlineStr">
        <is>
          <t>페이스북/인스타그램</t>
        </is>
      </c>
      <c r="E3870" s="20" t="inlineStr">
        <is>
          <t>고체향수</t>
        </is>
      </c>
      <c r="K3870" s="20" t="n">
        <v>49077</v>
      </c>
    </row>
    <row r="3871" ht="16.5" customHeight="1" s="17">
      <c r="A3871" s="20" t="inlineStr">
        <is>
          <t>[젊줌마]스테이포에버_영상</t>
        </is>
      </c>
      <c r="B3871" s="16" t="inlineStr">
        <is>
          <t>2021-03-02</t>
        </is>
      </c>
      <c r="C3871" s="20" t="inlineStr">
        <is>
          <t>화</t>
        </is>
      </c>
      <c r="D3871" s="20" t="inlineStr">
        <is>
          <t>페이스북/인스타그램</t>
        </is>
      </c>
      <c r="E3871" s="20" t="inlineStr">
        <is>
          <t>고체향수</t>
        </is>
      </c>
      <c r="K3871" s="20" t="n">
        <v>99421</v>
      </c>
    </row>
    <row r="3872" ht="16.5" customHeight="1" s="17">
      <c r="A3872" s="20" t="inlineStr">
        <is>
          <t>[이성소구]스테이포에버_영상</t>
        </is>
      </c>
      <c r="B3872" s="16" t="inlineStr">
        <is>
          <t>2021-03-02</t>
        </is>
      </c>
      <c r="C3872" s="20" t="inlineStr">
        <is>
          <t>화</t>
        </is>
      </c>
      <c r="D3872" s="20" t="inlineStr">
        <is>
          <t>페이스북/인스타그램</t>
        </is>
      </c>
      <c r="E3872" s="20" t="inlineStr">
        <is>
          <t>고체향수</t>
        </is>
      </c>
      <c r="K3872" s="20" t="n">
        <v>29591</v>
      </c>
    </row>
    <row r="3873" ht="16.5" customHeight="1" s="17">
      <c r="A3873" s="20" t="inlineStr">
        <is>
          <t>[승무원]2019년썰 카드뉴스+ 향묘사_영상</t>
        </is>
      </c>
      <c r="B3873" s="16" t="inlineStr">
        <is>
          <t>2021-03-02</t>
        </is>
      </c>
      <c r="C3873" s="20" t="inlineStr">
        <is>
          <t>화</t>
        </is>
      </c>
      <c r="D3873" s="20" t="inlineStr">
        <is>
          <t>페이스북/인스타그램</t>
        </is>
      </c>
      <c r="E3873" s="20" t="inlineStr">
        <is>
          <t>고체향수</t>
        </is>
      </c>
      <c r="K3873" s="20" t="n">
        <v>97118</v>
      </c>
    </row>
    <row r="3874" ht="16.5" customHeight="1" s="17">
      <c r="A3874" s="20" t="inlineStr">
        <is>
          <t>[승무원어피]스테이포에버_이미지</t>
        </is>
      </c>
      <c r="B3874" s="16" t="inlineStr">
        <is>
          <t>2021-03-02</t>
        </is>
      </c>
      <c r="C3874" s="20" t="inlineStr">
        <is>
          <t>화</t>
        </is>
      </c>
      <c r="D3874" s="20" t="inlineStr">
        <is>
          <t>페이스북/인스타그램</t>
        </is>
      </c>
      <c r="E3874" s="20" t="inlineStr">
        <is>
          <t>고체향수</t>
        </is>
      </c>
      <c r="K3874" s="20" t="n">
        <v>98844</v>
      </c>
    </row>
    <row r="3875" ht="16.5" customHeight="1" s="17">
      <c r="A3875" s="20" t="inlineStr">
        <is>
          <t>[다현]스테이포에버_이미지</t>
        </is>
      </c>
      <c r="B3875" s="16" t="inlineStr">
        <is>
          <t>2021-03-02</t>
        </is>
      </c>
      <c r="C3875" s="20" t="inlineStr">
        <is>
          <t>화</t>
        </is>
      </c>
      <c r="D3875" s="20" t="inlineStr">
        <is>
          <t>페이스북/인스타그램</t>
        </is>
      </c>
      <c r="E3875" s="20" t="inlineStr">
        <is>
          <t>고체향수</t>
        </is>
      </c>
      <c r="K3875" s="20" t="n">
        <v>294773</v>
      </c>
    </row>
    <row r="3876" ht="16.5" customHeight="1" s="17">
      <c r="A3876" s="20" t="inlineStr">
        <is>
          <t>[승무원]스테이포에버_카드뉴스</t>
        </is>
      </c>
      <c r="B3876" s="16" t="inlineStr">
        <is>
          <t>2021-03-02</t>
        </is>
      </c>
      <c r="C3876" s="20" t="inlineStr">
        <is>
          <t>화</t>
        </is>
      </c>
      <c r="D3876" s="20" t="inlineStr">
        <is>
          <t>페이스북/인스타그램</t>
        </is>
      </c>
      <c r="E3876" s="20" t="inlineStr">
        <is>
          <t>고체향수</t>
        </is>
      </c>
      <c r="K3876" s="20" t="n">
        <v>292835</v>
      </c>
    </row>
    <row r="3877" ht="16.5" customHeight="1" s="17">
      <c r="A3877" s="20" t="inlineStr">
        <is>
          <t>[후기타입]스테이포에버_영상</t>
        </is>
      </c>
      <c r="B3877" s="16" t="inlineStr">
        <is>
          <t>2021-03-02</t>
        </is>
      </c>
      <c r="C3877" s="20" t="inlineStr">
        <is>
          <t>화</t>
        </is>
      </c>
      <c r="D3877" s="20" t="inlineStr">
        <is>
          <t>페이스북/인스타그램</t>
        </is>
      </c>
      <c r="E3877" s="20" t="inlineStr">
        <is>
          <t>고체향수</t>
        </is>
      </c>
      <c r="K3877" s="20" t="n">
        <v>149416</v>
      </c>
    </row>
    <row r="3878" ht="16.5" customHeight="1" s="17">
      <c r="A3878" s="20" t="inlineStr">
        <is>
          <t>전환_스테이포에버</t>
        </is>
      </c>
      <c r="B3878" s="16" t="inlineStr">
        <is>
          <t>2021-03-02</t>
        </is>
      </c>
      <c r="C3878" s="20" t="inlineStr">
        <is>
          <t>화</t>
        </is>
      </c>
      <c r="D3878" s="20" t="inlineStr">
        <is>
          <t>페이스북/인스타그램</t>
        </is>
      </c>
      <c r="E3878" s="20" t="inlineStr">
        <is>
          <t>고체향수</t>
        </is>
      </c>
      <c r="K3878" s="20" t="n">
        <v>147782</v>
      </c>
    </row>
    <row r="3879" ht="16.5" customHeight="1" s="17">
      <c r="A3879" s="20" t="inlineStr">
        <is>
          <t>[권태기커플]스테이포에버_영상</t>
        </is>
      </c>
      <c r="B3879" s="16" t="inlineStr">
        <is>
          <t>2021-03-02</t>
        </is>
      </c>
      <c r="C3879" s="20" t="inlineStr">
        <is>
          <t>화</t>
        </is>
      </c>
      <c r="D3879" s="20" t="inlineStr">
        <is>
          <t>페이스북/인스타그램</t>
        </is>
      </c>
      <c r="E3879" s="20" t="inlineStr">
        <is>
          <t>고체향수</t>
        </is>
      </c>
      <c r="K3879" s="20" t="n">
        <v>147463</v>
      </c>
    </row>
    <row r="3880" ht="16.5" customHeight="1" s="17">
      <c r="A3880" s="20" t="inlineStr">
        <is>
          <t>동영상캠페인_승무원_2019년썰(25일, cpa 30000)</t>
        </is>
      </c>
      <c r="B3880" s="16" t="inlineStr">
        <is>
          <t>2021-03-02</t>
        </is>
      </c>
      <c r="C3880" s="20" t="inlineStr">
        <is>
          <t>화</t>
        </is>
      </c>
      <c r="D3880" s="20">
        <f>VLOOKUP($A3880,매칭테이블!$B$548:$D$1048576,2,0)</f>
        <v/>
      </c>
      <c r="E3880" s="20">
        <f>VLOOKUP($A3880,매칭테이블!$B$548:$D$1048576,3,0)</f>
        <v/>
      </c>
      <c r="K3880" s="20" t="n">
        <v>307799</v>
      </c>
    </row>
    <row r="3881" ht="16.5" customHeight="1" s="17">
      <c r="A3881" s="20" t="inlineStr">
        <is>
          <t>웹사이트 트래픽 서치</t>
        </is>
      </c>
      <c r="B3881" s="16" t="inlineStr">
        <is>
          <t>2021-03-02</t>
        </is>
      </c>
      <c r="C3881" s="20" t="inlineStr">
        <is>
          <t>화</t>
        </is>
      </c>
      <c r="D3881" s="20" t="inlineStr">
        <is>
          <t>유튜브 광고</t>
        </is>
      </c>
      <c r="E3881" s="20" t="inlineStr">
        <is>
          <t>고체향수</t>
        </is>
      </c>
      <c r="K3881" s="20" t="n">
        <v>36530</v>
      </c>
    </row>
    <row r="3882" ht="16.5" customHeight="1" s="17">
      <c r="A3882" s="20" t="inlineStr">
        <is>
          <t>동영상캠페인_승무원_보이는 라디오</t>
        </is>
      </c>
      <c r="B3882" s="16" t="inlineStr">
        <is>
          <t>2021-03-02</t>
        </is>
      </c>
      <c r="C3882" s="20" t="inlineStr">
        <is>
          <t>화</t>
        </is>
      </c>
      <c r="D3882" s="20" t="inlineStr">
        <is>
          <t>유튜브 광고</t>
        </is>
      </c>
      <c r="E3882" s="20" t="inlineStr">
        <is>
          <t>고체향수</t>
        </is>
      </c>
      <c r="K3882" s="20" t="n">
        <v>504462</v>
      </c>
    </row>
    <row r="3883" ht="16.5" customHeight="1" s="17">
      <c r="A3883" s="20" t="inlineStr">
        <is>
          <t>동영상캠페인_무드1</t>
        </is>
      </c>
      <c r="B3883" s="16" t="inlineStr">
        <is>
          <t>2021-03-02</t>
        </is>
      </c>
      <c r="C3883" s="20" t="inlineStr">
        <is>
          <t>화</t>
        </is>
      </c>
      <c r="D3883" s="20" t="inlineStr">
        <is>
          <t>유튜브 광고</t>
        </is>
      </c>
      <c r="E3883" s="20" t="inlineStr">
        <is>
          <t>고체향수</t>
        </is>
      </c>
      <c r="K3883" s="20" t="n">
        <v>4476</v>
      </c>
    </row>
    <row r="3884" ht="16.5" customHeight="1" s="17">
      <c r="A3884" s="20" t="inlineStr">
        <is>
          <t>디스커버리 배너_승무원,할인_리마케팅</t>
        </is>
      </c>
      <c r="B3884" s="16" t="inlineStr">
        <is>
          <t>2021-03-02</t>
        </is>
      </c>
      <c r="C3884" s="20" t="inlineStr">
        <is>
          <t>화</t>
        </is>
      </c>
      <c r="D3884" s="20" t="inlineStr">
        <is>
          <t>유튜브 광고</t>
        </is>
      </c>
      <c r="E3884" s="20" t="inlineStr">
        <is>
          <t>고체향수</t>
        </is>
      </c>
      <c r="K3884" s="20" t="n">
        <v>566855</v>
      </c>
    </row>
    <row r="3885" ht="16.5" customHeight="1" s="17">
      <c r="A3885" s="20" t="inlineStr">
        <is>
          <t>동영상캠페인_승무원_써니스카이</t>
        </is>
      </c>
      <c r="B3885" s="16" t="inlineStr">
        <is>
          <t>2021-03-02</t>
        </is>
      </c>
      <c r="C3885" s="20" t="inlineStr">
        <is>
          <t>화</t>
        </is>
      </c>
      <c r="D3885" s="20" t="inlineStr">
        <is>
          <t>유튜브 광고</t>
        </is>
      </c>
      <c r="E3885" s="20" t="inlineStr">
        <is>
          <t>고체향수</t>
        </is>
      </c>
      <c r="K3885" s="20" t="n">
        <v>505166</v>
      </c>
    </row>
    <row r="3886" ht="16.5" customHeight="1" s="17">
      <c r="A3886" s="20" t="inlineStr">
        <is>
          <t>동영상캠페인_필라테스_자기관리(CPA)</t>
        </is>
      </c>
      <c r="B3886" s="16" t="inlineStr">
        <is>
          <t>2021-03-02</t>
        </is>
      </c>
      <c r="C3886" s="20" t="inlineStr">
        <is>
          <t>화</t>
        </is>
      </c>
      <c r="D3886" s="20" t="inlineStr">
        <is>
          <t>유튜브 광고</t>
        </is>
      </c>
      <c r="E3886" s="20" t="inlineStr">
        <is>
          <t>고체향수</t>
        </is>
      </c>
      <c r="K3886" s="20" t="n">
        <v>479952</v>
      </c>
    </row>
    <row r="3887" ht="16.5" customHeight="1" s="17">
      <c r="A3887" s="20" t="inlineStr">
        <is>
          <t>동영상캠페인_승무원_비누향 나는 승무원에게</t>
        </is>
      </c>
      <c r="B3887" s="16" t="inlineStr">
        <is>
          <t>2021-03-02</t>
        </is>
      </c>
      <c r="C3887" s="20" t="inlineStr">
        <is>
          <t>화</t>
        </is>
      </c>
      <c r="D3887" s="20" t="inlineStr">
        <is>
          <t>유튜브 광고</t>
        </is>
      </c>
      <c r="E3887" s="20" t="inlineStr">
        <is>
          <t>고체향수</t>
        </is>
      </c>
      <c r="K3887" s="20" t="n">
        <v>251817</v>
      </c>
    </row>
    <row r="3888" ht="16.5" customHeight="1" s="17">
      <c r="A3888" s="20" t="inlineStr">
        <is>
          <t>동영상캠페인_유즈모먼트_2차_30대 여성 회사원</t>
        </is>
      </c>
      <c r="B3888" s="16" t="inlineStr">
        <is>
          <t>2021-03-02</t>
        </is>
      </c>
      <c r="C3888" s="20" t="inlineStr">
        <is>
          <t>화</t>
        </is>
      </c>
      <c r="D3888" s="20" t="inlineStr">
        <is>
          <t>유튜브 광고</t>
        </is>
      </c>
      <c r="E3888" s="20" t="inlineStr">
        <is>
          <t>고체향수</t>
        </is>
      </c>
      <c r="K3888" s="20" t="n">
        <v>404982</v>
      </c>
    </row>
    <row r="3889" ht="16.5" customHeight="1" s="17">
      <c r="A3889" s="20" t="inlineStr">
        <is>
          <t>쇼핑검색_고체향수</t>
        </is>
      </c>
      <c r="B3889" s="16" t="inlineStr">
        <is>
          <t>2021-03-02</t>
        </is>
      </c>
      <c r="C3889" s="20" t="inlineStr">
        <is>
          <t>화</t>
        </is>
      </c>
      <c r="D3889" s="20" t="inlineStr">
        <is>
          <t>네이버 쇼핑검색</t>
        </is>
      </c>
      <c r="E3889" s="20" t="inlineStr">
        <is>
          <t>고체향수</t>
        </is>
      </c>
      <c r="K3889" s="20" t="n">
        <v>989.9999999999999</v>
      </c>
    </row>
    <row r="3890" ht="16.5" customHeight="1" s="17">
      <c r="A3890" s="20" t="inlineStr">
        <is>
          <t>쇼핑검색_고체향수세부키워드</t>
        </is>
      </c>
      <c r="B3890" s="16" t="inlineStr">
        <is>
          <t>2021-03-02</t>
        </is>
      </c>
      <c r="C3890" s="20" t="inlineStr">
        <is>
          <t>화</t>
        </is>
      </c>
      <c r="D3890" s="20" t="inlineStr">
        <is>
          <t>네이버 쇼핑검색</t>
        </is>
      </c>
      <c r="E3890" s="20" t="inlineStr">
        <is>
          <t>고체향수</t>
        </is>
      </c>
      <c r="K3890" s="20" t="n">
        <v>112330</v>
      </c>
    </row>
    <row r="3891" ht="16.5" customHeight="1" s="17">
      <c r="A3891" s="20" t="inlineStr">
        <is>
          <t>쇼핑검색_고체향수세부키워드2</t>
        </is>
      </c>
      <c r="B3891" s="16" t="inlineStr">
        <is>
          <t>2021-03-02</t>
        </is>
      </c>
      <c r="C3891" s="20" t="inlineStr">
        <is>
          <t>화</t>
        </is>
      </c>
      <c r="D3891" s="20" t="inlineStr">
        <is>
          <t>네이버 쇼핑검색</t>
        </is>
      </c>
      <c r="E3891" s="20" t="inlineStr">
        <is>
          <t>고체향수</t>
        </is>
      </c>
      <c r="K3891" s="20" t="n">
        <v>2090</v>
      </c>
    </row>
    <row r="3892" ht="16.5" customHeight="1" s="17">
      <c r="A3892" s="20" t="inlineStr">
        <is>
          <t>모바일 브검</t>
        </is>
      </c>
      <c r="B3892" s="16" t="inlineStr">
        <is>
          <t>2021-03-02</t>
        </is>
      </c>
      <c r="C3892" s="20" t="inlineStr">
        <is>
          <t>화</t>
        </is>
      </c>
      <c r="D3892" s="20" t="inlineStr">
        <is>
          <t>네이버 브랜드검색</t>
        </is>
      </c>
      <c r="E3892" s="20" t="inlineStr">
        <is>
          <t>브랜드</t>
        </is>
      </c>
      <c r="K3892" s="20" t="n">
        <v>0</v>
      </c>
    </row>
    <row r="3893" ht="16.5" customHeight="1" s="17">
      <c r="A3893" s="20" t="inlineStr">
        <is>
          <t>고체향수_승무원 어피_Npay 추적</t>
        </is>
      </c>
      <c r="B3893" s="16" t="inlineStr">
        <is>
          <t>2021-03-02</t>
        </is>
      </c>
      <c r="C3893" s="20" t="inlineStr">
        <is>
          <t>화</t>
        </is>
      </c>
      <c r="D3893" s="20" t="inlineStr">
        <is>
          <t>카카오 배너</t>
        </is>
      </c>
      <c r="E3893" s="20" t="inlineStr">
        <is>
          <t>고체향수</t>
        </is>
      </c>
      <c r="K3893" s="20" t="n">
        <v>91019.99999999999</v>
      </c>
    </row>
    <row r="3894" ht="16.5" customHeight="1" s="17">
      <c r="A3894" s="20" t="inlineStr">
        <is>
          <t>고체향수_Npay 추적</t>
        </is>
      </c>
      <c r="B3894" s="16" t="inlineStr">
        <is>
          <t>2021-03-02</t>
        </is>
      </c>
      <c r="C3894" s="20" t="inlineStr">
        <is>
          <t>화</t>
        </is>
      </c>
      <c r="D3894" s="20" t="inlineStr">
        <is>
          <t>카카오 배너</t>
        </is>
      </c>
      <c r="E3894" s="20" t="inlineStr">
        <is>
          <t>고체향수</t>
        </is>
      </c>
      <c r="K3894" s="20" t="n">
        <v>661520</v>
      </c>
    </row>
    <row r="3895" ht="16.5" customHeight="1" s="17">
      <c r="B3895" s="16" t="inlineStr">
        <is>
          <t>2021-03-02</t>
        </is>
      </c>
      <c r="C3895" s="20" t="inlineStr">
        <is>
          <t>화</t>
        </is>
      </c>
      <c r="E3895" s="20">
        <f>INDEX(매칭테이블!C:C,MATCH(RD!G3895,매칭테이블!D:D,0))</f>
        <v/>
      </c>
      <c r="F3895" s="20" t="inlineStr">
        <is>
          <t>스마트스토어</t>
        </is>
      </c>
      <c r="G3895" s="20" t="inlineStr">
        <is>
          <t>유즈 고체향수 세트(유즈 스테이포에버, 유즈 이그나이트)고체향수: 스테이포에버 1개 + 이그나이트 1개</t>
        </is>
      </c>
      <c r="H3895" s="20" t="n">
        <v>2</v>
      </c>
      <c r="I3895" s="20">
        <f>VLOOKUP(G3895,매칭테이블!D:E,2,0)</f>
        <v/>
      </c>
      <c r="J3895" s="20" t="inlineStr">
        <is>
          <t>210207</t>
        </is>
      </c>
      <c r="L3895" s="20">
        <f>VLOOKUP($O3895,매칭테이블!$G:$J,2,0)*H3895</f>
        <v/>
      </c>
      <c r="M3895" s="20">
        <f>L3895-L3895*VLOOKUP($O3895,매칭테이블!$G:$J,3,0)</f>
        <v/>
      </c>
      <c r="N3895" s="20">
        <f>VLOOKUP($O3895,매칭테이블!$G:$J,4,0)*H3895</f>
        <v/>
      </c>
      <c r="O3895" s="20">
        <f>F3895&amp;E3895&amp;G3895&amp;J3895</f>
        <v/>
      </c>
    </row>
    <row r="3896" ht="16.5" customHeight="1" s="17">
      <c r="B3896" s="16" t="inlineStr">
        <is>
          <t>2021-03-02</t>
        </is>
      </c>
      <c r="C3896" s="20" t="inlineStr">
        <is>
          <t>화</t>
        </is>
      </c>
      <c r="E3896" s="20">
        <f>INDEX(매칭테이블!C:C,MATCH(RD!G3896,매칭테이블!D:D,0))</f>
        <v/>
      </c>
      <c r="F3896" s="20" t="inlineStr">
        <is>
          <t>스마트스토어</t>
        </is>
      </c>
      <c r="G3896" s="20" t="inlineStr">
        <is>
          <t>유즈 고체향수 스테이포에버 002고체향수: 스테이포에버 1개</t>
        </is>
      </c>
      <c r="H3896" s="20" t="n">
        <v>32</v>
      </c>
      <c r="I3896" s="20">
        <f>VLOOKUP(G3896,매칭테이블!D:E,2,0)</f>
        <v/>
      </c>
      <c r="J3896" s="20" t="inlineStr">
        <is>
          <t>210207</t>
        </is>
      </c>
      <c r="L3896" s="20">
        <f>VLOOKUP($O3896,매칭테이블!$G:$J,2,0)*H3896</f>
        <v/>
      </c>
      <c r="M3896" s="20">
        <f>L3896-L3896*VLOOKUP($O3896,매칭테이블!$G:$J,3,0)</f>
        <v/>
      </c>
      <c r="N3896" s="20">
        <f>VLOOKUP($O3896,매칭테이블!$G:$J,4,0)*H3896</f>
        <v/>
      </c>
      <c r="O3896" s="20">
        <f>F3896&amp;E3896&amp;G3896&amp;J3896</f>
        <v/>
      </c>
    </row>
    <row r="3897" ht="16.5" customHeight="1" s="17">
      <c r="B3897" s="16" t="inlineStr">
        <is>
          <t>2021-03-02</t>
        </is>
      </c>
      <c r="C3897" s="20" t="inlineStr">
        <is>
          <t>화</t>
        </is>
      </c>
      <c r="E3897" s="20" t="inlineStr">
        <is>
          <t>고체향수</t>
        </is>
      </c>
      <c r="F3897" s="20" t="inlineStr">
        <is>
          <t>유즈 CS</t>
        </is>
      </c>
      <c r="G3897" s="20" t="inlineStr">
        <is>
          <t>솔리드퍼퓸 이그나이트 001 30ml</t>
        </is>
      </c>
      <c r="H3897" s="20" t="n">
        <v>2</v>
      </c>
      <c r="I3897" s="20" t="inlineStr">
        <is>
          <t>이그나이트</t>
        </is>
      </c>
      <c r="J3897" s="20" t="inlineStr">
        <is>
          <t>210207</t>
        </is>
      </c>
      <c r="L3897" s="20">
        <f>VLOOKUP($O3897,매칭테이블!$G:$J,2,0)*H3897</f>
        <v/>
      </c>
      <c r="M3897" s="20">
        <f>L3897-L3897*VLOOKUP($O3897,매칭테이블!$G:$J,3,0)</f>
        <v/>
      </c>
      <c r="N3897" s="20">
        <f>VLOOKUP($O3897,매칭테이블!$G:$J,4,0)*H3897</f>
        <v/>
      </c>
      <c r="O3897" s="20">
        <f>F3897&amp;E3897&amp;G3897&amp;J3897</f>
        <v/>
      </c>
    </row>
    <row r="3898" ht="16.5" customHeight="1" s="17">
      <c r="B3898" s="16" t="inlineStr">
        <is>
          <t>2021-03-02</t>
        </is>
      </c>
      <c r="C3898" s="20" t="inlineStr">
        <is>
          <t>화</t>
        </is>
      </c>
      <c r="E3898" s="20" t="inlineStr">
        <is>
          <t>쇼핑백</t>
        </is>
      </c>
      <c r="F3898" s="20" t="inlineStr">
        <is>
          <t>카페24</t>
        </is>
      </c>
      <c r="G3898" s="20" t="inlineStr">
        <is>
          <t>선물용 쇼핑백</t>
        </is>
      </c>
      <c r="H3898" s="20" t="n">
        <v>1</v>
      </c>
      <c r="I3898" s="20" t="inlineStr">
        <is>
          <t>쇼핑백</t>
        </is>
      </c>
      <c r="J3898" s="20" t="inlineStr">
        <is>
          <t>210207</t>
        </is>
      </c>
      <c r="L3898" s="20">
        <f>VLOOKUP($O3898,매칭테이블!$G:$J,2,0)*H3898</f>
        <v/>
      </c>
      <c r="M3898" s="20">
        <f>L3898-L3898*VLOOKUP($O3898,매칭테이블!$G:$J,3,0)</f>
        <v/>
      </c>
      <c r="N3898" s="20">
        <f>VLOOKUP($O3898,매칭테이블!$G:$J,4,0)*H3898</f>
        <v/>
      </c>
      <c r="O3898" s="20">
        <f>F3898&amp;E3898&amp;G3898&amp;J3898</f>
        <v/>
      </c>
    </row>
    <row r="3899" ht="16.5" customHeight="1" s="17">
      <c r="B3899" s="16" t="inlineStr">
        <is>
          <t>2021-03-02</t>
        </is>
      </c>
      <c r="C3899" s="20" t="inlineStr">
        <is>
          <t>화</t>
        </is>
      </c>
      <c r="E3899" s="20" t="inlineStr">
        <is>
          <t>고체향수</t>
        </is>
      </c>
      <c r="F3899" s="20" t="inlineStr">
        <is>
          <t>카페24</t>
        </is>
      </c>
      <c r="G3899" s="20" t="inlineStr">
        <is>
          <t>솔리드퍼퓸 세트향=이그나이트 001 SOLID PERFUME, 세트 선택=1개</t>
        </is>
      </c>
      <c r="H3899" s="20" t="n">
        <v>1</v>
      </c>
      <c r="I3899" s="20" t="inlineStr">
        <is>
          <t>이그나이트</t>
        </is>
      </c>
      <c r="J3899" s="20" t="inlineStr">
        <is>
          <t>210207</t>
        </is>
      </c>
      <c r="L3899" s="20">
        <f>VLOOKUP($O3899,매칭테이블!$G:$J,2,0)*H3899</f>
        <v/>
      </c>
      <c r="M3899" s="20">
        <f>L3899-L3899*VLOOKUP($O3899,매칭테이블!$G:$J,3,0)</f>
        <v/>
      </c>
      <c r="N3899" s="20">
        <f>VLOOKUP($O3899,매칭테이블!$G:$J,4,0)*H3899</f>
        <v/>
      </c>
      <c r="O3899" s="20">
        <f>F3899&amp;E3899&amp;G3899&amp;J3899</f>
        <v/>
      </c>
    </row>
    <row r="3900" ht="16.5" customHeight="1" s="17">
      <c r="B3900" s="16" t="inlineStr">
        <is>
          <t>2021-03-02</t>
        </is>
      </c>
      <c r="C3900" s="20" t="inlineStr">
        <is>
          <t>화</t>
        </is>
      </c>
      <c r="E3900" s="20" t="inlineStr">
        <is>
          <t>고체향수</t>
        </is>
      </c>
      <c r="F3900" s="20" t="inlineStr">
        <is>
          <t>카페24</t>
        </is>
      </c>
      <c r="G3900" s="20" t="inlineStr">
        <is>
          <t>솔리드퍼퓸 세트향=스테이포에버 002 SOLID PERFUME, 세트 선택=1개</t>
        </is>
      </c>
      <c r="H3900" s="20" t="n">
        <v>6</v>
      </c>
      <c r="I3900" s="20" t="inlineStr">
        <is>
          <t>스테이포에버</t>
        </is>
      </c>
      <c r="J3900" s="20" t="inlineStr">
        <is>
          <t>210207</t>
        </is>
      </c>
      <c r="L3900" s="20">
        <f>VLOOKUP($O3900,매칭테이블!$G:$J,2,0)*H3900</f>
        <v/>
      </c>
      <c r="M3900" s="20">
        <f>L3900-L3900*VLOOKUP($O3900,매칭테이블!$G:$J,3,0)</f>
        <v/>
      </c>
      <c r="N3900" s="20">
        <f>VLOOKUP($O3900,매칭테이블!$G:$J,4,0)*H3900</f>
        <v/>
      </c>
      <c r="O3900" s="20">
        <f>F3900&amp;E3900&amp;G3900&amp;J3900</f>
        <v/>
      </c>
    </row>
    <row r="3901" ht="16.5" customHeight="1" s="17">
      <c r="B3901" s="16" t="inlineStr">
        <is>
          <t>2021-03-02</t>
        </is>
      </c>
      <c r="C3901" s="20" t="inlineStr">
        <is>
          <t>화</t>
        </is>
      </c>
      <c r="E3901" s="20" t="inlineStr">
        <is>
          <t>고체향수</t>
        </is>
      </c>
      <c r="F3901" s="20" t="inlineStr">
        <is>
          <t>카페24</t>
        </is>
      </c>
      <c r="G3901" s="20" t="inlineStr">
        <is>
          <t>솔리드퍼퓸 세트향=스테이포에버 002 SOLID PERFUME, 세트 선택=best 2개 (28% 할인)</t>
        </is>
      </c>
      <c r="H3901" s="20" t="n">
        <v>14</v>
      </c>
      <c r="I3901" s="20" t="inlineStr">
        <is>
          <t>스테이포에버 2set</t>
        </is>
      </c>
      <c r="J3901" s="20" t="inlineStr">
        <is>
          <t>210207</t>
        </is>
      </c>
      <c r="L3901" s="20">
        <f>VLOOKUP($O3901,매칭테이블!$G:$J,2,0)*H3901</f>
        <v/>
      </c>
      <c r="M3901" s="20">
        <f>L3901-L3901*VLOOKUP($O3901,매칭테이블!$G:$J,3,0)</f>
        <v/>
      </c>
      <c r="N3901" s="20">
        <f>VLOOKUP($O3901,매칭테이블!$G:$J,4,0)*H3901</f>
        <v/>
      </c>
      <c r="O3901" s="20">
        <f>F3901&amp;E3901&amp;G3901&amp;J3901</f>
        <v/>
      </c>
    </row>
    <row r="3902" ht="16.5" customHeight="1" s="17">
      <c r="B3902" s="16" t="inlineStr">
        <is>
          <t>2021-03-02</t>
        </is>
      </c>
      <c r="C3902" s="20" t="inlineStr">
        <is>
          <t>화</t>
        </is>
      </c>
      <c r="E3902" s="20" t="inlineStr">
        <is>
          <t>고체향수</t>
        </is>
      </c>
      <c r="F3902" s="20" t="inlineStr">
        <is>
          <t>카페24</t>
        </is>
      </c>
      <c r="G3902" s="20" t="inlineStr">
        <is>
          <t>솔리드퍼퓸 세트향=커플세트(이그나이트 + 스테이포에버), 세트 선택=1 SET</t>
        </is>
      </c>
      <c r="H3902" s="20" t="n">
        <v>17</v>
      </c>
      <c r="I3902" s="20" t="inlineStr">
        <is>
          <t>이그나이트 + 스테이포에버</t>
        </is>
      </c>
      <c r="J3902" s="20" t="inlineStr">
        <is>
          <t>210207</t>
        </is>
      </c>
      <c r="L3902" s="20">
        <f>VLOOKUP($O3902,매칭테이블!$G:$J,2,0)*H3902</f>
        <v/>
      </c>
      <c r="M3902" s="20">
        <f>L3902-L3902*VLOOKUP($O3902,매칭테이블!$G:$J,3,0)</f>
        <v/>
      </c>
      <c r="N3902" s="20">
        <f>VLOOKUP($O3902,매칭테이블!$G:$J,4,0)*H3902</f>
        <v/>
      </c>
      <c r="O3902" s="20">
        <f>F3902&amp;E3902&amp;G3902&amp;J3902</f>
        <v/>
      </c>
    </row>
    <row r="3903" ht="16.5" customHeight="1" s="17">
      <c r="B3903" s="16" t="inlineStr">
        <is>
          <t>2021-03-02</t>
        </is>
      </c>
      <c r="C3903" s="20" t="inlineStr">
        <is>
          <t>화</t>
        </is>
      </c>
      <c r="E3903" s="20" t="inlineStr">
        <is>
          <t>고체향수</t>
        </is>
      </c>
      <c r="F3903" s="20" t="inlineStr">
        <is>
          <t>카페24</t>
        </is>
      </c>
      <c r="G3903" s="20" t="inlineStr">
        <is>
          <t>솔리드퍼퓸 스테이포에버 002제품선택=스테이포에버 1개</t>
        </is>
      </c>
      <c r="H3903" s="20" t="n">
        <v>247</v>
      </c>
      <c r="I3903" s="20" t="inlineStr">
        <is>
          <t>스테이포에버</t>
        </is>
      </c>
      <c r="J3903" s="20" t="inlineStr">
        <is>
          <t>210207</t>
        </is>
      </c>
      <c r="L3903" s="20">
        <f>VLOOKUP($O3903,매칭테이블!$G:$J,2,0)*H3903</f>
        <v/>
      </c>
      <c r="M3903" s="20">
        <f>L3903-L3903*VLOOKUP($O3903,매칭테이블!$G:$J,3,0)</f>
        <v/>
      </c>
      <c r="N3903" s="20">
        <f>VLOOKUP($O3903,매칭테이블!$G:$J,4,0)*H3903</f>
        <v/>
      </c>
      <c r="O3903" s="20">
        <f>F3903&amp;E3903&amp;G3903&amp;J3903</f>
        <v/>
      </c>
    </row>
    <row r="3904" ht="16.5" customHeight="1" s="17">
      <c r="B3904" s="16" t="inlineStr">
        <is>
          <t>2021-03-02</t>
        </is>
      </c>
      <c r="C3904" s="20" t="inlineStr">
        <is>
          <t>화</t>
        </is>
      </c>
      <c r="E3904" s="20" t="inlineStr">
        <is>
          <t>고체향수</t>
        </is>
      </c>
      <c r="F3904" s="20" t="inlineStr">
        <is>
          <t>카페24</t>
        </is>
      </c>
      <c r="G3904" s="20" t="inlineStr">
        <is>
          <t>솔리드퍼퓸 스테이포에버 002제품선택=best스테이포에버 2개[28% 할인]</t>
        </is>
      </c>
      <c r="H3904" s="20" t="n">
        <v>130</v>
      </c>
      <c r="I3904" s="20" t="inlineStr">
        <is>
          <t>스테이포에버 2set</t>
        </is>
      </c>
      <c r="J3904" s="20" t="inlineStr">
        <is>
          <t>210207</t>
        </is>
      </c>
      <c r="L3904" s="20">
        <f>VLOOKUP($O3904,매칭테이블!$G:$J,2,0)*H3904</f>
        <v/>
      </c>
      <c r="M3904" s="20">
        <f>L3904-L3904*VLOOKUP($O3904,매칭테이블!$G:$J,3,0)</f>
        <v/>
      </c>
      <c r="N3904" s="20">
        <f>VLOOKUP($O3904,매칭테이블!$G:$J,4,0)*H3904</f>
        <v/>
      </c>
      <c r="O3904" s="20">
        <f>F3904&amp;E3904&amp;G3904&amp;J3904</f>
        <v/>
      </c>
    </row>
    <row r="3905" ht="16.5" customHeight="1" s="17">
      <c r="B3905" s="16" t="inlineStr">
        <is>
          <t>2021-03-02</t>
        </is>
      </c>
      <c r="C3905" s="20" t="inlineStr">
        <is>
          <t>화</t>
        </is>
      </c>
      <c r="E3905" s="20" t="inlineStr">
        <is>
          <t>고체향수</t>
        </is>
      </c>
      <c r="F3905" s="20" t="inlineStr">
        <is>
          <t>카페24</t>
        </is>
      </c>
      <c r="G3905" s="20" t="inlineStr">
        <is>
          <t>솔리드퍼퓸 스테이포에버 002제품선택=커플추천스테이포에버 + 이그나이트 세트</t>
        </is>
      </c>
      <c r="H3905" s="20" t="n">
        <v>12</v>
      </c>
      <c r="I3905" s="20" t="inlineStr">
        <is>
          <t>이그나이트 + 스테이포에버</t>
        </is>
      </c>
      <c r="J3905" s="20" t="inlineStr">
        <is>
          <t>210207</t>
        </is>
      </c>
      <c r="L3905" s="20">
        <f>VLOOKUP($O3905,매칭테이블!$G:$J,2,0)*H3905</f>
        <v/>
      </c>
      <c r="M3905" s="20">
        <f>L3905-L3905*VLOOKUP($O3905,매칭테이블!$G:$J,3,0)</f>
        <v/>
      </c>
      <c r="N3905" s="20">
        <f>VLOOKUP($O3905,매칭테이블!$G:$J,4,0)*H3905</f>
        <v/>
      </c>
      <c r="O3905" s="20">
        <f>F3905&amp;E3905&amp;G3905&amp;J3905</f>
        <v/>
      </c>
    </row>
    <row r="3906" ht="16.5" customHeight="1" s="17">
      <c r="B3906" s="16" t="inlineStr">
        <is>
          <t>2021-03-02</t>
        </is>
      </c>
      <c r="C3906" s="20" t="inlineStr">
        <is>
          <t>화</t>
        </is>
      </c>
      <c r="E3906" s="20" t="inlineStr">
        <is>
          <t>쇼핑백</t>
        </is>
      </c>
      <c r="F3906" s="20" t="inlineStr">
        <is>
          <t>카페24</t>
        </is>
      </c>
      <c r="G3906" s="20" t="inlineStr">
        <is>
          <t>솔리드퍼퓸 스테이포에버 002쇼핑백=선물용 쇼핑백</t>
        </is>
      </c>
      <c r="H3906" s="20" t="n">
        <v>2</v>
      </c>
      <c r="I3906" s="20" t="inlineStr">
        <is>
          <t>쇼핑백</t>
        </is>
      </c>
      <c r="J3906" s="20" t="inlineStr">
        <is>
          <t>210207</t>
        </is>
      </c>
      <c r="L3906" s="20">
        <f>VLOOKUP($O3906,매칭테이블!$G:$J,2,0)*H3906</f>
        <v/>
      </c>
      <c r="M3906" s="20">
        <f>L3906-L3906*VLOOKUP($O3906,매칭테이블!$G:$J,3,0)</f>
        <v/>
      </c>
      <c r="N3906" s="20">
        <f>VLOOKUP($O3906,매칭테이블!$G:$J,4,0)*H3906</f>
        <v/>
      </c>
      <c r="O3906" s="20">
        <f>F3906&amp;E3906&amp;G3906&amp;J3906</f>
        <v/>
      </c>
    </row>
    <row r="3907" ht="16.5" customHeight="1" s="17">
      <c r="B3907" s="16" t="inlineStr">
        <is>
          <t>2021-03-02</t>
        </is>
      </c>
      <c r="C3907" s="20" t="inlineStr">
        <is>
          <t>화</t>
        </is>
      </c>
      <c r="E3907" s="20" t="inlineStr">
        <is>
          <t>고체향수</t>
        </is>
      </c>
      <c r="F3907" s="20" t="inlineStr">
        <is>
          <t>카페24</t>
        </is>
      </c>
      <c r="G3907" s="20" t="inlineStr">
        <is>
          <t>솔리드퍼퓸 이그나이트 001제품선택=이그나이트 솔리드퍼퓸 - 30ml</t>
        </is>
      </c>
      <c r="H3907" s="20" t="n">
        <v>3</v>
      </c>
      <c r="I3907" s="20" t="inlineStr">
        <is>
          <t>이그나이트</t>
        </is>
      </c>
      <c r="J3907" s="20" t="inlineStr">
        <is>
          <t>210207</t>
        </is>
      </c>
      <c r="L3907" s="20">
        <f>VLOOKUP($O3907,매칭테이블!$G:$J,2,0)*H3907</f>
        <v/>
      </c>
      <c r="M3907" s="20">
        <f>L3907-L3907*VLOOKUP($O3907,매칭테이블!$G:$J,3,0)</f>
        <v/>
      </c>
      <c r="N3907" s="20">
        <f>VLOOKUP($O3907,매칭테이블!$G:$J,4,0)*H3907</f>
        <v/>
      </c>
      <c r="O3907" s="20">
        <f>F3907&amp;E3907&amp;G3907&amp;J3907</f>
        <v/>
      </c>
    </row>
    <row r="3908" ht="16.5" customHeight="1" s="17">
      <c r="B3908" s="16" t="inlineStr">
        <is>
          <t>2021-03-02</t>
        </is>
      </c>
      <c r="C3908" s="20" t="inlineStr">
        <is>
          <t>화</t>
        </is>
      </c>
      <c r="E3908" s="20" t="inlineStr">
        <is>
          <t>고체향수</t>
        </is>
      </c>
      <c r="F3908" s="20" t="inlineStr">
        <is>
          <t>카페24</t>
        </is>
      </c>
      <c r="G3908" s="20" t="inlineStr">
        <is>
          <t>솔리드퍼퓸 이그나이트 001제품선택=이그나이트 2개 세트</t>
        </is>
      </c>
      <c r="H3908" s="20" t="n">
        <v>2</v>
      </c>
      <c r="I3908" s="20" t="inlineStr">
        <is>
          <t>이그나이트 2set</t>
        </is>
      </c>
      <c r="J3908" s="20" t="inlineStr">
        <is>
          <t>210207</t>
        </is>
      </c>
      <c r="L3908" s="20">
        <f>VLOOKUP($O3908,매칭테이블!$G:$J,2,0)*H3908</f>
        <v/>
      </c>
      <c r="M3908" s="20">
        <f>L3908-L3908*VLOOKUP($O3908,매칭테이블!$G:$J,3,0)</f>
        <v/>
      </c>
      <c r="N3908" s="20">
        <f>VLOOKUP($O3908,매칭테이블!$G:$J,4,0)*H3908</f>
        <v/>
      </c>
      <c r="O3908" s="20">
        <f>F3908&amp;E3908&amp;G3908&amp;J3908</f>
        <v/>
      </c>
    </row>
    <row r="3909" ht="16.5" customHeight="1" s="17">
      <c r="A3909" s="20" t="inlineStr">
        <is>
          <t>고체향수</t>
        </is>
      </c>
      <c r="B3909" s="16" t="inlineStr">
        <is>
          <t>2021-03-02</t>
        </is>
      </c>
      <c r="C3909" s="20" t="inlineStr">
        <is>
          <t>화</t>
        </is>
      </c>
      <c r="D3909" s="20" t="inlineStr">
        <is>
          <t>네이버 배너</t>
        </is>
      </c>
      <c r="E3909" s="20" t="inlineStr">
        <is>
          <t>고체향수</t>
        </is>
      </c>
      <c r="K3909" s="20" t="n">
        <v>1496918.181818182</v>
      </c>
    </row>
    <row r="3910" ht="16.5" customHeight="1" s="17">
      <c r="A3910" s="20" t="inlineStr">
        <is>
          <t>[다현 TEST] 스테이포에버_유즈모먼트</t>
        </is>
      </c>
      <c r="B3910" s="16" t="inlineStr">
        <is>
          <t>2021-03-03</t>
        </is>
      </c>
      <c r="C3910" s="20" t="inlineStr">
        <is>
          <t>수</t>
        </is>
      </c>
      <c r="D3910" s="20">
        <f>VLOOKUP($A3910,매칭테이블!$B$548:$D$1048576,2,0)</f>
        <v/>
      </c>
      <c r="E3910" s="20">
        <f>VLOOKUP($A3910,매칭테이블!$B$548:$D$1048576,3,0)</f>
        <v/>
      </c>
      <c r="K3910" s="20" t="n">
        <v>29992</v>
      </c>
    </row>
    <row r="3911" ht="16.5" customHeight="1" s="17">
      <c r="A3911" s="20" t="inlineStr">
        <is>
          <t>[성민 TEST] 스테이포에버_이미지</t>
        </is>
      </c>
      <c r="B3911" s="16" t="inlineStr">
        <is>
          <t>2021-03-03</t>
        </is>
      </c>
      <c r="C3911" s="20" t="inlineStr">
        <is>
          <t>수</t>
        </is>
      </c>
      <c r="D3911" s="20" t="inlineStr">
        <is>
          <t>페이스북/인스타그램</t>
        </is>
      </c>
      <c r="E3911" s="20" t="inlineStr">
        <is>
          <t>고체향수</t>
        </is>
      </c>
      <c r="K3911" s="20" t="n">
        <v>30363</v>
      </c>
    </row>
    <row r="3912" ht="16.5" customHeight="1" s="17">
      <c r="A3912" s="20" t="inlineStr">
        <is>
          <t>[승은 TEST] 스테이포에버_카드뉴스</t>
        </is>
      </c>
      <c r="B3912" s="16" t="inlineStr">
        <is>
          <t>2021-03-03</t>
        </is>
      </c>
      <c r="C3912" s="20" t="inlineStr">
        <is>
          <t>수</t>
        </is>
      </c>
      <c r="D3912" s="20" t="inlineStr">
        <is>
          <t>페이스북/인스타그램</t>
        </is>
      </c>
      <c r="E3912" s="20" t="inlineStr">
        <is>
          <t>고체향수</t>
        </is>
      </c>
      <c r="K3912" s="20" t="n">
        <v>60115</v>
      </c>
    </row>
    <row r="3913" ht="16.5" customHeight="1" s="17">
      <c r="A3913" s="20" t="inlineStr">
        <is>
          <t>[승무원 2] 스테이포에버_카드뉴스</t>
        </is>
      </c>
      <c r="B3913" s="16" t="inlineStr">
        <is>
          <t>2021-03-03</t>
        </is>
      </c>
      <c r="C3913" s="20" t="inlineStr">
        <is>
          <t>수</t>
        </is>
      </c>
      <c r="D3913" s="20" t="inlineStr">
        <is>
          <t>페이스북/인스타그램</t>
        </is>
      </c>
      <c r="E3913" s="20" t="inlineStr">
        <is>
          <t>고체향수</t>
        </is>
      </c>
      <c r="K3913" s="20" t="n">
        <v>396413</v>
      </c>
    </row>
    <row r="3914" ht="16.5" customHeight="1" s="17">
      <c r="A3914" s="20" t="inlineStr">
        <is>
          <t>[테스트]아줌마</t>
        </is>
      </c>
      <c r="B3914" s="16" t="inlineStr">
        <is>
          <t>2021-03-03</t>
        </is>
      </c>
      <c r="C3914" s="20" t="inlineStr">
        <is>
          <t>수</t>
        </is>
      </c>
      <c r="D3914" s="20" t="inlineStr">
        <is>
          <t>페이스북/인스타그램</t>
        </is>
      </c>
      <c r="E3914" s="20" t="inlineStr">
        <is>
          <t>고체향수</t>
        </is>
      </c>
      <c r="K3914" s="20" t="n">
        <v>222481</v>
      </c>
    </row>
    <row r="3915" ht="16.5" customHeight="1" s="17">
      <c r="A3915" s="20" t="inlineStr">
        <is>
          <t>[키워드 확장 테스트]스테이포에버_이미지</t>
        </is>
      </c>
      <c r="B3915" s="16" t="inlineStr">
        <is>
          <t>2021-03-03</t>
        </is>
      </c>
      <c r="C3915" s="20" t="inlineStr">
        <is>
          <t>수</t>
        </is>
      </c>
      <c r="D3915" s="20" t="inlineStr">
        <is>
          <t>페이스북/인스타그램</t>
        </is>
      </c>
      <c r="E3915" s="20" t="inlineStr">
        <is>
          <t>고체향수</t>
        </is>
      </c>
      <c r="K3915" s="20" t="n">
        <v>271083</v>
      </c>
    </row>
    <row r="3916" ht="16.5" customHeight="1" s="17">
      <c r="A3916" s="20" t="inlineStr">
        <is>
          <t>[재입고]스테이포에버_이미지</t>
        </is>
      </c>
      <c r="B3916" s="16" t="inlineStr">
        <is>
          <t>2021-03-03</t>
        </is>
      </c>
      <c r="C3916" s="20" t="inlineStr">
        <is>
          <t>수</t>
        </is>
      </c>
      <c r="D3916" s="20" t="inlineStr">
        <is>
          <t>페이스북/인스타그램</t>
        </is>
      </c>
      <c r="E3916" s="20" t="inlineStr">
        <is>
          <t>고체향수</t>
        </is>
      </c>
      <c r="K3916" s="20" t="n">
        <v>149993</v>
      </c>
    </row>
    <row r="3917" ht="16.5" customHeight="1" s="17">
      <c r="A3917" s="20" t="inlineStr">
        <is>
          <t>[승무원]숏폼_영상</t>
        </is>
      </c>
      <c r="B3917" s="16" t="inlineStr">
        <is>
          <t>2021-03-03</t>
        </is>
      </c>
      <c r="C3917" s="20" t="inlineStr">
        <is>
          <t>수</t>
        </is>
      </c>
      <c r="D3917" s="20" t="inlineStr">
        <is>
          <t>페이스북/인스타그램</t>
        </is>
      </c>
      <c r="E3917" s="20" t="inlineStr">
        <is>
          <t>고체향수</t>
        </is>
      </c>
      <c r="K3917" s="20" t="n">
        <v>99687</v>
      </c>
    </row>
    <row r="3918" ht="16.5" customHeight="1" s="17">
      <c r="A3918" s="20" t="inlineStr">
        <is>
          <t>[재입고]스테이포에버_영상</t>
        </is>
      </c>
      <c r="B3918" s="16" t="inlineStr">
        <is>
          <t>2021-03-03</t>
        </is>
      </c>
      <c r="C3918" s="20" t="inlineStr">
        <is>
          <t>수</t>
        </is>
      </c>
      <c r="D3918" s="20" t="inlineStr">
        <is>
          <t>페이스북/인스타그램</t>
        </is>
      </c>
      <c r="E3918" s="20" t="inlineStr">
        <is>
          <t>고체향수</t>
        </is>
      </c>
      <c r="K3918" s="20" t="n">
        <v>198946</v>
      </c>
    </row>
    <row r="3919" ht="16.5" customHeight="1" s="17">
      <c r="A3919" s="20" t="inlineStr">
        <is>
          <t>[필라테스]스테이포에버_카드뉴스</t>
        </is>
      </c>
      <c r="B3919" s="16" t="inlineStr">
        <is>
          <t>2021-03-03</t>
        </is>
      </c>
      <c r="C3919" s="20" t="inlineStr">
        <is>
          <t>수</t>
        </is>
      </c>
      <c r="D3919" s="20" t="inlineStr">
        <is>
          <t>페이스북/인스타그램</t>
        </is>
      </c>
      <c r="E3919" s="20" t="inlineStr">
        <is>
          <t>고체향수</t>
        </is>
      </c>
      <c r="K3919" s="20" t="n">
        <v>50072</v>
      </c>
    </row>
    <row r="3920" ht="16.5" customHeight="1" s="17">
      <c r="A3920" s="20" t="inlineStr">
        <is>
          <t>[젊줌마]스테이포에버_영상</t>
        </is>
      </c>
      <c r="B3920" s="16" t="inlineStr">
        <is>
          <t>2021-03-03</t>
        </is>
      </c>
      <c r="C3920" s="20" t="inlineStr">
        <is>
          <t>수</t>
        </is>
      </c>
      <c r="D3920" s="20" t="inlineStr">
        <is>
          <t>페이스북/인스타그램</t>
        </is>
      </c>
      <c r="E3920" s="20" t="inlineStr">
        <is>
          <t>고체향수</t>
        </is>
      </c>
      <c r="K3920" s="20" t="n">
        <v>98358</v>
      </c>
    </row>
    <row r="3921" ht="16.5" customHeight="1" s="17">
      <c r="A3921" s="20" t="inlineStr">
        <is>
          <t>[이성소구]스테이포에버_영상</t>
        </is>
      </c>
      <c r="B3921" s="16" t="inlineStr">
        <is>
          <t>2021-03-03</t>
        </is>
      </c>
      <c r="C3921" s="20" t="inlineStr">
        <is>
          <t>수</t>
        </is>
      </c>
      <c r="D3921" s="20" t="inlineStr">
        <is>
          <t>페이스북/인스타그램</t>
        </is>
      </c>
      <c r="E3921" s="20" t="inlineStr">
        <is>
          <t>고체향수</t>
        </is>
      </c>
      <c r="K3921" s="20" t="n">
        <v>29806</v>
      </c>
    </row>
    <row r="3922" ht="16.5" customHeight="1" s="17">
      <c r="A3922" s="20" t="inlineStr">
        <is>
          <t>[승무원]2019년썰 카드뉴스+ 향묘사_영상</t>
        </is>
      </c>
      <c r="B3922" s="16" t="inlineStr">
        <is>
          <t>2021-03-03</t>
        </is>
      </c>
      <c r="C3922" s="20" t="inlineStr">
        <is>
          <t>수</t>
        </is>
      </c>
      <c r="D3922" s="20" t="inlineStr">
        <is>
          <t>페이스북/인스타그램</t>
        </is>
      </c>
      <c r="E3922" s="20" t="inlineStr">
        <is>
          <t>고체향수</t>
        </is>
      </c>
      <c r="K3922" s="20" t="n">
        <v>99699</v>
      </c>
    </row>
    <row r="3923" ht="16.5" customHeight="1" s="17">
      <c r="A3923" s="20" t="inlineStr">
        <is>
          <t>[승무원어피]스테이포에버_이미지</t>
        </is>
      </c>
      <c r="B3923" s="16" t="inlineStr">
        <is>
          <t>2021-03-03</t>
        </is>
      </c>
      <c r="C3923" s="20" t="inlineStr">
        <is>
          <t>수</t>
        </is>
      </c>
      <c r="D3923" s="20" t="inlineStr">
        <is>
          <t>페이스북/인스타그램</t>
        </is>
      </c>
      <c r="E3923" s="20" t="inlineStr">
        <is>
          <t>고체향수</t>
        </is>
      </c>
      <c r="K3923" s="20" t="n">
        <v>100664</v>
      </c>
    </row>
    <row r="3924" ht="16.5" customHeight="1" s="17">
      <c r="A3924" s="20" t="inlineStr">
        <is>
          <t>[다현]스테이포에버_이미지</t>
        </is>
      </c>
      <c r="B3924" s="16" t="inlineStr">
        <is>
          <t>2021-03-03</t>
        </is>
      </c>
      <c r="C3924" s="20" t="inlineStr">
        <is>
          <t>수</t>
        </is>
      </c>
      <c r="D3924" s="20" t="inlineStr">
        <is>
          <t>페이스북/인스타그램</t>
        </is>
      </c>
      <c r="E3924" s="20" t="inlineStr">
        <is>
          <t>고체향수</t>
        </is>
      </c>
      <c r="K3924" s="20" t="n">
        <v>301881</v>
      </c>
    </row>
    <row r="3925" ht="16.5" customHeight="1" s="17">
      <c r="A3925" s="20" t="inlineStr">
        <is>
          <t>[승무원]스테이포에버_카드뉴스</t>
        </is>
      </c>
      <c r="B3925" s="16" t="inlineStr">
        <is>
          <t>2021-03-03</t>
        </is>
      </c>
      <c r="C3925" s="20" t="inlineStr">
        <is>
          <t>수</t>
        </is>
      </c>
      <c r="D3925" s="20" t="inlineStr">
        <is>
          <t>페이스북/인스타그램</t>
        </is>
      </c>
      <c r="E3925" s="20" t="inlineStr">
        <is>
          <t>고체향수</t>
        </is>
      </c>
      <c r="K3925" s="20" t="n">
        <v>298581</v>
      </c>
    </row>
    <row r="3926" ht="16.5" customHeight="1" s="17">
      <c r="A3926" s="20" t="inlineStr">
        <is>
          <t>[후기타입]스테이포에버_영상</t>
        </is>
      </c>
      <c r="B3926" s="16" t="inlineStr">
        <is>
          <t>2021-03-03</t>
        </is>
      </c>
      <c r="C3926" s="20" t="inlineStr">
        <is>
          <t>수</t>
        </is>
      </c>
      <c r="D3926" s="20" t="inlineStr">
        <is>
          <t>페이스북/인스타그램</t>
        </is>
      </c>
      <c r="E3926" s="20" t="inlineStr">
        <is>
          <t>고체향수</t>
        </is>
      </c>
      <c r="K3926" s="20" t="n">
        <v>150361</v>
      </c>
    </row>
    <row r="3927" ht="16.5" customHeight="1" s="17">
      <c r="A3927" s="20" t="inlineStr">
        <is>
          <t>전환_스테이포에버</t>
        </is>
      </c>
      <c r="B3927" s="16" t="inlineStr">
        <is>
          <t>2021-03-03</t>
        </is>
      </c>
      <c r="C3927" s="20" t="inlineStr">
        <is>
          <t>수</t>
        </is>
      </c>
      <c r="D3927" s="20" t="inlineStr">
        <is>
          <t>페이스북/인스타그램</t>
        </is>
      </c>
      <c r="E3927" s="20" t="inlineStr">
        <is>
          <t>고체향수</t>
        </is>
      </c>
      <c r="K3927" s="20" t="n">
        <v>150742</v>
      </c>
    </row>
    <row r="3928" ht="16.5" customHeight="1" s="17">
      <c r="A3928" s="20" t="inlineStr">
        <is>
          <t>[권태기커플]스테이포에버_영상</t>
        </is>
      </c>
      <c r="B3928" s="16" t="inlineStr">
        <is>
          <t>2021-03-03</t>
        </is>
      </c>
      <c r="C3928" s="20" t="inlineStr">
        <is>
          <t>수</t>
        </is>
      </c>
      <c r="D3928" s="20" t="inlineStr">
        <is>
          <t>페이스북/인스타그램</t>
        </is>
      </c>
      <c r="E3928" s="20" t="inlineStr">
        <is>
          <t>고체향수</t>
        </is>
      </c>
      <c r="K3928" s="20" t="n">
        <v>150608</v>
      </c>
    </row>
    <row r="3929" ht="16.5" customHeight="1" s="17">
      <c r="A3929" s="20" t="inlineStr">
        <is>
          <t>동영상캠페인_승무원_2019년썰(25일, cpa 30000)</t>
        </is>
      </c>
      <c r="B3929" s="16" t="inlineStr">
        <is>
          <t>2021-03-03</t>
        </is>
      </c>
      <c r="C3929" s="20" t="inlineStr">
        <is>
          <t>수</t>
        </is>
      </c>
      <c r="D3929" s="20">
        <f>VLOOKUP($A3929,매칭테이블!$B$548:$D$1048576,2,0)</f>
        <v/>
      </c>
      <c r="E3929" s="20">
        <f>VLOOKUP($A3929,매칭테이블!$B$548:$D$1048576,3,0)</f>
        <v/>
      </c>
      <c r="K3929" s="20" t="n">
        <v>303532</v>
      </c>
    </row>
    <row r="3930" ht="16.5" customHeight="1" s="17">
      <c r="A3930" s="20" t="inlineStr">
        <is>
          <t>웹사이트 트래픽 서치</t>
        </is>
      </c>
      <c r="B3930" s="16" t="inlineStr">
        <is>
          <t>2021-03-03</t>
        </is>
      </c>
      <c r="C3930" s="20" t="inlineStr">
        <is>
          <t>수</t>
        </is>
      </c>
      <c r="D3930" s="20" t="inlineStr">
        <is>
          <t>유튜브 광고</t>
        </is>
      </c>
      <c r="E3930" s="20" t="inlineStr">
        <is>
          <t>고체향수</t>
        </is>
      </c>
      <c r="K3930" s="20" t="n">
        <v>47594</v>
      </c>
    </row>
    <row r="3931" ht="16.5" customHeight="1" s="17">
      <c r="A3931" s="20" t="inlineStr">
        <is>
          <t>동영상캠페인_승무원_보이는 라디오</t>
        </is>
      </c>
      <c r="B3931" s="16" t="inlineStr">
        <is>
          <t>2021-03-03</t>
        </is>
      </c>
      <c r="C3931" s="20" t="inlineStr">
        <is>
          <t>수</t>
        </is>
      </c>
      <c r="D3931" s="20" t="inlineStr">
        <is>
          <t>유튜브 광고</t>
        </is>
      </c>
      <c r="E3931" s="20" t="inlineStr">
        <is>
          <t>고체향수</t>
        </is>
      </c>
      <c r="K3931" s="20" t="n">
        <v>499076</v>
      </c>
    </row>
    <row r="3932" ht="16.5" customHeight="1" s="17">
      <c r="A3932" s="20" t="inlineStr">
        <is>
          <t>동영상캠페인_무드1</t>
        </is>
      </c>
      <c r="B3932" s="16" t="inlineStr">
        <is>
          <t>2021-03-03</t>
        </is>
      </c>
      <c r="C3932" s="20" t="inlineStr">
        <is>
          <t>수</t>
        </is>
      </c>
      <c r="D3932" s="20" t="inlineStr">
        <is>
          <t>유튜브 광고</t>
        </is>
      </c>
      <c r="E3932" s="20" t="inlineStr">
        <is>
          <t>고체향수</t>
        </is>
      </c>
      <c r="K3932" s="20" t="n">
        <v>1330</v>
      </c>
    </row>
    <row r="3933" ht="16.5" customHeight="1" s="17">
      <c r="A3933" s="20" t="inlineStr">
        <is>
          <t>디스커버리 배너_승무원,할인_리마케팅</t>
        </is>
      </c>
      <c r="B3933" s="16" t="inlineStr">
        <is>
          <t>2021-03-03</t>
        </is>
      </c>
      <c r="C3933" s="20" t="inlineStr">
        <is>
          <t>수</t>
        </is>
      </c>
      <c r="D3933" s="20" t="inlineStr">
        <is>
          <t>유튜브 광고</t>
        </is>
      </c>
      <c r="E3933" s="20" t="inlineStr">
        <is>
          <t>고체향수</t>
        </is>
      </c>
      <c r="K3933" s="20" t="n">
        <v>479110</v>
      </c>
    </row>
    <row r="3934" ht="16.5" customHeight="1" s="17">
      <c r="A3934" s="20" t="inlineStr">
        <is>
          <t>동영상캠페인_승무원_써니스카이</t>
        </is>
      </c>
      <c r="B3934" s="16" t="inlineStr">
        <is>
          <t>2021-03-03</t>
        </is>
      </c>
      <c r="C3934" s="20" t="inlineStr">
        <is>
          <t>수</t>
        </is>
      </c>
      <c r="D3934" s="20" t="inlineStr">
        <is>
          <t>유튜브 광고</t>
        </is>
      </c>
      <c r="E3934" s="20" t="inlineStr">
        <is>
          <t>고체향수</t>
        </is>
      </c>
      <c r="K3934" s="20" t="n">
        <v>499048</v>
      </c>
    </row>
    <row r="3935" ht="16.5" customHeight="1" s="17">
      <c r="A3935" s="20" t="inlineStr">
        <is>
          <t>동영상캠페인_필라테스_자기관리(CPA)</t>
        </is>
      </c>
      <c r="B3935" s="16" t="inlineStr">
        <is>
          <t>2021-03-03</t>
        </is>
      </c>
      <c r="C3935" s="20" t="inlineStr">
        <is>
          <t>수</t>
        </is>
      </c>
      <c r="D3935" s="20" t="inlineStr">
        <is>
          <t>유튜브 광고</t>
        </is>
      </c>
      <c r="E3935" s="20" t="inlineStr">
        <is>
          <t>고체향수</t>
        </is>
      </c>
      <c r="K3935" s="20" t="n">
        <v>305968</v>
      </c>
    </row>
    <row r="3936" ht="16.5" customHeight="1" s="17">
      <c r="A3936" s="20" t="inlineStr">
        <is>
          <t>동영상캠페인_승무원_비누향 나는 승무원에게</t>
        </is>
      </c>
      <c r="B3936" s="16" t="inlineStr">
        <is>
          <t>2021-03-03</t>
        </is>
      </c>
      <c r="C3936" s="20" t="inlineStr">
        <is>
          <t>수</t>
        </is>
      </c>
      <c r="D3936" s="20" t="inlineStr">
        <is>
          <t>유튜브 광고</t>
        </is>
      </c>
      <c r="E3936" s="20" t="inlineStr">
        <is>
          <t>고체향수</t>
        </is>
      </c>
      <c r="K3936" s="20" t="n">
        <v>408008</v>
      </c>
    </row>
    <row r="3937" ht="16.5" customHeight="1" s="17">
      <c r="A3937" s="20" t="inlineStr">
        <is>
          <t>동영상캠페인_유즈모먼트_2차_30대 여성 회사원</t>
        </is>
      </c>
      <c r="B3937" s="16" t="inlineStr">
        <is>
          <t>2021-03-03</t>
        </is>
      </c>
      <c r="C3937" s="20" t="inlineStr">
        <is>
          <t>수</t>
        </is>
      </c>
      <c r="D3937" s="20" t="inlineStr">
        <is>
          <t>유튜브 광고</t>
        </is>
      </c>
      <c r="E3937" s="20" t="inlineStr">
        <is>
          <t>고체향수</t>
        </is>
      </c>
      <c r="K3937" s="20" t="n">
        <v>399175</v>
      </c>
    </row>
    <row r="3938" ht="16.5" customHeight="1" s="17">
      <c r="A3938" s="20" t="inlineStr">
        <is>
          <t>쇼핑검색_고체향수</t>
        </is>
      </c>
      <c r="B3938" s="16" t="inlineStr">
        <is>
          <t>2021-03-03</t>
        </is>
      </c>
      <c r="C3938" s="20" t="inlineStr">
        <is>
          <t>수</t>
        </is>
      </c>
      <c r="D3938" s="20" t="inlineStr">
        <is>
          <t>네이버 쇼핑검색</t>
        </is>
      </c>
      <c r="E3938" s="20" t="inlineStr">
        <is>
          <t>고체향수</t>
        </is>
      </c>
      <c r="K3938" s="20" t="n">
        <v>3740</v>
      </c>
    </row>
    <row r="3939" ht="16.5" customHeight="1" s="17">
      <c r="A3939" s="20" t="inlineStr">
        <is>
          <t>쇼핑검색_고체향수세부키워드</t>
        </is>
      </c>
      <c r="B3939" s="16" t="inlineStr">
        <is>
          <t>2021-03-03</t>
        </is>
      </c>
      <c r="C3939" s="20" t="inlineStr">
        <is>
          <t>수</t>
        </is>
      </c>
      <c r="D3939" s="20" t="inlineStr">
        <is>
          <t>네이버 쇼핑검색</t>
        </is>
      </c>
      <c r="E3939" s="20" t="inlineStr">
        <is>
          <t>고체향수</t>
        </is>
      </c>
      <c r="K3939" s="20" t="n">
        <v>117480</v>
      </c>
    </row>
    <row r="3940" ht="16.5" customHeight="1" s="17">
      <c r="A3940" s="20" t="inlineStr">
        <is>
          <t>쇼핑검색_고체향수세부키워드2</t>
        </is>
      </c>
      <c r="B3940" s="16" t="inlineStr">
        <is>
          <t>2021-03-03</t>
        </is>
      </c>
      <c r="C3940" s="20" t="inlineStr">
        <is>
          <t>수</t>
        </is>
      </c>
      <c r="D3940" s="20" t="inlineStr">
        <is>
          <t>네이버 쇼핑검색</t>
        </is>
      </c>
      <c r="E3940" s="20" t="inlineStr">
        <is>
          <t>고체향수</t>
        </is>
      </c>
      <c r="K3940" s="20" t="n">
        <v>2270</v>
      </c>
    </row>
    <row r="3941" ht="16.5" customHeight="1" s="17">
      <c r="A3941" s="20" t="inlineStr">
        <is>
          <t>모바일 브검</t>
        </is>
      </c>
      <c r="B3941" s="16" t="inlineStr">
        <is>
          <t>2021-03-03</t>
        </is>
      </c>
      <c r="C3941" s="20" t="inlineStr">
        <is>
          <t>수</t>
        </is>
      </c>
      <c r="D3941" s="20" t="inlineStr">
        <is>
          <t>네이버 브랜드검색</t>
        </is>
      </c>
      <c r="E3941" s="20" t="inlineStr">
        <is>
          <t>브랜드</t>
        </is>
      </c>
      <c r="K3941" s="20" t="n">
        <v>0</v>
      </c>
    </row>
    <row r="3942" ht="16.5" customHeight="1" s="17">
      <c r="A3942" s="20" t="inlineStr">
        <is>
          <t>고체향수_승무원 어피_Npay 추적</t>
        </is>
      </c>
      <c r="B3942" s="16" t="inlineStr">
        <is>
          <t>2021-03-03</t>
        </is>
      </c>
      <c r="C3942" s="20" t="inlineStr">
        <is>
          <t>수</t>
        </is>
      </c>
      <c r="D3942" s="20" t="inlineStr">
        <is>
          <t>카카오 배너</t>
        </is>
      </c>
      <c r="E3942" s="20" t="inlineStr">
        <is>
          <t>고체향수</t>
        </is>
      </c>
      <c r="K3942" s="20" t="n">
        <v>91479.99999999999</v>
      </c>
    </row>
    <row r="3943" ht="16.5" customHeight="1" s="17">
      <c r="A3943" s="20" t="inlineStr">
        <is>
          <t>고체향수_Npay 추적</t>
        </is>
      </c>
      <c r="B3943" s="16" t="inlineStr">
        <is>
          <t>2021-03-03</t>
        </is>
      </c>
      <c r="C3943" s="20" t="inlineStr">
        <is>
          <t>수</t>
        </is>
      </c>
      <c r="D3943" s="20" t="inlineStr">
        <is>
          <t>카카오 배너</t>
        </is>
      </c>
      <c r="E3943" s="20" t="inlineStr">
        <is>
          <t>고체향수</t>
        </is>
      </c>
      <c r="K3943" s="20" t="n">
        <v>516409.9999999999</v>
      </c>
    </row>
    <row r="3944" ht="16.5" customHeight="1" s="17">
      <c r="B3944" s="16" t="inlineStr">
        <is>
          <t>2021-03-03</t>
        </is>
      </c>
      <c r="C3944" s="20" t="inlineStr">
        <is>
          <t>수</t>
        </is>
      </c>
      <c r="E3944" s="20">
        <f>INDEX(매칭테이블!C:C,MATCH(RD!G3944,매칭테이블!D:D,0))</f>
        <v/>
      </c>
      <c r="F3944" s="20" t="inlineStr">
        <is>
          <t>W컨셉</t>
        </is>
      </c>
      <c r="G3944" s="20" t="inlineStr">
        <is>
          <t>솔리드퍼퓸 이그나이트/스테이포에버 30ml (2종 택1)&lt;옵션1&gt;002 STAY FOREVER</t>
        </is>
      </c>
      <c r="H3944" s="20" t="n">
        <v>3</v>
      </c>
      <c r="I3944" s="20">
        <f>VLOOKUP(G3944,매칭테이블!D:E,2,0)</f>
        <v/>
      </c>
      <c r="J3944" s="20" t="inlineStr">
        <is>
          <t>210207</t>
        </is>
      </c>
      <c r="L3944" s="20">
        <f>VLOOKUP($O3944,매칭테이블!$G:$J,2,0)*H3944</f>
        <v/>
      </c>
      <c r="M3944" s="20">
        <f>L3944-L3944*VLOOKUP($O3944,매칭테이블!$G:$J,3,0)</f>
        <v/>
      </c>
      <c r="N3944" s="20">
        <f>VLOOKUP($O3944,매칭테이블!$G:$J,4,0)*H3944</f>
        <v/>
      </c>
      <c r="O3944" s="20">
        <f>F3944&amp;E3944&amp;G3944&amp;J3944</f>
        <v/>
      </c>
    </row>
    <row r="3945" ht="16.5" customHeight="1" s="17">
      <c r="B3945" s="16" t="inlineStr">
        <is>
          <t>2021-03-03</t>
        </is>
      </c>
      <c r="C3945" s="20" t="inlineStr">
        <is>
          <t>수</t>
        </is>
      </c>
      <c r="E3945" s="20">
        <f>INDEX(매칭테이블!C:C,MATCH(RD!G3945,매칭테이블!D:D,0))</f>
        <v/>
      </c>
      <c r="F3945" s="20" t="inlineStr">
        <is>
          <t>스마트스토어</t>
        </is>
      </c>
      <c r="G3945" s="20" t="inlineStr">
        <is>
          <t>유즈 고체향수 세트(유즈 스테이포에버, 유즈 이그나이트)고체향수: 스테이포에버 1개</t>
        </is>
      </c>
      <c r="H3945" s="20" t="n">
        <v>2</v>
      </c>
      <c r="I3945" s="20">
        <f>VLOOKUP(G3945,매칭테이블!D:E,2,0)</f>
        <v/>
      </c>
      <c r="J3945" s="20" t="inlineStr">
        <is>
          <t>210207</t>
        </is>
      </c>
      <c r="L3945" s="20">
        <f>VLOOKUP($O3945,매칭테이블!$G:$J,2,0)*H3945</f>
        <v/>
      </c>
      <c r="M3945" s="20">
        <f>L3945-L3945*VLOOKUP($O3945,매칭테이블!$G:$J,3,0)</f>
        <v/>
      </c>
      <c r="N3945" s="20">
        <f>VLOOKUP($O3945,매칭테이블!$G:$J,4,0)*H3945</f>
        <v/>
      </c>
      <c r="O3945" s="20">
        <f>F3945&amp;E3945&amp;G3945&amp;J3945</f>
        <v/>
      </c>
    </row>
    <row r="3946" ht="16.5" customHeight="1" s="17">
      <c r="B3946" s="16" t="inlineStr">
        <is>
          <t>2021-03-03</t>
        </is>
      </c>
      <c r="C3946" s="20" t="inlineStr">
        <is>
          <t>수</t>
        </is>
      </c>
      <c r="E3946" s="20">
        <f>INDEX(매칭테이블!C:C,MATCH(RD!G3946,매칭테이블!D:D,0))</f>
        <v/>
      </c>
      <c r="F3946" s="20" t="inlineStr">
        <is>
          <t>스마트스토어</t>
        </is>
      </c>
      <c r="G3946" s="20" t="inlineStr">
        <is>
          <t>유즈 고체향수 세트(유즈 스테이포에버, 유즈 이그나이트)고체향수: 스테이포에버 1개 + 이그나이트 1개</t>
        </is>
      </c>
      <c r="H3946" s="20" t="n">
        <v>3</v>
      </c>
      <c r="I3946" s="20">
        <f>VLOOKUP(G3946,매칭테이블!D:E,2,0)</f>
        <v/>
      </c>
      <c r="J3946" s="20" t="inlineStr">
        <is>
          <t>210207</t>
        </is>
      </c>
      <c r="L3946" s="20">
        <f>VLOOKUP($O3946,매칭테이블!$G:$J,2,0)*H3946</f>
        <v/>
      </c>
      <c r="M3946" s="20">
        <f>L3946-L3946*VLOOKUP($O3946,매칭테이블!$G:$J,3,0)</f>
        <v/>
      </c>
      <c r="N3946" s="20">
        <f>VLOOKUP($O3946,매칭테이블!$G:$J,4,0)*H3946</f>
        <v/>
      </c>
      <c r="O3946" s="20">
        <f>F3946&amp;E3946&amp;G3946&amp;J3946</f>
        <v/>
      </c>
    </row>
    <row r="3947" ht="16.5" customHeight="1" s="17">
      <c r="B3947" s="16" t="inlineStr">
        <is>
          <t>2021-03-03</t>
        </is>
      </c>
      <c r="C3947" s="20" t="inlineStr">
        <is>
          <t>수</t>
        </is>
      </c>
      <c r="E3947" s="20">
        <f>INDEX(매칭테이블!C:C,MATCH(RD!G3947,매칭테이블!D:D,0))</f>
        <v/>
      </c>
      <c r="F3947" s="20" t="inlineStr">
        <is>
          <t>스마트스토어</t>
        </is>
      </c>
      <c r="G3947" s="20" t="inlineStr">
        <is>
          <t>유즈 고체향수 세트(유즈 스테이포에버, 유즈 이그나이트)고체향수: 이그나이트 1개</t>
        </is>
      </c>
      <c r="H3947" s="20" t="n">
        <v>1</v>
      </c>
      <c r="I3947" s="20">
        <f>VLOOKUP(G3947,매칭테이블!D:E,2,0)</f>
        <v/>
      </c>
      <c r="J3947" s="20" t="inlineStr">
        <is>
          <t>210207</t>
        </is>
      </c>
      <c r="L3947" s="20">
        <f>VLOOKUP($O3947,매칭테이블!$G:$J,2,0)*H3947</f>
        <v/>
      </c>
      <c r="M3947" s="20">
        <f>L3947-L3947*VLOOKUP($O3947,매칭테이블!$G:$J,3,0)</f>
        <v/>
      </c>
      <c r="N3947" s="20">
        <f>VLOOKUP($O3947,매칭테이블!$G:$J,4,0)*H3947</f>
        <v/>
      </c>
      <c r="O3947" s="20">
        <f>F3947&amp;E3947&amp;G3947&amp;J3947</f>
        <v/>
      </c>
    </row>
    <row r="3948" ht="16.5" customHeight="1" s="17">
      <c r="B3948" s="16" t="inlineStr">
        <is>
          <t>2021-03-03</t>
        </is>
      </c>
      <c r="C3948" s="20" t="inlineStr">
        <is>
          <t>수</t>
        </is>
      </c>
      <c r="E3948" s="20">
        <f>INDEX(매칭테이블!C:C,MATCH(RD!G3948,매칭테이블!D:D,0))</f>
        <v/>
      </c>
      <c r="F3948" s="20" t="inlineStr">
        <is>
          <t>스마트스토어</t>
        </is>
      </c>
      <c r="G3948" s="20" t="inlineStr">
        <is>
          <t>유즈 고체향수 스테이포에버 002고체향수: 스테이포에버 1개</t>
        </is>
      </c>
      <c r="H3948" s="20" t="n">
        <v>23</v>
      </c>
      <c r="I3948" s="20">
        <f>VLOOKUP(G3948,매칭테이블!D:E,2,0)</f>
        <v/>
      </c>
      <c r="J3948" s="20" t="inlineStr">
        <is>
          <t>210207</t>
        </is>
      </c>
      <c r="L3948" s="20">
        <f>VLOOKUP($O3948,매칭테이블!$G:$J,2,0)*H3948</f>
        <v/>
      </c>
      <c r="M3948" s="20">
        <f>L3948-L3948*VLOOKUP($O3948,매칭테이블!$G:$J,3,0)</f>
        <v/>
      </c>
      <c r="N3948" s="20">
        <f>VLOOKUP($O3948,매칭테이블!$G:$J,4,0)*H3948</f>
        <v/>
      </c>
      <c r="O3948" s="20">
        <f>F3948&amp;E3948&amp;G3948&amp;J3948</f>
        <v/>
      </c>
    </row>
    <row r="3949" ht="16.5" customHeight="1" s="17">
      <c r="B3949" s="16" t="inlineStr">
        <is>
          <t>2021-03-03</t>
        </is>
      </c>
      <c r="C3949" s="20" t="inlineStr">
        <is>
          <t>수</t>
        </is>
      </c>
      <c r="E3949" s="20" t="inlineStr">
        <is>
          <t>고체향수</t>
        </is>
      </c>
      <c r="F3949" s="20" t="inlineStr">
        <is>
          <t>유즈 CS</t>
        </is>
      </c>
      <c r="G3949" s="20" t="inlineStr">
        <is>
          <t>솔리드퍼퓸 이그나이트 001 30ml</t>
        </is>
      </c>
      <c r="H3949" s="20" t="n">
        <v>2</v>
      </c>
      <c r="I3949" s="20" t="inlineStr">
        <is>
          <t>이그나이트</t>
        </is>
      </c>
      <c r="J3949" s="20" t="inlineStr">
        <is>
          <t>210207</t>
        </is>
      </c>
      <c r="L3949" s="20">
        <f>VLOOKUP($O3949,매칭테이블!$G:$J,2,0)*H3949</f>
        <v/>
      </c>
      <c r="M3949" s="20">
        <f>L3949-L3949*VLOOKUP($O3949,매칭테이블!$G:$J,3,0)</f>
        <v/>
      </c>
      <c r="N3949" s="20">
        <f>VLOOKUP($O3949,매칭테이블!$G:$J,4,0)*H3949</f>
        <v/>
      </c>
      <c r="O3949" s="20">
        <f>F3949&amp;E3949&amp;G3949&amp;J3949</f>
        <v/>
      </c>
    </row>
    <row r="3950" ht="16.5" customHeight="1" s="17">
      <c r="B3950" s="16" t="inlineStr">
        <is>
          <t>2021-03-03</t>
        </is>
      </c>
      <c r="C3950" s="20" t="inlineStr">
        <is>
          <t>수</t>
        </is>
      </c>
      <c r="E3950" s="20" t="inlineStr">
        <is>
          <t>고체향수</t>
        </is>
      </c>
      <c r="F3950" s="20" t="inlineStr">
        <is>
          <t>카페24</t>
        </is>
      </c>
      <c r="G3950" s="20" t="inlineStr">
        <is>
          <t>솔리드퍼퓸 세트향=이그나이트 001 SOLID PERFUME, 세트 선택=1개</t>
        </is>
      </c>
      <c r="H3950" s="20" t="n">
        <v>2</v>
      </c>
      <c r="I3950" s="20" t="inlineStr">
        <is>
          <t>이그나이트</t>
        </is>
      </c>
      <c r="J3950" s="20" t="inlineStr">
        <is>
          <t>210207</t>
        </is>
      </c>
      <c r="L3950" s="20">
        <f>VLOOKUP($O3950,매칭테이블!$G:$J,2,0)*H3950</f>
        <v/>
      </c>
      <c r="M3950" s="20">
        <f>L3950-L3950*VLOOKUP($O3950,매칭테이블!$G:$J,3,0)</f>
        <v/>
      </c>
      <c r="N3950" s="20">
        <f>VLOOKUP($O3950,매칭테이블!$G:$J,4,0)*H3950</f>
        <v/>
      </c>
      <c r="O3950" s="20">
        <f>F3950&amp;E3950&amp;G3950&amp;J3950</f>
        <v/>
      </c>
    </row>
    <row r="3951" ht="16.5" customHeight="1" s="17">
      <c r="B3951" s="16" t="inlineStr">
        <is>
          <t>2021-03-03</t>
        </is>
      </c>
      <c r="C3951" s="20" t="inlineStr">
        <is>
          <t>수</t>
        </is>
      </c>
      <c r="E3951" s="20" t="inlineStr">
        <is>
          <t>고체향수</t>
        </is>
      </c>
      <c r="F3951" s="20" t="inlineStr">
        <is>
          <t>카페24</t>
        </is>
      </c>
      <c r="G3951" s="20" t="inlineStr">
        <is>
          <t>솔리드퍼퓸 세트향=스테이포에버 002 SOLID PERFUME, 세트 선택=1개</t>
        </is>
      </c>
      <c r="H3951" s="20" t="n">
        <v>3</v>
      </c>
      <c r="I3951" s="20" t="inlineStr">
        <is>
          <t>스테이포에버</t>
        </is>
      </c>
      <c r="J3951" s="20" t="inlineStr">
        <is>
          <t>210207</t>
        </is>
      </c>
      <c r="L3951" s="20">
        <f>VLOOKUP($O3951,매칭테이블!$G:$J,2,0)*H3951</f>
        <v/>
      </c>
      <c r="M3951" s="20">
        <f>L3951-L3951*VLOOKUP($O3951,매칭테이블!$G:$J,3,0)</f>
        <v/>
      </c>
      <c r="N3951" s="20">
        <f>VLOOKUP($O3951,매칭테이블!$G:$J,4,0)*H3951</f>
        <v/>
      </c>
      <c r="O3951" s="20">
        <f>F3951&amp;E3951&amp;G3951&amp;J3951</f>
        <v/>
      </c>
    </row>
    <row r="3952" ht="16.5" customHeight="1" s="17">
      <c r="B3952" s="16" t="inlineStr">
        <is>
          <t>2021-03-03</t>
        </is>
      </c>
      <c r="C3952" s="20" t="inlineStr">
        <is>
          <t>수</t>
        </is>
      </c>
      <c r="E3952" s="20" t="inlineStr">
        <is>
          <t>고체향수</t>
        </is>
      </c>
      <c r="F3952" s="20" t="inlineStr">
        <is>
          <t>카페24</t>
        </is>
      </c>
      <c r="G3952" s="20" t="inlineStr">
        <is>
          <t>솔리드퍼퓸 세트향=스테이포에버 002 SOLID PERFUME, 세트 선택=best 2개 (28% 할인)</t>
        </is>
      </c>
      <c r="H3952" s="20" t="n">
        <v>15</v>
      </c>
      <c r="I3952" s="20" t="inlineStr">
        <is>
          <t>스테이포에버 2set</t>
        </is>
      </c>
      <c r="J3952" s="20" t="inlineStr">
        <is>
          <t>210207</t>
        </is>
      </c>
      <c r="L3952" s="20">
        <f>VLOOKUP($O3952,매칭테이블!$G:$J,2,0)*H3952</f>
        <v/>
      </c>
      <c r="M3952" s="20">
        <f>L3952-L3952*VLOOKUP($O3952,매칭테이블!$G:$J,3,0)</f>
        <v/>
      </c>
      <c r="N3952" s="20">
        <f>VLOOKUP($O3952,매칭테이블!$G:$J,4,0)*H3952</f>
        <v/>
      </c>
      <c r="O3952" s="20">
        <f>F3952&amp;E3952&amp;G3952&amp;J3952</f>
        <v/>
      </c>
    </row>
    <row r="3953" ht="16.5" customHeight="1" s="17">
      <c r="B3953" s="16" t="inlineStr">
        <is>
          <t>2021-03-03</t>
        </is>
      </c>
      <c r="C3953" s="20" t="inlineStr">
        <is>
          <t>수</t>
        </is>
      </c>
      <c r="E3953" s="20" t="inlineStr">
        <is>
          <t>고체향수</t>
        </is>
      </c>
      <c r="F3953" s="20" t="inlineStr">
        <is>
          <t>카페24</t>
        </is>
      </c>
      <c r="G3953" s="20" t="inlineStr">
        <is>
          <t>솔리드퍼퓸 세트향=커플세트(이그나이트 + 스테이포에버), 세트 선택=1 SET</t>
        </is>
      </c>
      <c r="H3953" s="20" t="n">
        <v>19</v>
      </c>
      <c r="I3953" s="20" t="inlineStr">
        <is>
          <t>이그나이트 + 스테이포에버</t>
        </is>
      </c>
      <c r="J3953" s="20" t="inlineStr">
        <is>
          <t>210207</t>
        </is>
      </c>
      <c r="L3953" s="20">
        <f>VLOOKUP($O3953,매칭테이블!$G:$J,2,0)*H3953</f>
        <v/>
      </c>
      <c r="M3953" s="20">
        <f>L3953-L3953*VLOOKUP($O3953,매칭테이블!$G:$J,3,0)</f>
        <v/>
      </c>
      <c r="N3953" s="20">
        <f>VLOOKUP($O3953,매칭테이블!$G:$J,4,0)*H3953</f>
        <v/>
      </c>
      <c r="O3953" s="20">
        <f>F3953&amp;E3953&amp;G3953&amp;J3953</f>
        <v/>
      </c>
    </row>
    <row r="3954" ht="16.5" customHeight="1" s="17">
      <c r="B3954" s="16" t="inlineStr">
        <is>
          <t>2021-03-03</t>
        </is>
      </c>
      <c r="C3954" s="20" t="inlineStr">
        <is>
          <t>수</t>
        </is>
      </c>
      <c r="E3954" s="20" t="inlineStr">
        <is>
          <t>고체향수</t>
        </is>
      </c>
      <c r="F3954" s="20" t="inlineStr">
        <is>
          <t>카페24</t>
        </is>
      </c>
      <c r="G3954" s="20" t="inlineStr">
        <is>
          <t>솔리드퍼퓸 세트향=커플세트(이그나이트 + 스테이포에버), 세트 선택=2 SET (42% 할인)</t>
        </is>
      </c>
      <c r="H3954" s="20" t="n">
        <v>4</v>
      </c>
      <c r="I3954" s="20" t="inlineStr">
        <is>
          <t>이그나이트 + 스테이포에버</t>
        </is>
      </c>
      <c r="J3954" s="20" t="inlineStr">
        <is>
          <t>210207</t>
        </is>
      </c>
      <c r="L3954" s="20">
        <f>VLOOKUP($O3954,매칭테이블!$G:$J,2,0)*H3954</f>
        <v/>
      </c>
      <c r="M3954" s="20">
        <f>L3954-L3954*VLOOKUP($O3954,매칭테이블!$G:$J,3,0)</f>
        <v/>
      </c>
      <c r="N3954" s="20">
        <f>VLOOKUP($O3954,매칭테이블!$G:$J,4,0)*H3954</f>
        <v/>
      </c>
      <c r="O3954" s="20">
        <f>F3954&amp;E3954&amp;G3954&amp;J3954</f>
        <v/>
      </c>
    </row>
    <row r="3955" ht="16.5" customHeight="1" s="17">
      <c r="B3955" s="16" t="inlineStr">
        <is>
          <t>2021-03-03</t>
        </is>
      </c>
      <c r="C3955" s="20" t="inlineStr">
        <is>
          <t>수</t>
        </is>
      </c>
      <c r="E3955" s="20" t="inlineStr">
        <is>
          <t>고체향수</t>
        </is>
      </c>
      <c r="F3955" s="20" t="inlineStr">
        <is>
          <t>카페24</t>
        </is>
      </c>
      <c r="G3955" s="20" t="inlineStr">
        <is>
          <t>솔리드퍼퓸 스테이포에버 002제품선택=스테이포에버 1개</t>
        </is>
      </c>
      <c r="H3955" s="20" t="n">
        <v>240</v>
      </c>
      <c r="I3955" s="20" t="inlineStr">
        <is>
          <t>스테이포에버</t>
        </is>
      </c>
      <c r="J3955" s="20" t="inlineStr">
        <is>
          <t>210207</t>
        </is>
      </c>
      <c r="L3955" s="20">
        <f>VLOOKUP($O3955,매칭테이블!$G:$J,2,0)*H3955</f>
        <v/>
      </c>
      <c r="M3955" s="20">
        <f>L3955-L3955*VLOOKUP($O3955,매칭테이블!$G:$J,3,0)</f>
        <v/>
      </c>
      <c r="N3955" s="20">
        <f>VLOOKUP($O3955,매칭테이블!$G:$J,4,0)*H3955</f>
        <v/>
      </c>
      <c r="O3955" s="20">
        <f>F3955&amp;E3955&amp;G3955&amp;J3955</f>
        <v/>
      </c>
    </row>
    <row r="3956" ht="16.5" customHeight="1" s="17">
      <c r="B3956" s="16" t="inlineStr">
        <is>
          <t>2021-03-03</t>
        </is>
      </c>
      <c r="C3956" s="20" t="inlineStr">
        <is>
          <t>수</t>
        </is>
      </c>
      <c r="E3956" s="20" t="inlineStr">
        <is>
          <t>고체향수</t>
        </is>
      </c>
      <c r="F3956" s="20" t="inlineStr">
        <is>
          <t>카페24</t>
        </is>
      </c>
      <c r="G3956" s="20" t="inlineStr">
        <is>
          <t>솔리드퍼퓸 스테이포에버 002제품선택=best스테이포에버 2개[28% 할인]</t>
        </is>
      </c>
      <c r="H3956" s="20" t="n">
        <v>173</v>
      </c>
      <c r="I3956" s="20" t="inlineStr">
        <is>
          <t>스테이포에버 2set</t>
        </is>
      </c>
      <c r="J3956" s="20" t="inlineStr">
        <is>
          <t>210207</t>
        </is>
      </c>
      <c r="L3956" s="20">
        <f>VLOOKUP($O3956,매칭테이블!$G:$J,2,0)*H3956</f>
        <v/>
      </c>
      <c r="M3956" s="20">
        <f>L3956-L3956*VLOOKUP($O3956,매칭테이블!$G:$J,3,0)</f>
        <v/>
      </c>
      <c r="N3956" s="20">
        <f>VLOOKUP($O3956,매칭테이블!$G:$J,4,0)*H3956</f>
        <v/>
      </c>
      <c r="O3956" s="20">
        <f>F3956&amp;E3956&amp;G3956&amp;J3956</f>
        <v/>
      </c>
    </row>
    <row r="3957" ht="16.5" customHeight="1" s="17">
      <c r="B3957" s="16" t="inlineStr">
        <is>
          <t>2021-03-03</t>
        </is>
      </c>
      <c r="C3957" s="20" t="inlineStr">
        <is>
          <t>수</t>
        </is>
      </c>
      <c r="E3957" s="20" t="inlineStr">
        <is>
          <t>고체향수</t>
        </is>
      </c>
      <c r="F3957" s="20" t="inlineStr">
        <is>
          <t>카페24</t>
        </is>
      </c>
      <c r="G3957" s="20" t="inlineStr">
        <is>
          <t>솔리드퍼퓸 스테이포에버 002제품선택=커플추천스테이포에버 + 이그나이트 세트</t>
        </is>
      </c>
      <c r="H3957" s="20" t="n">
        <v>12</v>
      </c>
      <c r="I3957" s="20" t="inlineStr">
        <is>
          <t>이그나이트 + 스테이포에버</t>
        </is>
      </c>
      <c r="J3957" s="20" t="inlineStr">
        <is>
          <t>210207</t>
        </is>
      </c>
      <c r="L3957" s="20">
        <f>VLOOKUP($O3957,매칭테이블!$G:$J,2,0)*H3957</f>
        <v/>
      </c>
      <c r="M3957" s="20">
        <f>L3957-L3957*VLOOKUP($O3957,매칭테이블!$G:$J,3,0)</f>
        <v/>
      </c>
      <c r="N3957" s="20">
        <f>VLOOKUP($O3957,매칭테이블!$G:$J,4,0)*H3957</f>
        <v/>
      </c>
      <c r="O3957" s="20">
        <f>F3957&amp;E3957&amp;G3957&amp;J3957</f>
        <v/>
      </c>
    </row>
    <row r="3958" ht="16.5" customHeight="1" s="17">
      <c r="B3958" s="16" t="inlineStr">
        <is>
          <t>2021-03-03</t>
        </is>
      </c>
      <c r="C3958" s="20" t="inlineStr">
        <is>
          <t>수</t>
        </is>
      </c>
      <c r="E3958" s="20" t="inlineStr">
        <is>
          <t>쇼핑백</t>
        </is>
      </c>
      <c r="F3958" s="20" t="inlineStr">
        <is>
          <t>카페24</t>
        </is>
      </c>
      <c r="G3958" s="20" t="inlineStr">
        <is>
          <t>솔리드퍼퓸 스테이포에버 002쇼핑백=선물용 쇼핑백</t>
        </is>
      </c>
      <c r="H3958" s="20" t="n">
        <v>2</v>
      </c>
      <c r="I3958" s="20" t="inlineStr">
        <is>
          <t>쇼핑백</t>
        </is>
      </c>
      <c r="J3958" s="20" t="inlineStr">
        <is>
          <t>210207</t>
        </is>
      </c>
      <c r="L3958" s="20">
        <f>VLOOKUP($O3958,매칭테이블!$G:$J,2,0)*H3958</f>
        <v/>
      </c>
      <c r="M3958" s="20">
        <f>L3958-L3958*VLOOKUP($O3958,매칭테이블!$G:$J,3,0)</f>
        <v/>
      </c>
      <c r="N3958" s="20">
        <f>VLOOKUP($O3958,매칭테이블!$G:$J,4,0)*H3958</f>
        <v/>
      </c>
      <c r="O3958" s="20">
        <f>F3958&amp;E3958&amp;G3958&amp;J3958</f>
        <v/>
      </c>
    </row>
    <row r="3959" ht="16.5" customHeight="1" s="17">
      <c r="B3959" s="16" t="inlineStr">
        <is>
          <t>2021-03-03</t>
        </is>
      </c>
      <c r="C3959" s="20" t="inlineStr">
        <is>
          <t>수</t>
        </is>
      </c>
      <c r="E3959" s="20" t="inlineStr">
        <is>
          <t>고체향수</t>
        </is>
      </c>
      <c r="F3959" s="20" t="inlineStr">
        <is>
          <t>카페24</t>
        </is>
      </c>
      <c r="G3959" s="20" t="inlineStr">
        <is>
          <t>솔리드퍼퓸 이그나이트 001제품선택=이그나이트 솔리드퍼퓸 - 30ml</t>
        </is>
      </c>
      <c r="H3959" s="20" t="n">
        <v>3</v>
      </c>
      <c r="I3959" s="20" t="inlineStr">
        <is>
          <t>이그나이트</t>
        </is>
      </c>
      <c r="J3959" s="20" t="inlineStr">
        <is>
          <t>210207</t>
        </is>
      </c>
      <c r="L3959" s="20">
        <f>VLOOKUP($O3959,매칭테이블!$G:$J,2,0)*H3959</f>
        <v/>
      </c>
      <c r="M3959" s="20">
        <f>L3959-L3959*VLOOKUP($O3959,매칭테이블!$G:$J,3,0)</f>
        <v/>
      </c>
      <c r="N3959" s="20">
        <f>VLOOKUP($O3959,매칭테이블!$G:$J,4,0)*H3959</f>
        <v/>
      </c>
      <c r="O3959" s="20">
        <f>F3959&amp;E3959&amp;G3959&amp;J3959</f>
        <v/>
      </c>
    </row>
    <row r="3960" ht="16.5" customHeight="1" s="17">
      <c r="B3960" s="16" t="inlineStr">
        <is>
          <t>2021-03-03</t>
        </is>
      </c>
      <c r="C3960" s="20" t="inlineStr">
        <is>
          <t>수</t>
        </is>
      </c>
      <c r="E3960" s="20" t="inlineStr">
        <is>
          <t>고체향수</t>
        </is>
      </c>
      <c r="F3960" s="20" t="inlineStr">
        <is>
          <t>카페24</t>
        </is>
      </c>
      <c r="G3960" s="20" t="inlineStr">
        <is>
          <t>솔리드퍼퓸 이그나이트 001제품선택=이그나이트 2개 세트</t>
        </is>
      </c>
      <c r="H3960" s="20" t="n">
        <v>1</v>
      </c>
      <c r="I3960" s="20" t="inlineStr">
        <is>
          <t>이그나이트 2set</t>
        </is>
      </c>
      <c r="J3960" s="20" t="inlineStr">
        <is>
          <t>210207</t>
        </is>
      </c>
      <c r="L3960" s="20">
        <f>VLOOKUP($O3960,매칭테이블!$G:$J,2,0)*H3960</f>
        <v/>
      </c>
      <c r="M3960" s="20">
        <f>L3960-L3960*VLOOKUP($O3960,매칭테이블!$G:$J,3,0)</f>
        <v/>
      </c>
      <c r="N3960" s="20">
        <f>VLOOKUP($O3960,매칭테이블!$G:$J,4,0)*H3960</f>
        <v/>
      </c>
      <c r="O3960" s="20">
        <f>F3960&amp;E3960&amp;G3960&amp;J3960</f>
        <v/>
      </c>
    </row>
    <row r="3961" ht="16.5" customHeight="1" s="17">
      <c r="A3961" s="20" t="inlineStr">
        <is>
          <t>고체향수</t>
        </is>
      </c>
      <c r="B3961" s="16" t="inlineStr">
        <is>
          <t>2021-03-03</t>
        </is>
      </c>
      <c r="C3961" s="20" t="inlineStr">
        <is>
          <t>수</t>
        </is>
      </c>
      <c r="D3961" s="20" t="inlineStr">
        <is>
          <t>네이버 배너</t>
        </is>
      </c>
      <c r="E3961" s="20" t="inlineStr">
        <is>
          <t>고체향수</t>
        </is>
      </c>
      <c r="K3961" s="20" t="n">
        <v>1331852.727272727</v>
      </c>
    </row>
    <row r="3962" ht="16.5" customHeight="1" s="17">
      <c r="A3962" s="20" t="inlineStr">
        <is>
          <t>[다현 TEST] 스테이포에버_유즈모먼트</t>
        </is>
      </c>
      <c r="B3962" s="16" t="inlineStr">
        <is>
          <t>2021-03-04</t>
        </is>
      </c>
      <c r="C3962" s="20" t="inlineStr">
        <is>
          <t>목</t>
        </is>
      </c>
      <c r="D3962" s="20">
        <f>VLOOKUP($A3962,매칭테이블!$B$548:$D$1048576,2,0)</f>
        <v/>
      </c>
      <c r="E3962" s="20">
        <f>VLOOKUP($A3962,매칭테이블!$B$548:$D$1048576,3,0)</f>
        <v/>
      </c>
      <c r="K3962" s="20" t="n">
        <v>29636</v>
      </c>
    </row>
    <row r="3963" ht="16.5" customHeight="1" s="17">
      <c r="A3963" s="20" t="inlineStr">
        <is>
          <t>[성민 TEST] 스테이포에버_이미지</t>
        </is>
      </c>
      <c r="B3963" s="16" t="inlineStr">
        <is>
          <t>2021-03-04</t>
        </is>
      </c>
      <c r="C3963" s="20" t="inlineStr">
        <is>
          <t>목</t>
        </is>
      </c>
      <c r="D3963" s="20" t="inlineStr">
        <is>
          <t>페이스북/인스타그램</t>
        </is>
      </c>
      <c r="E3963" s="20" t="inlineStr">
        <is>
          <t>고체향수</t>
        </is>
      </c>
      <c r="K3963" s="20" t="n">
        <v>29487</v>
      </c>
    </row>
    <row r="3964" ht="16.5" customHeight="1" s="17">
      <c r="A3964" s="20" t="inlineStr">
        <is>
          <t>[승은 TEST] 스테이포에버_카드뉴스</t>
        </is>
      </c>
      <c r="B3964" s="16" t="inlineStr">
        <is>
          <t>2021-03-04</t>
        </is>
      </c>
      <c r="C3964" s="20" t="inlineStr">
        <is>
          <t>목</t>
        </is>
      </c>
      <c r="D3964" s="20" t="inlineStr">
        <is>
          <t>페이스북/인스타그램</t>
        </is>
      </c>
      <c r="E3964" s="20" t="inlineStr">
        <is>
          <t>고체향수</t>
        </is>
      </c>
      <c r="K3964" s="20" t="n">
        <v>61158</v>
      </c>
    </row>
    <row r="3965" ht="16.5" customHeight="1" s="17">
      <c r="A3965" s="20" t="inlineStr">
        <is>
          <t>[승무원 2] 스테이포에버_카드뉴스</t>
        </is>
      </c>
      <c r="B3965" s="16" t="inlineStr">
        <is>
          <t>2021-03-04</t>
        </is>
      </c>
      <c r="C3965" s="20" t="inlineStr">
        <is>
          <t>목</t>
        </is>
      </c>
      <c r="D3965" s="20" t="inlineStr">
        <is>
          <t>페이스북/인스타그램</t>
        </is>
      </c>
      <c r="E3965" s="20" t="inlineStr">
        <is>
          <t>고체향수</t>
        </is>
      </c>
      <c r="K3965" s="20" t="n">
        <v>396004</v>
      </c>
    </row>
    <row r="3966" ht="16.5" customHeight="1" s="17">
      <c r="A3966" s="20" t="inlineStr">
        <is>
          <t>[테스트]아줌마</t>
        </is>
      </c>
      <c r="B3966" s="16" t="inlineStr">
        <is>
          <t>2021-03-04</t>
        </is>
      </c>
      <c r="C3966" s="20" t="inlineStr">
        <is>
          <t>목</t>
        </is>
      </c>
      <c r="D3966" s="20" t="inlineStr">
        <is>
          <t>페이스북/인스타그램</t>
        </is>
      </c>
      <c r="E3966" s="20" t="inlineStr">
        <is>
          <t>고체향수</t>
        </is>
      </c>
      <c r="K3966" s="20" t="n">
        <v>219716</v>
      </c>
    </row>
    <row r="3967" ht="16.5" customHeight="1" s="17">
      <c r="A3967" s="20" t="inlineStr">
        <is>
          <t>[키워드 확장 테스트]스테이포에버_이미지</t>
        </is>
      </c>
      <c r="B3967" s="16" t="inlineStr">
        <is>
          <t>2021-03-04</t>
        </is>
      </c>
      <c r="C3967" s="20" t="inlineStr">
        <is>
          <t>목</t>
        </is>
      </c>
      <c r="D3967" s="20" t="inlineStr">
        <is>
          <t>페이스북/인스타그램</t>
        </is>
      </c>
      <c r="E3967" s="20" t="inlineStr">
        <is>
          <t>고체향수</t>
        </is>
      </c>
      <c r="K3967" s="20" t="n">
        <v>270164</v>
      </c>
    </row>
    <row r="3968" ht="16.5" customHeight="1" s="17">
      <c r="A3968" s="20" t="inlineStr">
        <is>
          <t>[재입고]스테이포에버_이미지</t>
        </is>
      </c>
      <c r="B3968" s="16" t="inlineStr">
        <is>
          <t>2021-03-04</t>
        </is>
      </c>
      <c r="C3968" s="20" t="inlineStr">
        <is>
          <t>목</t>
        </is>
      </c>
      <c r="D3968" s="20" t="inlineStr">
        <is>
          <t>페이스북/인스타그램</t>
        </is>
      </c>
      <c r="E3968" s="20" t="inlineStr">
        <is>
          <t>고체향수</t>
        </is>
      </c>
      <c r="K3968" s="20" t="n">
        <v>150361</v>
      </c>
    </row>
    <row r="3969" ht="16.5" customHeight="1" s="17">
      <c r="A3969" s="20" t="inlineStr">
        <is>
          <t>[승무원]숏폼_영상</t>
        </is>
      </c>
      <c r="B3969" s="16" t="inlineStr">
        <is>
          <t>2021-03-04</t>
        </is>
      </c>
      <c r="C3969" s="20" t="inlineStr">
        <is>
          <t>목</t>
        </is>
      </c>
      <c r="D3969" s="20" t="inlineStr">
        <is>
          <t>페이스북/인스타그램</t>
        </is>
      </c>
      <c r="E3969" s="20" t="inlineStr">
        <is>
          <t>고체향수</t>
        </is>
      </c>
      <c r="K3969" s="20" t="n">
        <v>100947</v>
      </c>
    </row>
    <row r="3970" ht="16.5" customHeight="1" s="17">
      <c r="A3970" s="20" t="inlineStr">
        <is>
          <t>[재입고]스테이포에버_영상</t>
        </is>
      </c>
      <c r="B3970" s="16" t="inlineStr">
        <is>
          <t>2021-03-04</t>
        </is>
      </c>
      <c r="C3970" s="20" t="inlineStr">
        <is>
          <t>목</t>
        </is>
      </c>
      <c r="D3970" s="20" t="inlineStr">
        <is>
          <t>페이스북/인스타그램</t>
        </is>
      </c>
      <c r="E3970" s="20" t="inlineStr">
        <is>
          <t>고체향수</t>
        </is>
      </c>
      <c r="K3970" s="20" t="n">
        <v>201885</v>
      </c>
    </row>
    <row r="3971" ht="16.5" customHeight="1" s="17">
      <c r="A3971" s="20" t="inlineStr">
        <is>
          <t>[필라테스]스테이포에버_카드뉴스</t>
        </is>
      </c>
      <c r="B3971" s="16" t="inlineStr">
        <is>
          <t>2021-03-04</t>
        </is>
      </c>
      <c r="C3971" s="20" t="inlineStr">
        <is>
          <t>목</t>
        </is>
      </c>
      <c r="D3971" s="20" t="inlineStr">
        <is>
          <t>페이스북/인스타그램</t>
        </is>
      </c>
      <c r="E3971" s="20" t="inlineStr">
        <is>
          <t>고체향수</t>
        </is>
      </c>
      <c r="K3971" s="20" t="n">
        <v>50272</v>
      </c>
    </row>
    <row r="3972" ht="16.5" customHeight="1" s="17">
      <c r="A3972" s="20" t="inlineStr">
        <is>
          <t>[젊줌마]스테이포에버_영상</t>
        </is>
      </c>
      <c r="B3972" s="16" t="inlineStr">
        <is>
          <t>2021-03-04</t>
        </is>
      </c>
      <c r="C3972" s="20" t="inlineStr">
        <is>
          <t>목</t>
        </is>
      </c>
      <c r="D3972" s="20" t="inlineStr">
        <is>
          <t>페이스북/인스타그램</t>
        </is>
      </c>
      <c r="E3972" s="20" t="inlineStr">
        <is>
          <t>고체향수</t>
        </is>
      </c>
      <c r="K3972" s="20" t="n">
        <v>100831</v>
      </c>
    </row>
    <row r="3973" ht="16.5" customHeight="1" s="17">
      <c r="A3973" s="20" t="inlineStr">
        <is>
          <t>[이성소구]스테이포에버_영상</t>
        </is>
      </c>
      <c r="B3973" s="16" t="inlineStr">
        <is>
          <t>2021-03-04</t>
        </is>
      </c>
      <c r="C3973" s="20" t="inlineStr">
        <is>
          <t>목</t>
        </is>
      </c>
      <c r="D3973" s="20" t="inlineStr">
        <is>
          <t>페이스북/인스타그램</t>
        </is>
      </c>
      <c r="E3973" s="20" t="inlineStr">
        <is>
          <t>고체향수</t>
        </is>
      </c>
      <c r="K3973" s="20" t="n">
        <v>30212</v>
      </c>
    </row>
    <row r="3974" ht="16.5" customHeight="1" s="17">
      <c r="A3974" s="20" t="inlineStr">
        <is>
          <t>[승무원]2019년썰 카드뉴스+ 향묘사_영상</t>
        </is>
      </c>
      <c r="B3974" s="16" t="inlineStr">
        <is>
          <t>2021-03-04</t>
        </is>
      </c>
      <c r="C3974" s="20" t="inlineStr">
        <is>
          <t>목</t>
        </is>
      </c>
      <c r="D3974" s="20" t="inlineStr">
        <is>
          <t>페이스북/인스타그램</t>
        </is>
      </c>
      <c r="E3974" s="20" t="inlineStr">
        <is>
          <t>고체향수</t>
        </is>
      </c>
      <c r="K3974" s="20" t="n">
        <v>98844</v>
      </c>
    </row>
    <row r="3975" ht="16.5" customHeight="1" s="17">
      <c r="A3975" s="20" t="inlineStr">
        <is>
          <t>[승무원어피]스테이포에버_이미지</t>
        </is>
      </c>
      <c r="B3975" s="16" t="inlineStr">
        <is>
          <t>2021-03-04</t>
        </is>
      </c>
      <c r="C3975" s="20" t="inlineStr">
        <is>
          <t>목</t>
        </is>
      </c>
      <c r="D3975" s="20" t="inlineStr">
        <is>
          <t>페이스북/인스타그램</t>
        </is>
      </c>
      <c r="E3975" s="20" t="inlineStr">
        <is>
          <t>고체향수</t>
        </is>
      </c>
      <c r="K3975" s="20" t="n">
        <v>100193</v>
      </c>
    </row>
    <row r="3976" ht="16.5" customHeight="1" s="17">
      <c r="A3976" s="20" t="inlineStr">
        <is>
          <t>[다현]스테이포에버_이미지</t>
        </is>
      </c>
      <c r="B3976" s="16" t="inlineStr">
        <is>
          <t>2021-03-04</t>
        </is>
      </c>
      <c r="C3976" s="20" t="inlineStr">
        <is>
          <t>목</t>
        </is>
      </c>
      <c r="D3976" s="20" t="inlineStr">
        <is>
          <t>페이스북/인스타그램</t>
        </is>
      </c>
      <c r="E3976" s="20" t="inlineStr">
        <is>
          <t>고체향수</t>
        </is>
      </c>
      <c r="K3976" s="20" t="n">
        <v>302876</v>
      </c>
    </row>
    <row r="3977" ht="16.5" customHeight="1" s="17">
      <c r="A3977" s="20" t="inlineStr">
        <is>
          <t>[승무원]스테이포에버_카드뉴스</t>
        </is>
      </c>
      <c r="B3977" s="16" t="inlineStr">
        <is>
          <t>2021-03-04</t>
        </is>
      </c>
      <c r="C3977" s="20" t="inlineStr">
        <is>
          <t>목</t>
        </is>
      </c>
      <c r="D3977" s="20" t="inlineStr">
        <is>
          <t>페이스북/인스타그램</t>
        </is>
      </c>
      <c r="E3977" s="20" t="inlineStr">
        <is>
          <t>고체향수</t>
        </is>
      </c>
      <c r="K3977" s="20" t="n">
        <v>303006</v>
      </c>
    </row>
    <row r="3978" ht="16.5" customHeight="1" s="17">
      <c r="A3978" s="20" t="inlineStr">
        <is>
          <t>[후기타입]스테이포에버_영상</t>
        </is>
      </c>
      <c r="B3978" s="16" t="inlineStr">
        <is>
          <t>2021-03-04</t>
        </is>
      </c>
      <c r="C3978" s="20" t="inlineStr">
        <is>
          <t>목</t>
        </is>
      </c>
      <c r="D3978" s="20" t="inlineStr">
        <is>
          <t>페이스북/인스타그램</t>
        </is>
      </c>
      <c r="E3978" s="20" t="inlineStr">
        <is>
          <t>고체향수</t>
        </is>
      </c>
      <c r="K3978" s="20" t="n">
        <v>150302</v>
      </c>
    </row>
    <row r="3979" ht="16.5" customHeight="1" s="17">
      <c r="A3979" s="20" t="inlineStr">
        <is>
          <t>전환_스테이포에버</t>
        </is>
      </c>
      <c r="B3979" s="16" t="inlineStr">
        <is>
          <t>2021-03-04</t>
        </is>
      </c>
      <c r="C3979" s="20" t="inlineStr">
        <is>
          <t>목</t>
        </is>
      </c>
      <c r="D3979" s="20" t="inlineStr">
        <is>
          <t>페이스북/인스타그램</t>
        </is>
      </c>
      <c r="E3979" s="20" t="inlineStr">
        <is>
          <t>고체향수</t>
        </is>
      </c>
      <c r="K3979" s="20" t="n">
        <v>150632</v>
      </c>
    </row>
    <row r="3980" ht="16.5" customHeight="1" s="17">
      <c r="A3980" s="20" t="inlineStr">
        <is>
          <t>[권태기커플]스테이포에버_영상</t>
        </is>
      </c>
      <c r="B3980" s="16" t="inlineStr">
        <is>
          <t>2021-03-04</t>
        </is>
      </c>
      <c r="C3980" s="20" t="inlineStr">
        <is>
          <t>목</t>
        </is>
      </c>
      <c r="D3980" s="20" t="inlineStr">
        <is>
          <t>페이스북/인스타그램</t>
        </is>
      </c>
      <c r="E3980" s="20" t="inlineStr">
        <is>
          <t>고체향수</t>
        </is>
      </c>
      <c r="K3980" s="20" t="n">
        <v>150897</v>
      </c>
    </row>
    <row r="3981" ht="16.5" customHeight="1" s="17">
      <c r="A3981" s="20" t="inlineStr">
        <is>
          <t>동영상캠페인_승무원_2019년썰(타겟 cpa)</t>
        </is>
      </c>
      <c r="B3981" s="16" t="inlineStr">
        <is>
          <t>2021-03-04</t>
        </is>
      </c>
      <c r="C3981" s="20" t="inlineStr">
        <is>
          <t>목</t>
        </is>
      </c>
      <c r="D3981" s="20">
        <f>VLOOKUP($A3981,매칭테이블!$B$548:$D$1048576,2,0)</f>
        <v/>
      </c>
      <c r="E3981" s="20">
        <f>VLOOKUP($A3981,매칭테이블!$B$548:$D$1048576,3,0)</f>
        <v/>
      </c>
      <c r="K3981" s="20" t="n">
        <v>276415</v>
      </c>
    </row>
    <row r="3982" ht="16.5" customHeight="1" s="17">
      <c r="A3982" s="20" t="inlineStr">
        <is>
          <t>웹사이트 트래픽 서치</t>
        </is>
      </c>
      <c r="B3982" s="16" t="inlineStr">
        <is>
          <t>2021-03-04</t>
        </is>
      </c>
      <c r="C3982" s="20" t="inlineStr">
        <is>
          <t>목</t>
        </is>
      </c>
      <c r="D3982" s="20" t="inlineStr">
        <is>
          <t>유튜브 광고</t>
        </is>
      </c>
      <c r="E3982" s="20" t="inlineStr">
        <is>
          <t>고체향수</t>
        </is>
      </c>
      <c r="K3982" s="20" t="n">
        <v>28956</v>
      </c>
    </row>
    <row r="3983" ht="16.5" customHeight="1" s="17">
      <c r="A3983" s="20" t="inlineStr">
        <is>
          <t>동영상캠페인_승무원_보이는 라디오</t>
        </is>
      </c>
      <c r="B3983" s="16" t="inlineStr">
        <is>
          <t>2021-03-04</t>
        </is>
      </c>
      <c r="C3983" s="20" t="inlineStr">
        <is>
          <t>목</t>
        </is>
      </c>
      <c r="D3983" s="20" t="inlineStr">
        <is>
          <t>유튜브 광고</t>
        </is>
      </c>
      <c r="E3983" s="20" t="inlineStr">
        <is>
          <t>고체향수</t>
        </is>
      </c>
      <c r="K3983" s="20" t="n">
        <v>500550</v>
      </c>
    </row>
    <row r="3984" ht="16.5" customHeight="1" s="17">
      <c r="A3984" s="20" t="inlineStr">
        <is>
          <t>디스커버리 배너_승무원,할인_리마케팅</t>
        </is>
      </c>
      <c r="B3984" s="16" t="inlineStr">
        <is>
          <t>2021-03-04</t>
        </is>
      </c>
      <c r="C3984" s="20" t="inlineStr">
        <is>
          <t>목</t>
        </is>
      </c>
      <c r="D3984" s="20" t="inlineStr">
        <is>
          <t>유튜브 광고</t>
        </is>
      </c>
      <c r="E3984" s="20" t="inlineStr">
        <is>
          <t>고체향수</t>
        </is>
      </c>
      <c r="K3984" s="20" t="n">
        <v>484933</v>
      </c>
    </row>
    <row r="3985" ht="16.5" customHeight="1" s="17">
      <c r="A3985" s="20" t="inlineStr">
        <is>
          <t>동영상캠페인_승무원_써니스카이</t>
        </is>
      </c>
      <c r="B3985" s="16" t="inlineStr">
        <is>
          <t>2021-03-04</t>
        </is>
      </c>
      <c r="C3985" s="20" t="inlineStr">
        <is>
          <t>목</t>
        </is>
      </c>
      <c r="D3985" s="20" t="inlineStr">
        <is>
          <t>유튜브 광고</t>
        </is>
      </c>
      <c r="E3985" s="20" t="inlineStr">
        <is>
          <t>고체향수</t>
        </is>
      </c>
      <c r="K3985" s="20" t="n">
        <v>501394</v>
      </c>
    </row>
    <row r="3986" ht="16.5" customHeight="1" s="17">
      <c r="A3986" s="20" t="inlineStr">
        <is>
          <t>동영상캠페인_필라테스_자기관리(타겟 cpa)</t>
        </is>
      </c>
      <c r="B3986" s="16" t="inlineStr">
        <is>
          <t>2021-03-04</t>
        </is>
      </c>
      <c r="C3986" s="20" t="inlineStr">
        <is>
          <t>목</t>
        </is>
      </c>
      <c r="D3986" s="20">
        <f>VLOOKUP($A3986,매칭테이블!$B$548:$D$1048576,2,0)</f>
        <v/>
      </c>
      <c r="E3986" s="20">
        <f>VLOOKUP($A3986,매칭테이블!$B$548:$D$1048576,3,0)</f>
        <v/>
      </c>
      <c r="K3986" s="20" t="n">
        <v>266606</v>
      </c>
    </row>
    <row r="3987" ht="16.5" customHeight="1" s="17">
      <c r="A3987" s="20" t="inlineStr">
        <is>
          <t>동영상캠페인_승무원_비누향 나는 승무원에게(타겟 cpa)</t>
        </is>
      </c>
      <c r="B3987" s="16" t="inlineStr">
        <is>
          <t>2021-03-04</t>
        </is>
      </c>
      <c r="C3987" s="20" t="inlineStr">
        <is>
          <t>목</t>
        </is>
      </c>
      <c r="D3987" s="20">
        <f>VLOOKUP($A3987,매칭테이블!$B$548:$D$1048576,2,0)</f>
        <v/>
      </c>
      <c r="E3987" s="20">
        <f>VLOOKUP($A3987,매칭테이블!$B$548:$D$1048576,3,0)</f>
        <v/>
      </c>
      <c r="K3987" s="20" t="n">
        <v>374395</v>
      </c>
    </row>
    <row r="3988" ht="16.5" customHeight="1" s="17">
      <c r="A3988" s="20" t="inlineStr">
        <is>
          <t>동영상캠페인_유즈모먼트_2차_30대 여성 회사원(타겟 cpa)</t>
        </is>
      </c>
      <c r="B3988" s="16" t="inlineStr">
        <is>
          <t>2021-03-04</t>
        </is>
      </c>
      <c r="C3988" s="20" t="inlineStr">
        <is>
          <t>목</t>
        </is>
      </c>
      <c r="D3988" s="20">
        <f>VLOOKUP($A3988,매칭테이블!$B$548:$D$1048576,2,0)</f>
        <v/>
      </c>
      <c r="E3988" s="20">
        <f>VLOOKUP($A3988,매칭테이블!$B$548:$D$1048576,3,0)</f>
        <v/>
      </c>
      <c r="K3988" s="20" t="n">
        <v>400521</v>
      </c>
    </row>
    <row r="3989" ht="16.5" customHeight="1" s="17">
      <c r="A3989" s="20" t="inlineStr">
        <is>
          <t>동영상캠페인_유즈모먼트_조향사 친구</t>
        </is>
      </c>
      <c r="B3989" s="16" t="inlineStr">
        <is>
          <t>2021-03-04</t>
        </is>
      </c>
      <c r="C3989" s="20" t="inlineStr">
        <is>
          <t>목</t>
        </is>
      </c>
      <c r="D3989" s="20">
        <f>VLOOKUP($A3989,매칭테이블!$B$548:$D$1048576,2,0)</f>
        <v/>
      </c>
      <c r="E3989" s="20">
        <f>VLOOKUP($A3989,매칭테이블!$B$548:$D$1048576,3,0)</f>
        <v/>
      </c>
      <c r="K3989" s="20" t="n">
        <v>104398</v>
      </c>
    </row>
    <row r="3990" ht="16.5" customHeight="1" s="17">
      <c r="A3990" s="20" t="inlineStr">
        <is>
          <t>동영상캠페인_유즈모먼트_사춘기 딸 2차</t>
        </is>
      </c>
      <c r="B3990" s="16" t="inlineStr">
        <is>
          <t>2021-03-04</t>
        </is>
      </c>
      <c r="C3990" s="20" t="inlineStr">
        <is>
          <t>목</t>
        </is>
      </c>
      <c r="D3990" s="20">
        <f>VLOOKUP($A3990,매칭테이블!$B$548:$D$1048576,2,0)</f>
        <v/>
      </c>
      <c r="E3990" s="20">
        <f>VLOOKUP($A3990,매칭테이블!$B$548:$D$1048576,3,0)</f>
        <v/>
      </c>
      <c r="K3990" s="20" t="n">
        <v>102291</v>
      </c>
    </row>
    <row r="3991" ht="16.5" customHeight="1" s="17">
      <c r="A3991" s="20" t="inlineStr">
        <is>
          <t>쇼핑검색_고체향수</t>
        </is>
      </c>
      <c r="B3991" s="16" t="inlineStr">
        <is>
          <t>2021-03-04</t>
        </is>
      </c>
      <c r="C3991" s="20" t="inlineStr">
        <is>
          <t>목</t>
        </is>
      </c>
      <c r="D3991" s="20" t="inlineStr">
        <is>
          <t>네이버 쇼핑검색</t>
        </is>
      </c>
      <c r="E3991" s="20" t="inlineStr">
        <is>
          <t>고체향수</t>
        </is>
      </c>
      <c r="K3991" s="20" t="n">
        <v>3750</v>
      </c>
    </row>
    <row r="3992" ht="16.5" customHeight="1" s="17">
      <c r="A3992" s="20" t="inlineStr">
        <is>
          <t>쇼핑검색_고체향수세부키워드</t>
        </is>
      </c>
      <c r="B3992" s="16" t="inlineStr">
        <is>
          <t>2021-03-04</t>
        </is>
      </c>
      <c r="C3992" s="20" t="inlineStr">
        <is>
          <t>목</t>
        </is>
      </c>
      <c r="D3992" s="20" t="inlineStr">
        <is>
          <t>네이버 쇼핑검색</t>
        </is>
      </c>
      <c r="E3992" s="20" t="inlineStr">
        <is>
          <t>고체향수</t>
        </is>
      </c>
      <c r="K3992" s="20" t="n">
        <v>95519.99999999999</v>
      </c>
    </row>
    <row r="3993" ht="16.5" customHeight="1" s="17">
      <c r="A3993" s="20" t="inlineStr">
        <is>
          <t>쇼핑검색_고체향수세부키워드2</t>
        </is>
      </c>
      <c r="B3993" s="16" t="inlineStr">
        <is>
          <t>2021-03-04</t>
        </is>
      </c>
      <c r="C3993" s="20" t="inlineStr">
        <is>
          <t>목</t>
        </is>
      </c>
      <c r="D3993" s="20" t="inlineStr">
        <is>
          <t>네이버 쇼핑검색</t>
        </is>
      </c>
      <c r="E3993" s="20" t="inlineStr">
        <is>
          <t>고체향수</t>
        </is>
      </c>
      <c r="K3993" s="20" t="n">
        <v>3010</v>
      </c>
    </row>
    <row r="3994" ht="16.5" customHeight="1" s="17">
      <c r="A3994" s="20" t="inlineStr">
        <is>
          <t>모바일 브검</t>
        </is>
      </c>
      <c r="B3994" s="16" t="inlineStr">
        <is>
          <t>2021-03-04</t>
        </is>
      </c>
      <c r="C3994" s="20" t="inlineStr">
        <is>
          <t>목</t>
        </is>
      </c>
      <c r="D3994" s="20" t="inlineStr">
        <is>
          <t>네이버 브랜드검색</t>
        </is>
      </c>
      <c r="E3994" s="20" t="inlineStr">
        <is>
          <t>브랜드</t>
        </is>
      </c>
      <c r="K3994" s="20" t="n">
        <v>0</v>
      </c>
    </row>
    <row r="3995" ht="16.5" customHeight="1" s="17">
      <c r="A3995" s="20" t="inlineStr">
        <is>
          <t>고체향수_승무원 어피_Npay 추적</t>
        </is>
      </c>
      <c r="B3995" s="16" t="inlineStr">
        <is>
          <t>2021-03-04</t>
        </is>
      </c>
      <c r="C3995" s="20" t="inlineStr">
        <is>
          <t>목</t>
        </is>
      </c>
      <c r="D3995" s="20" t="inlineStr">
        <is>
          <t>카카오 배너</t>
        </is>
      </c>
      <c r="E3995" s="20" t="inlineStr">
        <is>
          <t>고체향수</t>
        </is>
      </c>
      <c r="K3995" s="20" t="n">
        <v>91239.99999999999</v>
      </c>
    </row>
    <row r="3996" ht="16.5" customHeight="1" s="17">
      <c r="A3996" s="20" t="inlineStr">
        <is>
          <t>고체향수_Npay 추적</t>
        </is>
      </c>
      <c r="B3996" s="16" t="inlineStr">
        <is>
          <t>2021-03-04</t>
        </is>
      </c>
      <c r="C3996" s="20" t="inlineStr">
        <is>
          <t>목</t>
        </is>
      </c>
      <c r="D3996" s="20" t="inlineStr">
        <is>
          <t>카카오 배너</t>
        </is>
      </c>
      <c r="E3996" s="20" t="inlineStr">
        <is>
          <t>고체향수</t>
        </is>
      </c>
      <c r="K3996" s="20" t="n">
        <v>574800</v>
      </c>
    </row>
    <row r="3997" ht="16.5" customHeight="1" s="17">
      <c r="B3997" s="16" t="inlineStr">
        <is>
          <t>2021-03-04</t>
        </is>
      </c>
      <c r="C3997" s="20" t="inlineStr">
        <is>
          <t>목</t>
        </is>
      </c>
      <c r="E3997" s="20">
        <f>INDEX(매칭테이블!C:C,MATCH(RD!G3997,매칭테이블!D:D,0))</f>
        <v/>
      </c>
      <c r="F3997" s="20" t="inlineStr">
        <is>
          <t>W컨셉</t>
        </is>
      </c>
      <c r="G3997" s="20" t="inlineStr">
        <is>
          <t>솔리드퍼퓸 이그나이트/스테이포에버 30ml (2종 택1)&lt;옵션1&gt;002 STAY FOREVER</t>
        </is>
      </c>
      <c r="H3997" s="20" t="n">
        <v>8</v>
      </c>
      <c r="I3997" s="20">
        <f>VLOOKUP(G3997,매칭테이블!D:E,2,0)</f>
        <v/>
      </c>
      <c r="J3997" s="20" t="inlineStr">
        <is>
          <t>210207</t>
        </is>
      </c>
      <c r="L3997" s="20">
        <f>VLOOKUP($O3997,매칭테이블!$G:$J,2,0)*H3997</f>
        <v/>
      </c>
      <c r="M3997" s="20">
        <f>L3997-L3997*VLOOKUP($O3997,매칭테이블!$G:$J,3,0)</f>
        <v/>
      </c>
      <c r="N3997" s="20">
        <f>VLOOKUP($O3997,매칭테이블!$G:$J,4,0)*H3997</f>
        <v/>
      </c>
      <c r="O3997" s="20">
        <f>F3997&amp;E3997&amp;G3997&amp;J3997</f>
        <v/>
      </c>
    </row>
    <row r="3998" ht="16.5" customHeight="1" s="17">
      <c r="B3998" s="16" t="inlineStr">
        <is>
          <t>2021-03-04</t>
        </is>
      </c>
      <c r="C3998" s="20" t="inlineStr">
        <is>
          <t>목</t>
        </is>
      </c>
      <c r="E3998" s="20">
        <f>INDEX(매칭테이블!C:C,MATCH(RD!G3998,매칭테이블!D:D,0))</f>
        <v/>
      </c>
      <c r="F3998" s="20" t="inlineStr">
        <is>
          <t>W컨셉</t>
        </is>
      </c>
      <c r="G3998" s="20" t="inlineStr">
        <is>
          <t>솔리드퍼퓸 이그나이트/스테이포에버 30ml (2종 택1)&lt;옵션1&gt;IGNITE + STAY FOREVER</t>
        </is>
      </c>
      <c r="H3998" s="20" t="n">
        <v>4</v>
      </c>
      <c r="I3998" s="20">
        <f>VLOOKUP(G3998,매칭테이블!D:E,2,0)</f>
        <v/>
      </c>
      <c r="J3998" s="20" t="inlineStr">
        <is>
          <t>210207</t>
        </is>
      </c>
      <c r="L3998" s="20">
        <f>VLOOKUP($O3998,매칭테이블!$G:$J,2,0)*H3998</f>
        <v/>
      </c>
      <c r="M3998" s="20">
        <f>L3998-L3998*VLOOKUP($O3998,매칭테이블!$G:$J,3,0)</f>
        <v/>
      </c>
      <c r="N3998" s="20">
        <f>VLOOKUP($O3998,매칭테이블!$G:$J,4,0)*H3998</f>
        <v/>
      </c>
      <c r="O3998" s="20">
        <f>F3998&amp;E3998&amp;G3998&amp;J3998</f>
        <v/>
      </c>
    </row>
    <row r="3999" ht="16.5" customHeight="1" s="17">
      <c r="B3999" s="16" t="inlineStr">
        <is>
          <t>2021-03-04</t>
        </is>
      </c>
      <c r="C3999" s="20" t="inlineStr">
        <is>
          <t>목</t>
        </is>
      </c>
      <c r="E3999" s="20">
        <f>INDEX(매칭테이블!C:C,MATCH(RD!G3999,매칭테이블!D:D,0))</f>
        <v/>
      </c>
      <c r="F3999" s="20" t="inlineStr">
        <is>
          <t>스마트스토어</t>
        </is>
      </c>
      <c r="G3999" s="20" t="inlineStr">
        <is>
          <t>유즈 고체향수 세트(유즈 스테이포에버, 유즈 이그나이트)고체향수: 스테이포에버 1개</t>
        </is>
      </c>
      <c r="H3999" s="20" t="n">
        <v>2</v>
      </c>
      <c r="I3999" s="20">
        <f>VLOOKUP(G3999,매칭테이블!D:E,2,0)</f>
        <v/>
      </c>
      <c r="J3999" s="20" t="inlineStr">
        <is>
          <t>210207</t>
        </is>
      </c>
      <c r="L3999" s="20">
        <f>VLOOKUP($O3999,매칭테이블!$G:$J,2,0)*H3999</f>
        <v/>
      </c>
      <c r="M3999" s="20">
        <f>L3999-L3999*VLOOKUP($O3999,매칭테이블!$G:$J,3,0)</f>
        <v/>
      </c>
      <c r="N3999" s="20">
        <f>VLOOKUP($O3999,매칭테이블!$G:$J,4,0)*H3999</f>
        <v/>
      </c>
      <c r="O3999" s="20">
        <f>F3999&amp;E3999&amp;G3999&amp;J3999</f>
        <v/>
      </c>
    </row>
    <row r="4000" ht="16.5" customHeight="1" s="17">
      <c r="B4000" s="16" t="inlineStr">
        <is>
          <t>2021-03-04</t>
        </is>
      </c>
      <c r="C4000" s="20" t="inlineStr">
        <is>
          <t>목</t>
        </is>
      </c>
      <c r="E4000" s="20">
        <f>INDEX(매칭테이블!C:C,MATCH(RD!G4000,매칭테이블!D:D,0))</f>
        <v/>
      </c>
      <c r="F4000" s="20" t="inlineStr">
        <is>
          <t>스마트스토어</t>
        </is>
      </c>
      <c r="G4000" s="20" t="inlineStr">
        <is>
          <t>유즈 고체향수 세트(유즈 스테이포에버, 유즈 이그나이트)고체향수: 스테이포에버 1개 + 이그나이트 1개</t>
        </is>
      </c>
      <c r="H4000" s="20" t="n">
        <v>3</v>
      </c>
      <c r="I4000" s="20">
        <f>VLOOKUP(G4000,매칭테이블!D:E,2,0)</f>
        <v/>
      </c>
      <c r="J4000" s="20" t="inlineStr">
        <is>
          <t>210207</t>
        </is>
      </c>
      <c r="L4000" s="20">
        <f>VLOOKUP($O4000,매칭테이블!$G:$J,2,0)*H4000</f>
        <v/>
      </c>
      <c r="M4000" s="20">
        <f>L4000-L4000*VLOOKUP($O4000,매칭테이블!$G:$J,3,0)</f>
        <v/>
      </c>
      <c r="N4000" s="20">
        <f>VLOOKUP($O4000,매칭테이블!$G:$J,4,0)*H4000</f>
        <v/>
      </c>
      <c r="O4000" s="20">
        <f>F4000&amp;E4000&amp;G4000&amp;J4000</f>
        <v/>
      </c>
    </row>
    <row r="4001" ht="16.5" customHeight="1" s="17">
      <c r="B4001" s="16" t="inlineStr">
        <is>
          <t>2021-03-04</t>
        </is>
      </c>
      <c r="C4001" s="20" t="inlineStr">
        <is>
          <t>목</t>
        </is>
      </c>
      <c r="E4001" s="20">
        <f>INDEX(매칭테이블!C:C,MATCH(RD!G4001,매칭테이블!D:D,0))</f>
        <v/>
      </c>
      <c r="F4001" s="20" t="inlineStr">
        <is>
          <t>스마트스토어</t>
        </is>
      </c>
      <c r="G4001" s="20" t="inlineStr">
        <is>
          <t>유즈 고체향수 세트(유즈 스테이포에버, 유즈 이그나이트)고체향수: 스테이포에버 2개</t>
        </is>
      </c>
      <c r="H4001" s="20" t="n">
        <v>2</v>
      </c>
      <c r="I4001" s="20">
        <f>VLOOKUP(G4001,매칭테이블!D:E,2,0)</f>
        <v/>
      </c>
      <c r="J4001" s="20" t="inlineStr">
        <is>
          <t>210207</t>
        </is>
      </c>
      <c r="L4001" s="20">
        <f>VLOOKUP($O4001,매칭테이블!$G:$J,2,0)*H4001</f>
        <v/>
      </c>
      <c r="M4001" s="20">
        <f>L4001-L4001*VLOOKUP($O4001,매칭테이블!$G:$J,3,0)</f>
        <v/>
      </c>
      <c r="N4001" s="20">
        <f>VLOOKUP($O4001,매칭테이블!$G:$J,4,0)*H4001</f>
        <v/>
      </c>
      <c r="O4001" s="20">
        <f>F4001&amp;E4001&amp;G4001&amp;J4001</f>
        <v/>
      </c>
    </row>
    <row r="4002" ht="16.5" customHeight="1" s="17">
      <c r="B4002" s="16" t="inlineStr">
        <is>
          <t>2021-03-04</t>
        </is>
      </c>
      <c r="C4002" s="20" t="inlineStr">
        <is>
          <t>목</t>
        </is>
      </c>
      <c r="E4002" s="20">
        <f>INDEX(매칭테이블!C:C,MATCH(RD!G4002,매칭테이블!D:D,0))</f>
        <v/>
      </c>
      <c r="F4002" s="20" t="inlineStr">
        <is>
          <t>스마트스토어</t>
        </is>
      </c>
      <c r="G4002" s="20" t="inlineStr">
        <is>
          <t>유즈 고체향수 스테이포에버 002고체향수: 스테이포에버 1개</t>
        </is>
      </c>
      <c r="H4002" s="20" t="n">
        <v>28</v>
      </c>
      <c r="I4002" s="20">
        <f>VLOOKUP(G4002,매칭테이블!D:E,2,0)</f>
        <v/>
      </c>
      <c r="J4002" s="20" t="inlineStr">
        <is>
          <t>210207</t>
        </is>
      </c>
      <c r="L4002" s="20">
        <f>VLOOKUP($O4002,매칭테이블!$G:$J,2,0)*H4002</f>
        <v/>
      </c>
      <c r="M4002" s="20">
        <f>L4002-L4002*VLOOKUP($O4002,매칭테이블!$G:$J,3,0)</f>
        <v/>
      </c>
      <c r="N4002" s="20">
        <f>VLOOKUP($O4002,매칭테이블!$G:$J,4,0)*H4002</f>
        <v/>
      </c>
      <c r="O4002" s="20">
        <f>F4002&amp;E4002&amp;G4002&amp;J4002</f>
        <v/>
      </c>
    </row>
    <row r="4003" ht="16.5" customHeight="1" s="17">
      <c r="B4003" s="16" t="inlineStr">
        <is>
          <t>2021-03-04</t>
        </is>
      </c>
      <c r="C4003" s="20" t="inlineStr">
        <is>
          <t>목</t>
        </is>
      </c>
      <c r="E4003" s="20">
        <f>INDEX(매칭테이블!C:C,MATCH(RD!G4003,매칭테이블!D:D,0))</f>
        <v/>
      </c>
      <c r="F4003" s="20" t="inlineStr">
        <is>
          <t>스마트스토어</t>
        </is>
      </c>
      <c r="G4003" s="20" t="inlineStr">
        <is>
          <t>유즈 고체향수 이그나이트 001고체향수: 이그나이트 1개</t>
        </is>
      </c>
      <c r="H4003" s="20" t="n">
        <v>1</v>
      </c>
      <c r="I4003" s="20">
        <f>VLOOKUP(G4003,매칭테이블!D:E,2,0)</f>
        <v/>
      </c>
      <c r="J4003" s="20" t="inlineStr">
        <is>
          <t>210207</t>
        </is>
      </c>
      <c r="L4003" s="20">
        <f>VLOOKUP($O4003,매칭테이블!$G:$J,2,0)*H4003</f>
        <v/>
      </c>
      <c r="M4003" s="20">
        <f>L4003-L4003*VLOOKUP($O4003,매칭테이블!$G:$J,3,0)</f>
        <v/>
      </c>
      <c r="N4003" s="20">
        <f>VLOOKUP($O4003,매칭테이블!$G:$J,4,0)*H4003</f>
        <v/>
      </c>
      <c r="O4003" s="20">
        <f>F4003&amp;E4003&amp;G4003&amp;J4003</f>
        <v/>
      </c>
    </row>
    <row r="4004" ht="16.5" customHeight="1" s="17">
      <c r="B4004" s="16" t="inlineStr">
        <is>
          <t>2021-03-04</t>
        </is>
      </c>
      <c r="C4004" s="20" t="inlineStr">
        <is>
          <t>목</t>
        </is>
      </c>
      <c r="E4004" s="20" t="inlineStr">
        <is>
          <t>고체향수</t>
        </is>
      </c>
      <c r="F4004" s="20" t="inlineStr">
        <is>
          <t>유즈 CS</t>
        </is>
      </c>
      <c r="G4004" s="20" t="inlineStr">
        <is>
          <t>솔리드퍼퓸 스테이포에버 002 30ml</t>
        </is>
      </c>
      <c r="H4004" s="20" t="n">
        <v>2</v>
      </c>
      <c r="I4004" s="20" t="inlineStr">
        <is>
          <t>스테이포에버</t>
        </is>
      </c>
      <c r="J4004" s="20" t="inlineStr">
        <is>
          <t>210207</t>
        </is>
      </c>
      <c r="L4004" s="20">
        <f>VLOOKUP($O4004,매칭테이블!$G:$J,2,0)*H4004</f>
        <v/>
      </c>
      <c r="M4004" s="20">
        <f>L4004-L4004*VLOOKUP($O4004,매칭테이블!$G:$J,3,0)</f>
        <v/>
      </c>
      <c r="N4004" s="20">
        <f>VLOOKUP($O4004,매칭테이블!$G:$J,4,0)*H4004</f>
        <v/>
      </c>
      <c r="O4004" s="20">
        <f>F4004&amp;E4004&amp;G4004&amp;J4004</f>
        <v/>
      </c>
    </row>
    <row r="4005" ht="16.5" customHeight="1" s="17">
      <c r="B4005" s="16" t="inlineStr">
        <is>
          <t>2021-03-04</t>
        </is>
      </c>
      <c r="C4005" s="20" t="inlineStr">
        <is>
          <t>목</t>
        </is>
      </c>
      <c r="E4005" s="20" t="inlineStr">
        <is>
          <t>고체향수</t>
        </is>
      </c>
      <c r="F4005" s="20" t="inlineStr">
        <is>
          <t>카페24</t>
        </is>
      </c>
      <c r="G4005" s="20" t="inlineStr">
        <is>
          <t>솔리드퍼퓸 세트향=이그나이트 001 SOLID PERFUME, 세트 선택=1개</t>
        </is>
      </c>
      <c r="H4005" s="20" t="n">
        <v>1</v>
      </c>
      <c r="I4005" s="20" t="inlineStr">
        <is>
          <t>이그나이트</t>
        </is>
      </c>
      <c r="J4005" s="20" t="inlineStr">
        <is>
          <t>210207</t>
        </is>
      </c>
      <c r="L4005" s="20">
        <f>VLOOKUP($O4005,매칭테이블!$G:$J,2,0)*H4005</f>
        <v/>
      </c>
      <c r="M4005" s="20">
        <f>L4005-L4005*VLOOKUP($O4005,매칭테이블!$G:$J,3,0)</f>
        <v/>
      </c>
      <c r="N4005" s="20">
        <f>VLOOKUP($O4005,매칭테이블!$G:$J,4,0)*H4005</f>
        <v/>
      </c>
      <c r="O4005" s="20">
        <f>F4005&amp;E4005&amp;G4005&amp;J4005</f>
        <v/>
      </c>
    </row>
    <row r="4006" ht="16.5" customHeight="1" s="17">
      <c r="B4006" s="16" t="inlineStr">
        <is>
          <t>2021-03-04</t>
        </is>
      </c>
      <c r="C4006" s="20" t="inlineStr">
        <is>
          <t>목</t>
        </is>
      </c>
      <c r="E4006" s="20" t="inlineStr">
        <is>
          <t>고체향수</t>
        </is>
      </c>
      <c r="F4006" s="20" t="inlineStr">
        <is>
          <t>카페24</t>
        </is>
      </c>
      <c r="G4006" s="20" t="inlineStr">
        <is>
          <t>솔리드퍼퓸 세트향=스테이포에버 002 SOLID PERFUME, 세트 선택=1개</t>
        </is>
      </c>
      <c r="H4006" s="20" t="n">
        <v>6</v>
      </c>
      <c r="I4006" s="20" t="inlineStr">
        <is>
          <t>스테이포에버</t>
        </is>
      </c>
      <c r="J4006" s="20" t="inlineStr">
        <is>
          <t>210207</t>
        </is>
      </c>
      <c r="L4006" s="20">
        <f>VLOOKUP($O4006,매칭테이블!$G:$J,2,0)*H4006</f>
        <v/>
      </c>
      <c r="M4006" s="20">
        <f>L4006-L4006*VLOOKUP($O4006,매칭테이블!$G:$J,3,0)</f>
        <v/>
      </c>
      <c r="N4006" s="20">
        <f>VLOOKUP($O4006,매칭테이블!$G:$J,4,0)*H4006</f>
        <v/>
      </c>
      <c r="O4006" s="20">
        <f>F4006&amp;E4006&amp;G4006&amp;J4006</f>
        <v/>
      </c>
    </row>
    <row r="4007" ht="16.5" customHeight="1" s="17">
      <c r="B4007" s="16" t="inlineStr">
        <is>
          <t>2021-03-04</t>
        </is>
      </c>
      <c r="C4007" s="20" t="inlineStr">
        <is>
          <t>목</t>
        </is>
      </c>
      <c r="E4007" s="20" t="inlineStr">
        <is>
          <t>고체향수</t>
        </is>
      </c>
      <c r="F4007" s="20" t="inlineStr">
        <is>
          <t>카페24</t>
        </is>
      </c>
      <c r="G4007" s="20" t="inlineStr">
        <is>
          <t>솔리드퍼퓸 세트향=스테이포에버 002 SOLID PERFUME, 세트 선택=best 2개 (28% 할인)</t>
        </is>
      </c>
      <c r="H4007" s="20" t="n">
        <v>12</v>
      </c>
      <c r="I4007" s="20" t="inlineStr">
        <is>
          <t>스테이포에버 2set</t>
        </is>
      </c>
      <c r="J4007" s="20" t="inlineStr">
        <is>
          <t>210207</t>
        </is>
      </c>
      <c r="L4007" s="20">
        <f>VLOOKUP($O4007,매칭테이블!$G:$J,2,0)*H4007</f>
        <v/>
      </c>
      <c r="M4007" s="20">
        <f>L4007-L4007*VLOOKUP($O4007,매칭테이블!$G:$J,3,0)</f>
        <v/>
      </c>
      <c r="N4007" s="20">
        <f>VLOOKUP($O4007,매칭테이블!$G:$J,4,0)*H4007</f>
        <v/>
      </c>
      <c r="O4007" s="20">
        <f>F4007&amp;E4007&amp;G4007&amp;J4007</f>
        <v/>
      </c>
    </row>
    <row r="4008" ht="16.5" customHeight="1" s="17">
      <c r="B4008" s="16" t="inlineStr">
        <is>
          <t>2021-03-04</t>
        </is>
      </c>
      <c r="C4008" s="20" t="inlineStr">
        <is>
          <t>목</t>
        </is>
      </c>
      <c r="E4008" s="20" t="inlineStr">
        <is>
          <t>고체향수</t>
        </is>
      </c>
      <c r="F4008" s="20" t="inlineStr">
        <is>
          <t>카페24</t>
        </is>
      </c>
      <c r="G4008" s="20" t="inlineStr">
        <is>
          <t>솔리드퍼퓸 세트향=커플세트(이그나이트 + 스테이포에버), 세트 선택=1 SET</t>
        </is>
      </c>
      <c r="H4008" s="20" t="n">
        <v>17</v>
      </c>
      <c r="I4008" s="20" t="inlineStr">
        <is>
          <t>이그나이트 + 스테이포에버</t>
        </is>
      </c>
      <c r="J4008" s="20" t="inlineStr">
        <is>
          <t>210207</t>
        </is>
      </c>
      <c r="L4008" s="20">
        <f>VLOOKUP($O4008,매칭테이블!$G:$J,2,0)*H4008</f>
        <v/>
      </c>
      <c r="M4008" s="20">
        <f>L4008-L4008*VLOOKUP($O4008,매칭테이블!$G:$J,3,0)</f>
        <v/>
      </c>
      <c r="N4008" s="20">
        <f>VLOOKUP($O4008,매칭테이블!$G:$J,4,0)*H4008</f>
        <v/>
      </c>
      <c r="O4008" s="20">
        <f>F4008&amp;E4008&amp;G4008&amp;J4008</f>
        <v/>
      </c>
    </row>
    <row r="4009" ht="16.5" customHeight="1" s="17">
      <c r="B4009" s="16" t="inlineStr">
        <is>
          <t>2021-03-04</t>
        </is>
      </c>
      <c r="C4009" s="20" t="inlineStr">
        <is>
          <t>목</t>
        </is>
      </c>
      <c r="E4009" s="20" t="inlineStr">
        <is>
          <t>고체향수</t>
        </is>
      </c>
      <c r="F4009" s="20" t="inlineStr">
        <is>
          <t>카페24</t>
        </is>
      </c>
      <c r="G4009" s="20" t="inlineStr">
        <is>
          <t>솔리드퍼퓸 세트향=커플세트(이그나이트 + 스테이포에버), 세트 선택=2 SET (42% 할인)</t>
        </is>
      </c>
      <c r="H4009" s="20" t="n">
        <v>2</v>
      </c>
      <c r="I4009" s="20" t="inlineStr">
        <is>
          <t>이그나이트 + 스테이포에버</t>
        </is>
      </c>
      <c r="J4009" s="20" t="inlineStr">
        <is>
          <t>210207</t>
        </is>
      </c>
      <c r="L4009" s="20">
        <f>VLOOKUP($O4009,매칭테이블!$G:$J,2,0)*H4009</f>
        <v/>
      </c>
      <c r="M4009" s="20">
        <f>L4009-L4009*VLOOKUP($O4009,매칭테이블!$G:$J,3,0)</f>
        <v/>
      </c>
      <c r="N4009" s="20">
        <f>VLOOKUP($O4009,매칭테이블!$G:$J,4,0)*H4009</f>
        <v/>
      </c>
      <c r="O4009" s="20">
        <f>F4009&amp;E4009&amp;G4009&amp;J4009</f>
        <v/>
      </c>
    </row>
    <row r="4010" ht="16.5" customHeight="1" s="17">
      <c r="B4010" s="16" t="inlineStr">
        <is>
          <t>2021-03-04</t>
        </is>
      </c>
      <c r="C4010" s="20" t="inlineStr">
        <is>
          <t>목</t>
        </is>
      </c>
      <c r="E4010" s="20" t="inlineStr">
        <is>
          <t>고체향수</t>
        </is>
      </c>
      <c r="F4010" s="20" t="inlineStr">
        <is>
          <t>카페24</t>
        </is>
      </c>
      <c r="G4010" s="20" t="inlineStr">
        <is>
          <t>솔리드퍼퓸 스테이포에버 002제품선택=스테이포에버 1개</t>
        </is>
      </c>
      <c r="H4010" s="20" t="n">
        <v>227</v>
      </c>
      <c r="I4010" s="20" t="inlineStr">
        <is>
          <t>스테이포에버</t>
        </is>
      </c>
      <c r="J4010" s="20" t="inlineStr">
        <is>
          <t>210207</t>
        </is>
      </c>
      <c r="L4010" s="20">
        <f>VLOOKUP($O4010,매칭테이블!$G:$J,2,0)*H4010</f>
        <v/>
      </c>
      <c r="M4010" s="20">
        <f>L4010-L4010*VLOOKUP($O4010,매칭테이블!$G:$J,3,0)</f>
        <v/>
      </c>
      <c r="N4010" s="20">
        <f>VLOOKUP($O4010,매칭테이블!$G:$J,4,0)*H4010</f>
        <v/>
      </c>
      <c r="O4010" s="20">
        <f>F4010&amp;E4010&amp;G4010&amp;J4010</f>
        <v/>
      </c>
    </row>
    <row r="4011" ht="16.5" customHeight="1" s="17">
      <c r="B4011" s="16" t="inlineStr">
        <is>
          <t>2021-03-04</t>
        </is>
      </c>
      <c r="C4011" s="20" t="inlineStr">
        <is>
          <t>목</t>
        </is>
      </c>
      <c r="E4011" s="20" t="inlineStr">
        <is>
          <t>고체향수</t>
        </is>
      </c>
      <c r="F4011" s="20" t="inlineStr">
        <is>
          <t>카페24</t>
        </is>
      </c>
      <c r="G4011" s="20" t="inlineStr">
        <is>
          <t>솔리드퍼퓸 스테이포에버 002제품선택=best스테이포에버 2개[28% 할인]</t>
        </is>
      </c>
      <c r="H4011" s="20" t="n">
        <v>121</v>
      </c>
      <c r="I4011" s="20" t="inlineStr">
        <is>
          <t>스테이포에버 2set</t>
        </is>
      </c>
      <c r="J4011" s="20" t="inlineStr">
        <is>
          <t>210207</t>
        </is>
      </c>
      <c r="L4011" s="20">
        <f>VLOOKUP($O4011,매칭테이블!$G:$J,2,0)*H4011</f>
        <v/>
      </c>
      <c r="M4011" s="20">
        <f>L4011-L4011*VLOOKUP($O4011,매칭테이블!$G:$J,3,0)</f>
        <v/>
      </c>
      <c r="N4011" s="20">
        <f>VLOOKUP($O4011,매칭테이블!$G:$J,4,0)*H4011</f>
        <v/>
      </c>
      <c r="O4011" s="20">
        <f>F4011&amp;E4011&amp;G4011&amp;J4011</f>
        <v/>
      </c>
    </row>
    <row r="4012" ht="16.5" customHeight="1" s="17">
      <c r="B4012" s="16" t="inlineStr">
        <is>
          <t>2021-03-04</t>
        </is>
      </c>
      <c r="C4012" s="20" t="inlineStr">
        <is>
          <t>목</t>
        </is>
      </c>
      <c r="E4012" s="20" t="inlineStr">
        <is>
          <t>고체향수</t>
        </is>
      </c>
      <c r="F4012" s="20" t="inlineStr">
        <is>
          <t>카페24</t>
        </is>
      </c>
      <c r="G4012" s="20" t="inlineStr">
        <is>
          <t>솔리드퍼퓸 스테이포에버 002제품선택=커플추천스테이포에버 + 이그나이트 세트</t>
        </is>
      </c>
      <c r="H4012" s="20" t="n">
        <v>20</v>
      </c>
      <c r="I4012" s="20" t="inlineStr">
        <is>
          <t>이그나이트 + 스테이포에버</t>
        </is>
      </c>
      <c r="J4012" s="20" t="inlineStr">
        <is>
          <t>210207</t>
        </is>
      </c>
      <c r="L4012" s="20">
        <f>VLOOKUP($O4012,매칭테이블!$G:$J,2,0)*H4012</f>
        <v/>
      </c>
      <c r="M4012" s="20">
        <f>L4012-L4012*VLOOKUP($O4012,매칭테이블!$G:$J,3,0)</f>
        <v/>
      </c>
      <c r="N4012" s="20">
        <f>VLOOKUP($O4012,매칭테이블!$G:$J,4,0)*H4012</f>
        <v/>
      </c>
      <c r="O4012" s="20">
        <f>F4012&amp;E4012&amp;G4012&amp;J4012</f>
        <v/>
      </c>
    </row>
    <row r="4013" ht="16.5" customHeight="1" s="17">
      <c r="B4013" s="16" t="inlineStr">
        <is>
          <t>2021-03-04</t>
        </is>
      </c>
      <c r="C4013" s="20" t="inlineStr">
        <is>
          <t>목</t>
        </is>
      </c>
      <c r="E4013" s="20" t="inlineStr">
        <is>
          <t>쇼핑백</t>
        </is>
      </c>
      <c r="F4013" s="20" t="inlineStr">
        <is>
          <t>카페24</t>
        </is>
      </c>
      <c r="G4013" s="20" t="inlineStr">
        <is>
          <t>솔리드퍼퓸 스테이포에버 002쇼핑백=선물용 쇼핑백</t>
        </is>
      </c>
      <c r="H4013" s="20" t="n">
        <v>9</v>
      </c>
      <c r="I4013" s="20" t="inlineStr">
        <is>
          <t>쇼핑백</t>
        </is>
      </c>
      <c r="J4013" s="20" t="inlineStr">
        <is>
          <t>210207</t>
        </is>
      </c>
      <c r="L4013" s="20">
        <f>VLOOKUP($O4013,매칭테이블!$G:$J,2,0)*H4013</f>
        <v/>
      </c>
      <c r="M4013" s="20">
        <f>L4013-L4013*VLOOKUP($O4013,매칭테이블!$G:$J,3,0)</f>
        <v/>
      </c>
      <c r="N4013" s="20">
        <f>VLOOKUP($O4013,매칭테이블!$G:$J,4,0)*H4013</f>
        <v/>
      </c>
      <c r="O4013" s="20">
        <f>F4013&amp;E4013&amp;G4013&amp;J4013</f>
        <v/>
      </c>
    </row>
    <row r="4014" ht="16.5" customHeight="1" s="17">
      <c r="B4014" s="16" t="inlineStr">
        <is>
          <t>2021-03-04</t>
        </is>
      </c>
      <c r="C4014" s="20" t="inlineStr">
        <is>
          <t>목</t>
        </is>
      </c>
      <c r="E4014" s="20" t="inlineStr">
        <is>
          <t>고체향수</t>
        </is>
      </c>
      <c r="F4014" s="20" t="inlineStr">
        <is>
          <t>카페24</t>
        </is>
      </c>
      <c r="G4014" s="20" t="inlineStr">
        <is>
          <t>솔리드퍼퓸 이그나이트 001제품선택=이그나이트 솔리드퍼퓸 - 30ml</t>
        </is>
      </c>
      <c r="H4014" s="20" t="n">
        <v>3</v>
      </c>
      <c r="I4014" s="20" t="inlineStr">
        <is>
          <t>이그나이트</t>
        </is>
      </c>
      <c r="J4014" s="20" t="inlineStr">
        <is>
          <t>210207</t>
        </is>
      </c>
      <c r="L4014" s="20">
        <f>VLOOKUP($O4014,매칭테이블!$G:$J,2,0)*H4014</f>
        <v/>
      </c>
      <c r="M4014" s="20">
        <f>L4014-L4014*VLOOKUP($O4014,매칭테이블!$G:$J,3,0)</f>
        <v/>
      </c>
      <c r="N4014" s="20">
        <f>VLOOKUP($O4014,매칭테이블!$G:$J,4,0)*H4014</f>
        <v/>
      </c>
      <c r="O4014" s="20">
        <f>F4014&amp;E4014&amp;G4014&amp;J4014</f>
        <v/>
      </c>
    </row>
    <row r="4015" ht="16.5" customHeight="1" s="17">
      <c r="B4015" s="16" t="inlineStr">
        <is>
          <t>2021-03-04</t>
        </is>
      </c>
      <c r="C4015" s="20" t="inlineStr">
        <is>
          <t>목</t>
        </is>
      </c>
      <c r="E4015" s="20" t="inlineStr">
        <is>
          <t>고체향수</t>
        </is>
      </c>
      <c r="F4015" s="20" t="inlineStr">
        <is>
          <t>카페24</t>
        </is>
      </c>
      <c r="G4015" s="20" t="inlineStr">
        <is>
          <t>솔리드퍼퓸 이그나이트 001제품선택=이그나이트 2개 세트</t>
        </is>
      </c>
      <c r="H4015" s="20" t="n">
        <v>1</v>
      </c>
      <c r="I4015" s="20" t="inlineStr">
        <is>
          <t>이그나이트 2set</t>
        </is>
      </c>
      <c r="J4015" s="20" t="inlineStr">
        <is>
          <t>210207</t>
        </is>
      </c>
      <c r="L4015" s="20">
        <f>VLOOKUP($O4015,매칭테이블!$G:$J,2,0)*H4015</f>
        <v/>
      </c>
      <c r="M4015" s="20">
        <f>L4015-L4015*VLOOKUP($O4015,매칭테이블!$G:$J,3,0)</f>
        <v/>
      </c>
      <c r="N4015" s="20">
        <f>VLOOKUP($O4015,매칭테이블!$G:$J,4,0)*H4015</f>
        <v/>
      </c>
      <c r="O4015" s="20">
        <f>F4015&amp;E4015&amp;G4015&amp;J4015</f>
        <v/>
      </c>
    </row>
    <row r="4016" ht="16.5" customHeight="1" s="17">
      <c r="B4016" s="16" t="inlineStr">
        <is>
          <t>2021-03-04</t>
        </is>
      </c>
      <c r="C4016" s="20" t="inlineStr">
        <is>
          <t>목</t>
        </is>
      </c>
      <c r="E4016" s="20" t="inlineStr">
        <is>
          <t>쇼핑백</t>
        </is>
      </c>
      <c r="F4016" s="20" t="inlineStr">
        <is>
          <t>카페24</t>
        </is>
      </c>
      <c r="G4016" s="20" t="inlineStr">
        <is>
          <t>솔리드퍼퓸 이그나이트 001쇼핑백=선물용 쇼핑백</t>
        </is>
      </c>
      <c r="H4016" s="20" t="n">
        <v>1</v>
      </c>
      <c r="I4016" s="20" t="inlineStr">
        <is>
          <t>쇼핑백</t>
        </is>
      </c>
      <c r="J4016" s="20" t="inlineStr">
        <is>
          <t>210207</t>
        </is>
      </c>
      <c r="L4016" s="20">
        <f>VLOOKUP($O4016,매칭테이블!$G:$J,2,0)*H4016</f>
        <v/>
      </c>
      <c r="M4016" s="20">
        <f>L4016-L4016*VLOOKUP($O4016,매칭테이블!$G:$J,3,0)</f>
        <v/>
      </c>
      <c r="N4016" s="20">
        <f>VLOOKUP($O4016,매칭테이블!$G:$J,4,0)*H4016</f>
        <v/>
      </c>
      <c r="O4016" s="20">
        <f>F4016&amp;E4016&amp;G4016&amp;J4016</f>
        <v/>
      </c>
    </row>
    <row r="4017" ht="16.5" customHeight="1" s="17">
      <c r="A4017" s="20" t="inlineStr">
        <is>
          <t>고체향수</t>
        </is>
      </c>
      <c r="B4017" s="16" t="inlineStr">
        <is>
          <t>2021-03-04</t>
        </is>
      </c>
      <c r="C4017" s="20" t="inlineStr">
        <is>
          <t>목</t>
        </is>
      </c>
      <c r="D4017" s="20" t="inlineStr">
        <is>
          <t>네이버 배너</t>
        </is>
      </c>
      <c r="E4017" s="20" t="inlineStr">
        <is>
          <t>고체향수</t>
        </is>
      </c>
      <c r="K4017" s="20" t="n">
        <v>1331852.727272727</v>
      </c>
    </row>
    <row r="4018" ht="16.5" customHeight="1" s="17">
      <c r="A4018" s="20" t="inlineStr">
        <is>
          <t>[다현 TEST] 스테이포에버_유즈모먼트</t>
        </is>
      </c>
      <c r="B4018" s="16" t="inlineStr">
        <is>
          <t>2021-03-05</t>
        </is>
      </c>
      <c r="C4018" s="20" t="inlineStr">
        <is>
          <t>금</t>
        </is>
      </c>
      <c r="D4018" s="20" t="inlineStr">
        <is>
          <t>페이스북/인스타그램</t>
        </is>
      </c>
      <c r="E4018" s="20" t="inlineStr">
        <is>
          <t>고체향수</t>
        </is>
      </c>
      <c r="K4018" s="20" t="n">
        <v>59306</v>
      </c>
    </row>
    <row r="4019" ht="16.5" customHeight="1" s="17">
      <c r="A4019" s="20" t="inlineStr">
        <is>
          <t>[성민 TEST] 스테이포에버_이미지</t>
        </is>
      </c>
      <c r="B4019" s="16" t="inlineStr">
        <is>
          <t>2021-03-05</t>
        </is>
      </c>
      <c r="C4019" s="20" t="inlineStr">
        <is>
          <t>금</t>
        </is>
      </c>
      <c r="D4019" s="20" t="inlineStr">
        <is>
          <t>페이스북/인스타그램</t>
        </is>
      </c>
      <c r="E4019" s="20" t="inlineStr">
        <is>
          <t>고체향수</t>
        </is>
      </c>
      <c r="K4019" s="20" t="n">
        <v>30351</v>
      </c>
    </row>
    <row r="4020" ht="16.5" customHeight="1" s="17">
      <c r="A4020" s="20" t="inlineStr">
        <is>
          <t>[승은 TEST] 스테이포에버_카드뉴스</t>
        </is>
      </c>
      <c r="B4020" s="16" t="inlineStr">
        <is>
          <t>2021-03-05</t>
        </is>
      </c>
      <c r="C4020" s="20" t="inlineStr">
        <is>
          <t>금</t>
        </is>
      </c>
      <c r="D4020" s="20" t="inlineStr">
        <is>
          <t>페이스북/인스타그램</t>
        </is>
      </c>
      <c r="E4020" s="20" t="inlineStr">
        <is>
          <t>고체향수</t>
        </is>
      </c>
      <c r="K4020" s="20" t="n">
        <v>58299</v>
      </c>
    </row>
    <row r="4021" ht="16.5" customHeight="1" s="17">
      <c r="A4021" s="20" t="inlineStr">
        <is>
          <t>[승무원 2] 스테이포에버_카드뉴스</t>
        </is>
      </c>
      <c r="B4021" s="16" t="inlineStr">
        <is>
          <t>2021-03-05</t>
        </is>
      </c>
      <c r="C4021" s="20" t="inlineStr">
        <is>
          <t>금</t>
        </is>
      </c>
      <c r="D4021" s="20" t="inlineStr">
        <is>
          <t>페이스북/인스타그램</t>
        </is>
      </c>
      <c r="E4021" s="20" t="inlineStr">
        <is>
          <t>고체향수</t>
        </is>
      </c>
      <c r="K4021" s="20" t="n">
        <v>288723</v>
      </c>
    </row>
    <row r="4022" ht="16.5" customHeight="1" s="17">
      <c r="A4022" s="20" t="inlineStr">
        <is>
          <t>[테스트]아줌마</t>
        </is>
      </c>
      <c r="B4022" s="16" t="inlineStr">
        <is>
          <t>2021-03-05</t>
        </is>
      </c>
      <c r="C4022" s="20" t="inlineStr">
        <is>
          <t>금</t>
        </is>
      </c>
      <c r="D4022" s="20" t="inlineStr">
        <is>
          <t>페이스북/인스타그램</t>
        </is>
      </c>
      <c r="E4022" s="20" t="inlineStr">
        <is>
          <t>고체향수</t>
        </is>
      </c>
      <c r="K4022" s="20" t="n">
        <v>196815</v>
      </c>
    </row>
    <row r="4023" ht="16.5" customHeight="1" s="17">
      <c r="A4023" s="20" t="inlineStr">
        <is>
          <t>[키워드 확장 테스트]스테이포에버_이미지</t>
        </is>
      </c>
      <c r="B4023" s="16" t="inlineStr">
        <is>
          <t>2021-03-05</t>
        </is>
      </c>
      <c r="C4023" s="20" t="inlineStr">
        <is>
          <t>금</t>
        </is>
      </c>
      <c r="D4023" s="20" t="inlineStr">
        <is>
          <t>페이스북/인스타그램</t>
        </is>
      </c>
      <c r="E4023" s="20" t="inlineStr">
        <is>
          <t>고체향수</t>
        </is>
      </c>
      <c r="K4023" s="20" t="n">
        <v>266635</v>
      </c>
    </row>
    <row r="4024" ht="16.5" customHeight="1" s="17">
      <c r="A4024" s="20" t="inlineStr">
        <is>
          <t>[재입고]스테이포에버_이미지</t>
        </is>
      </c>
      <c r="B4024" s="16" t="inlineStr">
        <is>
          <t>2021-03-05</t>
        </is>
      </c>
      <c r="C4024" s="20" t="inlineStr">
        <is>
          <t>금</t>
        </is>
      </c>
      <c r="D4024" s="20" t="inlineStr">
        <is>
          <t>페이스북/인스타그램</t>
        </is>
      </c>
      <c r="E4024" s="20" t="inlineStr">
        <is>
          <t>고체향수</t>
        </is>
      </c>
      <c r="K4024" s="20" t="n">
        <v>147712</v>
      </c>
    </row>
    <row r="4025" ht="16.5" customHeight="1" s="17">
      <c r="A4025" s="20" t="inlineStr">
        <is>
          <t>[승무원]숏폼_영상</t>
        </is>
      </c>
      <c r="B4025" s="16" t="inlineStr">
        <is>
          <t>2021-03-05</t>
        </is>
      </c>
      <c r="C4025" s="20" t="inlineStr">
        <is>
          <t>금</t>
        </is>
      </c>
      <c r="D4025" s="20" t="inlineStr">
        <is>
          <t>페이스북/인스타그램</t>
        </is>
      </c>
      <c r="E4025" s="20" t="inlineStr">
        <is>
          <t>고체향수</t>
        </is>
      </c>
      <c r="K4025" s="20" t="n">
        <v>97966</v>
      </c>
    </row>
    <row r="4026" ht="16.5" customHeight="1" s="17">
      <c r="A4026" s="20" t="inlineStr">
        <is>
          <t>[재입고]스테이포에버_영상</t>
        </is>
      </c>
      <c r="B4026" s="16" t="inlineStr">
        <is>
          <t>2021-03-05</t>
        </is>
      </c>
      <c r="C4026" s="20" t="inlineStr">
        <is>
          <t>금</t>
        </is>
      </c>
      <c r="D4026" s="20" t="inlineStr">
        <is>
          <t>페이스북/인스타그램</t>
        </is>
      </c>
      <c r="E4026" s="20" t="inlineStr">
        <is>
          <t>고체향수</t>
        </is>
      </c>
      <c r="K4026" s="20" t="n">
        <v>195917</v>
      </c>
    </row>
    <row r="4027" ht="16.5" customHeight="1" s="17">
      <c r="A4027" s="20" t="inlineStr">
        <is>
          <t>[필라테스]스테이포에버_카드뉴스</t>
        </is>
      </c>
      <c r="B4027" s="16" t="inlineStr">
        <is>
          <t>2021-03-05</t>
        </is>
      </c>
      <c r="C4027" s="20" t="inlineStr">
        <is>
          <t>금</t>
        </is>
      </c>
      <c r="D4027" s="20" t="inlineStr">
        <is>
          <t>페이스북/인스타그램</t>
        </is>
      </c>
      <c r="E4027" s="20" t="inlineStr">
        <is>
          <t>고체향수</t>
        </is>
      </c>
      <c r="K4027" s="20" t="n">
        <v>49960</v>
      </c>
    </row>
    <row r="4028" ht="16.5" customHeight="1" s="17">
      <c r="A4028" s="20" t="inlineStr">
        <is>
          <t>[젊줌마]스테이포에버_영상</t>
        </is>
      </c>
      <c r="B4028" s="16" t="inlineStr">
        <is>
          <t>2021-03-05</t>
        </is>
      </c>
      <c r="C4028" s="20" t="inlineStr">
        <is>
          <t>금</t>
        </is>
      </c>
      <c r="D4028" s="20" t="inlineStr">
        <is>
          <t>페이스북/인스타그램</t>
        </is>
      </c>
      <c r="E4028" s="20" t="inlineStr">
        <is>
          <t>고체향수</t>
        </is>
      </c>
      <c r="K4028" s="20" t="n">
        <v>97790</v>
      </c>
    </row>
    <row r="4029" ht="16.5" customHeight="1" s="17">
      <c r="A4029" s="20" t="inlineStr">
        <is>
          <t>[이성소구]스테이포에버_영상</t>
        </is>
      </c>
      <c r="B4029" s="16" t="inlineStr">
        <is>
          <t>2021-03-05</t>
        </is>
      </c>
      <c r="C4029" s="20" t="inlineStr">
        <is>
          <t>금</t>
        </is>
      </c>
      <c r="D4029" s="20" t="inlineStr">
        <is>
          <t>페이스북/인스타그램</t>
        </is>
      </c>
      <c r="E4029" s="20" t="inlineStr">
        <is>
          <t>고체향수</t>
        </is>
      </c>
      <c r="K4029" s="20" t="n">
        <v>29464</v>
      </c>
    </row>
    <row r="4030" ht="16.5" customHeight="1" s="17">
      <c r="A4030" s="20" t="inlineStr">
        <is>
          <t>[승무원]2019년썰 카드뉴스+ 향묘사_영상</t>
        </is>
      </c>
      <c r="B4030" s="16" t="inlineStr">
        <is>
          <t>2021-03-05</t>
        </is>
      </c>
      <c r="C4030" s="20" t="inlineStr">
        <is>
          <t>금</t>
        </is>
      </c>
      <c r="D4030" s="20" t="inlineStr">
        <is>
          <t>페이스북/인스타그램</t>
        </is>
      </c>
      <c r="E4030" s="20" t="inlineStr">
        <is>
          <t>고체향수</t>
        </is>
      </c>
      <c r="K4030" s="20" t="n">
        <v>69566</v>
      </c>
    </row>
    <row r="4031" ht="16.5" customHeight="1" s="17">
      <c r="A4031" s="20" t="inlineStr">
        <is>
          <t>[승무원어피]스테이포에버_이미지</t>
        </is>
      </c>
      <c r="B4031" s="16" t="inlineStr">
        <is>
          <t>2021-03-05</t>
        </is>
      </c>
      <c r="C4031" s="20" t="inlineStr">
        <is>
          <t>금</t>
        </is>
      </c>
      <c r="D4031" s="20" t="inlineStr">
        <is>
          <t>페이스북/인스타그램</t>
        </is>
      </c>
      <c r="E4031" s="20" t="inlineStr">
        <is>
          <t>고체향수</t>
        </is>
      </c>
      <c r="K4031" s="20" t="n">
        <v>97744</v>
      </c>
    </row>
    <row r="4032" ht="16.5" customHeight="1" s="17">
      <c r="A4032" s="20" t="inlineStr">
        <is>
          <t>[다현]스테이포에버_이미지</t>
        </is>
      </c>
      <c r="B4032" s="16" t="inlineStr">
        <is>
          <t>2021-03-05</t>
        </is>
      </c>
      <c r="C4032" s="20" t="inlineStr">
        <is>
          <t>금</t>
        </is>
      </c>
      <c r="D4032" s="20" t="inlineStr">
        <is>
          <t>페이스북/인스타그램</t>
        </is>
      </c>
      <c r="E4032" s="20" t="inlineStr">
        <is>
          <t>고체향수</t>
        </is>
      </c>
      <c r="K4032" s="20" t="n">
        <v>294929</v>
      </c>
    </row>
    <row r="4033" ht="16.5" customHeight="1" s="17">
      <c r="A4033" s="20" t="inlineStr">
        <is>
          <t>[승무원]스테이포에버_카드뉴스</t>
        </is>
      </c>
      <c r="B4033" s="16" t="inlineStr">
        <is>
          <t>2021-03-05</t>
        </is>
      </c>
      <c r="C4033" s="20" t="inlineStr">
        <is>
          <t>금</t>
        </is>
      </c>
      <c r="D4033" s="20" t="inlineStr">
        <is>
          <t>페이스북/인스타그램</t>
        </is>
      </c>
      <c r="E4033" s="20" t="inlineStr">
        <is>
          <t>고체향수</t>
        </is>
      </c>
      <c r="K4033" s="20" t="n">
        <v>297517</v>
      </c>
    </row>
    <row r="4034" ht="16.5" customHeight="1" s="17">
      <c r="A4034" s="20" t="inlineStr">
        <is>
          <t>[후기타입]스테이포에버_영상</t>
        </is>
      </c>
      <c r="B4034" s="16" t="inlineStr">
        <is>
          <t>2021-03-05</t>
        </is>
      </c>
      <c r="C4034" s="20" t="inlineStr">
        <is>
          <t>금</t>
        </is>
      </c>
      <c r="D4034" s="20" t="inlineStr">
        <is>
          <t>페이스북/인스타그램</t>
        </is>
      </c>
      <c r="E4034" s="20" t="inlineStr">
        <is>
          <t>고체향수</t>
        </is>
      </c>
      <c r="K4034" s="20" t="n">
        <v>147088</v>
      </c>
    </row>
    <row r="4035" ht="16.5" customHeight="1" s="17">
      <c r="A4035" s="20" t="inlineStr">
        <is>
          <t>전환_스테이포에버</t>
        </is>
      </c>
      <c r="B4035" s="16" t="inlineStr">
        <is>
          <t>2021-03-05</t>
        </is>
      </c>
      <c r="C4035" s="20" t="inlineStr">
        <is>
          <t>금</t>
        </is>
      </c>
      <c r="D4035" s="20" t="inlineStr">
        <is>
          <t>페이스북/인스타그램</t>
        </is>
      </c>
      <c r="E4035" s="20" t="inlineStr">
        <is>
          <t>고체향수</t>
        </is>
      </c>
      <c r="K4035" s="20" t="n">
        <v>146253</v>
      </c>
    </row>
    <row r="4036" ht="16.5" customHeight="1" s="17">
      <c r="A4036" s="20" t="inlineStr">
        <is>
          <t>[권태기커플]스테이포에버_영상</t>
        </is>
      </c>
      <c r="B4036" s="16" t="inlineStr">
        <is>
          <t>2021-03-05</t>
        </is>
      </c>
      <c r="C4036" s="20" t="inlineStr">
        <is>
          <t>금</t>
        </is>
      </c>
      <c r="D4036" s="20" t="inlineStr">
        <is>
          <t>페이스북/인스타그램</t>
        </is>
      </c>
      <c r="E4036" s="20" t="inlineStr">
        <is>
          <t>고체향수</t>
        </is>
      </c>
      <c r="K4036" s="20" t="n">
        <v>148815</v>
      </c>
    </row>
    <row r="4037" ht="16.5" customHeight="1" s="17">
      <c r="A4037" s="20" t="inlineStr">
        <is>
          <t>[다현 TEST] 스테이포에버_유즈모먼트</t>
        </is>
      </c>
      <c r="B4037" s="16" t="inlineStr">
        <is>
          <t>2021-03-06</t>
        </is>
      </c>
      <c r="C4037" s="20" t="inlineStr">
        <is>
          <t>토</t>
        </is>
      </c>
      <c r="D4037" s="20" t="inlineStr">
        <is>
          <t>페이스북/인스타그램</t>
        </is>
      </c>
      <c r="E4037" s="20" t="inlineStr">
        <is>
          <t>고체향수</t>
        </is>
      </c>
      <c r="K4037" s="20" t="n">
        <v>61511</v>
      </c>
    </row>
    <row r="4038" ht="16.5" customHeight="1" s="17">
      <c r="A4038" s="20" t="inlineStr">
        <is>
          <t>[성민 TEST] 스테이포에버_이미지</t>
        </is>
      </c>
      <c r="B4038" s="16" t="inlineStr">
        <is>
          <t>2021-03-06</t>
        </is>
      </c>
      <c r="C4038" s="20" t="inlineStr">
        <is>
          <t>토</t>
        </is>
      </c>
      <c r="D4038" s="20" t="inlineStr">
        <is>
          <t>페이스북/인스타그램</t>
        </is>
      </c>
      <c r="E4038" s="20" t="inlineStr">
        <is>
          <t>고체향수</t>
        </is>
      </c>
      <c r="K4038" s="20" t="n">
        <v>30630</v>
      </c>
    </row>
    <row r="4039" ht="16.5" customHeight="1" s="17">
      <c r="A4039" s="20" t="inlineStr">
        <is>
          <t>[승은 TEST] 스테이포에버_카드뉴스</t>
        </is>
      </c>
      <c r="B4039" s="16" t="inlineStr">
        <is>
          <t>2021-03-06</t>
        </is>
      </c>
      <c r="C4039" s="20" t="inlineStr">
        <is>
          <t>토</t>
        </is>
      </c>
      <c r="D4039" s="20" t="inlineStr">
        <is>
          <t>페이스북/인스타그램</t>
        </is>
      </c>
      <c r="E4039" s="20" t="inlineStr">
        <is>
          <t>고체향수</t>
        </is>
      </c>
      <c r="K4039" s="20" t="n">
        <v>60486</v>
      </c>
    </row>
    <row r="4040" ht="16.5" customHeight="1" s="17">
      <c r="A4040" s="20" t="inlineStr">
        <is>
          <t>[승무원 2] 스테이포에버_카드뉴스</t>
        </is>
      </c>
      <c r="B4040" s="16" t="inlineStr">
        <is>
          <t>2021-03-06</t>
        </is>
      </c>
      <c r="C4040" s="20" t="inlineStr">
        <is>
          <t>토</t>
        </is>
      </c>
      <c r="D4040" s="20" t="inlineStr">
        <is>
          <t>페이스북/인스타그램</t>
        </is>
      </c>
      <c r="E4040" s="20" t="inlineStr">
        <is>
          <t>고체향수</t>
        </is>
      </c>
      <c r="K4040" s="20" t="n">
        <v>273807</v>
      </c>
    </row>
    <row r="4041" ht="16.5" customHeight="1" s="17">
      <c r="A4041" s="20" t="inlineStr">
        <is>
          <t>[테스트]아줌마</t>
        </is>
      </c>
      <c r="B4041" s="16" t="inlineStr">
        <is>
          <t>2021-03-06</t>
        </is>
      </c>
      <c r="C4041" s="20" t="inlineStr">
        <is>
          <t>토</t>
        </is>
      </c>
      <c r="D4041" s="20" t="inlineStr">
        <is>
          <t>페이스북/인스타그램</t>
        </is>
      </c>
      <c r="E4041" s="20" t="inlineStr">
        <is>
          <t>고체향수</t>
        </is>
      </c>
      <c r="K4041" s="20" t="n">
        <v>201820</v>
      </c>
    </row>
    <row r="4042" ht="16.5" customHeight="1" s="17">
      <c r="A4042" s="20" t="inlineStr">
        <is>
          <t>[키워드 확장 테스트]스테이포에버_이미지</t>
        </is>
      </c>
      <c r="B4042" s="16" t="inlineStr">
        <is>
          <t>2021-03-06</t>
        </is>
      </c>
      <c r="C4042" s="20" t="inlineStr">
        <is>
          <t>토</t>
        </is>
      </c>
      <c r="D4042" s="20" t="inlineStr">
        <is>
          <t>페이스북/인스타그램</t>
        </is>
      </c>
      <c r="E4042" s="20" t="inlineStr">
        <is>
          <t>고체향수</t>
        </is>
      </c>
      <c r="K4042" s="20" t="n">
        <v>271560</v>
      </c>
    </row>
    <row r="4043" ht="16.5" customHeight="1" s="17">
      <c r="A4043" s="20" t="inlineStr">
        <is>
          <t>[재입고]스테이포에버_이미지</t>
        </is>
      </c>
      <c r="B4043" s="16" t="inlineStr">
        <is>
          <t>2021-03-06</t>
        </is>
      </c>
      <c r="C4043" s="20" t="inlineStr">
        <is>
          <t>토</t>
        </is>
      </c>
      <c r="D4043" s="20" t="inlineStr">
        <is>
          <t>페이스북/인스타그램</t>
        </is>
      </c>
      <c r="E4043" s="20" t="inlineStr">
        <is>
          <t>고체향수</t>
        </is>
      </c>
      <c r="K4043" s="20" t="n">
        <v>151095</v>
      </c>
    </row>
    <row r="4044" ht="16.5" customHeight="1" s="17">
      <c r="A4044" s="20" t="inlineStr">
        <is>
          <t>[승무원]숏폼_영상</t>
        </is>
      </c>
      <c r="B4044" s="16" t="inlineStr">
        <is>
          <t>2021-03-06</t>
        </is>
      </c>
      <c r="C4044" s="20" t="inlineStr">
        <is>
          <t>토</t>
        </is>
      </c>
      <c r="D4044" s="20" t="inlineStr">
        <is>
          <t>페이스북/인스타그램</t>
        </is>
      </c>
      <c r="E4044" s="20" t="inlineStr">
        <is>
          <t>고체향수</t>
        </is>
      </c>
      <c r="K4044" s="20" t="n">
        <v>101624</v>
      </c>
    </row>
    <row r="4045" ht="16.5" customHeight="1" s="17">
      <c r="A4045" s="20" t="inlineStr">
        <is>
          <t>[재입고]스테이포에버_영상</t>
        </is>
      </c>
      <c r="B4045" s="16" t="inlineStr">
        <is>
          <t>2021-03-06</t>
        </is>
      </c>
      <c r="C4045" s="20" t="inlineStr">
        <is>
          <t>토</t>
        </is>
      </c>
      <c r="D4045" s="20" t="inlineStr">
        <is>
          <t>페이스북/인스타그램</t>
        </is>
      </c>
      <c r="E4045" s="20" t="inlineStr">
        <is>
          <t>고체향수</t>
        </is>
      </c>
      <c r="K4045" s="20" t="n">
        <v>204005</v>
      </c>
    </row>
    <row r="4046" ht="16.5" customHeight="1" s="17">
      <c r="A4046" s="20" t="inlineStr">
        <is>
          <t>[필라테스]스테이포에버_카드뉴스</t>
        </is>
      </c>
      <c r="B4046" s="16" t="inlineStr">
        <is>
          <t>2021-03-06</t>
        </is>
      </c>
      <c r="C4046" s="20" t="inlineStr">
        <is>
          <t>토</t>
        </is>
      </c>
      <c r="D4046" s="20" t="inlineStr">
        <is>
          <t>페이스북/인스타그램</t>
        </is>
      </c>
      <c r="E4046" s="20" t="inlineStr">
        <is>
          <t>고체향수</t>
        </is>
      </c>
      <c r="K4046" s="20" t="n">
        <v>49494</v>
      </c>
    </row>
    <row r="4047" ht="16.5" customHeight="1" s="17">
      <c r="A4047" s="20" t="inlineStr">
        <is>
          <t>[젊줌마]스테이포에버_영상</t>
        </is>
      </c>
      <c r="B4047" s="16" t="inlineStr">
        <is>
          <t>2021-03-06</t>
        </is>
      </c>
      <c r="C4047" s="20" t="inlineStr">
        <is>
          <t>토</t>
        </is>
      </c>
      <c r="D4047" s="20" t="inlineStr">
        <is>
          <t>페이스북/인스타그램</t>
        </is>
      </c>
      <c r="E4047" s="20" t="inlineStr">
        <is>
          <t>고체향수</t>
        </is>
      </c>
      <c r="K4047" s="20" t="n">
        <v>102106</v>
      </c>
    </row>
    <row r="4048" ht="16.5" customHeight="1" s="17">
      <c r="A4048" s="20" t="inlineStr">
        <is>
          <t>[이성소구]스테이포에버_영상</t>
        </is>
      </c>
      <c r="B4048" s="16" t="inlineStr">
        <is>
          <t>2021-03-06</t>
        </is>
      </c>
      <c r="C4048" s="20" t="inlineStr">
        <is>
          <t>토</t>
        </is>
      </c>
      <c r="D4048" s="20" t="inlineStr">
        <is>
          <t>페이스북/인스타그램</t>
        </is>
      </c>
      <c r="E4048" s="20" t="inlineStr">
        <is>
          <t>고체향수</t>
        </is>
      </c>
      <c r="K4048" s="20" t="n">
        <v>30576</v>
      </c>
    </row>
    <row r="4049" ht="16.5" customHeight="1" s="17">
      <c r="A4049" s="20" t="inlineStr">
        <is>
          <t>[승무원]2019년썰 카드뉴스+ 향묘사_영상</t>
        </is>
      </c>
      <c r="B4049" s="16" t="inlineStr">
        <is>
          <t>2021-03-06</t>
        </is>
      </c>
      <c r="C4049" s="20" t="inlineStr">
        <is>
          <t>토</t>
        </is>
      </c>
      <c r="D4049" s="20" t="inlineStr">
        <is>
          <t>페이스북/인스타그램</t>
        </is>
      </c>
      <c r="E4049" s="20" t="inlineStr">
        <is>
          <t>고체향수</t>
        </is>
      </c>
      <c r="K4049" s="20" t="n">
        <v>71291</v>
      </c>
    </row>
    <row r="4050" ht="16.5" customHeight="1" s="17">
      <c r="A4050" s="20" t="inlineStr">
        <is>
          <t>[승무원어피]스테이포에버_이미지</t>
        </is>
      </c>
      <c r="B4050" s="16" t="inlineStr">
        <is>
          <t>2021-03-06</t>
        </is>
      </c>
      <c r="C4050" s="20" t="inlineStr">
        <is>
          <t>토</t>
        </is>
      </c>
      <c r="D4050" s="20" t="inlineStr">
        <is>
          <t>페이스북/인스타그램</t>
        </is>
      </c>
      <c r="E4050" s="20" t="inlineStr">
        <is>
          <t>고체향수</t>
        </is>
      </c>
      <c r="K4050" s="20" t="n">
        <v>100887</v>
      </c>
    </row>
    <row r="4051" ht="16.5" customHeight="1" s="17">
      <c r="A4051" s="20" t="inlineStr">
        <is>
          <t>[다현]스테이포에버_이미지</t>
        </is>
      </c>
      <c r="B4051" s="16" t="inlineStr">
        <is>
          <t>2021-03-06</t>
        </is>
      </c>
      <c r="C4051" s="20" t="inlineStr">
        <is>
          <t>토</t>
        </is>
      </c>
      <c r="D4051" s="20" t="inlineStr">
        <is>
          <t>페이스북/인스타그램</t>
        </is>
      </c>
      <c r="E4051" s="20" t="inlineStr">
        <is>
          <t>고체향수</t>
        </is>
      </c>
      <c r="K4051" s="20" t="n">
        <v>300533</v>
      </c>
    </row>
    <row r="4052" ht="16.5" customHeight="1" s="17">
      <c r="A4052" s="20" t="inlineStr">
        <is>
          <t>[승무원]스테이포에버_카드뉴스</t>
        </is>
      </c>
      <c r="B4052" s="16" t="inlineStr">
        <is>
          <t>2021-03-06</t>
        </is>
      </c>
      <c r="C4052" s="20" t="inlineStr">
        <is>
          <t>토</t>
        </is>
      </c>
      <c r="D4052" s="20" t="inlineStr">
        <is>
          <t>페이스북/인스타그램</t>
        </is>
      </c>
      <c r="E4052" s="20" t="inlineStr">
        <is>
          <t>고체향수</t>
        </is>
      </c>
      <c r="K4052" s="20" t="n">
        <v>306871</v>
      </c>
    </row>
    <row r="4053" ht="16.5" customHeight="1" s="17">
      <c r="A4053" s="20" t="inlineStr">
        <is>
          <t>[후기타입]스테이포에버_영상</t>
        </is>
      </c>
      <c r="B4053" s="16" t="inlineStr">
        <is>
          <t>2021-03-06</t>
        </is>
      </c>
      <c r="C4053" s="20" t="inlineStr">
        <is>
          <t>토</t>
        </is>
      </c>
      <c r="D4053" s="20" t="inlineStr">
        <is>
          <t>페이스북/인스타그램</t>
        </is>
      </c>
      <c r="E4053" s="20" t="inlineStr">
        <is>
          <t>고체향수</t>
        </is>
      </c>
      <c r="K4053" s="20" t="n">
        <v>151911</v>
      </c>
    </row>
    <row r="4054" ht="16.5" customHeight="1" s="17">
      <c r="A4054" s="20" t="inlineStr">
        <is>
          <t>전환_스테이포에버</t>
        </is>
      </c>
      <c r="B4054" s="16" t="inlineStr">
        <is>
          <t>2021-03-06</t>
        </is>
      </c>
      <c r="C4054" s="20" t="inlineStr">
        <is>
          <t>토</t>
        </is>
      </c>
      <c r="D4054" s="20" t="inlineStr">
        <is>
          <t>페이스북/인스타그램</t>
        </is>
      </c>
      <c r="E4054" s="20" t="inlineStr">
        <is>
          <t>고체향수</t>
        </is>
      </c>
      <c r="K4054" s="20" t="n">
        <v>153971</v>
      </c>
    </row>
    <row r="4055" ht="16.5" customHeight="1" s="17">
      <c r="A4055" s="20" t="inlineStr">
        <is>
          <t>[권태기커플]스테이포에버_영상</t>
        </is>
      </c>
      <c r="B4055" s="16" t="inlineStr">
        <is>
          <t>2021-03-06</t>
        </is>
      </c>
      <c r="C4055" s="20" t="inlineStr">
        <is>
          <t>토</t>
        </is>
      </c>
      <c r="D4055" s="20" t="inlineStr">
        <is>
          <t>페이스북/인스타그램</t>
        </is>
      </c>
      <c r="E4055" s="20" t="inlineStr">
        <is>
          <t>고체향수</t>
        </is>
      </c>
      <c r="K4055" s="20" t="n">
        <v>150873</v>
      </c>
    </row>
    <row r="4056" ht="16.5" customHeight="1" s="17">
      <c r="A4056" s="20" t="inlineStr">
        <is>
          <t>[다현 TEST] 스테이포에버_유즈모먼트</t>
        </is>
      </c>
      <c r="B4056" s="16" t="inlineStr">
        <is>
          <t>2021-03-07</t>
        </is>
      </c>
      <c r="C4056" s="20" t="inlineStr">
        <is>
          <t>일</t>
        </is>
      </c>
      <c r="D4056" s="20" t="inlineStr">
        <is>
          <t>페이스북/인스타그램</t>
        </is>
      </c>
      <c r="E4056" s="20" t="inlineStr">
        <is>
          <t>고체향수</t>
        </is>
      </c>
      <c r="K4056" s="20" t="n">
        <v>60611</v>
      </c>
    </row>
    <row r="4057" ht="16.5" customHeight="1" s="17">
      <c r="A4057" s="20" t="inlineStr">
        <is>
          <t>[성민 TEST] 스테이포에버_이미지</t>
        </is>
      </c>
      <c r="B4057" s="16" t="inlineStr">
        <is>
          <t>2021-03-07</t>
        </is>
      </c>
      <c r="C4057" s="20" t="inlineStr">
        <is>
          <t>일</t>
        </is>
      </c>
      <c r="D4057" s="20" t="inlineStr">
        <is>
          <t>페이스북/인스타그램</t>
        </is>
      </c>
      <c r="E4057" s="20" t="inlineStr">
        <is>
          <t>고체향수</t>
        </is>
      </c>
      <c r="K4057" s="20" t="n">
        <v>30384</v>
      </c>
    </row>
    <row r="4058" ht="16.5" customHeight="1" s="17">
      <c r="A4058" s="20" t="inlineStr">
        <is>
          <t>[승은 TEST] 스테이포에버_카드뉴스</t>
        </is>
      </c>
      <c r="B4058" s="16" t="inlineStr">
        <is>
          <t>2021-03-07</t>
        </is>
      </c>
      <c r="C4058" s="20" t="inlineStr">
        <is>
          <t>일</t>
        </is>
      </c>
      <c r="D4058" s="20" t="inlineStr">
        <is>
          <t>페이스북/인스타그램</t>
        </is>
      </c>
      <c r="E4058" s="20" t="inlineStr">
        <is>
          <t>고체향수</t>
        </is>
      </c>
      <c r="K4058" s="20" t="n">
        <v>60533</v>
      </c>
    </row>
    <row r="4059" ht="16.5" customHeight="1" s="17">
      <c r="A4059" s="20" t="inlineStr">
        <is>
          <t>[승무원 2] 스테이포에버_카드뉴스</t>
        </is>
      </c>
      <c r="B4059" s="16" t="inlineStr">
        <is>
          <t>2021-03-07</t>
        </is>
      </c>
      <c r="C4059" s="20" t="inlineStr">
        <is>
          <t>일</t>
        </is>
      </c>
      <c r="D4059" s="20" t="inlineStr">
        <is>
          <t>페이스북/인스타그램</t>
        </is>
      </c>
      <c r="E4059" s="20" t="inlineStr">
        <is>
          <t>고체향수</t>
        </is>
      </c>
      <c r="K4059" s="20" t="n">
        <v>300518</v>
      </c>
    </row>
    <row r="4060" ht="16.5" customHeight="1" s="17">
      <c r="A4060" s="20" t="inlineStr">
        <is>
          <t>[테스트]아줌마</t>
        </is>
      </c>
      <c r="B4060" s="16" t="inlineStr">
        <is>
          <t>2021-03-07</t>
        </is>
      </c>
      <c r="C4060" s="20" t="inlineStr">
        <is>
          <t>일</t>
        </is>
      </c>
      <c r="D4060" s="20" t="inlineStr">
        <is>
          <t>페이스북/인스타그램</t>
        </is>
      </c>
      <c r="E4060" s="20" t="inlineStr">
        <is>
          <t>고체향수</t>
        </is>
      </c>
      <c r="K4060" s="20" t="n">
        <v>166854</v>
      </c>
    </row>
    <row r="4061" ht="16.5" customHeight="1" s="17">
      <c r="A4061" s="20" t="inlineStr">
        <is>
          <t>[키워드 확장 테스트]스테이포에버_이미지</t>
        </is>
      </c>
      <c r="B4061" s="16" t="inlineStr">
        <is>
          <t>2021-03-07</t>
        </is>
      </c>
      <c r="C4061" s="20" t="inlineStr">
        <is>
          <t>일</t>
        </is>
      </c>
      <c r="D4061" s="20" t="inlineStr">
        <is>
          <t>페이스북/인스타그램</t>
        </is>
      </c>
      <c r="E4061" s="20" t="inlineStr">
        <is>
          <t>고체향수</t>
        </is>
      </c>
      <c r="K4061" s="20" t="n">
        <v>271090</v>
      </c>
    </row>
    <row r="4062" ht="16.5" customHeight="1" s="17">
      <c r="A4062" s="20" t="inlineStr">
        <is>
          <t>[재입고]스테이포에버_이미지</t>
        </is>
      </c>
      <c r="B4062" s="16" t="inlineStr">
        <is>
          <t>2021-03-07</t>
        </is>
      </c>
      <c r="C4062" s="20" t="inlineStr">
        <is>
          <t>일</t>
        </is>
      </c>
      <c r="D4062" s="20" t="inlineStr">
        <is>
          <t>페이스북/인스타그램</t>
        </is>
      </c>
      <c r="E4062" s="20" t="inlineStr">
        <is>
          <t>고체향수</t>
        </is>
      </c>
      <c r="K4062" s="20" t="n">
        <v>150383</v>
      </c>
    </row>
    <row r="4063" ht="16.5" customHeight="1" s="17">
      <c r="A4063" s="20" t="inlineStr">
        <is>
          <t>[승무원]숏폼_영상</t>
        </is>
      </c>
      <c r="B4063" s="16" t="inlineStr">
        <is>
          <t>2021-03-07</t>
        </is>
      </c>
      <c r="C4063" s="20" t="inlineStr">
        <is>
          <t>일</t>
        </is>
      </c>
      <c r="D4063" s="20" t="inlineStr">
        <is>
          <t>페이스북/인스타그램</t>
        </is>
      </c>
      <c r="E4063" s="20" t="inlineStr">
        <is>
          <t>고체향수</t>
        </is>
      </c>
      <c r="K4063" s="20" t="n">
        <v>100489</v>
      </c>
    </row>
    <row r="4064" ht="16.5" customHeight="1" s="17">
      <c r="A4064" s="20" t="inlineStr">
        <is>
          <t>[재입고]스테이포에버_영상</t>
        </is>
      </c>
      <c r="B4064" s="16" t="inlineStr">
        <is>
          <t>2021-03-07</t>
        </is>
      </c>
      <c r="C4064" s="20" t="inlineStr">
        <is>
          <t>일</t>
        </is>
      </c>
      <c r="D4064" s="20" t="inlineStr">
        <is>
          <t>페이스북/인스타그램</t>
        </is>
      </c>
      <c r="E4064" s="20" t="inlineStr">
        <is>
          <t>고체향수</t>
        </is>
      </c>
      <c r="K4064" s="20" t="n">
        <v>200502</v>
      </c>
    </row>
    <row r="4065" ht="16.5" customHeight="1" s="17">
      <c r="A4065" s="20" t="inlineStr">
        <is>
          <t>[필라테스]스테이포에버_카드뉴스</t>
        </is>
      </c>
      <c r="B4065" s="16" t="inlineStr">
        <is>
          <t>2021-03-07</t>
        </is>
      </c>
      <c r="C4065" s="20" t="inlineStr">
        <is>
          <t>일</t>
        </is>
      </c>
      <c r="D4065" s="20" t="inlineStr">
        <is>
          <t>페이스북/인스타그램</t>
        </is>
      </c>
      <c r="E4065" s="20" t="inlineStr">
        <is>
          <t>고체향수</t>
        </is>
      </c>
      <c r="K4065" s="20" t="n">
        <v>50353</v>
      </c>
    </row>
    <row r="4066" ht="16.5" customHeight="1" s="17">
      <c r="A4066" s="20" t="inlineStr">
        <is>
          <t>[젊줌마]스테이포에버_영상</t>
        </is>
      </c>
      <c r="B4066" s="16" t="inlineStr">
        <is>
          <t>2021-03-07</t>
        </is>
      </c>
      <c r="C4066" s="20" t="inlineStr">
        <is>
          <t>일</t>
        </is>
      </c>
      <c r="D4066" s="20" t="inlineStr">
        <is>
          <t>페이스북/인스타그램</t>
        </is>
      </c>
      <c r="E4066" s="20" t="inlineStr">
        <is>
          <t>고체향수</t>
        </is>
      </c>
      <c r="K4066" s="20" t="n">
        <v>100403</v>
      </c>
    </row>
    <row r="4067" ht="16.5" customHeight="1" s="17">
      <c r="A4067" s="20" t="inlineStr">
        <is>
          <t>[이성소구]스테이포에버_영상</t>
        </is>
      </c>
      <c r="B4067" s="16" t="inlineStr">
        <is>
          <t>2021-03-07</t>
        </is>
      </c>
      <c r="C4067" s="20" t="inlineStr">
        <is>
          <t>일</t>
        </is>
      </c>
      <c r="D4067" s="20" t="inlineStr">
        <is>
          <t>페이스북/인스타그램</t>
        </is>
      </c>
      <c r="E4067" s="20" t="inlineStr">
        <is>
          <t>고체향수</t>
        </is>
      </c>
      <c r="K4067" s="20" t="n">
        <v>30270</v>
      </c>
    </row>
    <row r="4068" ht="16.5" customHeight="1" s="17">
      <c r="A4068" s="20" t="inlineStr">
        <is>
          <t>[승무원]2019년썰 카드뉴스+ 향묘사_영상</t>
        </is>
      </c>
      <c r="B4068" s="16" t="inlineStr">
        <is>
          <t>2021-03-07</t>
        </is>
      </c>
      <c r="C4068" s="20" t="inlineStr">
        <is>
          <t>일</t>
        </is>
      </c>
      <c r="D4068" s="20" t="inlineStr">
        <is>
          <t>페이스북/인스타그램</t>
        </is>
      </c>
      <c r="E4068" s="20" t="inlineStr">
        <is>
          <t>고체향수</t>
        </is>
      </c>
      <c r="K4068" s="20" t="n">
        <v>70244</v>
      </c>
    </row>
    <row r="4069" ht="16.5" customHeight="1" s="17">
      <c r="A4069" s="20" t="inlineStr">
        <is>
          <t>[승무원어피]스테이포에버_이미지</t>
        </is>
      </c>
      <c r="B4069" s="16" t="inlineStr">
        <is>
          <t>2021-03-07</t>
        </is>
      </c>
      <c r="C4069" s="20" t="inlineStr">
        <is>
          <t>일</t>
        </is>
      </c>
      <c r="D4069" s="20" t="inlineStr">
        <is>
          <t>페이스북/인스타그램</t>
        </is>
      </c>
      <c r="E4069" s="20" t="inlineStr">
        <is>
          <t>고체향수</t>
        </is>
      </c>
      <c r="K4069" s="20" t="n">
        <v>101688</v>
      </c>
    </row>
    <row r="4070" ht="16.5" customHeight="1" s="17">
      <c r="A4070" s="20" t="inlineStr">
        <is>
          <t>[다현]스테이포에버_이미지</t>
        </is>
      </c>
      <c r="B4070" s="16" t="inlineStr">
        <is>
          <t>2021-03-07</t>
        </is>
      </c>
      <c r="C4070" s="20" t="inlineStr">
        <is>
          <t>일</t>
        </is>
      </c>
      <c r="D4070" s="20" t="inlineStr">
        <is>
          <t>페이스북/인스타그램</t>
        </is>
      </c>
      <c r="E4070" s="20" t="inlineStr">
        <is>
          <t>고체향수</t>
        </is>
      </c>
      <c r="K4070" s="20" t="n">
        <v>302242</v>
      </c>
    </row>
    <row r="4071" ht="16.5" customHeight="1" s="17">
      <c r="A4071" s="20" t="inlineStr">
        <is>
          <t>[승무원]스테이포에버_카드뉴스</t>
        </is>
      </c>
      <c r="B4071" s="16" t="inlineStr">
        <is>
          <t>2021-03-07</t>
        </is>
      </c>
      <c r="C4071" s="20" t="inlineStr">
        <is>
          <t>일</t>
        </is>
      </c>
      <c r="D4071" s="20" t="inlineStr">
        <is>
          <t>페이스북/인스타그램</t>
        </is>
      </c>
      <c r="E4071" s="20" t="inlineStr">
        <is>
          <t>고체향수</t>
        </is>
      </c>
      <c r="K4071" s="20" t="n">
        <v>300540</v>
      </c>
    </row>
    <row r="4072" ht="16.5" customHeight="1" s="17">
      <c r="A4072" s="20" t="inlineStr">
        <is>
          <t>[후기타입]스테이포에버_영상</t>
        </is>
      </c>
      <c r="B4072" s="16" t="inlineStr">
        <is>
          <t>2021-03-07</t>
        </is>
      </c>
      <c r="C4072" s="20" t="inlineStr">
        <is>
          <t>일</t>
        </is>
      </c>
      <c r="D4072" s="20" t="inlineStr">
        <is>
          <t>페이스북/인스타그램</t>
        </is>
      </c>
      <c r="E4072" s="20" t="inlineStr">
        <is>
          <t>고체향수</t>
        </is>
      </c>
      <c r="K4072" s="20" t="n">
        <v>150651</v>
      </c>
    </row>
    <row r="4073" ht="16.5" customHeight="1" s="17">
      <c r="A4073" s="20" t="inlineStr">
        <is>
          <t>전환_스테이포에버</t>
        </is>
      </c>
      <c r="B4073" s="16" t="inlineStr">
        <is>
          <t>2021-03-07</t>
        </is>
      </c>
      <c r="C4073" s="20" t="inlineStr">
        <is>
          <t>일</t>
        </is>
      </c>
      <c r="D4073" s="20" t="inlineStr">
        <is>
          <t>페이스북/인스타그램</t>
        </is>
      </c>
      <c r="E4073" s="20" t="inlineStr">
        <is>
          <t>고체향수</t>
        </is>
      </c>
      <c r="K4073" s="20" t="n">
        <v>151278</v>
      </c>
    </row>
    <row r="4074" ht="16.5" customHeight="1" s="17">
      <c r="A4074" s="20" t="inlineStr">
        <is>
          <t>[권태기커플]스테이포에버_영상</t>
        </is>
      </c>
      <c r="B4074" s="16" t="inlineStr">
        <is>
          <t>2021-03-07</t>
        </is>
      </c>
      <c r="C4074" s="20" t="inlineStr">
        <is>
          <t>일</t>
        </is>
      </c>
      <c r="D4074" s="20" t="inlineStr">
        <is>
          <t>페이스북/인스타그램</t>
        </is>
      </c>
      <c r="E4074" s="20" t="inlineStr">
        <is>
          <t>고체향수</t>
        </is>
      </c>
      <c r="K4074" s="20" t="n">
        <v>150600</v>
      </c>
    </row>
    <row r="4075" ht="16.5" customHeight="1" s="17">
      <c r="A4075" s="20" t="inlineStr">
        <is>
          <t>동영상캠페인_승무원_2019년썰(타겟 cpa)</t>
        </is>
      </c>
      <c r="B4075" s="16" t="inlineStr">
        <is>
          <t>2021-03-05</t>
        </is>
      </c>
      <c r="C4075" s="20" t="inlineStr">
        <is>
          <t>금</t>
        </is>
      </c>
      <c r="D4075" s="20" t="inlineStr">
        <is>
          <t>유튜브 광고</t>
        </is>
      </c>
      <c r="E4075" s="20" t="inlineStr">
        <is>
          <t>고체향수</t>
        </is>
      </c>
      <c r="K4075" s="20" t="n">
        <v>276745</v>
      </c>
    </row>
    <row r="4076" ht="16.5" customHeight="1" s="17">
      <c r="A4076" s="20" t="inlineStr">
        <is>
          <t>웹사이트 트래픽 서치</t>
        </is>
      </c>
      <c r="B4076" s="16" t="inlineStr">
        <is>
          <t>2021-03-05</t>
        </is>
      </c>
      <c r="C4076" s="20" t="inlineStr">
        <is>
          <t>금</t>
        </is>
      </c>
      <c r="D4076" s="20" t="inlineStr">
        <is>
          <t>유튜브 광고</t>
        </is>
      </c>
      <c r="E4076" s="20" t="inlineStr">
        <is>
          <t>고체향수</t>
        </is>
      </c>
      <c r="K4076" s="20" t="n">
        <v>28114</v>
      </c>
    </row>
    <row r="4077" ht="16.5" customHeight="1" s="17">
      <c r="A4077" s="20" t="inlineStr">
        <is>
          <t>동영상캠페인_승무원_보이는 라디오</t>
        </is>
      </c>
      <c r="B4077" s="16" t="inlineStr">
        <is>
          <t>2021-03-05</t>
        </is>
      </c>
      <c r="C4077" s="20" t="inlineStr">
        <is>
          <t>금</t>
        </is>
      </c>
      <c r="D4077" s="20" t="inlineStr">
        <is>
          <t>유튜브 광고</t>
        </is>
      </c>
      <c r="E4077" s="20" t="inlineStr">
        <is>
          <t>고체향수</t>
        </is>
      </c>
      <c r="K4077" s="20" t="n">
        <v>487085</v>
      </c>
    </row>
    <row r="4078" ht="16.5" customHeight="1" s="17">
      <c r="A4078" s="20" t="inlineStr">
        <is>
          <t>디스커버리 배너_승무원,할인_리마케팅</t>
        </is>
      </c>
      <c r="B4078" s="16" t="inlineStr">
        <is>
          <t>2021-03-05</t>
        </is>
      </c>
      <c r="C4078" s="20" t="inlineStr">
        <is>
          <t>금</t>
        </is>
      </c>
      <c r="D4078" s="20" t="inlineStr">
        <is>
          <t>유튜브 광고</t>
        </is>
      </c>
      <c r="E4078" s="20" t="inlineStr">
        <is>
          <t>고체향수</t>
        </is>
      </c>
      <c r="K4078" s="20" t="n">
        <v>320276</v>
      </c>
    </row>
    <row r="4079" ht="16.5" customHeight="1" s="17">
      <c r="A4079" s="20" t="inlineStr">
        <is>
          <t>동영상캠페인_승무원_써니스카이</t>
        </is>
      </c>
      <c r="B4079" s="16" t="inlineStr">
        <is>
          <t>2021-03-05</t>
        </is>
      </c>
      <c r="C4079" s="20" t="inlineStr">
        <is>
          <t>금</t>
        </is>
      </c>
      <c r="D4079" s="20" t="inlineStr">
        <is>
          <t>유튜브 광고</t>
        </is>
      </c>
      <c r="E4079" s="20" t="inlineStr">
        <is>
          <t>고체향수</t>
        </is>
      </c>
      <c r="K4079" s="20" t="n">
        <v>487955</v>
      </c>
    </row>
    <row r="4080" ht="16.5" customHeight="1" s="17">
      <c r="A4080" s="20" t="inlineStr">
        <is>
          <t>동영상캠페인_필라테스_자기관리(타겟 cpa)</t>
        </is>
      </c>
      <c r="B4080" s="16" t="inlineStr">
        <is>
          <t>2021-03-05</t>
        </is>
      </c>
      <c r="C4080" s="20" t="inlineStr">
        <is>
          <t>금</t>
        </is>
      </c>
      <c r="D4080" s="20" t="inlineStr">
        <is>
          <t>유튜브 광고</t>
        </is>
      </c>
      <c r="E4080" s="20" t="inlineStr">
        <is>
          <t>고체향수</t>
        </is>
      </c>
      <c r="K4080" s="20" t="n">
        <v>208366</v>
      </c>
    </row>
    <row r="4081" ht="16.5" customHeight="1" s="17">
      <c r="A4081" s="20" t="inlineStr">
        <is>
          <t>동영상캠페인_승무원_비누향 나는 승무원에게(타겟 cpa)</t>
        </is>
      </c>
      <c r="B4081" s="16" t="inlineStr">
        <is>
          <t>2021-03-05</t>
        </is>
      </c>
      <c r="C4081" s="20" t="inlineStr">
        <is>
          <t>금</t>
        </is>
      </c>
      <c r="D4081" s="20" t="inlineStr">
        <is>
          <t>유튜브 광고</t>
        </is>
      </c>
      <c r="E4081" s="20" t="inlineStr">
        <is>
          <t>고체향수</t>
        </is>
      </c>
      <c r="K4081" s="20" t="n">
        <v>411119</v>
      </c>
    </row>
    <row r="4082" ht="16.5" customHeight="1" s="17">
      <c r="A4082" s="20" t="inlineStr">
        <is>
          <t>동영상캠페인_유즈모먼트_2차_30대 여성 회사원(타겟 cpa)</t>
        </is>
      </c>
      <c r="B4082" s="16" t="inlineStr">
        <is>
          <t>2021-03-05</t>
        </is>
      </c>
      <c r="C4082" s="20" t="inlineStr">
        <is>
          <t>금</t>
        </is>
      </c>
      <c r="D4082" s="20" t="inlineStr">
        <is>
          <t>유튜브 광고</t>
        </is>
      </c>
      <c r="E4082" s="20" t="inlineStr">
        <is>
          <t>고체향수</t>
        </is>
      </c>
      <c r="K4082" s="20" t="n">
        <v>389505</v>
      </c>
    </row>
    <row r="4083" ht="16.5" customHeight="1" s="17">
      <c r="A4083" s="20" t="inlineStr">
        <is>
          <t>동영상캠페인_유즈모먼트_조향사 친구</t>
        </is>
      </c>
      <c r="B4083" s="16" t="inlineStr">
        <is>
          <t>2021-03-05</t>
        </is>
      </c>
      <c r="C4083" s="20" t="inlineStr">
        <is>
          <t>금</t>
        </is>
      </c>
      <c r="D4083" s="20" t="inlineStr">
        <is>
          <t>유튜브 광고</t>
        </is>
      </c>
      <c r="E4083" s="20" t="inlineStr">
        <is>
          <t>고체향수</t>
        </is>
      </c>
      <c r="K4083" s="20" t="n">
        <v>99591</v>
      </c>
    </row>
    <row r="4084" ht="16.5" customHeight="1" s="17">
      <c r="A4084" s="20" t="inlineStr">
        <is>
          <t>동영상캠페인_유즈모먼트_사춘기 딸 2차</t>
        </is>
      </c>
      <c r="B4084" s="16" t="inlineStr">
        <is>
          <t>2021-03-05</t>
        </is>
      </c>
      <c r="C4084" s="20" t="inlineStr">
        <is>
          <t>금</t>
        </is>
      </c>
      <c r="D4084" s="20" t="inlineStr">
        <is>
          <t>유튜브 광고</t>
        </is>
      </c>
      <c r="E4084" s="20" t="inlineStr">
        <is>
          <t>고체향수</t>
        </is>
      </c>
      <c r="K4084" s="20" t="n">
        <v>99877</v>
      </c>
    </row>
    <row r="4085" ht="16.5" customHeight="1" s="17">
      <c r="A4085" s="20" t="inlineStr">
        <is>
          <t>동영상캠페인_승무원_2019년썰(타겟 cpa)</t>
        </is>
      </c>
      <c r="B4085" s="16" t="inlineStr">
        <is>
          <t>2021-03-06</t>
        </is>
      </c>
      <c r="C4085" s="20" t="inlineStr">
        <is>
          <t>토</t>
        </is>
      </c>
      <c r="D4085" s="20" t="inlineStr">
        <is>
          <t>유튜브 광고</t>
        </is>
      </c>
      <c r="E4085" s="20" t="inlineStr">
        <is>
          <t>고체향수</t>
        </is>
      </c>
      <c r="K4085" s="20" t="n">
        <v>192885</v>
      </c>
    </row>
    <row r="4086" ht="16.5" customHeight="1" s="17">
      <c r="A4086" s="20" t="inlineStr">
        <is>
          <t>웹사이트 트래픽 서치</t>
        </is>
      </c>
      <c r="B4086" s="16" t="inlineStr">
        <is>
          <t>2021-03-06</t>
        </is>
      </c>
      <c r="C4086" s="20" t="inlineStr">
        <is>
          <t>토</t>
        </is>
      </c>
      <c r="D4086" s="20" t="inlineStr">
        <is>
          <t>유튜브 광고</t>
        </is>
      </c>
      <c r="E4086" s="20" t="inlineStr">
        <is>
          <t>고체향수</t>
        </is>
      </c>
      <c r="K4086" s="20" t="n">
        <v>27536</v>
      </c>
    </row>
    <row r="4087" ht="16.5" customHeight="1" s="17">
      <c r="A4087" s="20" t="inlineStr">
        <is>
          <t>동영상캠페인_승무원_보이는 라디오</t>
        </is>
      </c>
      <c r="B4087" s="16" t="inlineStr">
        <is>
          <t>2021-03-06</t>
        </is>
      </c>
      <c r="C4087" s="20" t="inlineStr">
        <is>
          <t>토</t>
        </is>
      </c>
      <c r="D4087" s="20" t="inlineStr">
        <is>
          <t>유튜브 광고</t>
        </is>
      </c>
      <c r="E4087" s="20" t="inlineStr">
        <is>
          <t>고체향수</t>
        </is>
      </c>
      <c r="K4087" s="20" t="n">
        <v>488972</v>
      </c>
    </row>
    <row r="4088" ht="16.5" customHeight="1" s="17">
      <c r="A4088" s="20" t="inlineStr">
        <is>
          <t>디스커버리 배너_승무원,할인_리마케팅</t>
        </is>
      </c>
      <c r="B4088" s="16" t="inlineStr">
        <is>
          <t>2021-03-06</t>
        </is>
      </c>
      <c r="C4088" s="20" t="inlineStr">
        <is>
          <t>토</t>
        </is>
      </c>
      <c r="D4088" s="20" t="inlineStr">
        <is>
          <t>유튜브 광고</t>
        </is>
      </c>
      <c r="E4088" s="20" t="inlineStr">
        <is>
          <t>고체향수</t>
        </is>
      </c>
      <c r="K4088" s="20" t="n">
        <v>492622</v>
      </c>
    </row>
    <row r="4089" ht="16.5" customHeight="1" s="17">
      <c r="A4089" s="20" t="inlineStr">
        <is>
          <t>동영상캠페인_승무원_써니스카이</t>
        </is>
      </c>
      <c r="B4089" s="16" t="inlineStr">
        <is>
          <t>2021-03-06</t>
        </is>
      </c>
      <c r="C4089" s="20" t="inlineStr">
        <is>
          <t>토</t>
        </is>
      </c>
      <c r="D4089" s="20" t="inlineStr">
        <is>
          <t>유튜브 광고</t>
        </is>
      </c>
      <c r="E4089" s="20" t="inlineStr">
        <is>
          <t>고체향수</t>
        </is>
      </c>
      <c r="K4089" s="20" t="n">
        <v>488181</v>
      </c>
    </row>
    <row r="4090" ht="16.5" customHeight="1" s="17">
      <c r="A4090" s="20" t="inlineStr">
        <is>
          <t>동영상캠페인_필라테스_자기관리(타겟 cpa)</t>
        </is>
      </c>
      <c r="B4090" s="16" t="inlineStr">
        <is>
          <t>2021-03-06</t>
        </is>
      </c>
      <c r="C4090" s="20" t="inlineStr">
        <is>
          <t>토</t>
        </is>
      </c>
      <c r="D4090" s="20" t="inlineStr">
        <is>
          <t>유튜브 광고</t>
        </is>
      </c>
      <c r="E4090" s="20" t="inlineStr">
        <is>
          <t>고체향수</t>
        </is>
      </c>
      <c r="K4090" s="20" t="n">
        <v>180097</v>
      </c>
    </row>
    <row r="4091" ht="16.5" customHeight="1" s="17">
      <c r="A4091" s="20" t="inlineStr">
        <is>
          <t>동영상캠페인_승무원_비누향 나는 승무원에게(타겟 cpa)</t>
        </is>
      </c>
      <c r="B4091" s="16" t="inlineStr">
        <is>
          <t>2021-03-06</t>
        </is>
      </c>
      <c r="C4091" s="20" t="inlineStr">
        <is>
          <t>토</t>
        </is>
      </c>
      <c r="D4091" s="20" t="inlineStr">
        <is>
          <t>유튜브 광고</t>
        </is>
      </c>
      <c r="E4091" s="20" t="inlineStr">
        <is>
          <t>고체향수</t>
        </is>
      </c>
      <c r="K4091" s="20" t="n">
        <v>384286</v>
      </c>
    </row>
    <row r="4092" ht="16.5" customHeight="1" s="17">
      <c r="A4092" s="20" t="inlineStr">
        <is>
          <t>동영상캠페인_유즈모먼트_2차_30대 여성 회사원(타겟 cpa)</t>
        </is>
      </c>
      <c r="B4092" s="16" t="inlineStr">
        <is>
          <t>2021-03-06</t>
        </is>
      </c>
      <c r="C4092" s="20" t="inlineStr">
        <is>
          <t>토</t>
        </is>
      </c>
      <c r="D4092" s="20" t="inlineStr">
        <is>
          <t>유튜브 광고</t>
        </is>
      </c>
      <c r="E4092" s="20" t="inlineStr">
        <is>
          <t>고체향수</t>
        </is>
      </c>
      <c r="K4092" s="20" t="n">
        <v>391370</v>
      </c>
    </row>
    <row r="4093" ht="16.5" customHeight="1" s="17">
      <c r="A4093" s="20" t="inlineStr">
        <is>
          <t>동영상캠페인_유즈모먼트_조향사 친구</t>
        </is>
      </c>
      <c r="B4093" s="16" t="inlineStr">
        <is>
          <t>2021-03-06</t>
        </is>
      </c>
      <c r="C4093" s="20" t="inlineStr">
        <is>
          <t>토</t>
        </is>
      </c>
      <c r="D4093" s="20" t="inlineStr">
        <is>
          <t>유튜브 광고</t>
        </is>
      </c>
      <c r="E4093" s="20" t="inlineStr">
        <is>
          <t>고체향수</t>
        </is>
      </c>
      <c r="K4093" s="20" t="n">
        <v>99798</v>
      </c>
    </row>
    <row r="4094" ht="16.5" customHeight="1" s="17">
      <c r="A4094" s="20" t="inlineStr">
        <is>
          <t>동영상캠페인_유즈모먼트_사춘기 딸 2차</t>
        </is>
      </c>
      <c r="B4094" s="16" t="inlineStr">
        <is>
          <t>2021-03-06</t>
        </is>
      </c>
      <c r="C4094" s="20" t="inlineStr">
        <is>
          <t>토</t>
        </is>
      </c>
      <c r="D4094" s="20" t="inlineStr">
        <is>
          <t>유튜브 광고</t>
        </is>
      </c>
      <c r="E4094" s="20" t="inlineStr">
        <is>
          <t>고체향수</t>
        </is>
      </c>
      <c r="K4094" s="20" t="n">
        <v>100017</v>
      </c>
    </row>
    <row r="4095" ht="16.5" customHeight="1" s="17">
      <c r="A4095" s="20" t="inlineStr">
        <is>
          <t>동영상캠페인_승무원_2019년썰(타겟 cpa)</t>
        </is>
      </c>
      <c r="B4095" s="16" t="inlineStr">
        <is>
          <t>2021-03-07</t>
        </is>
      </c>
      <c r="C4095" s="20" t="inlineStr">
        <is>
          <t>일</t>
        </is>
      </c>
      <c r="D4095" s="20" t="inlineStr">
        <is>
          <t>유튜브 광고</t>
        </is>
      </c>
      <c r="E4095" s="20" t="inlineStr">
        <is>
          <t>고체향수</t>
        </is>
      </c>
      <c r="K4095" s="20" t="n">
        <v>160123</v>
      </c>
    </row>
    <row r="4096" ht="16.5" customHeight="1" s="17">
      <c r="A4096" s="20" t="inlineStr">
        <is>
          <t>웹사이트 트래픽 서치</t>
        </is>
      </c>
      <c r="B4096" s="16" t="inlineStr">
        <is>
          <t>2021-03-07</t>
        </is>
      </c>
      <c r="C4096" s="20" t="inlineStr">
        <is>
          <t>일</t>
        </is>
      </c>
      <c r="D4096" s="20" t="inlineStr">
        <is>
          <t>유튜브 광고</t>
        </is>
      </c>
      <c r="E4096" s="20" t="inlineStr">
        <is>
          <t>고체향수</t>
        </is>
      </c>
      <c r="K4096" s="20" t="n">
        <v>25064</v>
      </c>
    </row>
    <row r="4097" ht="16.5" customHeight="1" s="17">
      <c r="A4097" s="20" t="inlineStr">
        <is>
          <t>동영상캠페인_승무원_보이는 라디오</t>
        </is>
      </c>
      <c r="B4097" s="16" t="inlineStr">
        <is>
          <t>2021-03-07</t>
        </is>
      </c>
      <c r="C4097" s="20" t="inlineStr">
        <is>
          <t>일</t>
        </is>
      </c>
      <c r="D4097" s="20" t="inlineStr">
        <is>
          <t>유튜브 광고</t>
        </is>
      </c>
      <c r="E4097" s="20" t="inlineStr">
        <is>
          <t>고체향수</t>
        </is>
      </c>
      <c r="K4097" s="20" t="n">
        <v>491099</v>
      </c>
    </row>
    <row r="4098" ht="16.5" customHeight="1" s="17">
      <c r="A4098" s="20" t="inlineStr">
        <is>
          <t>디스커버리 배너_승무원,할인_리마케팅</t>
        </is>
      </c>
      <c r="B4098" s="16" t="inlineStr">
        <is>
          <t>2021-03-07</t>
        </is>
      </c>
      <c r="C4098" s="20" t="inlineStr">
        <is>
          <t>일</t>
        </is>
      </c>
      <c r="D4098" s="20" t="inlineStr">
        <is>
          <t>유튜브 광고</t>
        </is>
      </c>
      <c r="E4098" s="20" t="inlineStr">
        <is>
          <t>고체향수</t>
        </is>
      </c>
      <c r="K4098" s="20" t="n">
        <v>490264</v>
      </c>
    </row>
    <row r="4099" ht="16.5" customHeight="1" s="17">
      <c r="A4099" s="20" t="inlineStr">
        <is>
          <t>동영상캠페인_승무원_써니스카이</t>
        </is>
      </c>
      <c r="B4099" s="16" t="inlineStr">
        <is>
          <t>2021-03-07</t>
        </is>
      </c>
      <c r="C4099" s="20" t="inlineStr">
        <is>
          <t>일</t>
        </is>
      </c>
      <c r="D4099" s="20" t="inlineStr">
        <is>
          <t>유튜브 광고</t>
        </is>
      </c>
      <c r="E4099" s="20" t="inlineStr">
        <is>
          <t>고체향수</t>
        </is>
      </c>
      <c r="K4099" s="20" t="n">
        <v>488616</v>
      </c>
    </row>
    <row r="4100" ht="16.5" customHeight="1" s="17">
      <c r="A4100" s="20" t="inlineStr">
        <is>
          <t>동영상캠페인_필라테스_자기관리(타겟 cpa)</t>
        </is>
      </c>
      <c r="B4100" s="16" t="inlineStr">
        <is>
          <t>2021-03-07</t>
        </is>
      </c>
      <c r="C4100" s="20" t="inlineStr">
        <is>
          <t>일</t>
        </is>
      </c>
      <c r="D4100" s="20" t="inlineStr">
        <is>
          <t>유튜브 광고</t>
        </is>
      </c>
      <c r="E4100" s="20" t="inlineStr">
        <is>
          <t>고체향수</t>
        </is>
      </c>
      <c r="K4100" s="20" t="n">
        <v>106307</v>
      </c>
    </row>
    <row r="4101" ht="16.5" customHeight="1" s="17">
      <c r="A4101" s="20" t="inlineStr">
        <is>
          <t>동영상캠페인_승무원_비누향 나는 승무원에게(타겟 cpa)</t>
        </is>
      </c>
      <c r="B4101" s="16" t="inlineStr">
        <is>
          <t>2021-03-07</t>
        </is>
      </c>
      <c r="C4101" s="20" t="inlineStr">
        <is>
          <t>일</t>
        </is>
      </c>
      <c r="D4101" s="20" t="inlineStr">
        <is>
          <t>유튜브 광고</t>
        </is>
      </c>
      <c r="E4101" s="20" t="inlineStr">
        <is>
          <t>고체향수</t>
        </is>
      </c>
      <c r="K4101" s="20" t="n">
        <v>299087</v>
      </c>
    </row>
    <row r="4102" ht="16.5" customHeight="1" s="17">
      <c r="A4102" s="20" t="inlineStr">
        <is>
          <t>동영상캠페인_유즈모먼트_2차_30대 여성 회사원(타겟 cpa)</t>
        </is>
      </c>
      <c r="B4102" s="16" t="inlineStr">
        <is>
          <t>2021-03-07</t>
        </is>
      </c>
      <c r="C4102" s="20" t="inlineStr">
        <is>
          <t>일</t>
        </is>
      </c>
      <c r="D4102" s="20" t="inlineStr">
        <is>
          <t>유튜브 광고</t>
        </is>
      </c>
      <c r="E4102" s="20" t="inlineStr">
        <is>
          <t>고체향수</t>
        </is>
      </c>
      <c r="K4102" s="20" t="n">
        <v>295110</v>
      </c>
    </row>
    <row r="4103" ht="16.5" customHeight="1" s="17">
      <c r="A4103" s="20" t="inlineStr">
        <is>
          <t>동영상캠페인_유즈모먼트_조향사 친구</t>
        </is>
      </c>
      <c r="B4103" s="16" t="inlineStr">
        <is>
          <t>2021-03-07</t>
        </is>
      </c>
      <c r="C4103" s="20" t="inlineStr">
        <is>
          <t>일</t>
        </is>
      </c>
      <c r="D4103" s="20" t="inlineStr">
        <is>
          <t>유튜브 광고</t>
        </is>
      </c>
      <c r="E4103" s="20" t="inlineStr">
        <is>
          <t>고체향수</t>
        </is>
      </c>
      <c r="K4103" s="20" t="n">
        <v>99851</v>
      </c>
    </row>
    <row r="4104" ht="16.5" customHeight="1" s="17">
      <c r="A4104" s="20" t="inlineStr">
        <is>
          <t>동영상캠페인_유즈모먼트_사춘기 딸 2차</t>
        </is>
      </c>
      <c r="B4104" s="16" t="inlineStr">
        <is>
          <t>2021-03-07</t>
        </is>
      </c>
      <c r="C4104" s="20" t="inlineStr">
        <is>
          <t>일</t>
        </is>
      </c>
      <c r="D4104" s="20" t="inlineStr">
        <is>
          <t>유튜브 광고</t>
        </is>
      </c>
      <c r="E4104" s="20" t="inlineStr">
        <is>
          <t>고체향수</t>
        </is>
      </c>
      <c r="K4104" s="20" t="n">
        <v>250064</v>
      </c>
    </row>
    <row r="4105" ht="16.5" customHeight="1" s="17">
      <c r="A4105" s="20" t="inlineStr">
        <is>
          <t>쇼핑검색_고체향수</t>
        </is>
      </c>
      <c r="B4105" s="16" t="inlineStr">
        <is>
          <t>2021-03-07</t>
        </is>
      </c>
      <c r="C4105" s="20" t="inlineStr">
        <is>
          <t>일</t>
        </is>
      </c>
      <c r="D4105" s="20" t="inlineStr">
        <is>
          <t>네이버 쇼핑검색</t>
        </is>
      </c>
      <c r="E4105" s="20" t="inlineStr">
        <is>
          <t>고체향수</t>
        </is>
      </c>
      <c r="K4105" s="20" t="n">
        <v>2400</v>
      </c>
    </row>
    <row r="4106" ht="16.5" customHeight="1" s="17">
      <c r="A4106" s="20" t="inlineStr">
        <is>
          <t>쇼핑검색_고체향수세부키워드</t>
        </is>
      </c>
      <c r="B4106" s="16" t="inlineStr">
        <is>
          <t>2021-03-07</t>
        </is>
      </c>
      <c r="C4106" s="20" t="inlineStr">
        <is>
          <t>일</t>
        </is>
      </c>
      <c r="D4106" s="20" t="inlineStr">
        <is>
          <t>네이버 쇼핑검색</t>
        </is>
      </c>
      <c r="E4106" s="20" t="inlineStr">
        <is>
          <t>고체향수</t>
        </is>
      </c>
      <c r="K4106" s="20" t="n">
        <v>128610</v>
      </c>
    </row>
    <row r="4107" ht="16.5" customHeight="1" s="17">
      <c r="A4107" s="20" t="inlineStr">
        <is>
          <t>쇼핑검색_고체향수세부키워드2</t>
        </is>
      </c>
      <c r="B4107" s="16" t="inlineStr">
        <is>
          <t>2021-03-07</t>
        </is>
      </c>
      <c r="C4107" s="20" t="inlineStr">
        <is>
          <t>일</t>
        </is>
      </c>
      <c r="D4107" s="20" t="inlineStr">
        <is>
          <t>네이버 쇼핑검색</t>
        </is>
      </c>
      <c r="E4107" s="20" t="inlineStr">
        <is>
          <t>고체향수</t>
        </is>
      </c>
      <c r="K4107" s="20" t="n">
        <v>2450</v>
      </c>
    </row>
    <row r="4108" ht="16.5" customHeight="1" s="17">
      <c r="A4108" s="20" t="inlineStr">
        <is>
          <t>모바일 브검</t>
        </is>
      </c>
      <c r="B4108" s="16" t="inlineStr">
        <is>
          <t>2021-03-07</t>
        </is>
      </c>
      <c r="C4108" s="20" t="inlineStr">
        <is>
          <t>일</t>
        </is>
      </c>
      <c r="D4108" s="20" t="inlineStr">
        <is>
          <t>네이버 브랜드검색</t>
        </is>
      </c>
      <c r="E4108" s="20" t="inlineStr">
        <is>
          <t>브랜드</t>
        </is>
      </c>
      <c r="K4108" s="20" t="n">
        <v>0</v>
      </c>
    </row>
    <row r="4109" ht="16.5" customHeight="1" s="17">
      <c r="A4109" s="20" t="inlineStr">
        <is>
          <t>쇼핑검색_고체향수</t>
        </is>
      </c>
      <c r="B4109" s="16" t="inlineStr">
        <is>
          <t>2021-03-06</t>
        </is>
      </c>
      <c r="C4109" s="20" t="inlineStr">
        <is>
          <t>토</t>
        </is>
      </c>
      <c r="D4109" s="20" t="inlineStr">
        <is>
          <t>네이버 쇼핑검색</t>
        </is>
      </c>
      <c r="E4109" s="20" t="inlineStr">
        <is>
          <t>고체향수</t>
        </is>
      </c>
      <c r="K4109" s="20" t="n">
        <v>1930</v>
      </c>
    </row>
    <row r="4110" ht="16.5" customHeight="1" s="17">
      <c r="A4110" s="20" t="inlineStr">
        <is>
          <t>쇼핑검색_고체향수세부키워드</t>
        </is>
      </c>
      <c r="B4110" s="16" t="inlineStr">
        <is>
          <t>2021-03-06</t>
        </is>
      </c>
      <c r="C4110" s="20" t="inlineStr">
        <is>
          <t>토</t>
        </is>
      </c>
      <c r="D4110" s="20" t="inlineStr">
        <is>
          <t>네이버 쇼핑검색</t>
        </is>
      </c>
      <c r="E4110" s="20" t="inlineStr">
        <is>
          <t>고체향수</t>
        </is>
      </c>
      <c r="K4110" s="20" t="n">
        <v>130940</v>
      </c>
    </row>
    <row r="4111" ht="16.5" customHeight="1" s="17">
      <c r="A4111" s="20" t="inlineStr">
        <is>
          <t>쇼핑검색_고체향수세부키워드2</t>
        </is>
      </c>
      <c r="B4111" s="16" t="inlineStr">
        <is>
          <t>2021-03-06</t>
        </is>
      </c>
      <c r="C4111" s="20" t="inlineStr">
        <is>
          <t>토</t>
        </is>
      </c>
      <c r="D4111" s="20" t="inlineStr">
        <is>
          <t>네이버 쇼핑검색</t>
        </is>
      </c>
      <c r="E4111" s="20" t="inlineStr">
        <is>
          <t>고체향수</t>
        </is>
      </c>
      <c r="K4111" s="20" t="n">
        <v>2800</v>
      </c>
    </row>
    <row r="4112" ht="16.5" customHeight="1" s="17">
      <c r="A4112" s="20" t="inlineStr">
        <is>
          <t>모바일 브검</t>
        </is>
      </c>
      <c r="B4112" s="16" t="inlineStr">
        <is>
          <t>2021-03-06</t>
        </is>
      </c>
      <c r="C4112" s="20" t="inlineStr">
        <is>
          <t>토</t>
        </is>
      </c>
      <c r="D4112" s="20" t="inlineStr">
        <is>
          <t>네이버 브랜드검색</t>
        </is>
      </c>
      <c r="E4112" s="20" t="inlineStr">
        <is>
          <t>브랜드</t>
        </is>
      </c>
      <c r="K4112" s="20" t="n">
        <v>0</v>
      </c>
    </row>
    <row r="4113" ht="16.5" customHeight="1" s="17">
      <c r="A4113" s="20" t="inlineStr">
        <is>
          <t>쇼핑검색_고체향수</t>
        </is>
      </c>
      <c r="B4113" s="16" t="inlineStr">
        <is>
          <t>2021-03-05</t>
        </is>
      </c>
      <c r="C4113" s="20" t="inlineStr">
        <is>
          <t>금</t>
        </is>
      </c>
      <c r="D4113" s="20" t="inlineStr">
        <is>
          <t>네이버 쇼핑검색</t>
        </is>
      </c>
      <c r="E4113" s="20" t="inlineStr">
        <is>
          <t>고체향수</t>
        </is>
      </c>
      <c r="K4113" s="20" t="n">
        <v>4480</v>
      </c>
    </row>
    <row r="4114" ht="16.5" customHeight="1" s="17">
      <c r="A4114" s="20" t="inlineStr">
        <is>
          <t>쇼핑검색_고체향수세부키워드</t>
        </is>
      </c>
      <c r="B4114" s="16" t="inlineStr">
        <is>
          <t>2021-03-05</t>
        </is>
      </c>
      <c r="C4114" s="20" t="inlineStr">
        <is>
          <t>금</t>
        </is>
      </c>
      <c r="D4114" s="20" t="inlineStr">
        <is>
          <t>네이버 쇼핑검색</t>
        </is>
      </c>
      <c r="E4114" s="20" t="inlineStr">
        <is>
          <t>고체향수</t>
        </is>
      </c>
      <c r="K4114" s="20" t="n">
        <v>116720</v>
      </c>
    </row>
    <row r="4115" ht="16.5" customHeight="1" s="17">
      <c r="A4115" s="20" t="inlineStr">
        <is>
          <t>쇼핑검색_고체향수세부키워드2</t>
        </is>
      </c>
      <c r="B4115" s="16" t="inlineStr">
        <is>
          <t>2021-03-05</t>
        </is>
      </c>
      <c r="C4115" s="20" t="inlineStr">
        <is>
          <t>금</t>
        </is>
      </c>
      <c r="D4115" s="20" t="inlineStr">
        <is>
          <t>네이버 쇼핑검색</t>
        </is>
      </c>
      <c r="E4115" s="20" t="inlineStr">
        <is>
          <t>고체향수</t>
        </is>
      </c>
      <c r="K4115" s="20" t="n">
        <v>1750</v>
      </c>
    </row>
    <row r="4116" ht="16.5" customHeight="1" s="17">
      <c r="A4116" s="20" t="inlineStr">
        <is>
          <t>모바일 브검</t>
        </is>
      </c>
      <c r="B4116" s="16" t="inlineStr">
        <is>
          <t>2021-03-05</t>
        </is>
      </c>
      <c r="C4116" s="20" t="inlineStr">
        <is>
          <t>금</t>
        </is>
      </c>
      <c r="D4116" s="20" t="inlineStr">
        <is>
          <t>네이버 브랜드검색</t>
        </is>
      </c>
      <c r="E4116" s="20" t="inlineStr">
        <is>
          <t>브랜드</t>
        </is>
      </c>
      <c r="K4116" s="20" t="n">
        <v>0</v>
      </c>
    </row>
    <row r="4117" ht="16.5" customHeight="1" s="17">
      <c r="B4117" s="16" t="inlineStr">
        <is>
          <t>2021-03-05</t>
        </is>
      </c>
      <c r="C4117" s="20" t="inlineStr">
        <is>
          <t>금</t>
        </is>
      </c>
      <c r="E4117" s="20" t="inlineStr">
        <is>
          <t>0</t>
        </is>
      </c>
      <c r="F4117" s="20" t="inlineStr">
        <is>
          <t>W컨셉</t>
        </is>
      </c>
      <c r="G4117" s="20" t="inlineStr">
        <is>
          <t>솔리드퍼퓸 이그나이트/스테이포에버 30ml (2종 택1)&lt;옵션1&gt;001 IGNITE</t>
        </is>
      </c>
      <c r="H4117" s="20" t="n">
        <v>1</v>
      </c>
      <c r="I4117" s="20" t="inlineStr">
        <is>
          <t>0</t>
        </is>
      </c>
      <c r="J4117" s="20" t="inlineStr">
        <is>
          <t>210101</t>
        </is>
      </c>
      <c r="L4117" s="20" t="n">
        <v>0</v>
      </c>
      <c r="M4117" s="20" t="n">
        <v>0</v>
      </c>
      <c r="N4117" s="20" t="n">
        <v>0</v>
      </c>
      <c r="O4117" s="20" t="inlineStr">
        <is>
          <t>W컨셉0솔리드퍼퓸 이그나이트/스테이포에버 30ml (2종 택1)&lt;옵션1&gt;001 IGNITE210101</t>
        </is>
      </c>
    </row>
    <row r="4118" ht="16.5" customHeight="1" s="17">
      <c r="B4118" s="16" t="inlineStr">
        <is>
          <t>2021-03-05</t>
        </is>
      </c>
      <c r="C4118" s="20" t="inlineStr">
        <is>
          <t>금</t>
        </is>
      </c>
      <c r="E4118" s="20" t="inlineStr">
        <is>
          <t>고체향수</t>
        </is>
      </c>
      <c r="F4118" s="20" t="inlineStr">
        <is>
          <t>W컨셉</t>
        </is>
      </c>
      <c r="G4118" s="20" t="inlineStr">
        <is>
          <t>솔리드퍼퓸 이그나이트/스테이포에버 30ml (2종 택1)&lt;옵션1&gt;002 STAY FOREVER</t>
        </is>
      </c>
      <c r="H4118" s="20" t="n">
        <v>8</v>
      </c>
      <c r="I4118" s="20" t="inlineStr">
        <is>
          <t>스테이포에버</t>
        </is>
      </c>
      <c r="J4118" s="20" t="inlineStr">
        <is>
          <t>210101</t>
        </is>
      </c>
      <c r="L4118" s="20" t="n">
        <v>0</v>
      </c>
      <c r="M4118" s="20" t="n">
        <v>0</v>
      </c>
      <c r="N4118" s="20" t="n">
        <v>0</v>
      </c>
      <c r="O4118" s="20" t="inlineStr">
        <is>
          <t>W컨셉고체향수솔리드퍼퓸 이그나이트/스테이포에버 30ml (2종 택1)&lt;옵션1&gt;002 STAY FOREVER210101</t>
        </is>
      </c>
    </row>
    <row r="4119" ht="16.5" customHeight="1" s="17">
      <c r="B4119" s="16" t="inlineStr">
        <is>
          <t>2021-03-05</t>
        </is>
      </c>
      <c r="C4119" s="20" t="inlineStr">
        <is>
          <t>금</t>
        </is>
      </c>
      <c r="E4119" s="20" t="inlineStr">
        <is>
          <t>고체향수</t>
        </is>
      </c>
      <c r="F4119" s="20" t="inlineStr">
        <is>
          <t>W컨셉</t>
        </is>
      </c>
      <c r="G4119" s="20" t="inlineStr">
        <is>
          <t>솔리드퍼퓸 이그나이트/스테이포에버 30ml (2종 택1)&lt;옵션1&gt;IGNITE + STAY FOREVER</t>
        </is>
      </c>
      <c r="H4119" s="20" t="n">
        <v>1</v>
      </c>
      <c r="I4119" s="20" t="inlineStr">
        <is>
          <t>이그나이트 + 스테이포에버</t>
        </is>
      </c>
      <c r="J4119" s="20" t="inlineStr">
        <is>
          <t>210101</t>
        </is>
      </c>
      <c r="L4119" s="20" t="n">
        <v>0</v>
      </c>
      <c r="M4119" s="20" t="n">
        <v>0</v>
      </c>
      <c r="N4119" s="20" t="n">
        <v>0</v>
      </c>
      <c r="O4119" s="20" t="inlineStr">
        <is>
          <t>W컨셉고체향수솔리드퍼퓸 이그나이트/스테이포에버 30ml (2종 택1)&lt;옵션1&gt;IGNITE + STAY FOREVER210101</t>
        </is>
      </c>
    </row>
    <row r="4120" ht="16.5" customHeight="1" s="17">
      <c r="B4120" s="16" t="inlineStr">
        <is>
          <t>2021-03-05</t>
        </is>
      </c>
      <c r="C4120" s="20" t="inlineStr">
        <is>
          <t>금</t>
        </is>
      </c>
      <c r="E4120" s="20" t="inlineStr">
        <is>
          <t>고체향수</t>
        </is>
      </c>
      <c r="F4120" s="20" t="inlineStr">
        <is>
          <t>스마트스토어</t>
        </is>
      </c>
      <c r="G4120" s="20" t="inlineStr">
        <is>
          <t>유즈 고체향수 세트(유즈 스테이포에버, 유즈 이그나이트)고체향수: 스테이포에버 1개 + 이그나이트 1개</t>
        </is>
      </c>
      <c r="H4120" s="20" t="n">
        <v>2</v>
      </c>
      <c r="I4120" s="20" t="inlineStr">
        <is>
          <t>이그나이트 + 스테이포에버</t>
        </is>
      </c>
      <c r="J4120" s="20" t="inlineStr">
        <is>
          <t>210101</t>
        </is>
      </c>
      <c r="L4120" s="20" t="n">
        <v>0</v>
      </c>
      <c r="M4120" s="20" t="n">
        <v>0</v>
      </c>
      <c r="N4120" s="20" t="n">
        <v>0</v>
      </c>
      <c r="O4120" s="20" t="inlineStr">
        <is>
          <t>스마트스토어고체향수유즈 고체향수 세트(유즈 스테이포에버, 유즈 이그나이트)고체향수: 스테이포에버 1개 + 이그나이트 1개210101</t>
        </is>
      </c>
    </row>
    <row r="4121" ht="16.5" customHeight="1" s="17">
      <c r="B4121" s="16" t="inlineStr">
        <is>
          <t>2021-03-05</t>
        </is>
      </c>
      <c r="C4121" s="20" t="inlineStr">
        <is>
          <t>금</t>
        </is>
      </c>
      <c r="E4121" s="20" t="inlineStr">
        <is>
          <t>고체향수</t>
        </is>
      </c>
      <c r="F4121" s="20" t="inlineStr">
        <is>
          <t>스마트스토어</t>
        </is>
      </c>
      <c r="G4121" s="20" t="inlineStr">
        <is>
          <t>유즈 고체향수 세트(유즈 스테이포에버, 유즈 이그나이트)고체향수: 스테이포에버 2개</t>
        </is>
      </c>
      <c r="H4121" s="20" t="n">
        <v>3</v>
      </c>
      <c r="I4121" s="20" t="inlineStr">
        <is>
          <t>스테이포에버 2set</t>
        </is>
      </c>
      <c r="J4121" s="20" t="inlineStr">
        <is>
          <t>210101</t>
        </is>
      </c>
      <c r="L4121" s="20" t="n">
        <v>0</v>
      </c>
      <c r="M4121" s="20" t="n">
        <v>0</v>
      </c>
      <c r="N4121" s="20" t="n">
        <v>0</v>
      </c>
      <c r="O4121" s="20" t="inlineStr">
        <is>
          <t>스마트스토어고체향수유즈 고체향수 세트(유즈 스테이포에버, 유즈 이그나이트)고체향수: 스테이포에버 2개210101</t>
        </is>
      </c>
    </row>
    <row r="4122" ht="16.5" customHeight="1" s="17">
      <c r="B4122" s="16" t="inlineStr">
        <is>
          <t>2021-03-05</t>
        </is>
      </c>
      <c r="C4122" s="20" t="inlineStr">
        <is>
          <t>금</t>
        </is>
      </c>
      <c r="E4122" s="20" t="inlineStr">
        <is>
          <t>0</t>
        </is>
      </c>
      <c r="F4122" s="20" t="inlineStr">
        <is>
          <t>스마트스토어</t>
        </is>
      </c>
      <c r="G4122" s="20" t="inlineStr">
        <is>
          <t>유즈 고체향수 세트(유즈 스테이포에버, 유즈 이그나이트)고체향수: 이그나이트 2개</t>
        </is>
      </c>
      <c r="H4122" s="20" t="n">
        <v>1</v>
      </c>
      <c r="I4122" s="20" t="inlineStr">
        <is>
          <t>0</t>
        </is>
      </c>
      <c r="J4122" s="20" t="inlineStr">
        <is>
          <t>210101</t>
        </is>
      </c>
      <c r="L4122" s="20" t="n">
        <v>0</v>
      </c>
      <c r="M4122" s="20" t="n">
        <v>0</v>
      </c>
      <c r="N4122" s="20" t="n">
        <v>0</v>
      </c>
      <c r="O4122" s="20" t="inlineStr">
        <is>
          <t>스마트스토어0유즈 고체향수 세트(유즈 스테이포에버, 유즈 이그나이트)고체향수: 이그나이트 2개210101</t>
        </is>
      </c>
    </row>
    <row r="4123" ht="16.5" customHeight="1" s="17">
      <c r="B4123" s="16" t="inlineStr">
        <is>
          <t>2021-03-05</t>
        </is>
      </c>
      <c r="C4123" s="20" t="inlineStr">
        <is>
          <t>금</t>
        </is>
      </c>
      <c r="E4123" s="20" t="inlineStr">
        <is>
          <t>고체향수</t>
        </is>
      </c>
      <c r="F4123" s="20" t="inlineStr">
        <is>
          <t>스마트스토어</t>
        </is>
      </c>
      <c r="G4123" s="20" t="inlineStr">
        <is>
          <t>유즈 고체향수 스테이포에버 002고체향수: 스테이포에버 1개</t>
        </is>
      </c>
      <c r="H4123" s="20" t="n">
        <v>16</v>
      </c>
      <c r="I4123" s="20" t="inlineStr">
        <is>
          <t>스테이포에버</t>
        </is>
      </c>
      <c r="J4123" s="20" t="inlineStr">
        <is>
          <t>210101</t>
        </is>
      </c>
      <c r="L4123" s="20" t="n">
        <v>0</v>
      </c>
      <c r="M4123" s="20" t="n">
        <v>0</v>
      </c>
      <c r="N4123" s="20" t="n">
        <v>0</v>
      </c>
      <c r="O4123" s="20" t="inlineStr">
        <is>
          <t>스마트스토어고체향수유즈 고체향수 스테이포에버 002고체향수: 스테이포에버 1개210101</t>
        </is>
      </c>
    </row>
    <row r="4124" ht="16.5" customHeight="1" s="17">
      <c r="B4124" s="16" t="inlineStr">
        <is>
          <t>2021-03-05</t>
        </is>
      </c>
      <c r="C4124" s="20" t="inlineStr">
        <is>
          <t>금</t>
        </is>
      </c>
      <c r="E4124" s="20" t="inlineStr">
        <is>
          <t>고체향수</t>
        </is>
      </c>
      <c r="F4124" s="20" t="inlineStr">
        <is>
          <t>스마트스토어</t>
        </is>
      </c>
      <c r="G4124" s="20" t="inlineStr">
        <is>
          <t>유즈 고체향수 이그나이트 001고체향수: 이그나이트 1개</t>
        </is>
      </c>
      <c r="H4124" s="20" t="n">
        <v>1</v>
      </c>
      <c r="I4124" s="20" t="inlineStr">
        <is>
          <t>이그나이트</t>
        </is>
      </c>
      <c r="J4124" s="20" t="inlineStr">
        <is>
          <t>210101</t>
        </is>
      </c>
      <c r="L4124" s="20" t="n">
        <v>0</v>
      </c>
      <c r="M4124" s="20" t="n">
        <v>0</v>
      </c>
      <c r="N4124" s="20" t="n">
        <v>0</v>
      </c>
      <c r="O4124" s="20" t="inlineStr">
        <is>
          <t>스마트스토어고체향수유즈 고체향수 이그나이트 001고체향수: 이그나이트 1개210101</t>
        </is>
      </c>
    </row>
    <row r="4125" ht="16.5" customHeight="1" s="17">
      <c r="B4125" s="16" t="inlineStr">
        <is>
          <t>2021-03-05</t>
        </is>
      </c>
      <c r="C4125" s="20" t="inlineStr">
        <is>
          <t>금</t>
        </is>
      </c>
      <c r="E4125" s="20" t="inlineStr">
        <is>
          <t>쇼핑백</t>
        </is>
      </c>
      <c r="F4125" s="20" t="inlineStr">
        <is>
          <t>카페24</t>
        </is>
      </c>
      <c r="G4125" s="20" t="inlineStr">
        <is>
          <t>선물용 쇼핑백</t>
        </is>
      </c>
      <c r="H4125" s="20" t="n">
        <v>1</v>
      </c>
      <c r="I4125" s="20" t="inlineStr">
        <is>
          <t>쇼핑백</t>
        </is>
      </c>
      <c r="J4125" s="20" t="inlineStr">
        <is>
          <t>210101</t>
        </is>
      </c>
      <c r="L4125" s="20" t="n">
        <v>0</v>
      </c>
      <c r="M4125" s="20" t="n">
        <v>0</v>
      </c>
      <c r="N4125" s="20" t="n">
        <v>0</v>
      </c>
      <c r="O4125" s="20" t="inlineStr">
        <is>
          <t>카페24쇼핑백선물용 쇼핑백210101</t>
        </is>
      </c>
    </row>
    <row r="4126" ht="16.5" customHeight="1" s="17">
      <c r="B4126" s="16" t="inlineStr">
        <is>
          <t>2021-03-05</t>
        </is>
      </c>
      <c r="C4126" s="20" t="inlineStr">
        <is>
          <t>금</t>
        </is>
      </c>
      <c r="E4126" s="20" t="inlineStr">
        <is>
          <t>고체향수</t>
        </is>
      </c>
      <c r="F4126" s="20" t="inlineStr">
        <is>
          <t>카페24</t>
        </is>
      </c>
      <c r="G4126" s="20" t="inlineStr">
        <is>
          <t>솔리드퍼퓸 세트향=이그나이트 001 SOLID PERFUME, 세트 선택=1개</t>
        </is>
      </c>
      <c r="H4126" s="20" t="n">
        <v>2</v>
      </c>
      <c r="I4126" s="20" t="inlineStr">
        <is>
          <t>이그나이트</t>
        </is>
      </c>
      <c r="J4126" s="20" t="inlineStr">
        <is>
          <t>210101</t>
        </is>
      </c>
      <c r="L4126" s="20" t="n">
        <v>0</v>
      </c>
      <c r="M4126" s="20" t="n">
        <v>0</v>
      </c>
      <c r="N4126" s="20" t="n">
        <v>0</v>
      </c>
      <c r="O4126" s="20" t="inlineStr">
        <is>
          <t>카페24고체향수솔리드퍼퓸 세트향=이그나이트 001 SOLID PERFUME, 세트 선택=1개210101</t>
        </is>
      </c>
    </row>
    <row r="4127" ht="16.5" customHeight="1" s="17">
      <c r="B4127" s="16" t="inlineStr">
        <is>
          <t>2021-03-05</t>
        </is>
      </c>
      <c r="C4127" s="20" t="inlineStr">
        <is>
          <t>금</t>
        </is>
      </c>
      <c r="E4127" s="20" t="inlineStr">
        <is>
          <t>고체향수</t>
        </is>
      </c>
      <c r="F4127" s="20" t="inlineStr">
        <is>
          <t>카페24</t>
        </is>
      </c>
      <c r="G4127" s="20" t="inlineStr">
        <is>
          <t>솔리드퍼퓸 세트향=이그나이트 001 SOLID PERFUME, 세트 선택=best 2개 (28% 할인)</t>
        </is>
      </c>
      <c r="H4127" s="20" t="n">
        <v>2</v>
      </c>
      <c r="I4127" s="20" t="inlineStr">
        <is>
          <t>이그나이트 2set</t>
        </is>
      </c>
      <c r="J4127" s="20" t="inlineStr">
        <is>
          <t>210101</t>
        </is>
      </c>
      <c r="L4127" s="20" t="n">
        <v>0</v>
      </c>
      <c r="M4127" s="20" t="n">
        <v>0</v>
      </c>
      <c r="N4127" s="20" t="n">
        <v>0</v>
      </c>
      <c r="O4127" s="20" t="inlineStr">
        <is>
          <t>카페24고체향수솔리드퍼퓸 세트향=이그나이트 001 SOLID PERFUME, 세트 선택=best 2개 (28% 할인)210101</t>
        </is>
      </c>
    </row>
    <row r="4128" ht="16.5" customHeight="1" s="17">
      <c r="B4128" s="16" t="inlineStr">
        <is>
          <t>2021-03-05</t>
        </is>
      </c>
      <c r="C4128" s="20" t="inlineStr">
        <is>
          <t>금</t>
        </is>
      </c>
      <c r="E4128" s="20" t="inlineStr">
        <is>
          <t>고체향수</t>
        </is>
      </c>
      <c r="F4128" s="20" t="inlineStr">
        <is>
          <t>카페24</t>
        </is>
      </c>
      <c r="G4128" s="20" t="inlineStr">
        <is>
          <t>솔리드퍼퓸 세트향=스테이포에버 002 SOLID PERFUME, 세트 선택=1개</t>
        </is>
      </c>
      <c r="H4128" s="20" t="n">
        <v>6</v>
      </c>
      <c r="I4128" s="20" t="inlineStr">
        <is>
          <t>스테이포에버</t>
        </is>
      </c>
      <c r="J4128" s="20" t="inlineStr">
        <is>
          <t>210101</t>
        </is>
      </c>
      <c r="L4128" s="20" t="n">
        <v>0</v>
      </c>
      <c r="M4128" s="20" t="n">
        <v>0</v>
      </c>
      <c r="N4128" s="20" t="n">
        <v>0</v>
      </c>
      <c r="O4128" s="20" t="inlineStr">
        <is>
          <t>카페24고체향수솔리드퍼퓸 세트향=스테이포에버 002 SOLID PERFUME, 세트 선택=1개210101</t>
        </is>
      </c>
    </row>
    <row r="4129" ht="16.5" customHeight="1" s="17">
      <c r="B4129" s="16" t="inlineStr">
        <is>
          <t>2021-03-05</t>
        </is>
      </c>
      <c r="C4129" s="20" t="inlineStr">
        <is>
          <t>금</t>
        </is>
      </c>
      <c r="E4129" s="20" t="inlineStr">
        <is>
          <t>고체향수</t>
        </is>
      </c>
      <c r="F4129" s="20" t="inlineStr">
        <is>
          <t>카페24</t>
        </is>
      </c>
      <c r="G4129" s="20" t="inlineStr">
        <is>
          <t>솔리드퍼퓸 세트향=스테이포에버 002 SOLID PERFUME, 세트 선택=best 2개 (28% 할인)</t>
        </is>
      </c>
      <c r="H4129" s="20" t="n">
        <v>5</v>
      </c>
      <c r="I4129" s="20" t="inlineStr">
        <is>
          <t>스테이포에버 2set</t>
        </is>
      </c>
      <c r="J4129" s="20" t="inlineStr">
        <is>
          <t>210101</t>
        </is>
      </c>
      <c r="L4129" s="20" t="n">
        <v>0</v>
      </c>
      <c r="M4129" s="20" t="n">
        <v>0</v>
      </c>
      <c r="N4129" s="20" t="n">
        <v>0</v>
      </c>
      <c r="O4129" s="20" t="inlineStr">
        <is>
          <t>카페24고체향수솔리드퍼퓸 세트향=스테이포에버 002 SOLID PERFUME, 세트 선택=best 2개 (28% 할인)210101</t>
        </is>
      </c>
    </row>
    <row r="4130" ht="16.5" customHeight="1" s="17">
      <c r="B4130" s="16" t="inlineStr">
        <is>
          <t>2021-03-05</t>
        </is>
      </c>
      <c r="C4130" s="20" t="inlineStr">
        <is>
          <t>금</t>
        </is>
      </c>
      <c r="E4130" s="20" t="inlineStr">
        <is>
          <t>고체향수</t>
        </is>
      </c>
      <c r="F4130" s="20" t="inlineStr">
        <is>
          <t>카페24</t>
        </is>
      </c>
      <c r="G4130" s="20" t="inlineStr">
        <is>
          <t>솔리드퍼퓸 세트향=커플세트(이그나이트 + 스테이포에버), 세트 선택=1 SET</t>
        </is>
      </c>
      <c r="H4130" s="20" t="n">
        <v>12</v>
      </c>
      <c r="I4130" s="20" t="inlineStr">
        <is>
          <t>이그나이트 + 스테이포에버</t>
        </is>
      </c>
      <c r="J4130" s="20" t="inlineStr">
        <is>
          <t>210101</t>
        </is>
      </c>
      <c r="L4130" s="20" t="n">
        <v>0</v>
      </c>
      <c r="M4130" s="20" t="n">
        <v>0</v>
      </c>
      <c r="N4130" s="20" t="n">
        <v>0</v>
      </c>
      <c r="O4130" s="20" t="inlineStr">
        <is>
          <t>카페24고체향수솔리드퍼퓸 세트향=커플세트(이그나이트 + 스테이포에버), 세트 선택=1 SET210101</t>
        </is>
      </c>
    </row>
    <row r="4131" ht="16.5" customHeight="1" s="17">
      <c r="B4131" s="16" t="inlineStr">
        <is>
          <t>2021-03-05</t>
        </is>
      </c>
      <c r="C4131" s="20" t="inlineStr">
        <is>
          <t>금</t>
        </is>
      </c>
      <c r="E4131" s="20" t="inlineStr">
        <is>
          <t>고체향수</t>
        </is>
      </c>
      <c r="F4131" s="20" t="inlineStr">
        <is>
          <t>카페24</t>
        </is>
      </c>
      <c r="G4131" s="20" t="inlineStr">
        <is>
          <t>솔리드퍼퓸 세트향=커플세트(이그나이트 + 스테이포에버), 세트 선택=2 SET (42% 할인)</t>
        </is>
      </c>
      <c r="H4131" s="20" t="n">
        <v>1</v>
      </c>
      <c r="I4131" s="20" t="inlineStr">
        <is>
          <t>이그나이트 + 스테이포에버</t>
        </is>
      </c>
      <c r="J4131" s="20" t="inlineStr">
        <is>
          <t>210101</t>
        </is>
      </c>
      <c r="L4131" s="20" t="n">
        <v>0</v>
      </c>
      <c r="M4131" s="20" t="n">
        <v>0</v>
      </c>
      <c r="N4131" s="20" t="n">
        <v>0</v>
      </c>
      <c r="O4131" s="20" t="inlineStr">
        <is>
          <t>카페24고체향수솔리드퍼퓸 세트향=커플세트(이그나이트 + 스테이포에버), 세트 선택=2 SET (42% 할인)210101</t>
        </is>
      </c>
    </row>
    <row r="4132" ht="16.5" customHeight="1" s="17">
      <c r="B4132" s="16" t="inlineStr">
        <is>
          <t>2021-03-05</t>
        </is>
      </c>
      <c r="C4132" s="20" t="inlineStr">
        <is>
          <t>금</t>
        </is>
      </c>
      <c r="E4132" s="20" t="inlineStr">
        <is>
          <t>고체향수</t>
        </is>
      </c>
      <c r="F4132" s="20" t="inlineStr">
        <is>
          <t>카페24</t>
        </is>
      </c>
      <c r="G4132" s="20" t="inlineStr">
        <is>
          <t>솔리드퍼퓸 스테이포에버 002제품선택=스테이포에버 1개</t>
        </is>
      </c>
      <c r="H4132" s="20" t="n">
        <v>203</v>
      </c>
      <c r="I4132" s="20" t="inlineStr">
        <is>
          <t>스테이포에버</t>
        </is>
      </c>
      <c r="J4132" s="20" t="inlineStr">
        <is>
          <t>210101</t>
        </is>
      </c>
      <c r="L4132" s="20" t="n">
        <v>0</v>
      </c>
      <c r="M4132" s="20" t="n">
        <v>0</v>
      </c>
      <c r="N4132" s="20" t="n">
        <v>0</v>
      </c>
      <c r="O4132" s="20" t="inlineStr">
        <is>
          <t>카페24고체향수솔리드퍼퓸 스테이포에버 002제품선택=스테이포에버 1개210101</t>
        </is>
      </c>
    </row>
    <row r="4133" ht="16.5" customHeight="1" s="17">
      <c r="B4133" s="16" t="inlineStr">
        <is>
          <t>2021-03-05</t>
        </is>
      </c>
      <c r="C4133" s="20" t="inlineStr">
        <is>
          <t>금</t>
        </is>
      </c>
      <c r="E4133" s="20" t="inlineStr">
        <is>
          <t>고체향수</t>
        </is>
      </c>
      <c r="F4133" s="20" t="inlineStr">
        <is>
          <t>카페24</t>
        </is>
      </c>
      <c r="G4133" s="20" t="inlineStr">
        <is>
          <t>솔리드퍼퓸 스테이포에버 002제품선택=best스테이포에버 2개[28% 할인]</t>
        </is>
      </c>
      <c r="H4133" s="20" t="n">
        <v>135</v>
      </c>
      <c r="I4133" s="20" t="inlineStr">
        <is>
          <t>스테이포에버 2set</t>
        </is>
      </c>
      <c r="J4133" s="20" t="inlineStr">
        <is>
          <t>210101</t>
        </is>
      </c>
      <c r="L4133" s="20" t="n">
        <v>0</v>
      </c>
      <c r="M4133" s="20" t="n">
        <v>0</v>
      </c>
      <c r="N4133" s="20" t="n">
        <v>0</v>
      </c>
      <c r="O4133" s="20" t="inlineStr">
        <is>
          <t>카페24고체향수솔리드퍼퓸 스테이포에버 002제품선택=best스테이포에버 2개[28% 할인]210101</t>
        </is>
      </c>
    </row>
    <row r="4134" ht="16.5" customHeight="1" s="17">
      <c r="B4134" s="16" t="inlineStr">
        <is>
          <t>2021-03-05</t>
        </is>
      </c>
      <c r="C4134" s="20" t="inlineStr">
        <is>
          <t>금</t>
        </is>
      </c>
      <c r="E4134" s="20" t="inlineStr">
        <is>
          <t>고체향수</t>
        </is>
      </c>
      <c r="F4134" s="20" t="inlineStr">
        <is>
          <t>카페24</t>
        </is>
      </c>
      <c r="G4134" s="20" t="inlineStr">
        <is>
          <t>솔리드퍼퓸 스테이포에버 002제품선택=커플추천스테이포에버 + 이그나이트 세트</t>
        </is>
      </c>
      <c r="H4134" s="20" t="n">
        <v>18</v>
      </c>
      <c r="I4134" s="20" t="inlineStr">
        <is>
          <t>이그나이트 + 스테이포에버</t>
        </is>
      </c>
      <c r="J4134" s="20" t="inlineStr">
        <is>
          <t>210101</t>
        </is>
      </c>
      <c r="L4134" s="20" t="n">
        <v>0</v>
      </c>
      <c r="M4134" s="20" t="n">
        <v>0</v>
      </c>
      <c r="N4134" s="20" t="n">
        <v>0</v>
      </c>
      <c r="O4134" s="20" t="inlineStr">
        <is>
          <t>카페24고체향수솔리드퍼퓸 스테이포에버 002제품선택=커플추천스테이포에버 + 이그나이트 세트210101</t>
        </is>
      </c>
    </row>
    <row r="4135" ht="16.5" customHeight="1" s="17">
      <c r="B4135" s="16" t="inlineStr">
        <is>
          <t>2021-03-05</t>
        </is>
      </c>
      <c r="C4135" s="20" t="inlineStr">
        <is>
          <t>금</t>
        </is>
      </c>
      <c r="E4135" s="20" t="inlineStr">
        <is>
          <t>쇼핑백</t>
        </is>
      </c>
      <c r="F4135" s="20" t="inlineStr">
        <is>
          <t>카페24</t>
        </is>
      </c>
      <c r="G4135" s="20" t="inlineStr">
        <is>
          <t>솔리드퍼퓸 스테이포에버 002쇼핑백=선물용 쇼핑백</t>
        </is>
      </c>
      <c r="H4135" s="20" t="n">
        <v>6</v>
      </c>
      <c r="I4135" s="20" t="inlineStr">
        <is>
          <t>쇼핑백</t>
        </is>
      </c>
      <c r="J4135" s="20" t="inlineStr">
        <is>
          <t>210101</t>
        </is>
      </c>
      <c r="L4135" s="20" t="n">
        <v>0</v>
      </c>
      <c r="M4135" s="20" t="n">
        <v>0</v>
      </c>
      <c r="N4135" s="20" t="n">
        <v>0</v>
      </c>
      <c r="O4135" s="20" t="inlineStr">
        <is>
          <t>카페24쇼핑백솔리드퍼퓸 스테이포에버 002쇼핑백=선물용 쇼핑백210101</t>
        </is>
      </c>
    </row>
    <row r="4136" ht="16.5" customHeight="1" s="17">
      <c r="B4136" s="16" t="inlineStr">
        <is>
          <t>2021-03-05</t>
        </is>
      </c>
      <c r="C4136" s="20" t="inlineStr">
        <is>
          <t>금</t>
        </is>
      </c>
      <c r="E4136" s="20" t="inlineStr">
        <is>
          <t>고체향수</t>
        </is>
      </c>
      <c r="F4136" s="20" t="inlineStr">
        <is>
          <t>카페24</t>
        </is>
      </c>
      <c r="G4136" s="20" t="inlineStr">
        <is>
          <t>솔리드퍼퓸 이그나이트 001제품선택=이그나이트 솔리드퍼퓸 - 30ml</t>
        </is>
      </c>
      <c r="H4136" s="20" t="n">
        <v>4</v>
      </c>
      <c r="I4136" s="20" t="inlineStr">
        <is>
          <t>이그나이트</t>
        </is>
      </c>
      <c r="J4136" s="20" t="inlineStr">
        <is>
          <t>210101</t>
        </is>
      </c>
      <c r="L4136" s="20" t="n">
        <v>0</v>
      </c>
      <c r="M4136" s="20" t="n">
        <v>0</v>
      </c>
      <c r="N4136" s="20" t="n">
        <v>0</v>
      </c>
      <c r="O4136" s="20" t="inlineStr">
        <is>
          <t>카페24고체향수솔리드퍼퓸 이그나이트 001제품선택=이그나이트 솔리드퍼퓸 - 30ml210101</t>
        </is>
      </c>
    </row>
    <row r="4137" ht="16.5" customHeight="1" s="17">
      <c r="B4137" s="16" t="inlineStr">
        <is>
          <t>2021-03-05</t>
        </is>
      </c>
      <c r="C4137" s="20" t="inlineStr">
        <is>
          <t>금</t>
        </is>
      </c>
      <c r="E4137" s="20" t="inlineStr">
        <is>
          <t>고체향수</t>
        </is>
      </c>
      <c r="F4137" s="20" t="inlineStr">
        <is>
          <t>카페24</t>
        </is>
      </c>
      <c r="G4137" s="20" t="inlineStr">
        <is>
          <t>솔리드퍼퓸 이그나이트 001제품선택=이그나이트 2개 세트</t>
        </is>
      </c>
      <c r="H4137" s="20" t="n">
        <v>2</v>
      </c>
      <c r="I4137" s="20" t="inlineStr">
        <is>
          <t>이그나이트 2set</t>
        </is>
      </c>
      <c r="J4137" s="20" t="inlineStr">
        <is>
          <t>210101</t>
        </is>
      </c>
      <c r="L4137" s="20" t="n">
        <v>0</v>
      </c>
      <c r="M4137" s="20" t="n">
        <v>0</v>
      </c>
      <c r="N4137" s="20" t="n">
        <v>0</v>
      </c>
      <c r="O4137" s="20" t="inlineStr">
        <is>
          <t>카페24고체향수솔리드퍼퓸 이그나이트 001제품선택=이그나이트 2개 세트210101</t>
        </is>
      </c>
    </row>
    <row r="4138" ht="16.5" customHeight="1" s="17">
      <c r="B4138" s="16" t="inlineStr">
        <is>
          <t>2021-03-06</t>
        </is>
      </c>
      <c r="C4138" s="20" t="inlineStr">
        <is>
          <t>토</t>
        </is>
      </c>
      <c r="E4138" s="20" t="inlineStr">
        <is>
          <t>고체향수</t>
        </is>
      </c>
      <c r="F4138" s="20" t="inlineStr">
        <is>
          <t>스마트스토어</t>
        </is>
      </c>
      <c r="G4138" s="20" t="inlineStr">
        <is>
          <t>유즈 고체향수 세트(유즈 스테이포에버, 유즈 이그나이트)고체향수: 스테이포에버 1개 + 이그나이트 1개</t>
        </is>
      </c>
      <c r="H4138" s="20" t="n">
        <v>2</v>
      </c>
      <c r="I4138" s="20" t="inlineStr">
        <is>
          <t>이그나이트 + 스테이포에버</t>
        </is>
      </c>
      <c r="J4138" s="20" t="inlineStr">
        <is>
          <t>210101</t>
        </is>
      </c>
      <c r="L4138" s="20" t="n">
        <v>0</v>
      </c>
      <c r="M4138" s="20" t="n">
        <v>0</v>
      </c>
      <c r="N4138" s="20" t="n">
        <v>0</v>
      </c>
      <c r="O4138" s="20" t="inlineStr">
        <is>
          <t>스마트스토어고체향수유즈 고체향수 세트(유즈 스테이포에버, 유즈 이그나이트)고체향수: 스테이포에버 1개 + 이그나이트 1개210101</t>
        </is>
      </c>
    </row>
    <row r="4139" ht="16.5" customHeight="1" s="17">
      <c r="B4139" s="16" t="inlineStr">
        <is>
          <t>2021-03-06</t>
        </is>
      </c>
      <c r="C4139" s="20" t="inlineStr">
        <is>
          <t>토</t>
        </is>
      </c>
      <c r="E4139" s="20" t="inlineStr">
        <is>
          <t>고체향수</t>
        </is>
      </c>
      <c r="F4139" s="20" t="inlineStr">
        <is>
          <t>스마트스토어</t>
        </is>
      </c>
      <c r="G4139" s="20" t="inlineStr">
        <is>
          <t>유즈 고체향수 세트(유즈 스테이포에버, 유즈 이그나이트)고체향수: 스테이포에버 2개</t>
        </is>
      </c>
      <c r="H4139" s="20" t="n">
        <v>4</v>
      </c>
      <c r="I4139" s="20" t="inlineStr">
        <is>
          <t>스테이포에버 2set</t>
        </is>
      </c>
      <c r="J4139" s="20" t="inlineStr">
        <is>
          <t>210101</t>
        </is>
      </c>
      <c r="L4139" s="20" t="n">
        <v>0</v>
      </c>
      <c r="M4139" s="20" t="n">
        <v>0</v>
      </c>
      <c r="N4139" s="20" t="n">
        <v>0</v>
      </c>
      <c r="O4139" s="20" t="inlineStr">
        <is>
          <t>스마트스토어고체향수유즈 고체향수 세트(유즈 스테이포에버, 유즈 이그나이트)고체향수: 스테이포에버 2개210101</t>
        </is>
      </c>
    </row>
    <row r="4140" ht="16.5" customHeight="1" s="17">
      <c r="B4140" s="16" t="inlineStr">
        <is>
          <t>2021-03-06</t>
        </is>
      </c>
      <c r="C4140" s="20" t="inlineStr">
        <is>
          <t>토</t>
        </is>
      </c>
      <c r="E4140" s="20" t="inlineStr">
        <is>
          <t>0</t>
        </is>
      </c>
      <c r="F4140" s="20" t="inlineStr">
        <is>
          <t>스마트스토어</t>
        </is>
      </c>
      <c r="G4140" s="20" t="inlineStr">
        <is>
          <t>유즈 고체향수 세트(유즈 스테이포에버, 유즈 이그나이트)고체향수: 이그나이트 2개</t>
        </is>
      </c>
      <c r="H4140" s="20" t="n">
        <v>1</v>
      </c>
      <c r="I4140" s="20" t="inlineStr">
        <is>
          <t>0</t>
        </is>
      </c>
      <c r="J4140" s="20" t="inlineStr">
        <is>
          <t>210101</t>
        </is>
      </c>
      <c r="L4140" s="20" t="n">
        <v>0</v>
      </c>
      <c r="M4140" s="20" t="n">
        <v>0</v>
      </c>
      <c r="N4140" s="20" t="n">
        <v>0</v>
      </c>
      <c r="O4140" s="20" t="inlineStr">
        <is>
          <t>스마트스토어0유즈 고체향수 세트(유즈 스테이포에버, 유즈 이그나이트)고체향수: 이그나이트 2개210101</t>
        </is>
      </c>
    </row>
    <row r="4141" ht="16.5" customHeight="1" s="17">
      <c r="B4141" s="16" t="inlineStr">
        <is>
          <t>2021-03-06</t>
        </is>
      </c>
      <c r="C4141" s="20" t="inlineStr">
        <is>
          <t>토</t>
        </is>
      </c>
      <c r="E4141" s="20" t="inlineStr">
        <is>
          <t>고체향수</t>
        </is>
      </c>
      <c r="F4141" s="20" t="inlineStr">
        <is>
          <t>스마트스토어</t>
        </is>
      </c>
      <c r="G4141" s="20" t="inlineStr">
        <is>
          <t>유즈 고체향수 스테이포에버 002고체향수: 스테이포에버 1개</t>
        </is>
      </c>
      <c r="H4141" s="20" t="n">
        <v>21</v>
      </c>
      <c r="I4141" s="20" t="inlineStr">
        <is>
          <t>스테이포에버</t>
        </is>
      </c>
      <c r="J4141" s="20" t="inlineStr">
        <is>
          <t>210101</t>
        </is>
      </c>
      <c r="L4141" s="20" t="n">
        <v>0</v>
      </c>
      <c r="M4141" s="20" t="n">
        <v>0</v>
      </c>
      <c r="N4141" s="20" t="n">
        <v>0</v>
      </c>
      <c r="O4141" s="20" t="inlineStr">
        <is>
          <t>스마트스토어고체향수유즈 고체향수 스테이포에버 002고체향수: 스테이포에버 1개210101</t>
        </is>
      </c>
    </row>
    <row r="4142" ht="16.5" customHeight="1" s="17">
      <c r="B4142" s="16" t="inlineStr">
        <is>
          <t>2021-03-06</t>
        </is>
      </c>
      <c r="C4142" s="20" t="inlineStr">
        <is>
          <t>토</t>
        </is>
      </c>
      <c r="E4142" s="20" t="inlineStr">
        <is>
          <t>고체향수</t>
        </is>
      </c>
      <c r="F4142" s="20" t="inlineStr">
        <is>
          <t>카페24</t>
        </is>
      </c>
      <c r="G4142" s="20" t="inlineStr">
        <is>
          <t>솔리드퍼퓸 세트향=이그나이트 001 SOLID PERFUME, 세트 선택=best 2개 (28% 할인)</t>
        </is>
      </c>
      <c r="H4142" s="20" t="n">
        <v>1</v>
      </c>
      <c r="I4142" s="20" t="inlineStr">
        <is>
          <t>이그나이트 2set</t>
        </is>
      </c>
      <c r="J4142" s="20" t="inlineStr">
        <is>
          <t>210101</t>
        </is>
      </c>
      <c r="L4142" s="20" t="n">
        <v>0</v>
      </c>
      <c r="M4142" s="20" t="n">
        <v>0</v>
      </c>
      <c r="N4142" s="20" t="n">
        <v>0</v>
      </c>
      <c r="O4142" s="20" t="inlineStr">
        <is>
          <t>카페24고체향수솔리드퍼퓸 세트향=이그나이트 001 SOLID PERFUME, 세트 선택=best 2개 (28% 할인)210101</t>
        </is>
      </c>
    </row>
    <row r="4143" ht="16.5" customHeight="1" s="17">
      <c r="B4143" s="16" t="inlineStr">
        <is>
          <t>2021-03-06</t>
        </is>
      </c>
      <c r="C4143" s="20" t="inlineStr">
        <is>
          <t>토</t>
        </is>
      </c>
      <c r="E4143" s="20" t="inlineStr">
        <is>
          <t>고체향수</t>
        </is>
      </c>
      <c r="F4143" s="20" t="inlineStr">
        <is>
          <t>카페24</t>
        </is>
      </c>
      <c r="G4143" s="20" t="inlineStr">
        <is>
          <t>솔리드퍼퓸 세트향=스테이포에버 002 SOLID PERFUME, 세트 선택=1개</t>
        </is>
      </c>
      <c r="H4143" s="20" t="n">
        <v>6</v>
      </c>
      <c r="I4143" s="20" t="inlineStr">
        <is>
          <t>스테이포에버</t>
        </is>
      </c>
      <c r="J4143" s="20" t="inlineStr">
        <is>
          <t>210101</t>
        </is>
      </c>
      <c r="L4143" s="20" t="n">
        <v>0</v>
      </c>
      <c r="M4143" s="20" t="n">
        <v>0</v>
      </c>
      <c r="N4143" s="20" t="n">
        <v>0</v>
      </c>
      <c r="O4143" s="20" t="inlineStr">
        <is>
          <t>카페24고체향수솔리드퍼퓸 세트향=스테이포에버 002 SOLID PERFUME, 세트 선택=1개210101</t>
        </is>
      </c>
    </row>
    <row r="4144" ht="16.5" customHeight="1" s="17">
      <c r="B4144" s="16" t="inlineStr">
        <is>
          <t>2021-03-06</t>
        </is>
      </c>
      <c r="C4144" s="20" t="inlineStr">
        <is>
          <t>토</t>
        </is>
      </c>
      <c r="E4144" s="20" t="inlineStr">
        <is>
          <t>고체향수</t>
        </is>
      </c>
      <c r="F4144" s="20" t="inlineStr">
        <is>
          <t>카페24</t>
        </is>
      </c>
      <c r="G4144" s="20" t="inlineStr">
        <is>
          <t>솔리드퍼퓸 세트향=스테이포에버 002 SOLID PERFUME, 세트 선택=best 2개 (28% 할인)</t>
        </is>
      </c>
      <c r="H4144" s="20" t="n">
        <v>10</v>
      </c>
      <c r="I4144" s="20" t="inlineStr">
        <is>
          <t>스테이포에버 2set</t>
        </is>
      </c>
      <c r="J4144" s="20" t="inlineStr">
        <is>
          <t>210101</t>
        </is>
      </c>
      <c r="L4144" s="20" t="n">
        <v>0</v>
      </c>
      <c r="M4144" s="20" t="n">
        <v>0</v>
      </c>
      <c r="N4144" s="20" t="n">
        <v>0</v>
      </c>
      <c r="O4144" s="20" t="inlineStr">
        <is>
          <t>카페24고체향수솔리드퍼퓸 세트향=스테이포에버 002 SOLID PERFUME, 세트 선택=best 2개 (28% 할인)210101</t>
        </is>
      </c>
    </row>
    <row r="4145" ht="16.5" customHeight="1" s="17">
      <c r="B4145" s="16" t="inlineStr">
        <is>
          <t>2021-03-06</t>
        </is>
      </c>
      <c r="C4145" s="20" t="inlineStr">
        <is>
          <t>토</t>
        </is>
      </c>
      <c r="E4145" s="20" t="inlineStr">
        <is>
          <t>고체향수</t>
        </is>
      </c>
      <c r="F4145" s="20" t="inlineStr">
        <is>
          <t>카페24</t>
        </is>
      </c>
      <c r="G4145" s="20" t="inlineStr">
        <is>
          <t>솔리드퍼퓸 세트향=커플세트(이그나이트 + 스테이포에버), 세트 선택=1 SET</t>
        </is>
      </c>
      <c r="H4145" s="20" t="n">
        <v>14</v>
      </c>
      <c r="I4145" s="20" t="inlineStr">
        <is>
          <t>이그나이트 + 스테이포에버</t>
        </is>
      </c>
      <c r="J4145" s="20" t="inlineStr">
        <is>
          <t>210101</t>
        </is>
      </c>
      <c r="L4145" s="20" t="n">
        <v>0</v>
      </c>
      <c r="M4145" s="20" t="n">
        <v>0</v>
      </c>
      <c r="N4145" s="20" t="n">
        <v>0</v>
      </c>
      <c r="O4145" s="20" t="inlineStr">
        <is>
          <t>카페24고체향수솔리드퍼퓸 세트향=커플세트(이그나이트 + 스테이포에버), 세트 선택=1 SET210101</t>
        </is>
      </c>
    </row>
    <row r="4146" ht="16.5" customHeight="1" s="17">
      <c r="B4146" s="16" t="inlineStr">
        <is>
          <t>2021-03-06</t>
        </is>
      </c>
      <c r="C4146" s="20" t="inlineStr">
        <is>
          <t>토</t>
        </is>
      </c>
      <c r="E4146" s="20" t="inlineStr">
        <is>
          <t>고체향수</t>
        </is>
      </c>
      <c r="F4146" s="20" t="inlineStr">
        <is>
          <t>카페24</t>
        </is>
      </c>
      <c r="G4146" s="20" t="inlineStr">
        <is>
          <t>솔리드퍼퓸 세트향=커플세트(이그나이트 + 스테이포에버), 세트 선택=2 SET (42% 할인)</t>
        </is>
      </c>
      <c r="H4146" s="20" t="n">
        <v>2</v>
      </c>
      <c r="I4146" s="20" t="inlineStr">
        <is>
          <t>이그나이트 + 스테이포에버</t>
        </is>
      </c>
      <c r="J4146" s="20" t="inlineStr">
        <is>
          <t>210101</t>
        </is>
      </c>
      <c r="L4146" s="20" t="n">
        <v>0</v>
      </c>
      <c r="M4146" s="20" t="n">
        <v>0</v>
      </c>
      <c r="N4146" s="20" t="n">
        <v>0</v>
      </c>
      <c r="O4146" s="20" t="inlineStr">
        <is>
          <t>카페24고체향수솔리드퍼퓸 세트향=커플세트(이그나이트 + 스테이포에버), 세트 선택=2 SET (42% 할인)210101</t>
        </is>
      </c>
    </row>
    <row r="4147" ht="16.5" customHeight="1" s="17">
      <c r="B4147" s="16" t="inlineStr">
        <is>
          <t>2021-03-06</t>
        </is>
      </c>
      <c r="C4147" s="20" t="inlineStr">
        <is>
          <t>토</t>
        </is>
      </c>
      <c r="E4147" s="20" t="inlineStr">
        <is>
          <t>고체향수</t>
        </is>
      </c>
      <c r="F4147" s="20" t="inlineStr">
        <is>
          <t>카페24</t>
        </is>
      </c>
      <c r="G4147" s="20" t="inlineStr">
        <is>
          <t>솔리드퍼퓸 스테이포에버 002제품선택=스테이포에버 1개</t>
        </is>
      </c>
      <c r="H4147" s="20" t="n">
        <v>266</v>
      </c>
      <c r="I4147" s="20" t="inlineStr">
        <is>
          <t>스테이포에버</t>
        </is>
      </c>
      <c r="J4147" s="20" t="inlineStr">
        <is>
          <t>210101</t>
        </is>
      </c>
      <c r="L4147" s="20" t="n">
        <v>0</v>
      </c>
      <c r="M4147" s="20" t="n">
        <v>0</v>
      </c>
      <c r="N4147" s="20" t="n">
        <v>0</v>
      </c>
      <c r="O4147" s="20" t="inlineStr">
        <is>
          <t>카페24고체향수솔리드퍼퓸 스테이포에버 002제품선택=스테이포에버 1개210101</t>
        </is>
      </c>
    </row>
    <row r="4148" ht="16.5" customHeight="1" s="17">
      <c r="B4148" s="16" t="inlineStr">
        <is>
          <t>2021-03-06</t>
        </is>
      </c>
      <c r="C4148" s="20" t="inlineStr">
        <is>
          <t>토</t>
        </is>
      </c>
      <c r="E4148" s="20" t="inlineStr">
        <is>
          <t>고체향수</t>
        </is>
      </c>
      <c r="F4148" s="20" t="inlineStr">
        <is>
          <t>카페24</t>
        </is>
      </c>
      <c r="G4148" s="20" t="inlineStr">
        <is>
          <t>솔리드퍼퓸 스테이포에버 002제품선택=best스테이포에버 2개[28% 할인]</t>
        </is>
      </c>
      <c r="H4148" s="20" t="n">
        <v>148</v>
      </c>
      <c r="I4148" s="20" t="inlineStr">
        <is>
          <t>스테이포에버 2set</t>
        </is>
      </c>
      <c r="J4148" s="20" t="inlineStr">
        <is>
          <t>210101</t>
        </is>
      </c>
      <c r="L4148" s="20" t="n">
        <v>0</v>
      </c>
      <c r="M4148" s="20" t="n">
        <v>0</v>
      </c>
      <c r="N4148" s="20" t="n">
        <v>0</v>
      </c>
      <c r="O4148" s="20" t="inlineStr">
        <is>
          <t>카페24고체향수솔리드퍼퓸 스테이포에버 002제품선택=best스테이포에버 2개[28% 할인]210101</t>
        </is>
      </c>
    </row>
    <row r="4149" ht="16.5" customHeight="1" s="17">
      <c r="B4149" s="16" t="inlineStr">
        <is>
          <t>2021-03-06</t>
        </is>
      </c>
      <c r="C4149" s="20" t="inlineStr">
        <is>
          <t>토</t>
        </is>
      </c>
      <c r="E4149" s="20" t="inlineStr">
        <is>
          <t>고체향수</t>
        </is>
      </c>
      <c r="F4149" s="20" t="inlineStr">
        <is>
          <t>카페24</t>
        </is>
      </c>
      <c r="G4149" s="20" t="inlineStr">
        <is>
          <t>솔리드퍼퓸 스테이포에버 002제품선택=커플추천스테이포에버 + 이그나이트 세트</t>
        </is>
      </c>
      <c r="H4149" s="20" t="n">
        <v>20</v>
      </c>
      <c r="I4149" s="20" t="inlineStr">
        <is>
          <t>이그나이트 + 스테이포에버</t>
        </is>
      </c>
      <c r="J4149" s="20" t="inlineStr">
        <is>
          <t>210101</t>
        </is>
      </c>
      <c r="L4149" s="20" t="n">
        <v>0</v>
      </c>
      <c r="M4149" s="20" t="n">
        <v>0</v>
      </c>
      <c r="N4149" s="20" t="n">
        <v>0</v>
      </c>
      <c r="O4149" s="20" t="inlineStr">
        <is>
          <t>카페24고체향수솔리드퍼퓸 스테이포에버 002제품선택=커플추천스테이포에버 + 이그나이트 세트210101</t>
        </is>
      </c>
    </row>
    <row r="4150" ht="16.5" customHeight="1" s="17">
      <c r="B4150" s="16" t="inlineStr">
        <is>
          <t>2021-03-06</t>
        </is>
      </c>
      <c r="C4150" s="20" t="inlineStr">
        <is>
          <t>토</t>
        </is>
      </c>
      <c r="E4150" s="20" t="inlineStr">
        <is>
          <t>쇼핑백</t>
        </is>
      </c>
      <c r="F4150" s="20" t="inlineStr">
        <is>
          <t>카페24</t>
        </is>
      </c>
      <c r="G4150" s="20" t="inlineStr">
        <is>
          <t>솔리드퍼퓸 스테이포에버 002쇼핑백=선물용 쇼핑백</t>
        </is>
      </c>
      <c r="H4150" s="20" t="n">
        <v>10</v>
      </c>
      <c r="I4150" s="20" t="inlineStr">
        <is>
          <t>쇼핑백</t>
        </is>
      </c>
      <c r="J4150" s="20" t="inlineStr">
        <is>
          <t>210101</t>
        </is>
      </c>
      <c r="L4150" s="20" t="n">
        <v>0</v>
      </c>
      <c r="M4150" s="20" t="n">
        <v>0</v>
      </c>
      <c r="N4150" s="20" t="n">
        <v>0</v>
      </c>
      <c r="O4150" s="20" t="inlineStr">
        <is>
          <t>카페24쇼핑백솔리드퍼퓸 스테이포에버 002쇼핑백=선물용 쇼핑백210101</t>
        </is>
      </c>
    </row>
    <row r="4151" ht="16.5" customHeight="1" s="17">
      <c r="B4151" s="16" t="inlineStr">
        <is>
          <t>2021-03-06</t>
        </is>
      </c>
      <c r="C4151" s="20" t="inlineStr">
        <is>
          <t>토</t>
        </is>
      </c>
      <c r="E4151" s="20" t="inlineStr">
        <is>
          <t>고체향수</t>
        </is>
      </c>
      <c r="F4151" s="20" t="inlineStr">
        <is>
          <t>카페24</t>
        </is>
      </c>
      <c r="G4151" s="20" t="inlineStr">
        <is>
          <t>솔리드퍼퓸 이그나이트 001제품선택=이그나이트 솔리드퍼퓸 - 30ml</t>
        </is>
      </c>
      <c r="H4151" s="20" t="n">
        <v>2</v>
      </c>
      <c r="I4151" s="20" t="inlineStr">
        <is>
          <t>이그나이트</t>
        </is>
      </c>
      <c r="J4151" s="20" t="inlineStr">
        <is>
          <t>210101</t>
        </is>
      </c>
      <c r="L4151" s="20" t="n">
        <v>0</v>
      </c>
      <c r="M4151" s="20" t="n">
        <v>0</v>
      </c>
      <c r="N4151" s="20" t="n">
        <v>0</v>
      </c>
      <c r="O4151" s="20" t="inlineStr">
        <is>
          <t>카페24고체향수솔리드퍼퓸 이그나이트 001제품선택=이그나이트 솔리드퍼퓸 - 30ml210101</t>
        </is>
      </c>
    </row>
    <row r="4152" ht="16.5" customHeight="1" s="17">
      <c r="B4152" s="16" t="inlineStr">
        <is>
          <t>2021-03-06</t>
        </is>
      </c>
      <c r="C4152" s="20" t="inlineStr">
        <is>
          <t>토</t>
        </is>
      </c>
      <c r="E4152" s="20" t="inlineStr">
        <is>
          <t>고체향수</t>
        </is>
      </c>
      <c r="F4152" s="20" t="inlineStr">
        <is>
          <t>카페24</t>
        </is>
      </c>
      <c r="G4152" s="20" t="inlineStr">
        <is>
          <t>솔리드퍼퓸 이그나이트 001제품선택=이그나이트 2개 세트</t>
        </is>
      </c>
      <c r="H4152" s="20" t="n">
        <v>1</v>
      </c>
      <c r="I4152" s="20" t="inlineStr">
        <is>
          <t>이그나이트 2set</t>
        </is>
      </c>
      <c r="J4152" s="20" t="inlineStr">
        <is>
          <t>210101</t>
        </is>
      </c>
      <c r="L4152" s="20" t="n">
        <v>0</v>
      </c>
      <c r="M4152" s="20" t="n">
        <v>0</v>
      </c>
      <c r="N4152" s="20" t="n">
        <v>0</v>
      </c>
      <c r="O4152" s="20" t="inlineStr">
        <is>
          <t>카페24고체향수솔리드퍼퓸 이그나이트 001제품선택=이그나이트 2개 세트210101</t>
        </is>
      </c>
    </row>
    <row r="4153" ht="16.5" customHeight="1" s="17">
      <c r="A4153" s="20" t="inlineStr">
        <is>
          <t>고체향수</t>
        </is>
      </c>
      <c r="B4153" s="16" t="inlineStr">
        <is>
          <t>2021-03-05</t>
        </is>
      </c>
      <c r="C4153" s="20" t="inlineStr">
        <is>
          <t>금</t>
        </is>
      </c>
      <c r="D4153" s="20" t="inlineStr">
        <is>
          <t>네이버 배너</t>
        </is>
      </c>
      <c r="E4153" s="20" t="inlineStr">
        <is>
          <t>고체향수</t>
        </is>
      </c>
      <c r="K4153" s="20" t="n">
        <v>1331852.727272727</v>
      </c>
    </row>
    <row r="4154" ht="16.5" customHeight="1" s="17">
      <c r="A4154" s="20" t="inlineStr">
        <is>
          <t>고체향수</t>
        </is>
      </c>
      <c r="B4154" s="16" t="inlineStr">
        <is>
          <t>2021-03-06</t>
        </is>
      </c>
      <c r="C4154" s="20" t="inlineStr">
        <is>
          <t>토</t>
        </is>
      </c>
      <c r="D4154" s="20" t="inlineStr">
        <is>
          <t>네이버 배너</t>
        </is>
      </c>
      <c r="E4154" s="20" t="inlineStr">
        <is>
          <t>고체향수</t>
        </is>
      </c>
      <c r="K4154" s="20" t="n">
        <v>1331852.727272727</v>
      </c>
    </row>
    <row r="4155" ht="16.5" customHeight="1" s="17">
      <c r="A4155" s="20" t="inlineStr">
        <is>
          <t>고체향수</t>
        </is>
      </c>
      <c r="B4155" s="16" t="inlineStr">
        <is>
          <t>2021-03-07</t>
        </is>
      </c>
      <c r="C4155" s="20" t="inlineStr">
        <is>
          <t>일</t>
        </is>
      </c>
      <c r="D4155" s="20" t="inlineStr">
        <is>
          <t>네이버 배너</t>
        </is>
      </c>
      <c r="E4155" s="20" t="inlineStr">
        <is>
          <t>고체향수</t>
        </is>
      </c>
      <c r="K4155" s="20" t="n">
        <v>1331852.727272727</v>
      </c>
    </row>
    <row r="4156" ht="16.5" customHeight="1" s="17">
      <c r="A4156" s="20" t="inlineStr">
        <is>
          <t>고체향수_승무원 어피_Npay 추적</t>
        </is>
      </c>
      <c r="B4156" s="16" t="inlineStr">
        <is>
          <t>2021-03-05</t>
        </is>
      </c>
      <c r="C4156" s="20" t="inlineStr">
        <is>
          <t>금</t>
        </is>
      </c>
      <c r="D4156" s="20" t="inlineStr">
        <is>
          <t>카카오 배너</t>
        </is>
      </c>
      <c r="E4156" s="20" t="inlineStr">
        <is>
          <t>고체향수</t>
        </is>
      </c>
      <c r="K4156" s="20" t="n">
        <v>91139.99999999999</v>
      </c>
    </row>
    <row r="4157" ht="16.5" customHeight="1" s="17">
      <c r="A4157" s="20" t="inlineStr">
        <is>
          <t>고체향수_Npay 추적</t>
        </is>
      </c>
      <c r="B4157" s="16" t="inlineStr">
        <is>
          <t>2021-03-05</t>
        </is>
      </c>
      <c r="C4157" s="20" t="inlineStr">
        <is>
          <t>금</t>
        </is>
      </c>
      <c r="D4157" s="20" t="inlineStr">
        <is>
          <t>카카오 배너</t>
        </is>
      </c>
      <c r="E4157" s="20" t="inlineStr">
        <is>
          <t>고체향수</t>
        </is>
      </c>
      <c r="K4157" s="20" t="n">
        <v>2208230</v>
      </c>
    </row>
    <row r="4158" ht="16.5" customHeight="1" s="17">
      <c r="A4158" s="20" t="inlineStr">
        <is>
          <t>고체향수_승무원 어피_Npay 추적</t>
        </is>
      </c>
      <c r="B4158" s="16" t="inlineStr">
        <is>
          <t>2021-03-06</t>
        </is>
      </c>
      <c r="C4158" s="20" t="inlineStr">
        <is>
          <t>토</t>
        </is>
      </c>
      <c r="D4158" s="20" t="inlineStr">
        <is>
          <t>카카오 배너</t>
        </is>
      </c>
      <c r="E4158" s="20" t="inlineStr">
        <is>
          <t>고체향수</t>
        </is>
      </c>
      <c r="K4158" s="20" t="n">
        <v>91329.99999999999</v>
      </c>
    </row>
    <row r="4159" ht="16.5" customHeight="1" s="17">
      <c r="A4159" s="20" t="inlineStr">
        <is>
          <t>고체향수_Npay 추적</t>
        </is>
      </c>
      <c r="B4159" s="16" t="inlineStr">
        <is>
          <t>2021-03-06</t>
        </is>
      </c>
      <c r="C4159" s="20" t="inlineStr">
        <is>
          <t>토</t>
        </is>
      </c>
      <c r="D4159" s="20" t="inlineStr">
        <is>
          <t>카카오 배너</t>
        </is>
      </c>
      <c r="E4159" s="20" t="inlineStr">
        <is>
          <t>고체향수</t>
        </is>
      </c>
      <c r="K4159" s="20" t="n">
        <v>2277130</v>
      </c>
    </row>
    <row r="4160" ht="16.5" customHeight="1" s="17">
      <c r="A4160" s="20" t="inlineStr">
        <is>
          <t>고체향수_승무원 어피_Npay 추적</t>
        </is>
      </c>
      <c r="B4160" s="16" t="inlineStr">
        <is>
          <t>2021-03-07</t>
        </is>
      </c>
      <c r="C4160" s="20" t="inlineStr">
        <is>
          <t>일</t>
        </is>
      </c>
      <c r="D4160" s="20" t="inlineStr">
        <is>
          <t>카카오 배너</t>
        </is>
      </c>
      <c r="E4160" s="20" t="inlineStr">
        <is>
          <t>고체향수</t>
        </is>
      </c>
      <c r="K4160" s="20" t="n">
        <v>91099.99999999999</v>
      </c>
    </row>
    <row r="4161" ht="16.5" customHeight="1" s="17">
      <c r="A4161" s="20" t="inlineStr">
        <is>
          <t>고체향수_Npay 추적</t>
        </is>
      </c>
      <c r="B4161" s="16" t="inlineStr">
        <is>
          <t>2021-03-07</t>
        </is>
      </c>
      <c r="C4161" s="20" t="inlineStr">
        <is>
          <t>일</t>
        </is>
      </c>
      <c r="D4161" s="20" t="inlineStr">
        <is>
          <t>카카오 배너</t>
        </is>
      </c>
      <c r="E4161" s="20" t="inlineStr">
        <is>
          <t>고체향수</t>
        </is>
      </c>
      <c r="K4161" s="20" t="n">
        <v>2277770</v>
      </c>
    </row>
    <row r="4162" ht="16.5" customHeight="1" s="17">
      <c r="A4162" s="20" t="inlineStr">
        <is>
          <t>[다현 TEST] 스테이포에버_유즈모먼트</t>
        </is>
      </c>
      <c r="B4162" s="16" t="n">
        <v>44257</v>
      </c>
      <c r="C4162" s="20" t="inlineStr">
        <is>
          <t>화</t>
        </is>
      </c>
      <c r="D4162" s="20" t="inlineStr">
        <is>
          <t>페이스북/인스타그램</t>
        </is>
      </c>
      <c r="E4162" s="20" t="inlineStr">
        <is>
          <t>고체향수</t>
        </is>
      </c>
      <c r="K4162" s="20" t="n">
        <v>10801</v>
      </c>
    </row>
    <row r="4163" ht="16.5" customHeight="1" s="17">
      <c r="A4163" s="20" t="inlineStr">
        <is>
          <t>[성민 TEST] 스테이포에버_이미지</t>
        </is>
      </c>
      <c r="B4163" s="16" t="n">
        <v>44257</v>
      </c>
      <c r="C4163" s="20" t="inlineStr">
        <is>
          <t>화</t>
        </is>
      </c>
      <c r="D4163" s="20" t="inlineStr">
        <is>
          <t>페이스북/인스타그램</t>
        </is>
      </c>
      <c r="E4163" s="20" t="inlineStr">
        <is>
          <t>고체향수</t>
        </is>
      </c>
      <c r="K4163" s="20" t="n">
        <v>29007</v>
      </c>
    </row>
    <row r="4164" ht="16.5" customHeight="1" s="17">
      <c r="A4164" s="20" t="inlineStr">
        <is>
          <t>[승은 TEST] 스테이포에버_카드뉴스</t>
        </is>
      </c>
      <c r="B4164" s="16" t="n">
        <v>44257</v>
      </c>
      <c r="C4164" s="20" t="inlineStr">
        <is>
          <t>화</t>
        </is>
      </c>
      <c r="D4164" s="20" t="inlineStr">
        <is>
          <t>페이스북/인스타그램</t>
        </is>
      </c>
      <c r="E4164" s="20" t="inlineStr">
        <is>
          <t>고체향수</t>
        </is>
      </c>
      <c r="K4164" s="20" t="n">
        <v>58868</v>
      </c>
    </row>
    <row r="4165" ht="16.5" customHeight="1" s="17">
      <c r="A4165" s="20" t="inlineStr">
        <is>
          <t>[승무원 2] 스테이포에버_카드뉴스</t>
        </is>
      </c>
      <c r="B4165" s="16" t="n">
        <v>44257</v>
      </c>
      <c r="C4165" s="20" t="inlineStr">
        <is>
          <t>화</t>
        </is>
      </c>
      <c r="D4165" s="20" t="inlineStr">
        <is>
          <t>페이스북/인스타그램</t>
        </is>
      </c>
      <c r="E4165" s="20" t="inlineStr">
        <is>
          <t>고체향수</t>
        </is>
      </c>
      <c r="K4165" s="20" t="n">
        <v>394937</v>
      </c>
    </row>
    <row r="4166" ht="16.5" customHeight="1" s="17">
      <c r="A4166" s="20" t="inlineStr">
        <is>
          <t>[테스트]아줌마</t>
        </is>
      </c>
      <c r="B4166" s="16" t="n">
        <v>44257</v>
      </c>
      <c r="C4166" s="20" t="inlineStr">
        <is>
          <t>화</t>
        </is>
      </c>
      <c r="D4166" s="20" t="inlineStr">
        <is>
          <t>페이스북/인스타그램</t>
        </is>
      </c>
      <c r="E4166" s="20" t="inlineStr">
        <is>
          <t>고체향수</t>
        </is>
      </c>
      <c r="K4166" s="20" t="n">
        <v>215802</v>
      </c>
    </row>
    <row r="4167" ht="16.5" customHeight="1" s="17">
      <c r="A4167" s="20" t="inlineStr">
        <is>
          <t>[키워드 확장 테스트]스테이포에버_이미지</t>
        </is>
      </c>
      <c r="B4167" s="16" t="n">
        <v>44257</v>
      </c>
      <c r="C4167" s="20" t="inlineStr">
        <is>
          <t>화</t>
        </is>
      </c>
      <c r="D4167" s="20" t="inlineStr">
        <is>
          <t>페이스북/인스타그램</t>
        </is>
      </c>
      <c r="E4167" s="20" t="inlineStr">
        <is>
          <t>고체향수</t>
        </is>
      </c>
      <c r="K4167" s="20" t="n">
        <v>267589</v>
      </c>
    </row>
    <row r="4168" ht="16.5" customHeight="1" s="17">
      <c r="A4168" s="20" t="inlineStr">
        <is>
          <t>[재입고]스테이포에버_이미지</t>
        </is>
      </c>
      <c r="B4168" s="16" t="n">
        <v>44257</v>
      </c>
      <c r="C4168" s="20" t="inlineStr">
        <is>
          <t>화</t>
        </is>
      </c>
      <c r="D4168" s="20" t="inlineStr">
        <is>
          <t>페이스북/인스타그램</t>
        </is>
      </c>
      <c r="E4168" s="20" t="inlineStr">
        <is>
          <t>고체향수</t>
        </is>
      </c>
      <c r="K4168" s="20" t="n">
        <v>150031</v>
      </c>
    </row>
    <row r="4169" ht="16.5" customHeight="1" s="17">
      <c r="A4169" s="20" t="inlineStr">
        <is>
          <t>[승무원]숏폼_영상</t>
        </is>
      </c>
      <c r="B4169" s="16" t="n">
        <v>44257</v>
      </c>
      <c r="C4169" s="20" t="inlineStr">
        <is>
          <t>화</t>
        </is>
      </c>
      <c r="D4169" s="20" t="inlineStr">
        <is>
          <t>페이스북/인스타그램</t>
        </is>
      </c>
      <c r="E4169" s="20" t="inlineStr">
        <is>
          <t>고체향수</t>
        </is>
      </c>
      <c r="K4169" s="20" t="n">
        <v>98680</v>
      </c>
    </row>
    <row r="4170" ht="16.5" customHeight="1" s="17">
      <c r="A4170" s="20" t="inlineStr">
        <is>
          <t>[재입고]스테이포에버_영상</t>
        </is>
      </c>
      <c r="B4170" s="16" t="n">
        <v>44257</v>
      </c>
      <c r="C4170" s="20" t="inlineStr">
        <is>
          <t>화</t>
        </is>
      </c>
      <c r="D4170" s="20" t="inlineStr">
        <is>
          <t>페이스북/인스타그램</t>
        </is>
      </c>
      <c r="E4170" s="20" t="inlineStr">
        <is>
          <t>고체향수</t>
        </is>
      </c>
      <c r="K4170" s="20" t="n">
        <v>196820</v>
      </c>
    </row>
    <row r="4171" ht="16.5" customHeight="1" s="17">
      <c r="A4171" s="20" t="inlineStr">
        <is>
          <t>[필라테스]스테이포에버_카드뉴스</t>
        </is>
      </c>
      <c r="B4171" s="16" t="n">
        <v>44257</v>
      </c>
      <c r="C4171" s="20" t="inlineStr">
        <is>
          <t>화</t>
        </is>
      </c>
      <c r="D4171" s="20" t="inlineStr">
        <is>
          <t>페이스북/인스타그램</t>
        </is>
      </c>
      <c r="E4171" s="20" t="inlineStr">
        <is>
          <t>고체향수</t>
        </is>
      </c>
      <c r="K4171" s="20" t="n">
        <v>49077</v>
      </c>
    </row>
    <row r="4172" ht="16.5" customHeight="1" s="17">
      <c r="A4172" s="20" t="inlineStr">
        <is>
          <t>[젊줌마]스테이포에버_영상</t>
        </is>
      </c>
      <c r="B4172" s="16" t="n">
        <v>44257</v>
      </c>
      <c r="C4172" s="20" t="inlineStr">
        <is>
          <t>화</t>
        </is>
      </c>
      <c r="D4172" s="20" t="inlineStr">
        <is>
          <t>페이스북/인스타그램</t>
        </is>
      </c>
      <c r="E4172" s="20" t="inlineStr">
        <is>
          <t>고체향수</t>
        </is>
      </c>
      <c r="K4172" s="20" t="n">
        <v>99481</v>
      </c>
    </row>
    <row r="4173" ht="16.5" customHeight="1" s="17">
      <c r="A4173" s="20" t="inlineStr">
        <is>
          <t>[이성소구]스테이포에버_영상</t>
        </is>
      </c>
      <c r="B4173" s="16" t="n">
        <v>44257</v>
      </c>
      <c r="C4173" s="20" t="inlineStr">
        <is>
          <t>화</t>
        </is>
      </c>
      <c r="D4173" s="20" t="inlineStr">
        <is>
          <t>페이스북/인스타그램</t>
        </is>
      </c>
      <c r="E4173" s="20" t="inlineStr">
        <is>
          <t>고체향수</t>
        </is>
      </c>
      <c r="K4173" s="20" t="n">
        <v>29591</v>
      </c>
    </row>
    <row r="4174" ht="16.5" customHeight="1" s="17">
      <c r="A4174" s="20" t="inlineStr">
        <is>
          <t>[승무원]2019년썰 카드뉴스+ 향묘사_영상</t>
        </is>
      </c>
      <c r="B4174" s="16" t="n">
        <v>44257</v>
      </c>
      <c r="C4174" s="20" t="inlineStr">
        <is>
          <t>화</t>
        </is>
      </c>
      <c r="D4174" s="20" t="inlineStr">
        <is>
          <t>페이스북/인스타그램</t>
        </is>
      </c>
      <c r="E4174" s="20" t="inlineStr">
        <is>
          <t>고체향수</t>
        </is>
      </c>
      <c r="K4174" s="20" t="n">
        <v>97118</v>
      </c>
    </row>
    <row r="4175" ht="16.5" customHeight="1" s="17">
      <c r="A4175" s="20" t="inlineStr">
        <is>
          <t>[승무원어피]스테이포에버_이미지</t>
        </is>
      </c>
      <c r="B4175" s="16" t="n">
        <v>44257</v>
      </c>
      <c r="C4175" s="20" t="inlineStr">
        <is>
          <t>화</t>
        </is>
      </c>
      <c r="D4175" s="20" t="inlineStr">
        <is>
          <t>페이스북/인스타그램</t>
        </is>
      </c>
      <c r="E4175" s="20" t="inlineStr">
        <is>
          <t>고체향수</t>
        </is>
      </c>
      <c r="K4175" s="20" t="n">
        <v>98934</v>
      </c>
    </row>
    <row r="4176" ht="16.5" customHeight="1" s="17">
      <c r="A4176" s="20" t="inlineStr">
        <is>
          <t>[다현]스테이포에버_이미지</t>
        </is>
      </c>
      <c r="B4176" s="16" t="n">
        <v>44257</v>
      </c>
      <c r="C4176" s="20" t="inlineStr">
        <is>
          <t>화</t>
        </is>
      </c>
      <c r="D4176" s="20" t="inlineStr">
        <is>
          <t>페이스북/인스타그램</t>
        </is>
      </c>
      <c r="E4176" s="20" t="inlineStr">
        <is>
          <t>고체향수</t>
        </is>
      </c>
      <c r="K4176" s="20" t="n">
        <v>294889</v>
      </c>
    </row>
    <row r="4177" ht="16.5" customHeight="1" s="17">
      <c r="A4177" s="20" t="inlineStr">
        <is>
          <t>[승무원]스테이포에버_카드뉴스</t>
        </is>
      </c>
      <c r="B4177" s="16" t="n">
        <v>44257</v>
      </c>
      <c r="C4177" s="20" t="inlineStr">
        <is>
          <t>화</t>
        </is>
      </c>
      <c r="D4177" s="20" t="inlineStr">
        <is>
          <t>페이스북/인스타그램</t>
        </is>
      </c>
      <c r="E4177" s="20" t="inlineStr">
        <is>
          <t>고체향수</t>
        </is>
      </c>
      <c r="K4177" s="20" t="n">
        <v>292944</v>
      </c>
    </row>
    <row r="4178" ht="16.5" customHeight="1" s="17">
      <c r="A4178" s="20" t="inlineStr">
        <is>
          <t>[후기타입]스테이포에버_영상</t>
        </is>
      </c>
      <c r="B4178" s="16" t="n">
        <v>44257</v>
      </c>
      <c r="C4178" s="20" t="inlineStr">
        <is>
          <t>화</t>
        </is>
      </c>
      <c r="D4178" s="20" t="inlineStr">
        <is>
          <t>페이스북/인스타그램</t>
        </is>
      </c>
      <c r="E4178" s="20" t="inlineStr">
        <is>
          <t>고체향수</t>
        </is>
      </c>
      <c r="K4178" s="20" t="n">
        <v>149416</v>
      </c>
    </row>
    <row r="4179" ht="16.5" customHeight="1" s="17">
      <c r="A4179" s="20" t="inlineStr">
        <is>
          <t>전환_스테이포에버</t>
        </is>
      </c>
      <c r="B4179" s="16" t="n">
        <v>44257</v>
      </c>
      <c r="C4179" s="20" t="inlineStr">
        <is>
          <t>화</t>
        </is>
      </c>
      <c r="D4179" s="20" t="inlineStr">
        <is>
          <t>페이스북/인스타그램</t>
        </is>
      </c>
      <c r="E4179" s="20" t="inlineStr">
        <is>
          <t>고체향수</t>
        </is>
      </c>
      <c r="K4179" s="20" t="n">
        <v>147785</v>
      </c>
    </row>
    <row r="4180" ht="16.5" customHeight="1" s="17">
      <c r="A4180" s="20" t="inlineStr">
        <is>
          <t>[권태기커플]스테이포에버_영상</t>
        </is>
      </c>
      <c r="B4180" s="16" t="n">
        <v>44257</v>
      </c>
      <c r="C4180" s="20" t="inlineStr">
        <is>
          <t>화</t>
        </is>
      </c>
      <c r="D4180" s="20" t="inlineStr">
        <is>
          <t>페이스북/인스타그램</t>
        </is>
      </c>
      <c r="E4180" s="20" t="inlineStr">
        <is>
          <t>고체향수</t>
        </is>
      </c>
      <c r="K4180" s="20" t="n">
        <v>147493</v>
      </c>
    </row>
    <row r="4181" ht="16.5" customHeight="1" s="17">
      <c r="A4181" s="20" t="inlineStr">
        <is>
          <t>[다현 TEST] 스테이포에버_유즈모먼트</t>
        </is>
      </c>
      <c r="B4181" s="16" t="n">
        <v>44258</v>
      </c>
      <c r="C4181" s="20" t="inlineStr">
        <is>
          <t>수</t>
        </is>
      </c>
      <c r="D4181" s="20" t="inlineStr">
        <is>
          <t>페이스북/인스타그램</t>
        </is>
      </c>
      <c r="E4181" s="20" t="inlineStr">
        <is>
          <t>고체향수</t>
        </is>
      </c>
      <c r="K4181" s="20" t="n">
        <v>30016</v>
      </c>
    </row>
    <row r="4182" ht="16.5" customHeight="1" s="17">
      <c r="A4182" s="20" t="inlineStr">
        <is>
          <t>[성민 TEST] 스테이포에버_이미지</t>
        </is>
      </c>
      <c r="B4182" s="16" t="n">
        <v>44258</v>
      </c>
      <c r="C4182" s="20" t="inlineStr">
        <is>
          <t>수</t>
        </is>
      </c>
      <c r="D4182" s="20" t="inlineStr">
        <is>
          <t>페이스북/인스타그램</t>
        </is>
      </c>
      <c r="E4182" s="20" t="inlineStr">
        <is>
          <t>고체향수</t>
        </is>
      </c>
      <c r="K4182" s="20" t="n">
        <v>30368</v>
      </c>
    </row>
    <row r="4183" ht="16.5" customHeight="1" s="17">
      <c r="A4183" s="20" t="inlineStr">
        <is>
          <t>[승은 TEST] 스테이포에버_카드뉴스</t>
        </is>
      </c>
      <c r="B4183" s="16" t="n">
        <v>44258</v>
      </c>
      <c r="C4183" s="20" t="inlineStr">
        <is>
          <t>수</t>
        </is>
      </c>
      <c r="D4183" s="20" t="inlineStr">
        <is>
          <t>페이스북/인스타그램</t>
        </is>
      </c>
      <c r="E4183" s="20" t="inlineStr">
        <is>
          <t>고체향수</t>
        </is>
      </c>
      <c r="K4183" s="20" t="n">
        <v>60543</v>
      </c>
    </row>
    <row r="4184" ht="16.5" customHeight="1" s="17">
      <c r="A4184" s="20" t="inlineStr">
        <is>
          <t>[승무원 2] 스테이포에버_카드뉴스</t>
        </is>
      </c>
      <c r="B4184" s="16" t="n">
        <v>44258</v>
      </c>
      <c r="C4184" s="20" t="inlineStr">
        <is>
          <t>수</t>
        </is>
      </c>
      <c r="D4184" s="20" t="inlineStr">
        <is>
          <t>페이스북/인스타그램</t>
        </is>
      </c>
      <c r="E4184" s="20" t="inlineStr">
        <is>
          <t>고체향수</t>
        </is>
      </c>
      <c r="K4184" s="20" t="n">
        <v>396510</v>
      </c>
    </row>
    <row r="4185" ht="16.5" customHeight="1" s="17">
      <c r="A4185" s="20" t="inlineStr">
        <is>
          <t>[테스트]아줌마</t>
        </is>
      </c>
      <c r="B4185" s="16" t="n">
        <v>44258</v>
      </c>
      <c r="C4185" s="20" t="inlineStr">
        <is>
          <t>수</t>
        </is>
      </c>
      <c r="D4185" s="20" t="inlineStr">
        <is>
          <t>페이스북/인스타그램</t>
        </is>
      </c>
      <c r="E4185" s="20" t="inlineStr">
        <is>
          <t>고체향수</t>
        </is>
      </c>
      <c r="K4185" s="20" t="n">
        <v>222750</v>
      </c>
    </row>
    <row r="4186" ht="16.5" customHeight="1" s="17">
      <c r="A4186" s="20" t="inlineStr">
        <is>
          <t>[키워드 확장 테스트]스테이포에버_이미지</t>
        </is>
      </c>
      <c r="B4186" s="16" t="n">
        <v>44258</v>
      </c>
      <c r="C4186" s="20" t="inlineStr">
        <is>
          <t>수</t>
        </is>
      </c>
      <c r="D4186" s="20" t="inlineStr">
        <is>
          <t>페이스북/인스타그램</t>
        </is>
      </c>
      <c r="E4186" s="20" t="inlineStr">
        <is>
          <t>고체향수</t>
        </is>
      </c>
      <c r="K4186" s="20" t="n">
        <v>271379</v>
      </c>
    </row>
    <row r="4187" ht="16.5" customHeight="1" s="17">
      <c r="A4187" s="20" t="inlineStr">
        <is>
          <t>[재입고]스테이포에버_이미지</t>
        </is>
      </c>
      <c r="B4187" s="16" t="n">
        <v>44258</v>
      </c>
      <c r="C4187" s="20" t="inlineStr">
        <is>
          <t>수</t>
        </is>
      </c>
      <c r="D4187" s="20" t="inlineStr">
        <is>
          <t>페이스북/인스타그램</t>
        </is>
      </c>
      <c r="E4187" s="20" t="inlineStr">
        <is>
          <t>고체향수</t>
        </is>
      </c>
      <c r="K4187" s="20" t="n">
        <v>149993</v>
      </c>
    </row>
    <row r="4188" ht="16.5" customHeight="1" s="17">
      <c r="A4188" s="20" t="inlineStr">
        <is>
          <t>[승무원]숏폼_영상</t>
        </is>
      </c>
      <c r="B4188" s="16" t="n">
        <v>44258</v>
      </c>
      <c r="C4188" s="20" t="inlineStr">
        <is>
          <t>수</t>
        </is>
      </c>
      <c r="D4188" s="20" t="inlineStr">
        <is>
          <t>페이스북/인스타그램</t>
        </is>
      </c>
      <c r="E4188" s="20" t="inlineStr">
        <is>
          <t>고체향수</t>
        </is>
      </c>
      <c r="K4188" s="20" t="n">
        <v>99694</v>
      </c>
    </row>
    <row r="4189" ht="16.5" customHeight="1" s="17">
      <c r="A4189" s="20" t="inlineStr">
        <is>
          <t>[재입고]스테이포에버_영상</t>
        </is>
      </c>
      <c r="B4189" s="16" t="n">
        <v>44258</v>
      </c>
      <c r="C4189" s="20" t="inlineStr">
        <is>
          <t>수</t>
        </is>
      </c>
      <c r="D4189" s="20" t="inlineStr">
        <is>
          <t>페이스북/인스타그램</t>
        </is>
      </c>
      <c r="E4189" s="20" t="inlineStr">
        <is>
          <t>고체향수</t>
        </is>
      </c>
      <c r="K4189" s="20" t="n">
        <v>199284</v>
      </c>
    </row>
    <row r="4190" ht="16.5" customHeight="1" s="17">
      <c r="A4190" s="20" t="inlineStr">
        <is>
          <t>[필라테스]스테이포에버_카드뉴스</t>
        </is>
      </c>
      <c r="B4190" s="16" t="n">
        <v>44258</v>
      </c>
      <c r="C4190" s="20" t="inlineStr">
        <is>
          <t>수</t>
        </is>
      </c>
      <c r="D4190" s="20" t="inlineStr">
        <is>
          <t>페이스북/인스타그램</t>
        </is>
      </c>
      <c r="E4190" s="20" t="inlineStr">
        <is>
          <t>고체향수</t>
        </is>
      </c>
      <c r="K4190" s="20" t="n">
        <v>50111</v>
      </c>
    </row>
    <row r="4191" ht="16.5" customHeight="1" s="17">
      <c r="A4191" s="20" t="inlineStr">
        <is>
          <t>[젊줌마]스테이포에버_영상</t>
        </is>
      </c>
      <c r="B4191" s="16" t="n">
        <v>44258</v>
      </c>
      <c r="C4191" s="20" t="inlineStr">
        <is>
          <t>수</t>
        </is>
      </c>
      <c r="D4191" s="20" t="inlineStr">
        <is>
          <t>페이스북/인스타그램</t>
        </is>
      </c>
      <c r="E4191" s="20" t="inlineStr">
        <is>
          <t>고체향수</t>
        </is>
      </c>
      <c r="K4191" s="20" t="n">
        <v>98358</v>
      </c>
    </row>
    <row r="4192" ht="16.5" customHeight="1" s="17">
      <c r="A4192" s="20" t="inlineStr">
        <is>
          <t>[이성소구]스테이포에버_영상</t>
        </is>
      </c>
      <c r="B4192" s="16" t="n">
        <v>44258</v>
      </c>
      <c r="C4192" s="20" t="inlineStr">
        <is>
          <t>수</t>
        </is>
      </c>
      <c r="D4192" s="20" t="inlineStr">
        <is>
          <t>페이스북/인스타그램</t>
        </is>
      </c>
      <c r="E4192" s="20" t="inlineStr">
        <is>
          <t>고체향수</t>
        </is>
      </c>
      <c r="K4192" s="20" t="n">
        <v>29806</v>
      </c>
    </row>
    <row r="4193" ht="16.5" customHeight="1" s="17">
      <c r="A4193" s="20" t="inlineStr">
        <is>
          <t>[승무원]2019년썰 카드뉴스+ 향묘사_영상</t>
        </is>
      </c>
      <c r="B4193" s="16" t="n">
        <v>44258</v>
      </c>
      <c r="C4193" s="20" t="inlineStr">
        <is>
          <t>수</t>
        </is>
      </c>
      <c r="D4193" s="20" t="inlineStr">
        <is>
          <t>페이스북/인스타그램</t>
        </is>
      </c>
      <c r="E4193" s="20" t="inlineStr">
        <is>
          <t>고체향수</t>
        </is>
      </c>
      <c r="K4193" s="20" t="n">
        <v>99725</v>
      </c>
    </row>
    <row r="4194" ht="16.5" customHeight="1" s="17">
      <c r="A4194" s="20" t="inlineStr">
        <is>
          <t>[승무원어피]스테이포에버_이미지</t>
        </is>
      </c>
      <c r="B4194" s="16" t="n">
        <v>44258</v>
      </c>
      <c r="C4194" s="20" t="inlineStr">
        <is>
          <t>수</t>
        </is>
      </c>
      <c r="D4194" s="20" t="inlineStr">
        <is>
          <t>페이스북/인스타그램</t>
        </is>
      </c>
      <c r="E4194" s="20" t="inlineStr">
        <is>
          <t>고체향수</t>
        </is>
      </c>
      <c r="K4194" s="20" t="n">
        <v>100777</v>
      </c>
    </row>
    <row r="4195" ht="16.5" customHeight="1" s="17">
      <c r="A4195" s="20" t="inlineStr">
        <is>
          <t>[다현]스테이포에버_이미지</t>
        </is>
      </c>
      <c r="B4195" s="16" t="n">
        <v>44258</v>
      </c>
      <c r="C4195" s="20" t="inlineStr">
        <is>
          <t>수</t>
        </is>
      </c>
      <c r="D4195" s="20" t="inlineStr">
        <is>
          <t>페이스북/인스타그램</t>
        </is>
      </c>
      <c r="E4195" s="20" t="inlineStr">
        <is>
          <t>고체향수</t>
        </is>
      </c>
      <c r="K4195" s="20" t="n">
        <v>302220</v>
      </c>
    </row>
    <row r="4196" ht="16.5" customHeight="1" s="17">
      <c r="A4196" s="20" t="inlineStr">
        <is>
          <t>[승무원]스테이포에버_카드뉴스</t>
        </is>
      </c>
      <c r="B4196" s="16" t="n">
        <v>44258</v>
      </c>
      <c r="C4196" s="20" t="inlineStr">
        <is>
          <t>수</t>
        </is>
      </c>
      <c r="D4196" s="20" t="inlineStr">
        <is>
          <t>페이스북/인스타그램</t>
        </is>
      </c>
      <c r="E4196" s="20" t="inlineStr">
        <is>
          <t>고체향수</t>
        </is>
      </c>
      <c r="K4196" s="20" t="n">
        <v>298610</v>
      </c>
    </row>
    <row r="4197" ht="16.5" customHeight="1" s="17">
      <c r="A4197" s="20" t="inlineStr">
        <is>
          <t>[후기타입]스테이포에버_영상</t>
        </is>
      </c>
      <c r="B4197" s="16" t="n">
        <v>44258</v>
      </c>
      <c r="C4197" s="20" t="inlineStr">
        <is>
          <t>수</t>
        </is>
      </c>
      <c r="D4197" s="20" t="inlineStr">
        <is>
          <t>페이스북/인스타그램</t>
        </is>
      </c>
      <c r="E4197" s="20" t="inlineStr">
        <is>
          <t>고체향수</t>
        </is>
      </c>
      <c r="K4197" s="20" t="n">
        <v>150407</v>
      </c>
    </row>
    <row r="4198" ht="16.5" customHeight="1" s="17">
      <c r="A4198" s="20" t="inlineStr">
        <is>
          <t>전환_스테이포에버</t>
        </is>
      </c>
      <c r="B4198" s="16" t="n">
        <v>44258</v>
      </c>
      <c r="C4198" s="20" t="inlineStr">
        <is>
          <t>수</t>
        </is>
      </c>
      <c r="D4198" s="20" t="inlineStr">
        <is>
          <t>페이스북/인스타그램</t>
        </is>
      </c>
      <c r="E4198" s="20" t="inlineStr">
        <is>
          <t>고체향수</t>
        </is>
      </c>
      <c r="K4198" s="20" t="n">
        <v>150786</v>
      </c>
    </row>
    <row r="4199" ht="16.5" customHeight="1" s="17">
      <c r="A4199" s="20" t="inlineStr">
        <is>
          <t>[권태기커플]스테이포에버_영상</t>
        </is>
      </c>
      <c r="B4199" s="16" t="n">
        <v>44258</v>
      </c>
      <c r="C4199" s="20" t="inlineStr">
        <is>
          <t>수</t>
        </is>
      </c>
      <c r="D4199" s="20" t="inlineStr">
        <is>
          <t>페이스북/인스타그램</t>
        </is>
      </c>
      <c r="E4199" s="20" t="inlineStr">
        <is>
          <t>고체향수</t>
        </is>
      </c>
      <c r="K4199" s="20" t="n">
        <v>150691</v>
      </c>
    </row>
    <row r="4200" ht="16.5" customHeight="1" s="17">
      <c r="A4200" s="20" t="inlineStr">
        <is>
          <t>[다현 TEST] 스테이포에버_유즈모먼트</t>
        </is>
      </c>
      <c r="B4200" s="16" t="n">
        <v>44259</v>
      </c>
      <c r="C4200" s="20" t="inlineStr">
        <is>
          <t>목</t>
        </is>
      </c>
      <c r="D4200" s="20" t="inlineStr">
        <is>
          <t>페이스북/인스타그램</t>
        </is>
      </c>
      <c r="E4200" s="20" t="inlineStr">
        <is>
          <t>고체향수</t>
        </is>
      </c>
      <c r="K4200" s="20" t="n">
        <v>29698</v>
      </c>
    </row>
    <row r="4201" ht="16.5" customHeight="1" s="17">
      <c r="A4201" s="20" t="inlineStr">
        <is>
          <t>[성민 TEST] 스테이포에버_이미지</t>
        </is>
      </c>
      <c r="B4201" s="16" t="n">
        <v>44259</v>
      </c>
      <c r="C4201" s="20" t="inlineStr">
        <is>
          <t>목</t>
        </is>
      </c>
      <c r="D4201" s="20" t="inlineStr">
        <is>
          <t>페이스북/인스타그램</t>
        </is>
      </c>
      <c r="E4201" s="20" t="inlineStr">
        <is>
          <t>고체향수</t>
        </is>
      </c>
      <c r="K4201" s="20" t="n">
        <v>29487</v>
      </c>
    </row>
    <row r="4202" ht="16.5" customHeight="1" s="17">
      <c r="A4202" s="20" t="inlineStr">
        <is>
          <t>[승은 TEST] 스테이포에버_카드뉴스</t>
        </is>
      </c>
      <c r="B4202" s="16" t="n">
        <v>44259</v>
      </c>
      <c r="C4202" s="20" t="inlineStr">
        <is>
          <t>목</t>
        </is>
      </c>
      <c r="D4202" s="20" t="inlineStr">
        <is>
          <t>페이스북/인스타그램</t>
        </is>
      </c>
      <c r="E4202" s="20" t="inlineStr">
        <is>
          <t>고체향수</t>
        </is>
      </c>
      <c r="K4202" s="20" t="n">
        <v>61177</v>
      </c>
    </row>
    <row r="4203" ht="16.5" customHeight="1" s="17">
      <c r="A4203" s="20" t="inlineStr">
        <is>
          <t>[승무원 2] 스테이포에버_카드뉴스</t>
        </is>
      </c>
      <c r="B4203" s="16" t="n">
        <v>44259</v>
      </c>
      <c r="C4203" s="20" t="inlineStr">
        <is>
          <t>목</t>
        </is>
      </c>
      <c r="D4203" s="20" t="inlineStr">
        <is>
          <t>페이스북/인스타그램</t>
        </is>
      </c>
      <c r="E4203" s="20" t="inlineStr">
        <is>
          <t>고체향수</t>
        </is>
      </c>
      <c r="K4203" s="20" t="n">
        <v>396076</v>
      </c>
    </row>
    <row r="4204" ht="16.5" customHeight="1" s="17">
      <c r="A4204" s="20" t="inlineStr">
        <is>
          <t>[테스트]아줌마</t>
        </is>
      </c>
      <c r="B4204" s="16" t="n">
        <v>44259</v>
      </c>
      <c r="C4204" s="20" t="inlineStr">
        <is>
          <t>목</t>
        </is>
      </c>
      <c r="D4204" s="20" t="inlineStr">
        <is>
          <t>페이스북/인스타그램</t>
        </is>
      </c>
      <c r="E4204" s="20" t="inlineStr">
        <is>
          <t>고체향수</t>
        </is>
      </c>
      <c r="K4204" s="20" t="n">
        <v>219925</v>
      </c>
    </row>
    <row r="4205" ht="16.5" customHeight="1" s="17">
      <c r="A4205" s="20" t="inlineStr">
        <is>
          <t>[키워드 확장 테스트]스테이포에버_이미지</t>
        </is>
      </c>
      <c r="B4205" s="16" t="n">
        <v>44259</v>
      </c>
      <c r="C4205" s="20" t="inlineStr">
        <is>
          <t>목</t>
        </is>
      </c>
      <c r="D4205" s="20" t="inlineStr">
        <is>
          <t>페이스북/인스타그램</t>
        </is>
      </c>
      <c r="E4205" s="20" t="inlineStr">
        <is>
          <t>고체향수</t>
        </is>
      </c>
      <c r="K4205" s="20" t="n">
        <v>270193</v>
      </c>
    </row>
    <row r="4206" ht="16.5" customHeight="1" s="17">
      <c r="A4206" s="20" t="inlineStr">
        <is>
          <t>[재입고]스테이포에버_이미지</t>
        </is>
      </c>
      <c r="B4206" s="16" t="n">
        <v>44259</v>
      </c>
      <c r="C4206" s="20" t="inlineStr">
        <is>
          <t>목</t>
        </is>
      </c>
      <c r="D4206" s="20" t="inlineStr">
        <is>
          <t>페이스북/인스타그램</t>
        </is>
      </c>
      <c r="E4206" s="20" t="inlineStr">
        <is>
          <t>고체향수</t>
        </is>
      </c>
      <c r="K4206" s="20" t="n">
        <v>150361</v>
      </c>
    </row>
    <row r="4207" ht="16.5" customHeight="1" s="17">
      <c r="A4207" s="20" t="inlineStr">
        <is>
          <t>[승무원]숏폼_영상</t>
        </is>
      </c>
      <c r="B4207" s="16" t="n">
        <v>44259</v>
      </c>
      <c r="C4207" s="20" t="inlineStr">
        <is>
          <t>목</t>
        </is>
      </c>
      <c r="D4207" s="20" t="inlineStr">
        <is>
          <t>페이스북/인스타그램</t>
        </is>
      </c>
      <c r="E4207" s="20" t="inlineStr">
        <is>
          <t>고체향수</t>
        </is>
      </c>
      <c r="K4207" s="20" t="n">
        <v>101039</v>
      </c>
    </row>
    <row r="4208" ht="16.5" customHeight="1" s="17">
      <c r="A4208" s="20" t="inlineStr">
        <is>
          <t>[재입고]스테이포에버_영상</t>
        </is>
      </c>
      <c r="B4208" s="16" t="n">
        <v>44259</v>
      </c>
      <c r="C4208" s="20" t="inlineStr">
        <is>
          <t>목</t>
        </is>
      </c>
      <c r="D4208" s="20" t="inlineStr">
        <is>
          <t>페이스북/인스타그램</t>
        </is>
      </c>
      <c r="E4208" s="20" t="inlineStr">
        <is>
          <t>고체향수</t>
        </is>
      </c>
      <c r="K4208" s="20" t="n">
        <v>202079</v>
      </c>
    </row>
    <row r="4209" ht="16.5" customHeight="1" s="17">
      <c r="A4209" s="20" t="inlineStr">
        <is>
          <t>[필라테스]스테이포에버_카드뉴스</t>
        </is>
      </c>
      <c r="B4209" s="16" t="n">
        <v>44259</v>
      </c>
      <c r="C4209" s="20" t="inlineStr">
        <is>
          <t>목</t>
        </is>
      </c>
      <c r="D4209" s="20" t="inlineStr">
        <is>
          <t>페이스북/인스타그램</t>
        </is>
      </c>
      <c r="E4209" s="20" t="inlineStr">
        <is>
          <t>고체향수</t>
        </is>
      </c>
      <c r="K4209" s="20" t="n">
        <v>50272</v>
      </c>
    </row>
    <row r="4210" ht="16.5" customHeight="1" s="17">
      <c r="A4210" s="20" t="inlineStr">
        <is>
          <t>[젊줌마]스테이포에버_영상</t>
        </is>
      </c>
      <c r="B4210" s="16" t="n">
        <v>44259</v>
      </c>
      <c r="C4210" s="20" t="inlineStr">
        <is>
          <t>목</t>
        </is>
      </c>
      <c r="D4210" s="20" t="inlineStr">
        <is>
          <t>페이스북/인스타그램</t>
        </is>
      </c>
      <c r="E4210" s="20" t="inlineStr">
        <is>
          <t>고체향수</t>
        </is>
      </c>
      <c r="K4210" s="20" t="n">
        <v>100831</v>
      </c>
    </row>
    <row r="4211" ht="16.5" customHeight="1" s="17">
      <c r="A4211" s="20" t="inlineStr">
        <is>
          <t>[이성소구]스테이포에버_영상</t>
        </is>
      </c>
      <c r="B4211" s="16" t="n">
        <v>44259</v>
      </c>
      <c r="C4211" s="20" t="inlineStr">
        <is>
          <t>목</t>
        </is>
      </c>
      <c r="D4211" s="20" t="inlineStr">
        <is>
          <t>페이스북/인스타그램</t>
        </is>
      </c>
      <c r="E4211" s="20" t="inlineStr">
        <is>
          <t>고체향수</t>
        </is>
      </c>
      <c r="K4211" s="20" t="n">
        <v>30212</v>
      </c>
    </row>
    <row r="4212" ht="16.5" customHeight="1" s="17">
      <c r="A4212" s="20" t="inlineStr">
        <is>
          <t>[승무원]2019년썰 카드뉴스+ 향묘사_영상</t>
        </is>
      </c>
      <c r="B4212" s="16" t="n">
        <v>44259</v>
      </c>
      <c r="C4212" s="20" t="inlineStr">
        <is>
          <t>목</t>
        </is>
      </c>
      <c r="D4212" s="20" t="inlineStr">
        <is>
          <t>페이스북/인스타그램</t>
        </is>
      </c>
      <c r="E4212" s="20" t="inlineStr">
        <is>
          <t>고체향수</t>
        </is>
      </c>
      <c r="K4212" s="20" t="n">
        <v>98855</v>
      </c>
    </row>
    <row r="4213" ht="16.5" customHeight="1" s="17">
      <c r="A4213" s="20" t="inlineStr">
        <is>
          <t>[승무원어피]스테이포에버_이미지</t>
        </is>
      </c>
      <c r="B4213" s="16" t="n">
        <v>44259</v>
      </c>
      <c r="C4213" s="20" t="inlineStr">
        <is>
          <t>목</t>
        </is>
      </c>
      <c r="D4213" s="20" t="inlineStr">
        <is>
          <t>페이스북/인스타그램</t>
        </is>
      </c>
      <c r="E4213" s="20" t="inlineStr">
        <is>
          <t>고체향수</t>
        </is>
      </c>
      <c r="K4213" s="20" t="n">
        <v>100205</v>
      </c>
    </row>
    <row r="4214" ht="16.5" customHeight="1" s="17">
      <c r="A4214" s="20" t="inlineStr">
        <is>
          <t>[다현]스테이포에버_이미지</t>
        </is>
      </c>
      <c r="B4214" s="16" t="n">
        <v>44259</v>
      </c>
      <c r="C4214" s="20" t="inlineStr">
        <is>
          <t>목</t>
        </is>
      </c>
      <c r="D4214" s="20" t="inlineStr">
        <is>
          <t>페이스북/인스타그램</t>
        </is>
      </c>
      <c r="E4214" s="20" t="inlineStr">
        <is>
          <t>고체향수</t>
        </is>
      </c>
      <c r="K4214" s="20" t="n">
        <v>303082</v>
      </c>
    </row>
    <row r="4215" ht="16.5" customHeight="1" s="17">
      <c r="A4215" s="20" t="inlineStr">
        <is>
          <t>[승무원]스테이포에버_카드뉴스</t>
        </is>
      </c>
      <c r="B4215" s="16" t="n">
        <v>44259</v>
      </c>
      <c r="C4215" s="20" t="inlineStr">
        <is>
          <t>목</t>
        </is>
      </c>
      <c r="D4215" s="20" t="inlineStr">
        <is>
          <t>페이스북/인스타그램</t>
        </is>
      </c>
      <c r="E4215" s="20" t="inlineStr">
        <is>
          <t>고체향수</t>
        </is>
      </c>
      <c r="K4215" s="20" t="n">
        <v>303025</v>
      </c>
    </row>
    <row r="4216" ht="16.5" customHeight="1" s="17">
      <c r="A4216" s="20" t="inlineStr">
        <is>
          <t>[후기타입]스테이포에버_영상</t>
        </is>
      </c>
      <c r="B4216" s="16" t="n">
        <v>44259</v>
      </c>
      <c r="C4216" s="20" t="inlineStr">
        <is>
          <t>목</t>
        </is>
      </c>
      <c r="D4216" s="20" t="inlineStr">
        <is>
          <t>페이스북/인스타그램</t>
        </is>
      </c>
      <c r="E4216" s="20" t="inlineStr">
        <is>
          <t>고체향수</t>
        </is>
      </c>
      <c r="K4216" s="20" t="n">
        <v>150302</v>
      </c>
    </row>
    <row r="4217" ht="16.5" customHeight="1" s="17">
      <c r="A4217" s="20" t="inlineStr">
        <is>
          <t>전환_스테이포에버</t>
        </is>
      </c>
      <c r="B4217" s="16" t="n">
        <v>44259</v>
      </c>
      <c r="C4217" s="20" t="inlineStr">
        <is>
          <t>목</t>
        </is>
      </c>
      <c r="D4217" s="20" t="inlineStr">
        <is>
          <t>페이스북/인스타그램</t>
        </is>
      </c>
      <c r="E4217" s="20" t="inlineStr">
        <is>
          <t>고체향수</t>
        </is>
      </c>
      <c r="K4217" s="20" t="n">
        <v>150646</v>
      </c>
    </row>
    <row r="4218" ht="16.5" customHeight="1" s="17">
      <c r="A4218" s="20" t="inlineStr">
        <is>
          <t>[권태기커플]스테이포에버_영상</t>
        </is>
      </c>
      <c r="B4218" s="16" t="n">
        <v>44259</v>
      </c>
      <c r="C4218" s="20" t="inlineStr">
        <is>
          <t>목</t>
        </is>
      </c>
      <c r="D4218" s="20" t="inlineStr">
        <is>
          <t>페이스북/인스타그램</t>
        </is>
      </c>
      <c r="E4218" s="20" t="inlineStr">
        <is>
          <t>고체향수</t>
        </is>
      </c>
      <c r="K4218" s="20" t="n">
        <v>150948</v>
      </c>
    </row>
    <row r="4219" ht="16.5" customHeight="1" s="17">
      <c r="A4219" s="20" t="inlineStr">
        <is>
          <t>[다현 TEST] 스테이포에버_유즈모먼트</t>
        </is>
      </c>
      <c r="B4219" s="16" t="n">
        <v>44260</v>
      </c>
      <c r="C4219" s="20" t="inlineStr">
        <is>
          <t>금</t>
        </is>
      </c>
      <c r="D4219" s="20" t="inlineStr">
        <is>
          <t>페이스북/인스타그램</t>
        </is>
      </c>
      <c r="E4219" s="20" t="inlineStr">
        <is>
          <t>고체향수</t>
        </is>
      </c>
      <c r="K4219" s="20" t="n">
        <v>59306</v>
      </c>
    </row>
    <row r="4220" ht="16.5" customHeight="1" s="17">
      <c r="A4220" s="20" t="inlineStr">
        <is>
          <t>[성민 TEST] 스테이포에버_이미지</t>
        </is>
      </c>
      <c r="B4220" s="16" t="n">
        <v>44260</v>
      </c>
      <c r="C4220" s="20" t="inlineStr">
        <is>
          <t>금</t>
        </is>
      </c>
      <c r="D4220" s="20" t="inlineStr">
        <is>
          <t>페이스북/인스타그램</t>
        </is>
      </c>
      <c r="E4220" s="20" t="inlineStr">
        <is>
          <t>고체향수</t>
        </is>
      </c>
      <c r="K4220" s="20" t="n">
        <v>30351</v>
      </c>
    </row>
    <row r="4221" ht="16.5" customHeight="1" s="17">
      <c r="A4221" s="20" t="inlineStr">
        <is>
          <t>[승은 TEST] 스테이포에버_카드뉴스</t>
        </is>
      </c>
      <c r="B4221" s="16" t="n">
        <v>44260</v>
      </c>
      <c r="C4221" s="20" t="inlineStr">
        <is>
          <t>금</t>
        </is>
      </c>
      <c r="D4221" s="20" t="inlineStr">
        <is>
          <t>페이스북/인스타그램</t>
        </is>
      </c>
      <c r="E4221" s="20" t="inlineStr">
        <is>
          <t>고체향수</t>
        </is>
      </c>
      <c r="K4221" s="20" t="n">
        <v>58299</v>
      </c>
    </row>
    <row r="4222" ht="16.5" customHeight="1" s="17">
      <c r="A4222" s="20" t="inlineStr">
        <is>
          <t>[승무원 2] 스테이포에버_카드뉴스</t>
        </is>
      </c>
      <c r="B4222" s="16" t="n">
        <v>44260</v>
      </c>
      <c r="C4222" s="20" t="inlineStr">
        <is>
          <t>금</t>
        </is>
      </c>
      <c r="D4222" s="20" t="inlineStr">
        <is>
          <t>페이스북/인스타그램</t>
        </is>
      </c>
      <c r="E4222" s="20" t="inlineStr">
        <is>
          <t>고체향수</t>
        </is>
      </c>
      <c r="K4222" s="20" t="n">
        <v>288723</v>
      </c>
    </row>
    <row r="4223" ht="16.5" customHeight="1" s="17">
      <c r="A4223" s="20" t="inlineStr">
        <is>
          <t>[테스트]아줌마</t>
        </is>
      </c>
      <c r="B4223" s="16" t="n">
        <v>44260</v>
      </c>
      <c r="C4223" s="20" t="inlineStr">
        <is>
          <t>금</t>
        </is>
      </c>
      <c r="D4223" s="20" t="inlineStr">
        <is>
          <t>페이스북/인스타그램</t>
        </is>
      </c>
      <c r="E4223" s="20" t="inlineStr">
        <is>
          <t>고체향수</t>
        </is>
      </c>
      <c r="K4223" s="20" t="n">
        <v>196815</v>
      </c>
    </row>
    <row r="4224" ht="16.5" customHeight="1" s="17">
      <c r="A4224" s="20" t="inlineStr">
        <is>
          <t>[키워드 확장 테스트]스테이포에버_이미지</t>
        </is>
      </c>
      <c r="B4224" s="16" t="n">
        <v>44260</v>
      </c>
      <c r="C4224" s="20" t="inlineStr">
        <is>
          <t>금</t>
        </is>
      </c>
      <c r="D4224" s="20" t="inlineStr">
        <is>
          <t>페이스북/인스타그램</t>
        </is>
      </c>
      <c r="E4224" s="20" t="inlineStr">
        <is>
          <t>고체향수</t>
        </is>
      </c>
      <c r="K4224" s="20" t="n">
        <v>266635</v>
      </c>
    </row>
    <row r="4225" ht="16.5" customHeight="1" s="17">
      <c r="A4225" s="20" t="inlineStr">
        <is>
          <t>[재입고]스테이포에버_이미지</t>
        </is>
      </c>
      <c r="B4225" s="16" t="n">
        <v>44260</v>
      </c>
      <c r="C4225" s="20" t="inlineStr">
        <is>
          <t>금</t>
        </is>
      </c>
      <c r="D4225" s="20" t="inlineStr">
        <is>
          <t>페이스북/인스타그램</t>
        </is>
      </c>
      <c r="E4225" s="20" t="inlineStr">
        <is>
          <t>고체향수</t>
        </is>
      </c>
      <c r="K4225" s="20" t="n">
        <v>147712</v>
      </c>
    </row>
    <row r="4226" ht="16.5" customHeight="1" s="17">
      <c r="A4226" s="20" t="inlineStr">
        <is>
          <t>[승무원]숏폼_영상</t>
        </is>
      </c>
      <c r="B4226" s="16" t="n">
        <v>44260</v>
      </c>
      <c r="C4226" s="20" t="inlineStr">
        <is>
          <t>금</t>
        </is>
      </c>
      <c r="D4226" s="20" t="inlineStr">
        <is>
          <t>페이스북/인스타그램</t>
        </is>
      </c>
      <c r="E4226" s="20" t="inlineStr">
        <is>
          <t>고체향수</t>
        </is>
      </c>
      <c r="K4226" s="20" t="n">
        <v>97966</v>
      </c>
    </row>
    <row r="4227" ht="16.5" customHeight="1" s="17">
      <c r="A4227" s="20" t="inlineStr">
        <is>
          <t>[재입고]스테이포에버_영상</t>
        </is>
      </c>
      <c r="B4227" s="16" t="n">
        <v>44260</v>
      </c>
      <c r="C4227" s="20" t="inlineStr">
        <is>
          <t>금</t>
        </is>
      </c>
      <c r="D4227" s="20" t="inlineStr">
        <is>
          <t>페이스북/인스타그램</t>
        </is>
      </c>
      <c r="E4227" s="20" t="inlineStr">
        <is>
          <t>고체향수</t>
        </is>
      </c>
      <c r="K4227" s="20" t="n">
        <v>195917</v>
      </c>
    </row>
    <row r="4228" ht="16.5" customHeight="1" s="17">
      <c r="A4228" s="20" t="inlineStr">
        <is>
          <t>[필라테스]스테이포에버_카드뉴스</t>
        </is>
      </c>
      <c r="B4228" s="16" t="n">
        <v>44260</v>
      </c>
      <c r="C4228" s="20" t="inlineStr">
        <is>
          <t>금</t>
        </is>
      </c>
      <c r="D4228" s="20" t="inlineStr">
        <is>
          <t>페이스북/인스타그램</t>
        </is>
      </c>
      <c r="E4228" s="20" t="inlineStr">
        <is>
          <t>고체향수</t>
        </is>
      </c>
      <c r="K4228" s="20" t="n">
        <v>49960</v>
      </c>
    </row>
    <row r="4229" ht="16.5" customHeight="1" s="17">
      <c r="A4229" s="20" t="inlineStr">
        <is>
          <t>[젊줌마]스테이포에버_영상</t>
        </is>
      </c>
      <c r="B4229" s="16" t="n">
        <v>44260</v>
      </c>
      <c r="C4229" s="20" t="inlineStr">
        <is>
          <t>금</t>
        </is>
      </c>
      <c r="D4229" s="20" t="inlineStr">
        <is>
          <t>페이스북/인스타그램</t>
        </is>
      </c>
      <c r="E4229" s="20" t="inlineStr">
        <is>
          <t>고체향수</t>
        </is>
      </c>
      <c r="K4229" s="20" t="n">
        <v>97790</v>
      </c>
    </row>
    <row r="4230" ht="16.5" customHeight="1" s="17">
      <c r="A4230" s="20" t="inlineStr">
        <is>
          <t>[이성소구]스테이포에버_영상</t>
        </is>
      </c>
      <c r="B4230" s="16" t="n">
        <v>44260</v>
      </c>
      <c r="C4230" s="20" t="inlineStr">
        <is>
          <t>금</t>
        </is>
      </c>
      <c r="D4230" s="20" t="inlineStr">
        <is>
          <t>페이스북/인스타그램</t>
        </is>
      </c>
      <c r="E4230" s="20" t="inlineStr">
        <is>
          <t>고체향수</t>
        </is>
      </c>
      <c r="K4230" s="20" t="n">
        <v>29464</v>
      </c>
    </row>
    <row r="4231" ht="16.5" customHeight="1" s="17">
      <c r="A4231" s="20" t="inlineStr">
        <is>
          <t>[승무원]2019년썰 카드뉴스+ 향묘사_영상</t>
        </is>
      </c>
      <c r="B4231" s="16" t="n">
        <v>44260</v>
      </c>
      <c r="C4231" s="20" t="inlineStr">
        <is>
          <t>금</t>
        </is>
      </c>
      <c r="D4231" s="20" t="inlineStr">
        <is>
          <t>페이스북/인스타그램</t>
        </is>
      </c>
      <c r="E4231" s="20" t="inlineStr">
        <is>
          <t>고체향수</t>
        </is>
      </c>
      <c r="K4231" s="20" t="n">
        <v>69566</v>
      </c>
    </row>
    <row r="4232" ht="16.5" customHeight="1" s="17">
      <c r="A4232" s="20" t="inlineStr">
        <is>
          <t>[승무원어피]스테이포에버_이미지</t>
        </is>
      </c>
      <c r="B4232" s="16" t="n">
        <v>44260</v>
      </c>
      <c r="C4232" s="20" t="inlineStr">
        <is>
          <t>금</t>
        </is>
      </c>
      <c r="D4232" s="20" t="inlineStr">
        <is>
          <t>페이스북/인스타그램</t>
        </is>
      </c>
      <c r="E4232" s="20" t="inlineStr">
        <is>
          <t>고체향수</t>
        </is>
      </c>
      <c r="K4232" s="20" t="n">
        <v>97744</v>
      </c>
    </row>
    <row r="4233" ht="16.5" customHeight="1" s="17">
      <c r="A4233" s="20" t="inlineStr">
        <is>
          <t>[다현]스테이포에버_이미지</t>
        </is>
      </c>
      <c r="B4233" s="16" t="n">
        <v>44260</v>
      </c>
      <c r="C4233" s="20" t="inlineStr">
        <is>
          <t>금</t>
        </is>
      </c>
      <c r="D4233" s="20" t="inlineStr">
        <is>
          <t>페이스북/인스타그램</t>
        </is>
      </c>
      <c r="E4233" s="20" t="inlineStr">
        <is>
          <t>고체향수</t>
        </is>
      </c>
      <c r="K4233" s="20" t="n">
        <v>294929</v>
      </c>
    </row>
    <row r="4234" ht="16.5" customHeight="1" s="17">
      <c r="A4234" s="20" t="inlineStr">
        <is>
          <t>[승무원]스테이포에버_카드뉴스</t>
        </is>
      </c>
      <c r="B4234" s="16" t="n">
        <v>44260</v>
      </c>
      <c r="C4234" s="20" t="inlineStr">
        <is>
          <t>금</t>
        </is>
      </c>
      <c r="D4234" s="20" t="inlineStr">
        <is>
          <t>페이스북/인스타그램</t>
        </is>
      </c>
      <c r="E4234" s="20" t="inlineStr">
        <is>
          <t>고체향수</t>
        </is>
      </c>
      <c r="K4234" s="20" t="n">
        <v>297517</v>
      </c>
    </row>
    <row r="4235" ht="16.5" customHeight="1" s="17">
      <c r="A4235" s="20" t="inlineStr">
        <is>
          <t>[후기타입]스테이포에버_영상</t>
        </is>
      </c>
      <c r="B4235" s="16" t="n">
        <v>44260</v>
      </c>
      <c r="C4235" s="20" t="inlineStr">
        <is>
          <t>금</t>
        </is>
      </c>
      <c r="D4235" s="20" t="inlineStr">
        <is>
          <t>페이스북/인스타그램</t>
        </is>
      </c>
      <c r="E4235" s="20" t="inlineStr">
        <is>
          <t>고체향수</t>
        </is>
      </c>
      <c r="K4235" s="20" t="n">
        <v>147088</v>
      </c>
    </row>
    <row r="4236" ht="16.5" customHeight="1" s="17">
      <c r="A4236" s="20" t="inlineStr">
        <is>
          <t>전환_스테이포에버</t>
        </is>
      </c>
      <c r="B4236" s="16" t="n">
        <v>44260</v>
      </c>
      <c r="C4236" s="20" t="inlineStr">
        <is>
          <t>금</t>
        </is>
      </c>
      <c r="D4236" s="20" t="inlineStr">
        <is>
          <t>페이스북/인스타그램</t>
        </is>
      </c>
      <c r="E4236" s="20" t="inlineStr">
        <is>
          <t>고체향수</t>
        </is>
      </c>
      <c r="K4236" s="20" t="n">
        <v>146253</v>
      </c>
    </row>
    <row r="4237" ht="16.5" customHeight="1" s="17">
      <c r="A4237" s="20" t="inlineStr">
        <is>
          <t>[권태기커플]스테이포에버_영상</t>
        </is>
      </c>
      <c r="B4237" s="16" t="n">
        <v>44260</v>
      </c>
      <c r="C4237" s="20" t="inlineStr">
        <is>
          <t>금</t>
        </is>
      </c>
      <c r="D4237" s="20" t="inlineStr">
        <is>
          <t>페이스북/인스타그램</t>
        </is>
      </c>
      <c r="E4237" s="20" t="inlineStr">
        <is>
          <t>고체향수</t>
        </is>
      </c>
      <c r="K4237" s="20" t="n">
        <v>148815</v>
      </c>
    </row>
    <row r="4238" ht="16.5" customHeight="1" s="17">
      <c r="A4238" s="20" t="inlineStr">
        <is>
          <t>[다현 TEST] 스테이포에버_유즈모먼트</t>
        </is>
      </c>
      <c r="B4238" s="16" t="n">
        <v>44261</v>
      </c>
      <c r="C4238" s="20" t="inlineStr">
        <is>
          <t>토</t>
        </is>
      </c>
      <c r="D4238" s="20" t="inlineStr">
        <is>
          <t>페이스북/인스타그램</t>
        </is>
      </c>
      <c r="E4238" s="20" t="inlineStr">
        <is>
          <t>고체향수</t>
        </is>
      </c>
      <c r="K4238" s="20" t="n">
        <v>61511</v>
      </c>
    </row>
    <row r="4239" ht="16.5" customHeight="1" s="17">
      <c r="A4239" s="20" t="inlineStr">
        <is>
          <t>[성민 TEST] 스테이포에버_이미지</t>
        </is>
      </c>
      <c r="B4239" s="16" t="n">
        <v>44261</v>
      </c>
      <c r="C4239" s="20" t="inlineStr">
        <is>
          <t>토</t>
        </is>
      </c>
      <c r="D4239" s="20" t="inlineStr">
        <is>
          <t>페이스북/인스타그램</t>
        </is>
      </c>
      <c r="E4239" s="20" t="inlineStr">
        <is>
          <t>고체향수</t>
        </is>
      </c>
      <c r="K4239" s="20" t="n">
        <v>30630</v>
      </c>
    </row>
    <row r="4240" ht="16.5" customHeight="1" s="17">
      <c r="A4240" s="20" t="inlineStr">
        <is>
          <t>[승은 TEST] 스테이포에버_카드뉴스</t>
        </is>
      </c>
      <c r="B4240" s="16" t="n">
        <v>44261</v>
      </c>
      <c r="C4240" s="20" t="inlineStr">
        <is>
          <t>토</t>
        </is>
      </c>
      <c r="D4240" s="20" t="inlineStr">
        <is>
          <t>페이스북/인스타그램</t>
        </is>
      </c>
      <c r="E4240" s="20" t="inlineStr">
        <is>
          <t>고체향수</t>
        </is>
      </c>
      <c r="K4240" s="20" t="n">
        <v>60486</v>
      </c>
    </row>
    <row r="4241" ht="16.5" customHeight="1" s="17">
      <c r="A4241" s="20" t="inlineStr">
        <is>
          <t>[승무원 2] 스테이포에버_카드뉴스</t>
        </is>
      </c>
      <c r="B4241" s="16" t="n">
        <v>44261</v>
      </c>
      <c r="C4241" s="20" t="inlineStr">
        <is>
          <t>토</t>
        </is>
      </c>
      <c r="D4241" s="20" t="inlineStr">
        <is>
          <t>페이스북/인스타그램</t>
        </is>
      </c>
      <c r="E4241" s="20" t="inlineStr">
        <is>
          <t>고체향수</t>
        </is>
      </c>
      <c r="K4241" s="20" t="n">
        <v>273807</v>
      </c>
    </row>
    <row r="4242" ht="16.5" customHeight="1" s="17">
      <c r="A4242" s="20" t="inlineStr">
        <is>
          <t>[테스트]아줌마</t>
        </is>
      </c>
      <c r="B4242" s="16" t="n">
        <v>44261</v>
      </c>
      <c r="C4242" s="20" t="inlineStr">
        <is>
          <t>토</t>
        </is>
      </c>
      <c r="D4242" s="20" t="inlineStr">
        <is>
          <t>페이스북/인스타그램</t>
        </is>
      </c>
      <c r="E4242" s="20" t="inlineStr">
        <is>
          <t>고체향수</t>
        </is>
      </c>
      <c r="K4242" s="20" t="n">
        <v>201820</v>
      </c>
    </row>
    <row r="4243" ht="16.5" customHeight="1" s="17">
      <c r="A4243" s="20" t="inlineStr">
        <is>
          <t>[키워드 확장 테스트]스테이포에버_이미지</t>
        </is>
      </c>
      <c r="B4243" s="16" t="n">
        <v>44261</v>
      </c>
      <c r="C4243" s="20" t="inlineStr">
        <is>
          <t>토</t>
        </is>
      </c>
      <c r="D4243" s="20" t="inlineStr">
        <is>
          <t>페이스북/인스타그램</t>
        </is>
      </c>
      <c r="E4243" s="20" t="inlineStr">
        <is>
          <t>고체향수</t>
        </is>
      </c>
      <c r="K4243" s="20" t="n">
        <v>271560</v>
      </c>
    </row>
    <row r="4244" ht="16.5" customHeight="1" s="17">
      <c r="A4244" s="20" t="inlineStr">
        <is>
          <t>[재입고]스테이포에버_이미지</t>
        </is>
      </c>
      <c r="B4244" s="16" t="n">
        <v>44261</v>
      </c>
      <c r="C4244" s="20" t="inlineStr">
        <is>
          <t>토</t>
        </is>
      </c>
      <c r="D4244" s="20" t="inlineStr">
        <is>
          <t>페이스북/인스타그램</t>
        </is>
      </c>
      <c r="E4244" s="20" t="inlineStr">
        <is>
          <t>고체향수</t>
        </is>
      </c>
      <c r="K4244" s="20" t="n">
        <v>151095</v>
      </c>
    </row>
    <row r="4245" ht="16.5" customHeight="1" s="17">
      <c r="A4245" s="20" t="inlineStr">
        <is>
          <t>[승무원]숏폼_영상</t>
        </is>
      </c>
      <c r="B4245" s="16" t="n">
        <v>44261</v>
      </c>
      <c r="C4245" s="20" t="inlineStr">
        <is>
          <t>토</t>
        </is>
      </c>
      <c r="D4245" s="20" t="inlineStr">
        <is>
          <t>페이스북/인스타그램</t>
        </is>
      </c>
      <c r="E4245" s="20" t="inlineStr">
        <is>
          <t>고체향수</t>
        </is>
      </c>
      <c r="K4245" s="20" t="n">
        <v>101624</v>
      </c>
    </row>
    <row r="4246" ht="16.5" customHeight="1" s="17">
      <c r="A4246" s="20" t="inlineStr">
        <is>
          <t>[재입고]스테이포에버_영상</t>
        </is>
      </c>
      <c r="B4246" s="16" t="n">
        <v>44261</v>
      </c>
      <c r="C4246" s="20" t="inlineStr">
        <is>
          <t>토</t>
        </is>
      </c>
      <c r="D4246" s="20" t="inlineStr">
        <is>
          <t>페이스북/인스타그램</t>
        </is>
      </c>
      <c r="E4246" s="20" t="inlineStr">
        <is>
          <t>고체향수</t>
        </is>
      </c>
      <c r="K4246" s="20" t="n">
        <v>204005</v>
      </c>
    </row>
    <row r="4247" ht="16.5" customHeight="1" s="17">
      <c r="A4247" s="20" t="inlineStr">
        <is>
          <t>[필라테스]스테이포에버_카드뉴스</t>
        </is>
      </c>
      <c r="B4247" s="16" t="n">
        <v>44261</v>
      </c>
      <c r="C4247" s="20" t="inlineStr">
        <is>
          <t>토</t>
        </is>
      </c>
      <c r="D4247" s="20" t="inlineStr">
        <is>
          <t>페이스북/인스타그램</t>
        </is>
      </c>
      <c r="E4247" s="20" t="inlineStr">
        <is>
          <t>고체향수</t>
        </is>
      </c>
      <c r="K4247" s="20" t="n">
        <v>49494</v>
      </c>
    </row>
    <row r="4248" ht="16.5" customHeight="1" s="17">
      <c r="A4248" s="20" t="inlineStr">
        <is>
          <t>[젊줌마]스테이포에버_영상</t>
        </is>
      </c>
      <c r="B4248" s="16" t="n">
        <v>44261</v>
      </c>
      <c r="C4248" s="20" t="inlineStr">
        <is>
          <t>토</t>
        </is>
      </c>
      <c r="D4248" s="20" t="inlineStr">
        <is>
          <t>페이스북/인스타그램</t>
        </is>
      </c>
      <c r="E4248" s="20" t="inlineStr">
        <is>
          <t>고체향수</t>
        </is>
      </c>
      <c r="K4248" s="20" t="n">
        <v>102106</v>
      </c>
    </row>
    <row r="4249" ht="16.5" customHeight="1" s="17">
      <c r="A4249" s="20" t="inlineStr">
        <is>
          <t>[이성소구]스테이포에버_영상</t>
        </is>
      </c>
      <c r="B4249" s="16" t="n">
        <v>44261</v>
      </c>
      <c r="C4249" s="20" t="inlineStr">
        <is>
          <t>토</t>
        </is>
      </c>
      <c r="D4249" s="20" t="inlineStr">
        <is>
          <t>페이스북/인스타그램</t>
        </is>
      </c>
      <c r="E4249" s="20" t="inlineStr">
        <is>
          <t>고체향수</t>
        </is>
      </c>
      <c r="K4249" s="20" t="n">
        <v>30576</v>
      </c>
    </row>
    <row r="4250" ht="16.5" customHeight="1" s="17">
      <c r="A4250" s="20" t="inlineStr">
        <is>
          <t>[승무원]2019년썰 카드뉴스+ 향묘사_영상</t>
        </is>
      </c>
      <c r="B4250" s="16" t="n">
        <v>44261</v>
      </c>
      <c r="C4250" s="20" t="inlineStr">
        <is>
          <t>토</t>
        </is>
      </c>
      <c r="D4250" s="20" t="inlineStr">
        <is>
          <t>페이스북/인스타그램</t>
        </is>
      </c>
      <c r="E4250" s="20" t="inlineStr">
        <is>
          <t>고체향수</t>
        </is>
      </c>
      <c r="K4250" s="20" t="n">
        <v>71291</v>
      </c>
    </row>
    <row r="4251" ht="16.5" customHeight="1" s="17">
      <c r="A4251" s="20" t="inlineStr">
        <is>
          <t>[승무원어피]스테이포에버_이미지</t>
        </is>
      </c>
      <c r="B4251" s="16" t="n">
        <v>44261</v>
      </c>
      <c r="C4251" s="20" t="inlineStr">
        <is>
          <t>토</t>
        </is>
      </c>
      <c r="D4251" s="20" t="inlineStr">
        <is>
          <t>페이스북/인스타그램</t>
        </is>
      </c>
      <c r="E4251" s="20" t="inlineStr">
        <is>
          <t>고체향수</t>
        </is>
      </c>
      <c r="K4251" s="20" t="n">
        <v>100887</v>
      </c>
    </row>
    <row r="4252" ht="16.5" customHeight="1" s="17">
      <c r="A4252" s="20" t="inlineStr">
        <is>
          <t>[다현]스테이포에버_이미지</t>
        </is>
      </c>
      <c r="B4252" s="16" t="n">
        <v>44261</v>
      </c>
      <c r="C4252" s="20" t="inlineStr">
        <is>
          <t>토</t>
        </is>
      </c>
      <c r="D4252" s="20" t="inlineStr">
        <is>
          <t>페이스북/인스타그램</t>
        </is>
      </c>
      <c r="E4252" s="20" t="inlineStr">
        <is>
          <t>고체향수</t>
        </is>
      </c>
      <c r="K4252" s="20" t="n">
        <v>300533</v>
      </c>
    </row>
    <row r="4253" ht="16.5" customHeight="1" s="17">
      <c r="A4253" s="20" t="inlineStr">
        <is>
          <t>[승무원]스테이포에버_카드뉴스</t>
        </is>
      </c>
      <c r="B4253" s="16" t="n">
        <v>44261</v>
      </c>
      <c r="C4253" s="20" t="inlineStr">
        <is>
          <t>토</t>
        </is>
      </c>
      <c r="D4253" s="20" t="inlineStr">
        <is>
          <t>페이스북/인스타그램</t>
        </is>
      </c>
      <c r="E4253" s="20" t="inlineStr">
        <is>
          <t>고체향수</t>
        </is>
      </c>
      <c r="K4253" s="20" t="n">
        <v>306871</v>
      </c>
    </row>
    <row r="4254" ht="16.5" customHeight="1" s="17">
      <c r="A4254" s="20" t="inlineStr">
        <is>
          <t>[후기타입]스테이포에버_영상</t>
        </is>
      </c>
      <c r="B4254" s="16" t="n">
        <v>44261</v>
      </c>
      <c r="C4254" s="20" t="inlineStr">
        <is>
          <t>토</t>
        </is>
      </c>
      <c r="D4254" s="20" t="inlineStr">
        <is>
          <t>페이스북/인스타그램</t>
        </is>
      </c>
      <c r="E4254" s="20" t="inlineStr">
        <is>
          <t>고체향수</t>
        </is>
      </c>
      <c r="K4254" s="20" t="n">
        <v>151911</v>
      </c>
    </row>
    <row r="4255" ht="16.5" customHeight="1" s="17">
      <c r="A4255" s="20" t="inlineStr">
        <is>
          <t>전환_스테이포에버</t>
        </is>
      </c>
      <c r="B4255" s="16" t="n">
        <v>44261</v>
      </c>
      <c r="C4255" s="20" t="inlineStr">
        <is>
          <t>토</t>
        </is>
      </c>
      <c r="D4255" s="20" t="inlineStr">
        <is>
          <t>페이스북/인스타그램</t>
        </is>
      </c>
      <c r="E4255" s="20" t="inlineStr">
        <is>
          <t>고체향수</t>
        </is>
      </c>
      <c r="K4255" s="20" t="n">
        <v>153971</v>
      </c>
    </row>
    <row r="4256" ht="16.5" customHeight="1" s="17">
      <c r="A4256" s="20" t="inlineStr">
        <is>
          <t>[권태기커플]스테이포에버_영상</t>
        </is>
      </c>
      <c r="B4256" s="16" t="n">
        <v>44261</v>
      </c>
      <c r="C4256" s="20" t="inlineStr">
        <is>
          <t>토</t>
        </is>
      </c>
      <c r="D4256" s="20" t="inlineStr">
        <is>
          <t>페이스북/인스타그램</t>
        </is>
      </c>
      <c r="E4256" s="20" t="inlineStr">
        <is>
          <t>고체향수</t>
        </is>
      </c>
      <c r="K4256" s="20" t="n">
        <v>150873</v>
      </c>
    </row>
    <row r="4257" ht="16.5" customHeight="1" s="17">
      <c r="A4257" s="20" t="inlineStr">
        <is>
          <t>[다현 TEST] 스테이포에버_유즈모먼트</t>
        </is>
      </c>
      <c r="B4257" s="16" t="n">
        <v>44262</v>
      </c>
      <c r="C4257" s="20" t="inlineStr">
        <is>
          <t>일</t>
        </is>
      </c>
      <c r="D4257" s="20" t="inlineStr">
        <is>
          <t>페이스북/인스타그램</t>
        </is>
      </c>
      <c r="E4257" s="20" t="inlineStr">
        <is>
          <t>고체향수</t>
        </is>
      </c>
      <c r="K4257" s="20" t="n">
        <v>60904</v>
      </c>
    </row>
    <row r="4258" ht="16.5" customHeight="1" s="17">
      <c r="A4258" s="20" t="inlineStr">
        <is>
          <t>[성민 TEST] 스테이포에버_이미지</t>
        </is>
      </c>
      <c r="B4258" s="16" t="n">
        <v>44262</v>
      </c>
      <c r="C4258" s="20" t="inlineStr">
        <is>
          <t>일</t>
        </is>
      </c>
      <c r="D4258" s="20" t="inlineStr">
        <is>
          <t>페이스북/인스타그램</t>
        </is>
      </c>
      <c r="E4258" s="20" t="inlineStr">
        <is>
          <t>고체향수</t>
        </is>
      </c>
      <c r="K4258" s="20" t="n">
        <v>30393</v>
      </c>
    </row>
    <row r="4259" ht="16.5" customHeight="1" s="17">
      <c r="A4259" s="20" t="inlineStr">
        <is>
          <t>[승은 TEST] 스테이포에버_카드뉴스</t>
        </is>
      </c>
      <c r="B4259" s="16" t="n">
        <v>44262</v>
      </c>
      <c r="C4259" s="20" t="inlineStr">
        <is>
          <t>일</t>
        </is>
      </c>
      <c r="D4259" s="20" t="inlineStr">
        <is>
          <t>페이스북/인스타그램</t>
        </is>
      </c>
      <c r="E4259" s="20" t="inlineStr">
        <is>
          <t>고체향수</t>
        </is>
      </c>
      <c r="K4259" s="20" t="n">
        <v>60533</v>
      </c>
    </row>
    <row r="4260" ht="16.5" customHeight="1" s="17">
      <c r="A4260" s="20" t="inlineStr">
        <is>
          <t>[승무원 2] 스테이포에버_카드뉴스</t>
        </is>
      </c>
      <c r="B4260" s="16" t="n">
        <v>44262</v>
      </c>
      <c r="C4260" s="20" t="inlineStr">
        <is>
          <t>일</t>
        </is>
      </c>
      <c r="D4260" s="20" t="inlineStr">
        <is>
          <t>페이스북/인스타그램</t>
        </is>
      </c>
      <c r="E4260" s="20" t="inlineStr">
        <is>
          <t>고체향수</t>
        </is>
      </c>
      <c r="K4260" s="20" t="n">
        <v>300539</v>
      </c>
    </row>
    <row r="4261" ht="16.5" customHeight="1" s="17">
      <c r="A4261" s="20" t="inlineStr">
        <is>
          <t>[테스트]아줌마</t>
        </is>
      </c>
      <c r="B4261" s="16" t="n">
        <v>44262</v>
      </c>
      <c r="C4261" s="20" t="inlineStr">
        <is>
          <t>일</t>
        </is>
      </c>
      <c r="D4261" s="20" t="inlineStr">
        <is>
          <t>페이스북/인스타그램</t>
        </is>
      </c>
      <c r="E4261" s="20" t="inlineStr">
        <is>
          <t>고체향수</t>
        </is>
      </c>
      <c r="K4261" s="20" t="n">
        <v>166889</v>
      </c>
    </row>
    <row r="4262" ht="16.5" customHeight="1" s="17">
      <c r="A4262" s="20" t="inlineStr">
        <is>
          <t>[키워드 확장 테스트]스테이포에버_이미지</t>
        </is>
      </c>
      <c r="B4262" s="16" t="n">
        <v>44262</v>
      </c>
      <c r="C4262" s="20" t="inlineStr">
        <is>
          <t>일</t>
        </is>
      </c>
      <c r="D4262" s="20" t="inlineStr">
        <is>
          <t>페이스북/인스타그램</t>
        </is>
      </c>
      <c r="E4262" s="20" t="inlineStr">
        <is>
          <t>고체향수</t>
        </is>
      </c>
      <c r="K4262" s="20" t="n">
        <v>271100</v>
      </c>
    </row>
    <row r="4263" ht="16.5" customHeight="1" s="17">
      <c r="A4263" s="20" t="inlineStr">
        <is>
          <t>[재입고]스테이포에버_이미지</t>
        </is>
      </c>
      <c r="B4263" s="16" t="n">
        <v>44262</v>
      </c>
      <c r="C4263" s="20" t="inlineStr">
        <is>
          <t>일</t>
        </is>
      </c>
      <c r="D4263" s="20" t="inlineStr">
        <is>
          <t>페이스북/인스타그램</t>
        </is>
      </c>
      <c r="E4263" s="20" t="inlineStr">
        <is>
          <t>고체향수</t>
        </is>
      </c>
      <c r="K4263" s="20" t="n">
        <v>150383</v>
      </c>
    </row>
    <row r="4264" ht="16.5" customHeight="1" s="17">
      <c r="A4264" s="20" t="inlineStr">
        <is>
          <t>[승무원]숏폼_영상</t>
        </is>
      </c>
      <c r="B4264" s="16" t="n">
        <v>44262</v>
      </c>
      <c r="C4264" s="20" t="inlineStr">
        <is>
          <t>일</t>
        </is>
      </c>
      <c r="D4264" s="20" t="inlineStr">
        <is>
          <t>페이스북/인스타그램</t>
        </is>
      </c>
      <c r="E4264" s="20" t="inlineStr">
        <is>
          <t>고체향수</t>
        </is>
      </c>
      <c r="K4264" s="20" t="n">
        <v>100491</v>
      </c>
    </row>
    <row r="4265" ht="16.5" customHeight="1" s="17">
      <c r="A4265" s="20" t="inlineStr">
        <is>
          <t>[재입고]스테이포에버_영상</t>
        </is>
      </c>
      <c r="B4265" s="16" t="n">
        <v>44262</v>
      </c>
      <c r="C4265" s="20" t="inlineStr">
        <is>
          <t>일</t>
        </is>
      </c>
      <c r="D4265" s="20" t="inlineStr">
        <is>
          <t>페이스북/인스타그램</t>
        </is>
      </c>
      <c r="E4265" s="20" t="inlineStr">
        <is>
          <t>고체향수</t>
        </is>
      </c>
      <c r="K4265" s="20" t="n">
        <v>200743</v>
      </c>
    </row>
    <row r="4266" ht="16.5" customHeight="1" s="17">
      <c r="A4266" s="20" t="inlineStr">
        <is>
          <t>[필라테스]스테이포에버_카드뉴스</t>
        </is>
      </c>
      <c r="B4266" s="16" t="n">
        <v>44262</v>
      </c>
      <c r="C4266" s="20" t="inlineStr">
        <is>
          <t>일</t>
        </is>
      </c>
      <c r="D4266" s="20" t="inlineStr">
        <is>
          <t>페이스북/인스타그램</t>
        </is>
      </c>
      <c r="E4266" s="20" t="inlineStr">
        <is>
          <t>고체향수</t>
        </is>
      </c>
      <c r="K4266" s="20" t="n">
        <v>50353</v>
      </c>
    </row>
    <row r="4267" ht="16.5" customHeight="1" s="17">
      <c r="A4267" s="20" t="inlineStr">
        <is>
          <t>[젊줌마]스테이포에버_영상</t>
        </is>
      </c>
      <c r="B4267" s="16" t="n">
        <v>44262</v>
      </c>
      <c r="C4267" s="20" t="inlineStr">
        <is>
          <t>일</t>
        </is>
      </c>
      <c r="D4267" s="20" t="inlineStr">
        <is>
          <t>페이스북/인스타그램</t>
        </is>
      </c>
      <c r="E4267" s="20" t="inlineStr">
        <is>
          <t>고체향수</t>
        </is>
      </c>
      <c r="K4267" s="20" t="n">
        <v>100507</v>
      </c>
    </row>
    <row r="4268" ht="16.5" customHeight="1" s="17">
      <c r="A4268" s="20" t="inlineStr">
        <is>
          <t>[이성소구]스테이포에버_영상</t>
        </is>
      </c>
      <c r="B4268" s="16" t="n">
        <v>44262</v>
      </c>
      <c r="C4268" s="20" t="inlineStr">
        <is>
          <t>일</t>
        </is>
      </c>
      <c r="D4268" s="20" t="inlineStr">
        <is>
          <t>페이스북/인스타그램</t>
        </is>
      </c>
      <c r="E4268" s="20" t="inlineStr">
        <is>
          <t>고체향수</t>
        </is>
      </c>
      <c r="K4268" s="20" t="n">
        <v>30364</v>
      </c>
    </row>
    <row r="4269" ht="16.5" customHeight="1" s="17">
      <c r="A4269" s="20" t="inlineStr">
        <is>
          <t>[승무원]2019년썰 카드뉴스+ 향묘사_영상</t>
        </is>
      </c>
      <c r="B4269" s="16" t="n">
        <v>44262</v>
      </c>
      <c r="C4269" s="20" t="inlineStr">
        <is>
          <t>일</t>
        </is>
      </c>
      <c r="D4269" s="20" t="inlineStr">
        <is>
          <t>페이스북/인스타그램</t>
        </is>
      </c>
      <c r="E4269" s="20" t="inlineStr">
        <is>
          <t>고체향수</t>
        </is>
      </c>
      <c r="K4269" s="20" t="n">
        <v>70269</v>
      </c>
    </row>
    <row r="4270" ht="16.5" customHeight="1" s="17">
      <c r="A4270" s="20" t="inlineStr">
        <is>
          <t>[승무원어피]스테이포에버_이미지</t>
        </is>
      </c>
      <c r="B4270" s="16" t="n">
        <v>44262</v>
      </c>
      <c r="C4270" s="20" t="inlineStr">
        <is>
          <t>일</t>
        </is>
      </c>
      <c r="D4270" s="20" t="inlineStr">
        <is>
          <t>페이스북/인스타그램</t>
        </is>
      </c>
      <c r="E4270" s="20" t="inlineStr">
        <is>
          <t>고체향수</t>
        </is>
      </c>
      <c r="K4270" s="20" t="n">
        <v>101699</v>
      </c>
    </row>
    <row r="4271" ht="16.5" customHeight="1" s="17">
      <c r="A4271" s="20" t="inlineStr">
        <is>
          <t>[다현]스테이포에버_이미지</t>
        </is>
      </c>
      <c r="B4271" s="16" t="n">
        <v>44262</v>
      </c>
      <c r="C4271" s="20" t="inlineStr">
        <is>
          <t>일</t>
        </is>
      </c>
      <c r="D4271" s="20" t="inlineStr">
        <is>
          <t>페이스북/인스타그램</t>
        </is>
      </c>
      <c r="E4271" s="20" t="inlineStr">
        <is>
          <t>고체향수</t>
        </is>
      </c>
      <c r="K4271" s="20" t="n">
        <v>302358</v>
      </c>
    </row>
    <row r="4272" ht="16.5" customHeight="1" s="17">
      <c r="A4272" s="20" t="inlineStr">
        <is>
          <t>[승무원]스테이포에버_카드뉴스</t>
        </is>
      </c>
      <c r="B4272" s="16" t="n">
        <v>44262</v>
      </c>
      <c r="C4272" s="20" t="inlineStr">
        <is>
          <t>일</t>
        </is>
      </c>
      <c r="D4272" s="20" t="inlineStr">
        <is>
          <t>페이스북/인스타그램</t>
        </is>
      </c>
      <c r="E4272" s="20" t="inlineStr">
        <is>
          <t>고체향수</t>
        </is>
      </c>
      <c r="K4272" s="20" t="n">
        <v>300546</v>
      </c>
    </row>
    <row r="4273" ht="16.5" customHeight="1" s="17">
      <c r="A4273" s="20" t="inlineStr">
        <is>
          <t>[후기타입]스테이포에버_영상</t>
        </is>
      </c>
      <c r="B4273" s="16" t="n">
        <v>44262</v>
      </c>
      <c r="C4273" s="20" t="inlineStr">
        <is>
          <t>일</t>
        </is>
      </c>
      <c r="D4273" s="20" t="inlineStr">
        <is>
          <t>페이스북/인스타그램</t>
        </is>
      </c>
      <c r="E4273" s="20" t="inlineStr">
        <is>
          <t>고체향수</t>
        </is>
      </c>
      <c r="K4273" s="20" t="n">
        <v>150667</v>
      </c>
    </row>
    <row r="4274" ht="16.5" customHeight="1" s="17">
      <c r="A4274" s="20" t="inlineStr">
        <is>
          <t>전환_스테이포에버</t>
        </is>
      </c>
      <c r="B4274" s="16" t="n">
        <v>44262</v>
      </c>
      <c r="C4274" s="20" t="inlineStr">
        <is>
          <t>일</t>
        </is>
      </c>
      <c r="D4274" s="20" t="inlineStr">
        <is>
          <t>페이스북/인스타그램</t>
        </is>
      </c>
      <c r="E4274" s="20" t="inlineStr">
        <is>
          <t>고체향수</t>
        </is>
      </c>
      <c r="K4274" s="20" t="n">
        <v>151430</v>
      </c>
    </row>
    <row r="4275" ht="16.5" customHeight="1" s="17">
      <c r="A4275" s="20" t="inlineStr">
        <is>
          <t>[권태기커플]스테이포에버_영상</t>
        </is>
      </c>
      <c r="B4275" s="16" t="n">
        <v>44262</v>
      </c>
      <c r="C4275" s="20" t="inlineStr">
        <is>
          <t>일</t>
        </is>
      </c>
      <c r="D4275" s="20" t="inlineStr">
        <is>
          <t>페이스북/인스타그램</t>
        </is>
      </c>
      <c r="E4275" s="20" t="inlineStr">
        <is>
          <t>고체향수</t>
        </is>
      </c>
      <c r="K4275" s="20" t="n">
        <v>150699</v>
      </c>
    </row>
    <row r="4276" ht="16.5" customHeight="1" s="17">
      <c r="A4276" s="20" t="inlineStr">
        <is>
          <t>동영상캠페인_승무원_2019년썰(타겟 cpa)</t>
        </is>
      </c>
      <c r="B4276" s="16" t="n">
        <v>44257</v>
      </c>
      <c r="C4276" s="20" t="inlineStr">
        <is>
          <t>화</t>
        </is>
      </c>
      <c r="D4276" s="20" t="inlineStr">
        <is>
          <t>유튜브 광고</t>
        </is>
      </c>
      <c r="E4276" s="20" t="inlineStr">
        <is>
          <t>고체향수</t>
        </is>
      </c>
      <c r="K4276" s="20" t="n">
        <v>307606</v>
      </c>
    </row>
    <row r="4277" ht="16.5" customHeight="1" s="17">
      <c r="A4277" s="20" t="inlineStr">
        <is>
          <t>웹사이트 트래픽 서치</t>
        </is>
      </c>
      <c r="B4277" s="16" t="n">
        <v>44257</v>
      </c>
      <c r="C4277" s="20" t="inlineStr">
        <is>
          <t>화</t>
        </is>
      </c>
      <c r="D4277" s="20" t="inlineStr">
        <is>
          <t>유튜브 광고</t>
        </is>
      </c>
      <c r="E4277" s="20" t="inlineStr">
        <is>
          <t>고체향수</t>
        </is>
      </c>
      <c r="K4277" s="20" t="n">
        <v>36530</v>
      </c>
    </row>
    <row r="4278" ht="16.5" customHeight="1" s="17">
      <c r="A4278" s="20" t="inlineStr">
        <is>
          <t>동영상캠페인_승무원_보이는 라디오</t>
        </is>
      </c>
      <c r="B4278" s="16" t="n">
        <v>44257</v>
      </c>
      <c r="C4278" s="20" t="inlineStr">
        <is>
          <t>화</t>
        </is>
      </c>
      <c r="D4278" s="20" t="inlineStr">
        <is>
          <t>유튜브 광고</t>
        </is>
      </c>
      <c r="E4278" s="20" t="inlineStr">
        <is>
          <t>고체향수</t>
        </is>
      </c>
      <c r="K4278" s="20" t="n">
        <v>502346</v>
      </c>
    </row>
    <row r="4279" ht="16.5" customHeight="1" s="17">
      <c r="A4279" s="20" t="inlineStr">
        <is>
          <t>동영상캠페인_무드1</t>
        </is>
      </c>
      <c r="B4279" s="16" t="n">
        <v>44257</v>
      </c>
      <c r="C4279" s="20" t="inlineStr">
        <is>
          <t>화</t>
        </is>
      </c>
      <c r="D4279" s="20" t="inlineStr">
        <is>
          <t>유튜브 광고</t>
        </is>
      </c>
      <c r="E4279" s="20" t="inlineStr">
        <is>
          <t>고체향수</t>
        </is>
      </c>
      <c r="K4279" s="20" t="n">
        <v>4475</v>
      </c>
    </row>
    <row r="4280" ht="16.5" customHeight="1" s="17">
      <c r="A4280" s="20" t="inlineStr">
        <is>
          <t>디스커버리 배너_승무원,할인_리마케팅</t>
        </is>
      </c>
      <c r="B4280" s="16" t="n">
        <v>44257</v>
      </c>
      <c r="C4280" s="20" t="inlineStr">
        <is>
          <t>화</t>
        </is>
      </c>
      <c r="D4280" s="20" t="inlineStr">
        <is>
          <t>유튜브 광고</t>
        </is>
      </c>
      <c r="E4280" s="20" t="inlineStr">
        <is>
          <t>고체향수</t>
        </is>
      </c>
      <c r="K4280" s="20" t="n">
        <v>566785</v>
      </c>
    </row>
    <row r="4281" ht="16.5" customHeight="1" s="17">
      <c r="A4281" s="20" t="inlineStr">
        <is>
          <t>동영상캠페인_승무원_써니스카이</t>
        </is>
      </c>
      <c r="B4281" s="16" t="n">
        <v>44257</v>
      </c>
      <c r="C4281" s="20" t="inlineStr">
        <is>
          <t>화</t>
        </is>
      </c>
      <c r="D4281" s="20" t="inlineStr">
        <is>
          <t>유튜브 광고</t>
        </is>
      </c>
      <c r="E4281" s="20" t="inlineStr">
        <is>
          <t>고체향수</t>
        </is>
      </c>
      <c r="K4281" s="20" t="n">
        <v>504339</v>
      </c>
    </row>
    <row r="4282" ht="16.5" customHeight="1" s="17">
      <c r="A4282" s="20" t="inlineStr">
        <is>
          <t>동영상캠페인_필라테스_자기관리(타겟 cpa)</t>
        </is>
      </c>
      <c r="B4282" s="16" t="n">
        <v>44257</v>
      </c>
      <c r="C4282" s="20" t="inlineStr">
        <is>
          <t>화</t>
        </is>
      </c>
      <c r="D4282" s="20" t="inlineStr">
        <is>
          <t>유튜브 광고</t>
        </is>
      </c>
      <c r="E4282" s="20" t="inlineStr">
        <is>
          <t>고체향수</t>
        </is>
      </c>
      <c r="K4282" s="20" t="n">
        <v>477403</v>
      </c>
    </row>
    <row r="4283" ht="16.5" customHeight="1" s="17">
      <c r="A4283" s="20" t="inlineStr">
        <is>
          <t>동영상캠페인_승무원_비누향 나는 승무원에게(타겟 cpa)</t>
        </is>
      </c>
      <c r="B4283" s="16" t="n">
        <v>44257</v>
      </c>
      <c r="C4283" s="20" t="inlineStr">
        <is>
          <t>화</t>
        </is>
      </c>
      <c r="D4283" s="20" t="inlineStr">
        <is>
          <t>유튜브 광고</t>
        </is>
      </c>
      <c r="E4283" s="20" t="inlineStr">
        <is>
          <t>고체향수</t>
        </is>
      </c>
      <c r="K4283" s="20" t="n">
        <v>250121</v>
      </c>
    </row>
    <row r="4284" ht="16.5" customHeight="1" s="17">
      <c r="A4284" s="20" t="inlineStr">
        <is>
          <t>동영상캠페인_유즈모먼트_2차_30대 여성 회사원(타겟 cpa)</t>
        </is>
      </c>
      <c r="B4284" s="16" t="n">
        <v>44257</v>
      </c>
      <c r="C4284" s="20" t="inlineStr">
        <is>
          <t>화</t>
        </is>
      </c>
      <c r="D4284" s="20" t="inlineStr">
        <is>
          <t>유튜브 광고</t>
        </is>
      </c>
      <c r="E4284" s="20" t="inlineStr">
        <is>
          <t>고체향수</t>
        </is>
      </c>
      <c r="K4284" s="20" t="n">
        <v>403735</v>
      </c>
    </row>
    <row r="4285" ht="16.5" customHeight="1" s="17">
      <c r="A4285" s="20" t="inlineStr">
        <is>
          <t>동영상캠페인_승무원_2019년썰(타겟 cpa)</t>
        </is>
      </c>
      <c r="B4285" s="16" t="n">
        <v>44258</v>
      </c>
      <c r="C4285" s="20" t="inlineStr">
        <is>
          <t>수</t>
        </is>
      </c>
      <c r="D4285" s="20" t="inlineStr">
        <is>
          <t>유튜브 광고</t>
        </is>
      </c>
      <c r="E4285" s="20" t="inlineStr">
        <is>
          <t>고체향수</t>
        </is>
      </c>
      <c r="K4285" s="20" t="n">
        <v>303302</v>
      </c>
    </row>
    <row r="4286" ht="16.5" customHeight="1" s="17">
      <c r="A4286" s="20" t="inlineStr">
        <is>
          <t>웹사이트 트래픽 서치</t>
        </is>
      </c>
      <c r="B4286" s="16" t="n">
        <v>44258</v>
      </c>
      <c r="C4286" s="20" t="inlineStr">
        <is>
          <t>수</t>
        </is>
      </c>
      <c r="D4286" s="20" t="inlineStr">
        <is>
          <t>유튜브 광고</t>
        </is>
      </c>
      <c r="E4286" s="20" t="inlineStr">
        <is>
          <t>고체향수</t>
        </is>
      </c>
      <c r="K4286" s="20" t="n">
        <v>47576</v>
      </c>
    </row>
    <row r="4287" ht="16.5" customHeight="1" s="17">
      <c r="A4287" s="20" t="inlineStr">
        <is>
          <t>동영상캠페인_승무원_보이는 라디오</t>
        </is>
      </c>
      <c r="B4287" s="16" t="n">
        <v>44258</v>
      </c>
      <c r="C4287" s="20" t="inlineStr">
        <is>
          <t>수</t>
        </is>
      </c>
      <c r="D4287" s="20" t="inlineStr">
        <is>
          <t>유튜브 광고</t>
        </is>
      </c>
      <c r="E4287" s="20" t="inlineStr">
        <is>
          <t>고체향수</t>
        </is>
      </c>
      <c r="K4287" s="20" t="n">
        <v>497355</v>
      </c>
    </row>
    <row r="4288" ht="16.5" customHeight="1" s="17">
      <c r="A4288" s="20" t="inlineStr">
        <is>
          <t>동영상캠페인_무드1</t>
        </is>
      </c>
      <c r="B4288" s="16" t="n">
        <v>44258</v>
      </c>
      <c r="C4288" s="20" t="inlineStr">
        <is>
          <t>수</t>
        </is>
      </c>
      <c r="D4288" s="20" t="inlineStr">
        <is>
          <t>유튜브 광고</t>
        </is>
      </c>
      <c r="E4288" s="20" t="inlineStr">
        <is>
          <t>고체향수</t>
        </is>
      </c>
      <c r="K4288" s="20" t="n">
        <v>1330</v>
      </c>
    </row>
    <row r="4289" ht="16.5" customHeight="1" s="17">
      <c r="A4289" s="20" t="inlineStr">
        <is>
          <t>디스커버리 배너_승무원,할인_리마케팅</t>
        </is>
      </c>
      <c r="B4289" s="16" t="n">
        <v>44258</v>
      </c>
      <c r="C4289" s="20" t="inlineStr">
        <is>
          <t>수</t>
        </is>
      </c>
      <c r="D4289" s="20" t="inlineStr">
        <is>
          <t>유튜브 광고</t>
        </is>
      </c>
      <c r="E4289" s="20" t="inlineStr">
        <is>
          <t>고체향수</t>
        </is>
      </c>
      <c r="K4289" s="20" t="n">
        <v>476363</v>
      </c>
    </row>
    <row r="4290" ht="16.5" customHeight="1" s="17">
      <c r="A4290" s="20" t="inlineStr">
        <is>
          <t>동영상캠페인_승무원_써니스카이</t>
        </is>
      </c>
      <c r="B4290" s="16" t="n">
        <v>44258</v>
      </c>
      <c r="C4290" s="20" t="inlineStr">
        <is>
          <t>수</t>
        </is>
      </c>
      <c r="D4290" s="20" t="inlineStr">
        <is>
          <t>유튜브 광고</t>
        </is>
      </c>
      <c r="E4290" s="20" t="inlineStr">
        <is>
          <t>고체향수</t>
        </is>
      </c>
      <c r="K4290" s="20" t="n">
        <v>498433</v>
      </c>
    </row>
    <row r="4291" ht="16.5" customHeight="1" s="17">
      <c r="A4291" s="20" t="inlineStr">
        <is>
          <t>동영상캠페인_필라테스_자기관리(타겟 cpa)</t>
        </is>
      </c>
      <c r="B4291" s="16" t="n">
        <v>44258</v>
      </c>
      <c r="C4291" s="20" t="inlineStr">
        <is>
          <t>수</t>
        </is>
      </c>
      <c r="D4291" s="20" t="inlineStr">
        <is>
          <t>유튜브 광고</t>
        </is>
      </c>
      <c r="E4291" s="20" t="inlineStr">
        <is>
          <t>고체향수</t>
        </is>
      </c>
      <c r="K4291" s="20" t="n">
        <v>303689</v>
      </c>
    </row>
    <row r="4292" ht="16.5" customHeight="1" s="17">
      <c r="A4292" s="20" t="inlineStr">
        <is>
          <t>동영상캠페인_승무원_비누향 나는 승무원에게(타겟 cpa)</t>
        </is>
      </c>
      <c r="B4292" s="16" t="n">
        <v>44258</v>
      </c>
      <c r="C4292" s="20" t="inlineStr">
        <is>
          <t>수</t>
        </is>
      </c>
      <c r="D4292" s="20" t="inlineStr">
        <is>
          <t>유튜브 광고</t>
        </is>
      </c>
      <c r="E4292" s="20" t="inlineStr">
        <is>
          <t>고체향수</t>
        </is>
      </c>
      <c r="K4292" s="20" t="n">
        <v>405319</v>
      </c>
    </row>
    <row r="4293" ht="16.5" customHeight="1" s="17">
      <c r="A4293" s="20" t="inlineStr">
        <is>
          <t>동영상캠페인_유즈모먼트_2차_30대 여성 회사원(타겟 cpa)</t>
        </is>
      </c>
      <c r="B4293" s="16" t="n">
        <v>44258</v>
      </c>
      <c r="C4293" s="20" t="inlineStr">
        <is>
          <t>수</t>
        </is>
      </c>
      <c r="D4293" s="20" t="inlineStr">
        <is>
          <t>유튜브 광고</t>
        </is>
      </c>
      <c r="E4293" s="20" t="inlineStr">
        <is>
          <t>고체향수</t>
        </is>
      </c>
      <c r="K4293" s="20" t="n">
        <v>397001</v>
      </c>
    </row>
    <row r="4294" ht="16.5" customHeight="1" s="17">
      <c r="A4294" s="20" t="inlineStr">
        <is>
          <t>동영상캠페인_승무원_2019년썰(타겟 cpa)</t>
        </is>
      </c>
      <c r="B4294" s="16" t="n">
        <v>44259</v>
      </c>
      <c r="C4294" s="20" t="inlineStr">
        <is>
          <t>목</t>
        </is>
      </c>
      <c r="D4294" s="20" t="inlineStr">
        <is>
          <t>유튜브 광고</t>
        </is>
      </c>
      <c r="E4294" s="20" t="inlineStr">
        <is>
          <t>고체향수</t>
        </is>
      </c>
      <c r="K4294" s="20" t="n">
        <v>276320</v>
      </c>
    </row>
    <row r="4295" ht="16.5" customHeight="1" s="17">
      <c r="A4295" s="20" t="inlineStr">
        <is>
          <t>웹사이트 트래픽 서치</t>
        </is>
      </c>
      <c r="B4295" s="16" t="n">
        <v>44259</v>
      </c>
      <c r="C4295" s="20" t="inlineStr">
        <is>
          <t>목</t>
        </is>
      </c>
      <c r="D4295" s="20" t="inlineStr">
        <is>
          <t>유튜브 광고</t>
        </is>
      </c>
      <c r="E4295" s="20" t="inlineStr">
        <is>
          <t>고체향수</t>
        </is>
      </c>
      <c r="K4295" s="20" t="n">
        <v>28956</v>
      </c>
    </row>
    <row r="4296" ht="16.5" customHeight="1" s="17">
      <c r="A4296" s="20" t="inlineStr">
        <is>
          <t>동영상캠페인_승무원_보이는 라디오</t>
        </is>
      </c>
      <c r="B4296" s="16" t="n">
        <v>44259</v>
      </c>
      <c r="C4296" s="20" t="inlineStr">
        <is>
          <t>목</t>
        </is>
      </c>
      <c r="D4296" s="20" t="inlineStr">
        <is>
          <t>유튜브 광고</t>
        </is>
      </c>
      <c r="E4296" s="20" t="inlineStr">
        <is>
          <t>고체향수</t>
        </is>
      </c>
      <c r="K4296" s="20" t="n">
        <v>498136</v>
      </c>
    </row>
    <row r="4297" ht="16.5" customHeight="1" s="17">
      <c r="A4297" s="20" t="inlineStr">
        <is>
          <t>디스커버리 배너_승무원,할인_리마케팅</t>
        </is>
      </c>
      <c r="B4297" s="16" t="n">
        <v>44259</v>
      </c>
      <c r="C4297" s="20" t="inlineStr">
        <is>
          <t>목</t>
        </is>
      </c>
      <c r="D4297" s="20" t="inlineStr">
        <is>
          <t>유튜브 광고</t>
        </is>
      </c>
      <c r="E4297" s="20" t="inlineStr">
        <is>
          <t>고체향수</t>
        </is>
      </c>
      <c r="K4297" s="20" t="n">
        <v>484098</v>
      </c>
    </row>
    <row r="4298" ht="16.5" customHeight="1" s="17">
      <c r="A4298" s="20" t="inlineStr">
        <is>
          <t>동영상캠페인_승무원_써니스카이</t>
        </is>
      </c>
      <c r="B4298" s="16" t="n">
        <v>44259</v>
      </c>
      <c r="C4298" s="20" t="inlineStr">
        <is>
          <t>목</t>
        </is>
      </c>
      <c r="D4298" s="20" t="inlineStr">
        <is>
          <t>유튜브 광고</t>
        </is>
      </c>
      <c r="E4298" s="20" t="inlineStr">
        <is>
          <t>고체향수</t>
        </is>
      </c>
      <c r="K4298" s="20" t="n">
        <v>500440</v>
      </c>
    </row>
    <row r="4299" ht="16.5" customHeight="1" s="17">
      <c r="A4299" s="20" t="inlineStr">
        <is>
          <t>동영상캠페인_필라테스_자기관리(타겟 cpa)</t>
        </is>
      </c>
      <c r="B4299" s="16" t="n">
        <v>44259</v>
      </c>
      <c r="C4299" s="20" t="inlineStr">
        <is>
          <t>목</t>
        </is>
      </c>
      <c r="D4299" s="20" t="inlineStr">
        <is>
          <t>유튜브 광고</t>
        </is>
      </c>
      <c r="E4299" s="20" t="inlineStr">
        <is>
          <t>고체향수</t>
        </is>
      </c>
      <c r="K4299" s="20" t="n">
        <v>265348</v>
      </c>
    </row>
    <row r="4300" ht="16.5" customHeight="1" s="17">
      <c r="A4300" s="20" t="inlineStr">
        <is>
          <t>동영상캠페인_승무원_비누향 나는 승무원에게(타겟 cpa)</t>
        </is>
      </c>
      <c r="B4300" s="16" t="n">
        <v>44259</v>
      </c>
      <c r="C4300" s="20" t="inlineStr">
        <is>
          <t>목</t>
        </is>
      </c>
      <c r="D4300" s="20" t="inlineStr">
        <is>
          <t>유튜브 광고</t>
        </is>
      </c>
      <c r="E4300" s="20" t="inlineStr">
        <is>
          <t>고체향수</t>
        </is>
      </c>
      <c r="K4300" s="20" t="n">
        <v>372763</v>
      </c>
    </row>
    <row r="4301" ht="16.5" customHeight="1" s="17">
      <c r="A4301" s="20" t="inlineStr">
        <is>
          <t>동영상캠페인_유즈모먼트_2차_30대 여성 회사원(타겟 cpa)</t>
        </is>
      </c>
      <c r="B4301" s="16" t="n">
        <v>44259</v>
      </c>
      <c r="C4301" s="20" t="inlineStr">
        <is>
          <t>목</t>
        </is>
      </c>
      <c r="D4301" s="20" t="inlineStr">
        <is>
          <t>유튜브 광고</t>
        </is>
      </c>
      <c r="E4301" s="20" t="inlineStr">
        <is>
          <t>고체향수</t>
        </is>
      </c>
      <c r="K4301" s="20" t="n">
        <v>398098</v>
      </c>
    </row>
    <row r="4302" ht="16.5" customHeight="1" s="17">
      <c r="A4302" s="20" t="inlineStr">
        <is>
          <t>동영상캠페인_유즈모먼트_조향사 친구</t>
        </is>
      </c>
      <c r="B4302" s="16" t="n">
        <v>44259</v>
      </c>
      <c r="C4302" s="20" t="inlineStr">
        <is>
          <t>목</t>
        </is>
      </c>
      <c r="D4302" s="20" t="inlineStr">
        <is>
          <t>유튜브 광고</t>
        </is>
      </c>
      <c r="E4302" s="20" t="inlineStr">
        <is>
          <t>고체향수</t>
        </is>
      </c>
      <c r="K4302" s="20" t="n">
        <v>104118</v>
      </c>
    </row>
    <row r="4303" ht="16.5" customHeight="1" s="17">
      <c r="A4303" s="20" t="inlineStr">
        <is>
          <t>동영상캠페인_유즈모먼트_사춘기 딸 2차</t>
        </is>
      </c>
      <c r="B4303" s="16" t="n">
        <v>44259</v>
      </c>
      <c r="C4303" s="20" t="inlineStr">
        <is>
          <t>목</t>
        </is>
      </c>
      <c r="D4303" s="20" t="inlineStr">
        <is>
          <t>유튜브 광고</t>
        </is>
      </c>
      <c r="E4303" s="20" t="inlineStr">
        <is>
          <t>고체향수</t>
        </is>
      </c>
      <c r="K4303" s="20" t="n">
        <v>102043</v>
      </c>
    </row>
    <row r="4304" ht="16.5" customHeight="1" s="17">
      <c r="A4304" s="20" t="inlineStr">
        <is>
          <t>동영상캠페인_승무원_2019년썰(타겟 cpa)</t>
        </is>
      </c>
      <c r="B4304" s="16" t="n">
        <v>44260</v>
      </c>
      <c r="C4304" s="20" t="inlineStr">
        <is>
          <t>금</t>
        </is>
      </c>
      <c r="D4304" s="20" t="inlineStr">
        <is>
          <t>유튜브 광고</t>
        </is>
      </c>
      <c r="E4304" s="20" t="inlineStr">
        <is>
          <t>고체향수</t>
        </is>
      </c>
      <c r="K4304" s="20" t="n">
        <v>276745</v>
      </c>
    </row>
    <row r="4305" ht="16.5" customHeight="1" s="17">
      <c r="A4305" s="20" t="inlineStr">
        <is>
          <t>웹사이트 트래픽 서치</t>
        </is>
      </c>
      <c r="B4305" s="16" t="n">
        <v>44260</v>
      </c>
      <c r="C4305" s="20" t="inlineStr">
        <is>
          <t>금</t>
        </is>
      </c>
      <c r="D4305" s="20" t="inlineStr">
        <is>
          <t>유튜브 광고</t>
        </is>
      </c>
      <c r="E4305" s="20" t="inlineStr">
        <is>
          <t>고체향수</t>
        </is>
      </c>
      <c r="K4305" s="20" t="n">
        <v>28114</v>
      </c>
    </row>
    <row r="4306" ht="16.5" customHeight="1" s="17">
      <c r="A4306" s="20" t="inlineStr">
        <is>
          <t>동영상캠페인_승무원_보이는 라디오</t>
        </is>
      </c>
      <c r="B4306" s="16" t="n">
        <v>44260</v>
      </c>
      <c r="C4306" s="20" t="inlineStr">
        <is>
          <t>금</t>
        </is>
      </c>
      <c r="D4306" s="20" t="inlineStr">
        <is>
          <t>유튜브 광고</t>
        </is>
      </c>
      <c r="E4306" s="20" t="inlineStr">
        <is>
          <t>고체향수</t>
        </is>
      </c>
      <c r="K4306" s="20" t="n">
        <v>487085</v>
      </c>
    </row>
    <row r="4307" ht="16.5" customHeight="1" s="17">
      <c r="A4307" s="20" t="inlineStr">
        <is>
          <t>디스커버리 배너_승무원,할인_리마케팅</t>
        </is>
      </c>
      <c r="B4307" s="16" t="n">
        <v>44260</v>
      </c>
      <c r="C4307" s="20" t="inlineStr">
        <is>
          <t>금</t>
        </is>
      </c>
      <c r="D4307" s="20" t="inlineStr">
        <is>
          <t>유튜브 광고</t>
        </is>
      </c>
      <c r="E4307" s="20" t="inlineStr">
        <is>
          <t>고체향수</t>
        </is>
      </c>
      <c r="K4307" s="20" t="n">
        <v>320276</v>
      </c>
    </row>
    <row r="4308" ht="16.5" customHeight="1" s="17">
      <c r="A4308" s="20" t="inlineStr">
        <is>
          <t>동영상캠페인_승무원_써니스카이</t>
        </is>
      </c>
      <c r="B4308" s="16" t="n">
        <v>44260</v>
      </c>
      <c r="C4308" s="20" t="inlineStr">
        <is>
          <t>금</t>
        </is>
      </c>
      <c r="D4308" s="20" t="inlineStr">
        <is>
          <t>유튜브 광고</t>
        </is>
      </c>
      <c r="E4308" s="20" t="inlineStr">
        <is>
          <t>고체향수</t>
        </is>
      </c>
      <c r="K4308" s="20" t="n">
        <v>487955</v>
      </c>
    </row>
    <row r="4309" ht="16.5" customHeight="1" s="17">
      <c r="A4309" s="20" t="inlineStr">
        <is>
          <t>동영상캠페인_필라테스_자기관리(타겟 cpa)</t>
        </is>
      </c>
      <c r="B4309" s="16" t="n">
        <v>44260</v>
      </c>
      <c r="C4309" s="20" t="inlineStr">
        <is>
          <t>금</t>
        </is>
      </c>
      <c r="D4309" s="20" t="inlineStr">
        <is>
          <t>유튜브 광고</t>
        </is>
      </c>
      <c r="E4309" s="20" t="inlineStr">
        <is>
          <t>고체향수</t>
        </is>
      </c>
      <c r="K4309" s="20" t="n">
        <v>208364</v>
      </c>
    </row>
    <row r="4310" ht="16.5" customHeight="1" s="17">
      <c r="A4310" s="20" t="inlineStr">
        <is>
          <t>동영상캠페인_승무원_비누향 나는 승무원에게(타겟 cpa)</t>
        </is>
      </c>
      <c r="B4310" s="16" t="n">
        <v>44260</v>
      </c>
      <c r="C4310" s="20" t="inlineStr">
        <is>
          <t>금</t>
        </is>
      </c>
      <c r="D4310" s="20" t="inlineStr">
        <is>
          <t>유튜브 광고</t>
        </is>
      </c>
      <c r="E4310" s="20" t="inlineStr">
        <is>
          <t>고체향수</t>
        </is>
      </c>
      <c r="K4310" s="20" t="n">
        <v>411119</v>
      </c>
    </row>
    <row r="4311" ht="16.5" customHeight="1" s="17">
      <c r="A4311" s="20" t="inlineStr">
        <is>
          <t>동영상캠페인_유즈모먼트_2차_30대 여성 회사원(타겟 cpa)</t>
        </is>
      </c>
      <c r="B4311" s="16" t="n">
        <v>44260</v>
      </c>
      <c r="C4311" s="20" t="inlineStr">
        <is>
          <t>금</t>
        </is>
      </c>
      <c r="D4311" s="20" t="inlineStr">
        <is>
          <t>유튜브 광고</t>
        </is>
      </c>
      <c r="E4311" s="20" t="inlineStr">
        <is>
          <t>고체향수</t>
        </is>
      </c>
      <c r="K4311" s="20" t="n">
        <v>389505</v>
      </c>
    </row>
    <row r="4312" ht="16.5" customHeight="1" s="17">
      <c r="A4312" s="20" t="inlineStr">
        <is>
          <t>동영상캠페인_유즈모먼트_조향사 친구</t>
        </is>
      </c>
      <c r="B4312" s="16" t="n">
        <v>44260</v>
      </c>
      <c r="C4312" s="20" t="inlineStr">
        <is>
          <t>금</t>
        </is>
      </c>
      <c r="D4312" s="20" t="inlineStr">
        <is>
          <t>유튜브 광고</t>
        </is>
      </c>
      <c r="E4312" s="20" t="inlineStr">
        <is>
          <t>고체향수</t>
        </is>
      </c>
      <c r="K4312" s="20" t="n">
        <v>99591</v>
      </c>
    </row>
    <row r="4313" ht="16.5" customHeight="1" s="17">
      <c r="A4313" s="20" t="inlineStr">
        <is>
          <t>동영상캠페인_유즈모먼트_사춘기 딸 2차</t>
        </is>
      </c>
      <c r="B4313" s="16" t="n">
        <v>44260</v>
      </c>
      <c r="C4313" s="20" t="inlineStr">
        <is>
          <t>금</t>
        </is>
      </c>
      <c r="D4313" s="20" t="inlineStr">
        <is>
          <t>유튜브 광고</t>
        </is>
      </c>
      <c r="E4313" s="20" t="inlineStr">
        <is>
          <t>고체향수</t>
        </is>
      </c>
      <c r="K4313" s="20" t="n">
        <v>99877</v>
      </c>
    </row>
    <row r="4314" ht="16.5" customHeight="1" s="17">
      <c r="A4314" s="20" t="inlineStr">
        <is>
          <t>동영상캠페인_승무원_2019년썰(타겟 cpa)</t>
        </is>
      </c>
      <c r="B4314" s="16" t="n">
        <v>44261</v>
      </c>
      <c r="C4314" s="20" t="inlineStr">
        <is>
          <t>토</t>
        </is>
      </c>
      <c r="D4314" s="20" t="inlineStr">
        <is>
          <t>유튜브 광고</t>
        </is>
      </c>
      <c r="E4314" s="20" t="inlineStr">
        <is>
          <t>고체향수</t>
        </is>
      </c>
      <c r="K4314" s="20" t="n">
        <v>192885</v>
      </c>
    </row>
    <row r="4315" ht="16.5" customHeight="1" s="17">
      <c r="A4315" s="20" t="inlineStr">
        <is>
          <t>웹사이트 트래픽 서치</t>
        </is>
      </c>
      <c r="B4315" s="16" t="n">
        <v>44261</v>
      </c>
      <c r="C4315" s="20" t="inlineStr">
        <is>
          <t>토</t>
        </is>
      </c>
      <c r="D4315" s="20" t="inlineStr">
        <is>
          <t>유튜브 광고</t>
        </is>
      </c>
      <c r="E4315" s="20" t="inlineStr">
        <is>
          <t>고체향수</t>
        </is>
      </c>
      <c r="K4315" s="20" t="n">
        <v>27536</v>
      </c>
    </row>
    <row r="4316" ht="16.5" customHeight="1" s="17">
      <c r="A4316" s="20" t="inlineStr">
        <is>
          <t>동영상캠페인_승무원_보이는 라디오</t>
        </is>
      </c>
      <c r="B4316" s="16" t="n">
        <v>44261</v>
      </c>
      <c r="C4316" s="20" t="inlineStr">
        <is>
          <t>토</t>
        </is>
      </c>
      <c r="D4316" s="20" t="inlineStr">
        <is>
          <t>유튜브 광고</t>
        </is>
      </c>
      <c r="E4316" s="20" t="inlineStr">
        <is>
          <t>고체향수</t>
        </is>
      </c>
      <c r="K4316" s="20" t="n">
        <v>488951</v>
      </c>
    </row>
    <row r="4317" ht="16.5" customHeight="1" s="17">
      <c r="A4317" s="20" t="inlineStr">
        <is>
          <t>디스커버리 배너_승무원,할인_리마케팅</t>
        </is>
      </c>
      <c r="B4317" s="16" t="n">
        <v>44261</v>
      </c>
      <c r="C4317" s="20" t="inlineStr">
        <is>
          <t>토</t>
        </is>
      </c>
      <c r="D4317" s="20" t="inlineStr">
        <is>
          <t>유튜브 광고</t>
        </is>
      </c>
      <c r="E4317" s="20" t="inlineStr">
        <is>
          <t>고체향수</t>
        </is>
      </c>
      <c r="K4317" s="20" t="n">
        <v>492622</v>
      </c>
    </row>
    <row r="4318" ht="16.5" customHeight="1" s="17">
      <c r="A4318" s="20" t="inlineStr">
        <is>
          <t>동영상캠페인_승무원_써니스카이</t>
        </is>
      </c>
      <c r="B4318" s="16" t="n">
        <v>44261</v>
      </c>
      <c r="C4318" s="20" t="inlineStr">
        <is>
          <t>토</t>
        </is>
      </c>
      <c r="D4318" s="20" t="inlineStr">
        <is>
          <t>유튜브 광고</t>
        </is>
      </c>
      <c r="E4318" s="20" t="inlineStr">
        <is>
          <t>고체향수</t>
        </is>
      </c>
      <c r="K4318" s="20" t="n">
        <v>488181</v>
      </c>
    </row>
    <row r="4319" ht="16.5" customHeight="1" s="17">
      <c r="A4319" s="20" t="inlineStr">
        <is>
          <t>동영상캠페인_필라테스_자기관리(타겟 cpa)</t>
        </is>
      </c>
      <c r="B4319" s="16" t="n">
        <v>44261</v>
      </c>
      <c r="C4319" s="20" t="inlineStr">
        <is>
          <t>토</t>
        </is>
      </c>
      <c r="D4319" s="20" t="inlineStr">
        <is>
          <t>유튜브 광고</t>
        </is>
      </c>
      <c r="E4319" s="20" t="inlineStr">
        <is>
          <t>고체향수</t>
        </is>
      </c>
      <c r="K4319" s="20" t="n">
        <v>180092</v>
      </c>
    </row>
    <row r="4320" ht="16.5" customHeight="1" s="17">
      <c r="A4320" s="20" t="inlineStr">
        <is>
          <t>동영상캠페인_승무원_비누향 나는 승무원에게(타겟 cpa)</t>
        </is>
      </c>
      <c r="B4320" s="16" t="n">
        <v>44261</v>
      </c>
      <c r="C4320" s="20" t="inlineStr">
        <is>
          <t>토</t>
        </is>
      </c>
      <c r="D4320" s="20" t="inlineStr">
        <is>
          <t>유튜브 광고</t>
        </is>
      </c>
      <c r="E4320" s="20" t="inlineStr">
        <is>
          <t>고체향수</t>
        </is>
      </c>
      <c r="K4320" s="20" t="n">
        <v>384244</v>
      </c>
    </row>
    <row r="4321" ht="16.5" customHeight="1" s="17">
      <c r="A4321" s="20" t="inlineStr">
        <is>
          <t>동영상캠페인_유즈모먼트_2차_30대 여성 회사원(타겟 cpa)</t>
        </is>
      </c>
      <c r="B4321" s="16" t="n">
        <v>44261</v>
      </c>
      <c r="C4321" s="20" t="inlineStr">
        <is>
          <t>토</t>
        </is>
      </c>
      <c r="D4321" s="20" t="inlineStr">
        <is>
          <t>유튜브 광고</t>
        </is>
      </c>
      <c r="E4321" s="20" t="inlineStr">
        <is>
          <t>고체향수</t>
        </is>
      </c>
      <c r="K4321" s="20" t="n">
        <v>391307</v>
      </c>
    </row>
    <row r="4322" ht="16.5" customHeight="1" s="17">
      <c r="A4322" s="20" t="inlineStr">
        <is>
          <t>동영상캠페인_유즈모먼트_조향사 친구</t>
        </is>
      </c>
      <c r="B4322" s="16" t="n">
        <v>44261</v>
      </c>
      <c r="C4322" s="20" t="inlineStr">
        <is>
          <t>토</t>
        </is>
      </c>
      <c r="D4322" s="20" t="inlineStr">
        <is>
          <t>유튜브 광고</t>
        </is>
      </c>
      <c r="E4322" s="20" t="inlineStr">
        <is>
          <t>고체향수</t>
        </is>
      </c>
      <c r="K4322" s="20" t="n">
        <v>99798</v>
      </c>
    </row>
    <row r="4323" ht="16.5" customHeight="1" s="17">
      <c r="A4323" s="20" t="inlineStr">
        <is>
          <t>동영상캠페인_유즈모먼트_사춘기 딸 2차</t>
        </is>
      </c>
      <c r="B4323" s="16" t="n">
        <v>44261</v>
      </c>
      <c r="C4323" s="20" t="inlineStr">
        <is>
          <t>토</t>
        </is>
      </c>
      <c r="D4323" s="20" t="inlineStr">
        <is>
          <t>유튜브 광고</t>
        </is>
      </c>
      <c r="E4323" s="20" t="inlineStr">
        <is>
          <t>고체향수</t>
        </is>
      </c>
      <c r="K4323" s="20" t="n">
        <v>100017</v>
      </c>
    </row>
    <row r="4324" ht="16.5" customHeight="1" s="17">
      <c r="A4324" s="20" t="inlineStr">
        <is>
          <t>동영상캠페인_승무원_2019년썰(타겟 cpa)</t>
        </is>
      </c>
      <c r="B4324" s="16" t="n">
        <v>44262</v>
      </c>
      <c r="C4324" s="20" t="inlineStr">
        <is>
          <t>일</t>
        </is>
      </c>
      <c r="D4324" s="20" t="inlineStr">
        <is>
          <t>유튜브 광고</t>
        </is>
      </c>
      <c r="E4324" s="20" t="inlineStr">
        <is>
          <t>고체향수</t>
        </is>
      </c>
      <c r="K4324" s="20" t="n">
        <v>160121</v>
      </c>
    </row>
    <row r="4325" ht="16.5" customHeight="1" s="17">
      <c r="A4325" s="20" t="inlineStr">
        <is>
          <t>웹사이트 트래픽 서치</t>
        </is>
      </c>
      <c r="B4325" s="16" t="n">
        <v>44262</v>
      </c>
      <c r="C4325" s="20" t="inlineStr">
        <is>
          <t>일</t>
        </is>
      </c>
      <c r="D4325" s="20" t="inlineStr">
        <is>
          <t>유튜브 광고</t>
        </is>
      </c>
      <c r="E4325" s="20" t="inlineStr">
        <is>
          <t>고체향수</t>
        </is>
      </c>
      <c r="K4325" s="20" t="n">
        <v>25064</v>
      </c>
    </row>
    <row r="4326" ht="16.5" customHeight="1" s="17">
      <c r="A4326" s="20" t="inlineStr">
        <is>
          <t>동영상캠페인_승무원_보이는 라디오</t>
        </is>
      </c>
      <c r="B4326" s="16" t="n">
        <v>44262</v>
      </c>
      <c r="C4326" s="20" t="inlineStr">
        <is>
          <t>일</t>
        </is>
      </c>
      <c r="D4326" s="20" t="inlineStr">
        <is>
          <t>유튜브 광고</t>
        </is>
      </c>
      <c r="E4326" s="20" t="inlineStr">
        <is>
          <t>고체향수</t>
        </is>
      </c>
      <c r="K4326" s="20" t="n">
        <v>491037</v>
      </c>
    </row>
    <row r="4327" ht="16.5" customHeight="1" s="17">
      <c r="A4327" s="20" t="inlineStr">
        <is>
          <t>디스커버리 배너_승무원,할인_리마케팅</t>
        </is>
      </c>
      <c r="B4327" s="16" t="n">
        <v>44262</v>
      </c>
      <c r="C4327" s="20" t="inlineStr">
        <is>
          <t>일</t>
        </is>
      </c>
      <c r="D4327" s="20" t="inlineStr">
        <is>
          <t>유튜브 광고</t>
        </is>
      </c>
      <c r="E4327" s="20" t="inlineStr">
        <is>
          <t>고체향수</t>
        </is>
      </c>
      <c r="K4327" s="20" t="n">
        <v>490264</v>
      </c>
    </row>
    <row r="4328" ht="16.5" customHeight="1" s="17">
      <c r="A4328" s="20" t="inlineStr">
        <is>
          <t>동영상캠페인_승무원_써니스카이</t>
        </is>
      </c>
      <c r="B4328" s="16" t="n">
        <v>44262</v>
      </c>
      <c r="C4328" s="20" t="inlineStr">
        <is>
          <t>일</t>
        </is>
      </c>
      <c r="D4328" s="20" t="inlineStr">
        <is>
          <t>유튜브 광고</t>
        </is>
      </c>
      <c r="E4328" s="20" t="inlineStr">
        <is>
          <t>고체향수</t>
        </is>
      </c>
      <c r="K4328" s="20" t="n">
        <v>488616</v>
      </c>
    </row>
    <row r="4329" ht="16.5" customHeight="1" s="17">
      <c r="A4329" s="20" t="inlineStr">
        <is>
          <t>동영상캠페인_필라테스_자기관리(타겟 cpa)</t>
        </is>
      </c>
      <c r="B4329" s="16" t="n">
        <v>44262</v>
      </c>
      <c r="C4329" s="20" t="inlineStr">
        <is>
          <t>일</t>
        </is>
      </c>
      <c r="D4329" s="20" t="inlineStr">
        <is>
          <t>유튜브 광고</t>
        </is>
      </c>
      <c r="E4329" s="20" t="inlineStr">
        <is>
          <t>고체향수</t>
        </is>
      </c>
      <c r="K4329" s="20" t="n">
        <v>106275</v>
      </c>
    </row>
    <row r="4330" ht="16.5" customHeight="1" s="17">
      <c r="A4330" s="20" t="inlineStr">
        <is>
          <t>동영상캠페인_승무원_비누향 나는 승무원에게(타겟 cpa)</t>
        </is>
      </c>
      <c r="B4330" s="16" t="n">
        <v>44262</v>
      </c>
      <c r="C4330" s="20" t="inlineStr">
        <is>
          <t>일</t>
        </is>
      </c>
      <c r="D4330" s="20" t="inlineStr">
        <is>
          <t>유튜브 광고</t>
        </is>
      </c>
      <c r="E4330" s="20" t="inlineStr">
        <is>
          <t>고체향수</t>
        </is>
      </c>
      <c r="K4330" s="20" t="n">
        <v>298976</v>
      </c>
    </row>
    <row r="4331" ht="16.5" customHeight="1" s="17">
      <c r="A4331" s="20" t="inlineStr">
        <is>
          <t>동영상캠페인_유즈모먼트_2차_30대 여성 회사원(타겟 cpa)</t>
        </is>
      </c>
      <c r="B4331" s="16" t="n">
        <v>44262</v>
      </c>
      <c r="C4331" s="20" t="inlineStr">
        <is>
          <t>일</t>
        </is>
      </c>
      <c r="D4331" s="20" t="inlineStr">
        <is>
          <t>유튜브 광고</t>
        </is>
      </c>
      <c r="E4331" s="20" t="inlineStr">
        <is>
          <t>고체향수</t>
        </is>
      </c>
      <c r="K4331" s="20" t="n">
        <v>295110</v>
      </c>
    </row>
    <row r="4332" ht="16.5" customHeight="1" s="17">
      <c r="A4332" s="20" t="inlineStr">
        <is>
          <t>동영상캠페인_유즈모먼트_조향사 친구</t>
        </is>
      </c>
      <c r="B4332" s="16" t="n">
        <v>44262</v>
      </c>
      <c r="C4332" s="20" t="inlineStr">
        <is>
          <t>일</t>
        </is>
      </c>
      <c r="D4332" s="20" t="inlineStr">
        <is>
          <t>유튜브 광고</t>
        </is>
      </c>
      <c r="E4332" s="20" t="inlineStr">
        <is>
          <t>고체향수</t>
        </is>
      </c>
      <c r="K4332" s="20" t="n">
        <v>99851</v>
      </c>
    </row>
    <row r="4333" ht="16.5" customHeight="1" s="17">
      <c r="A4333" s="20" t="inlineStr">
        <is>
          <t>동영상캠페인_유즈모먼트_사춘기 딸 2차</t>
        </is>
      </c>
      <c r="B4333" s="16" t="n">
        <v>44262</v>
      </c>
      <c r="C4333" s="20" t="inlineStr">
        <is>
          <t>일</t>
        </is>
      </c>
      <c r="D4333" s="20" t="inlineStr">
        <is>
          <t>유튜브 광고</t>
        </is>
      </c>
      <c r="E4333" s="20" t="inlineStr">
        <is>
          <t>고체향수</t>
        </is>
      </c>
      <c r="K4333" s="20" t="n">
        <v>250064</v>
      </c>
    </row>
    <row r="4334" ht="16.5" customHeight="1" s="17">
      <c r="A4334" s="20" t="inlineStr">
        <is>
          <t>쇼핑검색_고체향수</t>
        </is>
      </c>
      <c r="B4334" s="16" t="n">
        <v>44262</v>
      </c>
      <c r="C4334" s="20" t="inlineStr">
        <is>
          <t>일</t>
        </is>
      </c>
      <c r="D4334" s="20" t="inlineStr">
        <is>
          <t>네이버 쇼핑검색</t>
        </is>
      </c>
      <c r="E4334" s="20" t="inlineStr">
        <is>
          <t>고체향수</t>
        </is>
      </c>
      <c r="K4334" s="20" t="n">
        <v>2400</v>
      </c>
    </row>
    <row r="4335" ht="16.5" customHeight="1" s="17">
      <c r="A4335" s="20" t="inlineStr">
        <is>
          <t>쇼핑검색_고체향수세부키워드</t>
        </is>
      </c>
      <c r="B4335" s="16" t="n">
        <v>44262</v>
      </c>
      <c r="C4335" s="20" t="inlineStr">
        <is>
          <t>일</t>
        </is>
      </c>
      <c r="D4335" s="20" t="inlineStr">
        <is>
          <t>네이버 쇼핑검색</t>
        </is>
      </c>
      <c r="E4335" s="20" t="inlineStr">
        <is>
          <t>고체향수</t>
        </is>
      </c>
      <c r="K4335" s="20" t="n">
        <v>128610</v>
      </c>
    </row>
    <row r="4336" ht="16.5" customHeight="1" s="17">
      <c r="A4336" s="20" t="inlineStr">
        <is>
          <t>쇼핑검색_고체향수세부키워드2</t>
        </is>
      </c>
      <c r="B4336" s="16" t="n">
        <v>44262</v>
      </c>
      <c r="C4336" s="20" t="inlineStr">
        <is>
          <t>일</t>
        </is>
      </c>
      <c r="D4336" s="20" t="inlineStr">
        <is>
          <t>네이버 쇼핑검색</t>
        </is>
      </c>
      <c r="E4336" s="20" t="inlineStr">
        <is>
          <t>고체향수</t>
        </is>
      </c>
      <c r="K4336" s="20" t="n">
        <v>2450</v>
      </c>
    </row>
    <row r="4337" ht="16.5" customHeight="1" s="17">
      <c r="A4337" s="20" t="inlineStr">
        <is>
          <t>모바일 브검</t>
        </is>
      </c>
      <c r="B4337" s="16" t="n">
        <v>44262</v>
      </c>
      <c r="C4337" s="20" t="inlineStr">
        <is>
          <t>일</t>
        </is>
      </c>
      <c r="D4337" s="20" t="inlineStr">
        <is>
          <t>네이버 브랜드검색</t>
        </is>
      </c>
      <c r="E4337" s="20" t="inlineStr">
        <is>
          <t>브랜드</t>
        </is>
      </c>
      <c r="K4337" s="20" t="n">
        <v>0</v>
      </c>
    </row>
    <row r="4338" ht="16.5" customHeight="1" s="17">
      <c r="A4338" s="20" t="inlineStr">
        <is>
          <t>쇼핑검색_고체향수</t>
        </is>
      </c>
      <c r="B4338" s="16" t="n">
        <v>44261</v>
      </c>
      <c r="C4338" s="20" t="inlineStr">
        <is>
          <t>토</t>
        </is>
      </c>
      <c r="D4338" s="20" t="inlineStr">
        <is>
          <t>네이버 쇼핑검색</t>
        </is>
      </c>
      <c r="E4338" s="20" t="inlineStr">
        <is>
          <t>고체향수</t>
        </is>
      </c>
      <c r="K4338" s="20" t="n">
        <v>1930</v>
      </c>
    </row>
    <row r="4339" ht="16.5" customHeight="1" s="17">
      <c r="A4339" s="20" t="inlineStr">
        <is>
          <t>쇼핑검색_고체향수세부키워드</t>
        </is>
      </c>
      <c r="B4339" s="16" t="n">
        <v>44261</v>
      </c>
      <c r="C4339" s="20" t="inlineStr">
        <is>
          <t>토</t>
        </is>
      </c>
      <c r="D4339" s="20" t="inlineStr">
        <is>
          <t>네이버 쇼핑검색</t>
        </is>
      </c>
      <c r="E4339" s="20" t="inlineStr">
        <is>
          <t>고체향수</t>
        </is>
      </c>
      <c r="K4339" s="20" t="n">
        <v>130940</v>
      </c>
    </row>
    <row r="4340" ht="16.5" customHeight="1" s="17">
      <c r="A4340" s="20" t="inlineStr">
        <is>
          <t>쇼핑검색_고체향수세부키워드2</t>
        </is>
      </c>
      <c r="B4340" s="16" t="n">
        <v>44261</v>
      </c>
      <c r="C4340" s="20" t="inlineStr">
        <is>
          <t>토</t>
        </is>
      </c>
      <c r="D4340" s="20" t="inlineStr">
        <is>
          <t>네이버 쇼핑검색</t>
        </is>
      </c>
      <c r="E4340" s="20" t="inlineStr">
        <is>
          <t>고체향수</t>
        </is>
      </c>
      <c r="K4340" s="20" t="n">
        <v>2800</v>
      </c>
    </row>
    <row r="4341" ht="16.5" customHeight="1" s="17">
      <c r="A4341" s="20" t="inlineStr">
        <is>
          <t>모바일 브검</t>
        </is>
      </c>
      <c r="B4341" s="16" t="n">
        <v>44261</v>
      </c>
      <c r="C4341" s="20" t="inlineStr">
        <is>
          <t>토</t>
        </is>
      </c>
      <c r="D4341" s="20" t="inlineStr">
        <is>
          <t>네이버 브랜드검색</t>
        </is>
      </c>
      <c r="E4341" s="20" t="inlineStr">
        <is>
          <t>브랜드</t>
        </is>
      </c>
      <c r="K4341" s="20" t="n">
        <v>0</v>
      </c>
    </row>
    <row r="4342" ht="16.5" customHeight="1" s="17">
      <c r="A4342" s="20" t="inlineStr">
        <is>
          <t>쇼핑검색_고체향수</t>
        </is>
      </c>
      <c r="B4342" s="16" t="n">
        <v>44260</v>
      </c>
      <c r="C4342" s="20" t="inlineStr">
        <is>
          <t>금</t>
        </is>
      </c>
      <c r="D4342" s="20" t="inlineStr">
        <is>
          <t>네이버 쇼핑검색</t>
        </is>
      </c>
      <c r="E4342" s="20" t="inlineStr">
        <is>
          <t>고체향수</t>
        </is>
      </c>
      <c r="K4342" s="20" t="n">
        <v>4480</v>
      </c>
    </row>
    <row r="4343" ht="16.5" customHeight="1" s="17">
      <c r="A4343" s="20" t="inlineStr">
        <is>
          <t>쇼핑검색_고체향수세부키워드</t>
        </is>
      </c>
      <c r="B4343" s="16" t="n">
        <v>44260</v>
      </c>
      <c r="C4343" s="20" t="inlineStr">
        <is>
          <t>금</t>
        </is>
      </c>
      <c r="D4343" s="20" t="inlineStr">
        <is>
          <t>네이버 쇼핑검색</t>
        </is>
      </c>
      <c r="E4343" s="20" t="inlineStr">
        <is>
          <t>고체향수</t>
        </is>
      </c>
      <c r="K4343" s="20" t="n">
        <v>116720</v>
      </c>
    </row>
    <row r="4344" ht="16.5" customHeight="1" s="17">
      <c r="A4344" s="20" t="inlineStr">
        <is>
          <t>쇼핑검색_고체향수세부키워드2</t>
        </is>
      </c>
      <c r="B4344" s="16" t="n">
        <v>44260</v>
      </c>
      <c r="C4344" s="20" t="inlineStr">
        <is>
          <t>금</t>
        </is>
      </c>
      <c r="D4344" s="20" t="inlineStr">
        <is>
          <t>네이버 쇼핑검색</t>
        </is>
      </c>
      <c r="E4344" s="20" t="inlineStr">
        <is>
          <t>고체향수</t>
        </is>
      </c>
      <c r="K4344" s="20" t="n">
        <v>1750</v>
      </c>
    </row>
    <row r="4345" ht="16.5" customHeight="1" s="17">
      <c r="A4345" s="20" t="inlineStr">
        <is>
          <t>모바일 브검</t>
        </is>
      </c>
      <c r="B4345" s="16" t="n">
        <v>44260</v>
      </c>
      <c r="C4345" s="20" t="inlineStr">
        <is>
          <t>금</t>
        </is>
      </c>
      <c r="D4345" s="20" t="inlineStr">
        <is>
          <t>네이버 브랜드검색</t>
        </is>
      </c>
      <c r="E4345" s="20" t="inlineStr">
        <is>
          <t>브랜드</t>
        </is>
      </c>
      <c r="K4345" s="20" t="n">
        <v>0</v>
      </c>
    </row>
    <row r="4346" ht="16.5" customHeight="1" s="17">
      <c r="A4346" s="20" t="inlineStr">
        <is>
          <t>쇼핑검색_고체향수</t>
        </is>
      </c>
      <c r="B4346" s="16" t="n">
        <v>44259</v>
      </c>
      <c r="C4346" s="20" t="inlineStr">
        <is>
          <t>목</t>
        </is>
      </c>
      <c r="D4346" s="20" t="inlineStr">
        <is>
          <t>네이버 쇼핑검색</t>
        </is>
      </c>
      <c r="E4346" s="20" t="inlineStr">
        <is>
          <t>고체향수</t>
        </is>
      </c>
      <c r="K4346" s="20" t="n">
        <v>3750</v>
      </c>
    </row>
    <row r="4347" ht="16.5" customHeight="1" s="17">
      <c r="A4347" s="20" t="inlineStr">
        <is>
          <t>쇼핑검색_고체향수세부키워드</t>
        </is>
      </c>
      <c r="B4347" s="16" t="n">
        <v>44259</v>
      </c>
      <c r="C4347" s="20" t="inlineStr">
        <is>
          <t>목</t>
        </is>
      </c>
      <c r="D4347" s="20" t="inlineStr">
        <is>
          <t>네이버 쇼핑검색</t>
        </is>
      </c>
      <c r="E4347" s="20" t="inlineStr">
        <is>
          <t>고체향수</t>
        </is>
      </c>
      <c r="K4347" s="20" t="n">
        <v>95519.99999999999</v>
      </c>
    </row>
    <row r="4348" ht="16.5" customHeight="1" s="17">
      <c r="A4348" s="20" t="inlineStr">
        <is>
          <t>쇼핑검색_고체향수세부키워드2</t>
        </is>
      </c>
      <c r="B4348" s="16" t="n">
        <v>44259</v>
      </c>
      <c r="C4348" s="20" t="inlineStr">
        <is>
          <t>목</t>
        </is>
      </c>
      <c r="D4348" s="20" t="inlineStr">
        <is>
          <t>네이버 쇼핑검색</t>
        </is>
      </c>
      <c r="E4348" s="20" t="inlineStr">
        <is>
          <t>고체향수</t>
        </is>
      </c>
      <c r="K4348" s="20" t="n">
        <v>3010</v>
      </c>
    </row>
    <row r="4349" ht="16.5" customHeight="1" s="17">
      <c r="A4349" s="20" t="inlineStr">
        <is>
          <t>모바일 브검</t>
        </is>
      </c>
      <c r="B4349" s="16" t="n">
        <v>44259</v>
      </c>
      <c r="C4349" s="20" t="inlineStr">
        <is>
          <t>목</t>
        </is>
      </c>
      <c r="D4349" s="20" t="inlineStr">
        <is>
          <t>네이버 브랜드검색</t>
        </is>
      </c>
      <c r="E4349" s="20" t="inlineStr">
        <is>
          <t>브랜드</t>
        </is>
      </c>
      <c r="K4349" s="20" t="n">
        <v>0</v>
      </c>
    </row>
    <row r="4350" ht="16.5" customHeight="1" s="17">
      <c r="A4350" s="20" t="inlineStr">
        <is>
          <t>쇼핑검색_고체향수</t>
        </is>
      </c>
      <c r="B4350" s="16" t="n">
        <v>44258</v>
      </c>
      <c r="C4350" s="20" t="inlineStr">
        <is>
          <t>수</t>
        </is>
      </c>
      <c r="D4350" s="20" t="inlineStr">
        <is>
          <t>네이버 쇼핑검색</t>
        </is>
      </c>
      <c r="E4350" s="20" t="inlineStr">
        <is>
          <t>고체향수</t>
        </is>
      </c>
      <c r="K4350" s="20" t="n">
        <v>3740</v>
      </c>
    </row>
    <row r="4351" ht="16.5" customHeight="1" s="17">
      <c r="A4351" s="20" t="inlineStr">
        <is>
          <t>쇼핑검색_고체향수세부키워드</t>
        </is>
      </c>
      <c r="B4351" s="16" t="n">
        <v>44258</v>
      </c>
      <c r="C4351" s="20" t="inlineStr">
        <is>
          <t>수</t>
        </is>
      </c>
      <c r="D4351" s="20" t="inlineStr">
        <is>
          <t>네이버 쇼핑검색</t>
        </is>
      </c>
      <c r="E4351" s="20" t="inlineStr">
        <is>
          <t>고체향수</t>
        </is>
      </c>
      <c r="K4351" s="20" t="n">
        <v>117480</v>
      </c>
    </row>
    <row r="4352" ht="16.5" customHeight="1" s="17">
      <c r="A4352" s="20" t="inlineStr">
        <is>
          <t>쇼핑검색_고체향수세부키워드2</t>
        </is>
      </c>
      <c r="B4352" s="16" t="n">
        <v>44258</v>
      </c>
      <c r="C4352" s="20" t="inlineStr">
        <is>
          <t>수</t>
        </is>
      </c>
      <c r="D4352" s="20" t="inlineStr">
        <is>
          <t>네이버 쇼핑검색</t>
        </is>
      </c>
      <c r="E4352" s="20" t="inlineStr">
        <is>
          <t>고체향수</t>
        </is>
      </c>
      <c r="K4352" s="20" t="n">
        <v>2270</v>
      </c>
    </row>
    <row r="4353" ht="16.5" customHeight="1" s="17">
      <c r="A4353" s="20" t="inlineStr">
        <is>
          <t>모바일 브검</t>
        </is>
      </c>
      <c r="B4353" s="16" t="n">
        <v>44258</v>
      </c>
      <c r="C4353" s="20" t="inlineStr">
        <is>
          <t>수</t>
        </is>
      </c>
      <c r="D4353" s="20" t="inlineStr">
        <is>
          <t>네이버 브랜드검색</t>
        </is>
      </c>
      <c r="E4353" s="20" t="inlineStr">
        <is>
          <t>브랜드</t>
        </is>
      </c>
      <c r="K4353" s="20" t="n">
        <v>0</v>
      </c>
    </row>
    <row r="4354" ht="16.5" customHeight="1" s="17">
      <c r="A4354" s="20" t="inlineStr">
        <is>
          <t>쇼핑검색_고체향수</t>
        </is>
      </c>
      <c r="B4354" s="16" t="n">
        <v>44257</v>
      </c>
      <c r="C4354" s="20" t="inlineStr">
        <is>
          <t>화</t>
        </is>
      </c>
      <c r="D4354" s="20" t="inlineStr">
        <is>
          <t>네이버 쇼핑검색</t>
        </is>
      </c>
      <c r="E4354" s="20" t="inlineStr">
        <is>
          <t>고체향수</t>
        </is>
      </c>
      <c r="K4354" s="20" t="n">
        <v>989.9999999999999</v>
      </c>
    </row>
    <row r="4355" ht="16.5" customHeight="1" s="17">
      <c r="A4355" s="20" t="inlineStr">
        <is>
          <t>쇼핑검색_고체향수세부키워드</t>
        </is>
      </c>
      <c r="B4355" s="16" t="n">
        <v>44257</v>
      </c>
      <c r="C4355" s="20" t="inlineStr">
        <is>
          <t>화</t>
        </is>
      </c>
      <c r="D4355" s="20" t="inlineStr">
        <is>
          <t>네이버 쇼핑검색</t>
        </is>
      </c>
      <c r="E4355" s="20" t="inlineStr">
        <is>
          <t>고체향수</t>
        </is>
      </c>
      <c r="K4355" s="20" t="n">
        <v>112330</v>
      </c>
    </row>
    <row r="4356" ht="16.5" customHeight="1" s="17">
      <c r="A4356" s="20" t="inlineStr">
        <is>
          <t>쇼핑검색_고체향수세부키워드2</t>
        </is>
      </c>
      <c r="B4356" s="16" t="n">
        <v>44257</v>
      </c>
      <c r="C4356" s="20" t="inlineStr">
        <is>
          <t>화</t>
        </is>
      </c>
      <c r="D4356" s="20" t="inlineStr">
        <is>
          <t>네이버 쇼핑검색</t>
        </is>
      </c>
      <c r="E4356" s="20" t="inlineStr">
        <is>
          <t>고체향수</t>
        </is>
      </c>
      <c r="K4356" s="20" t="n">
        <v>2090</v>
      </c>
    </row>
    <row r="4357" ht="16.5" customHeight="1" s="17">
      <c r="A4357" s="20" t="inlineStr">
        <is>
          <t>모바일 브검</t>
        </is>
      </c>
      <c r="B4357" s="16" t="n">
        <v>44257</v>
      </c>
      <c r="C4357" s="20" t="inlineStr">
        <is>
          <t>화</t>
        </is>
      </c>
      <c r="D4357" s="20" t="inlineStr">
        <is>
          <t>네이버 브랜드검색</t>
        </is>
      </c>
      <c r="E4357" s="20" t="inlineStr">
        <is>
          <t>브랜드</t>
        </is>
      </c>
      <c r="K4357" s="20" t="n">
        <v>0</v>
      </c>
    </row>
    <row r="4358" ht="16.5" customHeight="1" s="17">
      <c r="A4358" s="20" t="inlineStr">
        <is>
          <t>고체향수_승무원 어피_Npay 추적</t>
        </is>
      </c>
      <c r="B4358" s="16" t="n">
        <v>44257</v>
      </c>
      <c r="C4358" s="20" t="inlineStr">
        <is>
          <t>화</t>
        </is>
      </c>
      <c r="D4358" s="20" t="inlineStr">
        <is>
          <t>카카오 배너</t>
        </is>
      </c>
      <c r="E4358" s="20" t="inlineStr">
        <is>
          <t>고체향수</t>
        </is>
      </c>
      <c r="K4358" s="20" t="n">
        <v>91019.99999999999</v>
      </c>
    </row>
    <row r="4359" ht="16.5" customHeight="1" s="17">
      <c r="A4359" s="20" t="inlineStr">
        <is>
          <t>고체향수_Npay 추적</t>
        </is>
      </c>
      <c r="B4359" s="16" t="n">
        <v>44257</v>
      </c>
      <c r="C4359" s="20" t="inlineStr">
        <is>
          <t>화</t>
        </is>
      </c>
      <c r="D4359" s="20" t="inlineStr">
        <is>
          <t>카카오 배너</t>
        </is>
      </c>
      <c r="E4359" s="20" t="inlineStr">
        <is>
          <t>고체향수</t>
        </is>
      </c>
      <c r="K4359" s="20" t="n">
        <v>661520</v>
      </c>
    </row>
    <row r="4360" ht="16.5" customHeight="1" s="17">
      <c r="A4360" s="20" t="inlineStr">
        <is>
          <t>고체향수_승무원 어피_Npay 추적</t>
        </is>
      </c>
      <c r="B4360" s="16" t="n">
        <v>44258</v>
      </c>
      <c r="C4360" s="20" t="inlineStr">
        <is>
          <t>수</t>
        </is>
      </c>
      <c r="D4360" s="20" t="inlineStr">
        <is>
          <t>카카오 배너</t>
        </is>
      </c>
      <c r="E4360" s="20" t="inlineStr">
        <is>
          <t>고체향수</t>
        </is>
      </c>
      <c r="K4360" s="20" t="n">
        <v>91479.99999999999</v>
      </c>
    </row>
    <row r="4361" ht="16.5" customHeight="1" s="17">
      <c r="A4361" s="20" t="inlineStr">
        <is>
          <t>고체향수_Npay 추적</t>
        </is>
      </c>
      <c r="B4361" s="16" t="n">
        <v>44258</v>
      </c>
      <c r="C4361" s="20" t="inlineStr">
        <is>
          <t>수</t>
        </is>
      </c>
      <c r="D4361" s="20" t="inlineStr">
        <is>
          <t>카카오 배너</t>
        </is>
      </c>
      <c r="E4361" s="20" t="inlineStr">
        <is>
          <t>고체향수</t>
        </is>
      </c>
      <c r="K4361" s="20" t="n">
        <v>516409.9999999999</v>
      </c>
    </row>
    <row r="4362" ht="16.5" customHeight="1" s="17">
      <c r="A4362" s="20" t="inlineStr">
        <is>
          <t>고체향수_승무원 어피_Npay 추적</t>
        </is>
      </c>
      <c r="B4362" s="16" t="n">
        <v>44259</v>
      </c>
      <c r="C4362" s="20" t="inlineStr">
        <is>
          <t>목</t>
        </is>
      </c>
      <c r="D4362" s="20" t="inlineStr">
        <is>
          <t>카카오 배너</t>
        </is>
      </c>
      <c r="E4362" s="20" t="inlineStr">
        <is>
          <t>고체향수</t>
        </is>
      </c>
      <c r="K4362" s="20" t="n">
        <v>91239.99999999999</v>
      </c>
    </row>
    <row r="4363" ht="16.5" customHeight="1" s="17">
      <c r="A4363" s="20" t="inlineStr">
        <is>
          <t>고체향수_Npay 추적</t>
        </is>
      </c>
      <c r="B4363" s="16" t="n">
        <v>44259</v>
      </c>
      <c r="C4363" s="20" t="inlineStr">
        <is>
          <t>목</t>
        </is>
      </c>
      <c r="D4363" s="20" t="inlineStr">
        <is>
          <t>카카오 배너</t>
        </is>
      </c>
      <c r="E4363" s="20" t="inlineStr">
        <is>
          <t>고체향수</t>
        </is>
      </c>
      <c r="K4363" s="20" t="n">
        <v>574800</v>
      </c>
    </row>
    <row r="4364" ht="16.5" customHeight="1" s="17">
      <c r="A4364" s="20" t="inlineStr">
        <is>
          <t>고체향수_승무원 어피_Npay 추적</t>
        </is>
      </c>
      <c r="B4364" s="16" t="n">
        <v>44260</v>
      </c>
      <c r="C4364" s="20" t="inlineStr">
        <is>
          <t>금</t>
        </is>
      </c>
      <c r="D4364" s="20" t="inlineStr">
        <is>
          <t>카카오 배너</t>
        </is>
      </c>
      <c r="E4364" s="20" t="inlineStr">
        <is>
          <t>고체향수</t>
        </is>
      </c>
      <c r="K4364" s="20" t="n">
        <v>91139.99999999999</v>
      </c>
    </row>
    <row r="4365" ht="16.5" customHeight="1" s="17">
      <c r="A4365" s="20" t="inlineStr">
        <is>
          <t>고체향수_Npay 추적</t>
        </is>
      </c>
      <c r="B4365" s="16" t="n">
        <v>44260</v>
      </c>
      <c r="C4365" s="20" t="inlineStr">
        <is>
          <t>금</t>
        </is>
      </c>
      <c r="D4365" s="20" t="inlineStr">
        <is>
          <t>카카오 배너</t>
        </is>
      </c>
      <c r="E4365" s="20" t="inlineStr">
        <is>
          <t>고체향수</t>
        </is>
      </c>
      <c r="K4365" s="20" t="n">
        <v>2208230</v>
      </c>
    </row>
    <row r="4366" ht="16.5" customHeight="1" s="17">
      <c r="A4366" s="20" t="inlineStr">
        <is>
          <t>고체향수_승무원 어피_Npay 추적</t>
        </is>
      </c>
      <c r="B4366" s="16" t="n">
        <v>44261</v>
      </c>
      <c r="C4366" s="20" t="inlineStr">
        <is>
          <t>토</t>
        </is>
      </c>
      <c r="D4366" s="20" t="inlineStr">
        <is>
          <t>카카오 배너</t>
        </is>
      </c>
      <c r="E4366" s="20" t="inlineStr">
        <is>
          <t>고체향수</t>
        </is>
      </c>
      <c r="K4366" s="20" t="n">
        <v>91329.99999999999</v>
      </c>
    </row>
    <row r="4367" ht="16.5" customHeight="1" s="17">
      <c r="A4367" s="20" t="inlineStr">
        <is>
          <t>고체향수_Npay 추적</t>
        </is>
      </c>
      <c r="B4367" s="16" t="n">
        <v>44261</v>
      </c>
      <c r="C4367" s="20" t="inlineStr">
        <is>
          <t>토</t>
        </is>
      </c>
      <c r="D4367" s="20" t="inlineStr">
        <is>
          <t>카카오 배너</t>
        </is>
      </c>
      <c r="E4367" s="20" t="inlineStr">
        <is>
          <t>고체향수</t>
        </is>
      </c>
      <c r="K4367" s="20" t="n">
        <v>2277130</v>
      </c>
    </row>
    <row r="4368" ht="16.5" customHeight="1" s="17">
      <c r="A4368" s="20" t="inlineStr">
        <is>
          <t>고체향수_승무원 어피_Npay 추적</t>
        </is>
      </c>
      <c r="B4368" s="16" t="n">
        <v>44262</v>
      </c>
      <c r="C4368" s="20" t="inlineStr">
        <is>
          <t>일</t>
        </is>
      </c>
      <c r="D4368" s="20" t="inlineStr">
        <is>
          <t>카카오 배너</t>
        </is>
      </c>
      <c r="E4368" s="20" t="inlineStr">
        <is>
          <t>고체향수</t>
        </is>
      </c>
      <c r="K4368" s="20" t="n">
        <v>91099.99999999999</v>
      </c>
    </row>
    <row r="4369" ht="16.5" customHeight="1" s="17">
      <c r="A4369" s="20" t="inlineStr">
        <is>
          <t>고체향수_Npay 추적</t>
        </is>
      </c>
      <c r="B4369" s="16" t="n">
        <v>44262</v>
      </c>
      <c r="C4369" s="20" t="inlineStr">
        <is>
          <t>일</t>
        </is>
      </c>
      <c r="D4369" s="20" t="inlineStr">
        <is>
          <t>카카오 배너</t>
        </is>
      </c>
      <c r="E4369" s="20" t="inlineStr">
        <is>
          <t>고체향수</t>
        </is>
      </c>
      <c r="K4369" s="20" t="n">
        <v>2277770</v>
      </c>
    </row>
    <row r="4370" ht="16.5" customHeight="1" s="17">
      <c r="B4370" s="16" t="n">
        <v>44257</v>
      </c>
      <c r="C4370" s="20" t="inlineStr">
        <is>
          <t>화</t>
        </is>
      </c>
      <c r="E4370" s="20" t="inlineStr">
        <is>
          <t>고체향수</t>
        </is>
      </c>
      <c r="F4370" s="20" t="inlineStr">
        <is>
          <t>스마트스토어</t>
        </is>
      </c>
      <c r="G4370" s="20" t="inlineStr">
        <is>
          <t>유즈 고체향수 세트(유즈 스테이포에버, 유즈 이그나이트)고체향수: 스테이포에버 1개 + 이그나이트 1개</t>
        </is>
      </c>
      <c r="H4370" s="20" t="n">
        <v>2</v>
      </c>
      <c r="I4370" s="20" t="inlineStr">
        <is>
          <t>이그나이트 + 스테이포에버</t>
        </is>
      </c>
      <c r="J4370" s="20" t="n">
        <v>210207</v>
      </c>
      <c r="L4370" s="20">
        <f>VLOOKUP($O4370,매칭테이블!$G:$J,2,0)*H4370</f>
        <v/>
      </c>
      <c r="M4370" s="20">
        <f>L4370-L4370*VLOOKUP($O4370,매칭테이블!$G:$J,3,0)</f>
        <v/>
      </c>
      <c r="N4370" s="20">
        <f>VLOOKUP($O4370,매칭테이블!$G:$J,4,0)*H4370</f>
        <v/>
      </c>
      <c r="O4370" s="20">
        <f>F4370&amp;E4370&amp;G4370&amp;J4370</f>
        <v/>
      </c>
    </row>
    <row r="4371" ht="16.5" customHeight="1" s="17">
      <c r="B4371" s="16" t="n">
        <v>44257</v>
      </c>
      <c r="C4371" s="20" t="inlineStr">
        <is>
          <t>화</t>
        </is>
      </c>
      <c r="E4371" s="20" t="inlineStr">
        <is>
          <t>고체향수</t>
        </is>
      </c>
      <c r="F4371" s="20" t="inlineStr">
        <is>
          <t>스마트스토어</t>
        </is>
      </c>
      <c r="G4371" s="20" t="inlineStr">
        <is>
          <t>유즈 고체향수 스테이포에버 002고체향수: 스테이포에버 1개</t>
        </is>
      </c>
      <c r="H4371" s="20" t="n">
        <v>32</v>
      </c>
      <c r="I4371" s="20" t="inlineStr">
        <is>
          <t>스테이포에버</t>
        </is>
      </c>
      <c r="J4371" s="20" t="n">
        <v>210207</v>
      </c>
      <c r="L4371" s="20">
        <f>VLOOKUP($O4371,매칭테이블!$G:$J,2,0)*H4371</f>
        <v/>
      </c>
      <c r="M4371" s="20">
        <f>L4371-L4371*VLOOKUP($O4371,매칭테이블!$G:$J,3,0)</f>
        <v/>
      </c>
      <c r="N4371" s="20">
        <f>VLOOKUP($O4371,매칭테이블!$G:$J,4,0)*H4371</f>
        <v/>
      </c>
      <c r="O4371" s="20">
        <f>F4371&amp;E4371&amp;G4371&amp;J4371</f>
        <v/>
      </c>
    </row>
    <row r="4372" ht="16.5" customHeight="1" s="17">
      <c r="B4372" s="16" t="n">
        <v>44257</v>
      </c>
      <c r="C4372" s="20" t="inlineStr">
        <is>
          <t>화</t>
        </is>
      </c>
      <c r="E4372" s="20" t="inlineStr">
        <is>
          <t>고체향수</t>
        </is>
      </c>
      <c r="F4372" s="20" t="inlineStr">
        <is>
          <t>유즈 CS</t>
        </is>
      </c>
      <c r="G4372" s="20" t="inlineStr">
        <is>
          <t>솔리드퍼퓸 이그나이트 001 30ml</t>
        </is>
      </c>
      <c r="H4372" s="20" t="n">
        <v>2</v>
      </c>
      <c r="I4372" s="20" t="inlineStr">
        <is>
          <t>이그나이트</t>
        </is>
      </c>
      <c r="J4372" s="20" t="n">
        <v>210207</v>
      </c>
      <c r="L4372" s="20">
        <f>VLOOKUP($O4372,매칭테이블!$G:$J,2,0)*H4372</f>
        <v/>
      </c>
      <c r="M4372" s="20">
        <f>L4372-L4372*VLOOKUP($O4372,매칭테이블!$G:$J,3,0)</f>
        <v/>
      </c>
      <c r="N4372" s="20">
        <f>VLOOKUP($O4372,매칭테이블!$G:$J,4,0)*H4372</f>
        <v/>
      </c>
      <c r="O4372" s="20">
        <f>F4372&amp;E4372&amp;G4372&amp;J4372</f>
        <v/>
      </c>
    </row>
    <row r="4373" ht="16.5" customHeight="1" s="17">
      <c r="B4373" s="16" t="n">
        <v>44257</v>
      </c>
      <c r="C4373" s="20" t="inlineStr">
        <is>
          <t>화</t>
        </is>
      </c>
      <c r="E4373" s="20" t="inlineStr">
        <is>
          <t>쇼핑백</t>
        </is>
      </c>
      <c r="F4373" s="20" t="inlineStr">
        <is>
          <t>카페24</t>
        </is>
      </c>
      <c r="G4373" s="20" t="inlineStr">
        <is>
          <t>선물용 쇼핑백</t>
        </is>
      </c>
      <c r="H4373" s="20" t="n">
        <v>1</v>
      </c>
      <c r="I4373" s="20" t="inlineStr">
        <is>
          <t>쇼핑백</t>
        </is>
      </c>
      <c r="J4373" s="20" t="n">
        <v>210207</v>
      </c>
      <c r="L4373" s="20">
        <f>VLOOKUP($O4373,매칭테이블!$G:$J,2,0)*H4373</f>
        <v/>
      </c>
      <c r="M4373" s="20">
        <f>L4373-L4373*VLOOKUP($O4373,매칭테이블!$G:$J,3,0)</f>
        <v/>
      </c>
      <c r="N4373" s="20">
        <f>VLOOKUP($O4373,매칭테이블!$G:$J,4,0)*H4373</f>
        <v/>
      </c>
      <c r="O4373" s="20">
        <f>F4373&amp;E4373&amp;G4373&amp;J4373</f>
        <v/>
      </c>
    </row>
    <row r="4374" ht="16.5" customHeight="1" s="17">
      <c r="B4374" s="16" t="n">
        <v>44257</v>
      </c>
      <c r="C4374" s="20" t="inlineStr">
        <is>
          <t>화</t>
        </is>
      </c>
      <c r="E4374" s="20" t="inlineStr">
        <is>
          <t>고체향수</t>
        </is>
      </c>
      <c r="F4374" s="20" t="inlineStr">
        <is>
          <t>카페24</t>
        </is>
      </c>
      <c r="G4374" s="20" t="inlineStr">
        <is>
          <t>솔리드퍼퓸 세트향=이그나이트 001 SOLID PERFUME, 세트 선택=1개</t>
        </is>
      </c>
      <c r="H4374" s="20" t="n">
        <v>1</v>
      </c>
      <c r="I4374" s="20" t="inlineStr">
        <is>
          <t>이그나이트</t>
        </is>
      </c>
      <c r="J4374" s="20" t="n">
        <v>210207</v>
      </c>
      <c r="L4374" s="20">
        <f>VLOOKUP($O4374,매칭테이블!$G:$J,2,0)*H4374</f>
        <v/>
      </c>
      <c r="M4374" s="20">
        <f>L4374-L4374*VLOOKUP($O4374,매칭테이블!$G:$J,3,0)</f>
        <v/>
      </c>
      <c r="N4374" s="20">
        <f>VLOOKUP($O4374,매칭테이블!$G:$J,4,0)*H4374</f>
        <v/>
      </c>
      <c r="O4374" s="20">
        <f>F4374&amp;E4374&amp;G4374&amp;J4374</f>
        <v/>
      </c>
    </row>
    <row r="4375" ht="16.5" customHeight="1" s="17">
      <c r="B4375" s="16" t="n">
        <v>44257</v>
      </c>
      <c r="C4375" s="20" t="inlineStr">
        <is>
          <t>화</t>
        </is>
      </c>
      <c r="E4375" s="20" t="inlineStr">
        <is>
          <t>고체향수</t>
        </is>
      </c>
      <c r="F4375" s="20" t="inlineStr">
        <is>
          <t>카페24</t>
        </is>
      </c>
      <c r="G4375" s="20" t="inlineStr">
        <is>
          <t>솔리드퍼퓸 세트향=스테이포에버 002 SOLID PERFUME, 세트 선택=1개</t>
        </is>
      </c>
      <c r="H4375" s="20" t="n">
        <v>6</v>
      </c>
      <c r="I4375" s="20" t="inlineStr">
        <is>
          <t>스테이포에버</t>
        </is>
      </c>
      <c r="J4375" s="20" t="n">
        <v>210207</v>
      </c>
      <c r="L4375" s="20">
        <f>VLOOKUP($O4375,매칭테이블!$G:$J,2,0)*H4375</f>
        <v/>
      </c>
      <c r="M4375" s="20">
        <f>L4375-L4375*VLOOKUP($O4375,매칭테이블!$G:$J,3,0)</f>
        <v/>
      </c>
      <c r="N4375" s="20">
        <f>VLOOKUP($O4375,매칭테이블!$G:$J,4,0)*H4375</f>
        <v/>
      </c>
      <c r="O4375" s="20">
        <f>F4375&amp;E4375&amp;G4375&amp;J4375</f>
        <v/>
      </c>
    </row>
    <row r="4376" ht="16.5" customHeight="1" s="17">
      <c r="B4376" s="16" t="n">
        <v>44257</v>
      </c>
      <c r="C4376" s="20" t="inlineStr">
        <is>
          <t>화</t>
        </is>
      </c>
      <c r="E4376" s="20" t="inlineStr">
        <is>
          <t>고체향수</t>
        </is>
      </c>
      <c r="F4376" s="20" t="inlineStr">
        <is>
          <t>카페24</t>
        </is>
      </c>
      <c r="G4376" s="20" t="inlineStr">
        <is>
          <t>솔리드퍼퓸 세트향=스테이포에버 002 SOLID PERFUME, 세트 선택=best 2개 (28% 할인)</t>
        </is>
      </c>
      <c r="H4376" s="20" t="n">
        <v>14</v>
      </c>
      <c r="I4376" s="20" t="inlineStr">
        <is>
          <t>스테이포에버 2set</t>
        </is>
      </c>
      <c r="J4376" s="20" t="n">
        <v>210207</v>
      </c>
      <c r="L4376" s="20">
        <f>VLOOKUP($O4376,매칭테이블!$G:$J,2,0)*H4376</f>
        <v/>
      </c>
      <c r="M4376" s="20">
        <f>L4376-L4376*VLOOKUP($O4376,매칭테이블!$G:$J,3,0)</f>
        <v/>
      </c>
      <c r="N4376" s="20">
        <f>VLOOKUP($O4376,매칭테이블!$G:$J,4,0)*H4376</f>
        <v/>
      </c>
      <c r="O4376" s="20">
        <f>F4376&amp;E4376&amp;G4376&amp;J4376</f>
        <v/>
      </c>
    </row>
    <row r="4377" ht="16.5" customHeight="1" s="17">
      <c r="B4377" s="16" t="n">
        <v>44257</v>
      </c>
      <c r="C4377" s="20" t="inlineStr">
        <is>
          <t>화</t>
        </is>
      </c>
      <c r="E4377" s="20" t="inlineStr">
        <is>
          <t>고체향수</t>
        </is>
      </c>
      <c r="F4377" s="20" t="inlineStr">
        <is>
          <t>카페24</t>
        </is>
      </c>
      <c r="G4377" s="20" t="inlineStr">
        <is>
          <t>솔리드퍼퓸 세트향=커플세트(이그나이트 + 스테이포에버), 세트 선택=1 SET</t>
        </is>
      </c>
      <c r="H4377" s="20" t="n">
        <v>17</v>
      </c>
      <c r="I4377" s="20" t="inlineStr">
        <is>
          <t>이그나이트 + 스테이포에버</t>
        </is>
      </c>
      <c r="J4377" s="20" t="n">
        <v>210207</v>
      </c>
      <c r="L4377" s="20">
        <f>VLOOKUP($O4377,매칭테이블!$G:$J,2,0)*H4377</f>
        <v/>
      </c>
      <c r="M4377" s="20">
        <f>L4377-L4377*VLOOKUP($O4377,매칭테이블!$G:$J,3,0)</f>
        <v/>
      </c>
      <c r="N4377" s="20">
        <f>VLOOKUP($O4377,매칭테이블!$G:$J,4,0)*H4377</f>
        <v/>
      </c>
      <c r="O4377" s="20">
        <f>F4377&amp;E4377&amp;G4377&amp;J4377</f>
        <v/>
      </c>
    </row>
    <row r="4378" ht="16.5" customHeight="1" s="17">
      <c r="B4378" s="16" t="n">
        <v>44257</v>
      </c>
      <c r="C4378" s="20" t="inlineStr">
        <is>
          <t>화</t>
        </is>
      </c>
      <c r="E4378" s="20" t="inlineStr">
        <is>
          <t>고체향수</t>
        </is>
      </c>
      <c r="F4378" s="20" t="inlineStr">
        <is>
          <t>카페24</t>
        </is>
      </c>
      <c r="G4378" s="20" t="inlineStr">
        <is>
          <t>솔리드퍼퓸 스테이포에버 002제품선택=스테이포에버 1개</t>
        </is>
      </c>
      <c r="H4378" s="20" t="n">
        <v>247</v>
      </c>
      <c r="I4378" s="20" t="inlineStr">
        <is>
          <t>스테이포에버</t>
        </is>
      </c>
      <c r="J4378" s="20" t="n">
        <v>210207</v>
      </c>
      <c r="L4378" s="20">
        <f>VLOOKUP($O4378,매칭테이블!$G:$J,2,0)*H4378</f>
        <v/>
      </c>
      <c r="M4378" s="20">
        <f>L4378-L4378*VLOOKUP($O4378,매칭테이블!$G:$J,3,0)</f>
        <v/>
      </c>
      <c r="N4378" s="20">
        <f>VLOOKUP($O4378,매칭테이블!$G:$J,4,0)*H4378</f>
        <v/>
      </c>
      <c r="O4378" s="20">
        <f>F4378&amp;E4378&amp;G4378&amp;J4378</f>
        <v/>
      </c>
    </row>
    <row r="4379" ht="16.5" customHeight="1" s="17">
      <c r="B4379" s="16" t="n">
        <v>44257</v>
      </c>
      <c r="C4379" s="20" t="inlineStr">
        <is>
          <t>화</t>
        </is>
      </c>
      <c r="E4379" s="20" t="inlineStr">
        <is>
          <t>고체향수</t>
        </is>
      </c>
      <c r="F4379" s="20" t="inlineStr">
        <is>
          <t>카페24</t>
        </is>
      </c>
      <c r="G4379" s="20" t="inlineStr">
        <is>
          <t>솔리드퍼퓸 스테이포에버 002제품선택=best스테이포에버 2개[28% 할인]</t>
        </is>
      </c>
      <c r="H4379" s="20" t="n">
        <v>130</v>
      </c>
      <c r="I4379" s="20" t="inlineStr">
        <is>
          <t>스테이포에버 2set</t>
        </is>
      </c>
      <c r="J4379" s="20" t="n">
        <v>210207</v>
      </c>
      <c r="L4379" s="20">
        <f>VLOOKUP($O4379,매칭테이블!$G:$J,2,0)*H4379</f>
        <v/>
      </c>
      <c r="M4379" s="20">
        <f>L4379-L4379*VLOOKUP($O4379,매칭테이블!$G:$J,3,0)</f>
        <v/>
      </c>
      <c r="N4379" s="20">
        <f>VLOOKUP($O4379,매칭테이블!$G:$J,4,0)*H4379</f>
        <v/>
      </c>
      <c r="O4379" s="20">
        <f>F4379&amp;E4379&amp;G4379&amp;J4379</f>
        <v/>
      </c>
    </row>
    <row r="4380" ht="16.5" customHeight="1" s="17">
      <c r="B4380" s="16" t="n">
        <v>44257</v>
      </c>
      <c r="C4380" s="20" t="inlineStr">
        <is>
          <t>화</t>
        </is>
      </c>
      <c r="E4380" s="20" t="inlineStr">
        <is>
          <t>고체향수</t>
        </is>
      </c>
      <c r="F4380" s="20" t="inlineStr">
        <is>
          <t>카페24</t>
        </is>
      </c>
      <c r="G4380" s="20" t="inlineStr">
        <is>
          <t>솔리드퍼퓸 스테이포에버 002제품선택=커플추천스테이포에버 + 이그나이트 세트</t>
        </is>
      </c>
      <c r="H4380" s="20" t="n">
        <v>12</v>
      </c>
      <c r="I4380" s="20" t="inlineStr">
        <is>
          <t>이그나이트 + 스테이포에버</t>
        </is>
      </c>
      <c r="J4380" s="20" t="n">
        <v>210207</v>
      </c>
      <c r="L4380" s="20">
        <f>VLOOKUP($O4380,매칭테이블!$G:$J,2,0)*H4380</f>
        <v/>
      </c>
      <c r="M4380" s="20">
        <f>L4380-L4380*VLOOKUP($O4380,매칭테이블!$G:$J,3,0)</f>
        <v/>
      </c>
      <c r="N4380" s="20">
        <f>VLOOKUP($O4380,매칭테이블!$G:$J,4,0)*H4380</f>
        <v/>
      </c>
      <c r="O4380" s="20">
        <f>F4380&amp;E4380&amp;G4380&amp;J4380</f>
        <v/>
      </c>
    </row>
    <row r="4381" ht="16.5" customHeight="1" s="17">
      <c r="B4381" s="16" t="n">
        <v>44257</v>
      </c>
      <c r="C4381" s="20" t="inlineStr">
        <is>
          <t>화</t>
        </is>
      </c>
      <c r="E4381" s="20" t="inlineStr">
        <is>
          <t>쇼핑백</t>
        </is>
      </c>
      <c r="F4381" s="20" t="inlineStr">
        <is>
          <t>카페24</t>
        </is>
      </c>
      <c r="G4381" s="20" t="inlineStr">
        <is>
          <t>솔리드퍼퓸 스테이포에버 002쇼핑백=선물용 쇼핑백</t>
        </is>
      </c>
      <c r="H4381" s="20" t="n">
        <v>2</v>
      </c>
      <c r="I4381" s="20" t="inlineStr">
        <is>
          <t>쇼핑백</t>
        </is>
      </c>
      <c r="J4381" s="20" t="n">
        <v>210207</v>
      </c>
      <c r="L4381" s="20">
        <f>VLOOKUP($O4381,매칭테이블!$G:$J,2,0)*H4381</f>
        <v/>
      </c>
      <c r="M4381" s="20">
        <f>L4381-L4381*VLOOKUP($O4381,매칭테이블!$G:$J,3,0)</f>
        <v/>
      </c>
      <c r="N4381" s="20">
        <f>VLOOKUP($O4381,매칭테이블!$G:$J,4,0)*H4381</f>
        <v/>
      </c>
      <c r="O4381" s="20">
        <f>F4381&amp;E4381&amp;G4381&amp;J4381</f>
        <v/>
      </c>
    </row>
    <row r="4382" ht="16.5" customHeight="1" s="17">
      <c r="B4382" s="16" t="n">
        <v>44257</v>
      </c>
      <c r="C4382" s="20" t="inlineStr">
        <is>
          <t>화</t>
        </is>
      </c>
      <c r="E4382" s="20" t="inlineStr">
        <is>
          <t>고체향수</t>
        </is>
      </c>
      <c r="F4382" s="20" t="inlineStr">
        <is>
          <t>카페24</t>
        </is>
      </c>
      <c r="G4382" s="20" t="inlineStr">
        <is>
          <t>솔리드퍼퓸 이그나이트 001제품선택=이그나이트 솔리드퍼퓸 - 30ml</t>
        </is>
      </c>
      <c r="H4382" s="20" t="n">
        <v>3</v>
      </c>
      <c r="I4382" s="20" t="inlineStr">
        <is>
          <t>이그나이트</t>
        </is>
      </c>
      <c r="J4382" s="20" t="n">
        <v>210207</v>
      </c>
      <c r="L4382" s="20">
        <f>VLOOKUP($O4382,매칭테이블!$G:$J,2,0)*H4382</f>
        <v/>
      </c>
      <c r="M4382" s="20">
        <f>L4382-L4382*VLOOKUP($O4382,매칭테이블!$G:$J,3,0)</f>
        <v/>
      </c>
      <c r="N4382" s="20">
        <f>VLOOKUP($O4382,매칭테이블!$G:$J,4,0)*H4382</f>
        <v/>
      </c>
      <c r="O4382" s="20">
        <f>F4382&amp;E4382&amp;G4382&amp;J4382</f>
        <v/>
      </c>
    </row>
    <row r="4383" ht="16.5" customHeight="1" s="17">
      <c r="B4383" s="16" t="n">
        <v>44257</v>
      </c>
      <c r="C4383" s="20" t="inlineStr">
        <is>
          <t>화</t>
        </is>
      </c>
      <c r="E4383" s="20" t="inlineStr">
        <is>
          <t>고체향수</t>
        </is>
      </c>
      <c r="F4383" s="20" t="inlineStr">
        <is>
          <t>카페24</t>
        </is>
      </c>
      <c r="G4383" s="20" t="inlineStr">
        <is>
          <t>솔리드퍼퓸 이그나이트 001제품선택=이그나이트 2개 세트</t>
        </is>
      </c>
      <c r="H4383" s="20" t="n">
        <v>2</v>
      </c>
      <c r="I4383" s="20" t="inlineStr">
        <is>
          <t>이그나이트 2set</t>
        </is>
      </c>
      <c r="J4383" s="20" t="n">
        <v>210207</v>
      </c>
      <c r="L4383" s="20">
        <f>VLOOKUP($O4383,매칭테이블!$G:$J,2,0)*H4383</f>
        <v/>
      </c>
      <c r="M4383" s="20">
        <f>L4383-L4383*VLOOKUP($O4383,매칭테이블!$G:$J,3,0)</f>
        <v/>
      </c>
      <c r="N4383" s="20">
        <f>VLOOKUP($O4383,매칭테이블!$G:$J,4,0)*H4383</f>
        <v/>
      </c>
      <c r="O4383" s="20">
        <f>F4383&amp;E4383&amp;G4383&amp;J4383</f>
        <v/>
      </c>
    </row>
    <row r="4384" ht="16.5" customHeight="1" s="17">
      <c r="B4384" s="16" t="n">
        <v>44258</v>
      </c>
      <c r="C4384" s="20" t="inlineStr">
        <is>
          <t>수</t>
        </is>
      </c>
      <c r="E4384" s="20" t="inlineStr">
        <is>
          <t>고체향수</t>
        </is>
      </c>
      <c r="F4384" s="20" t="inlineStr">
        <is>
          <t>W컨셉</t>
        </is>
      </c>
      <c r="G4384" s="20" t="inlineStr">
        <is>
          <t>솔리드퍼퓸 이그나이트/스테이포에버 30ml (2종 택1)&lt;옵션1&gt;002 STAY FOREVER</t>
        </is>
      </c>
      <c r="H4384" s="20" t="n">
        <v>3</v>
      </c>
      <c r="I4384" s="20" t="inlineStr">
        <is>
          <t>스테이포에버</t>
        </is>
      </c>
      <c r="J4384" s="20" t="n">
        <v>210207</v>
      </c>
      <c r="L4384" s="20">
        <f>VLOOKUP($O4384,매칭테이블!$G:$J,2,0)*H4384</f>
        <v/>
      </c>
      <c r="M4384" s="20">
        <f>L4384-L4384*VLOOKUP($O4384,매칭테이블!$G:$J,3,0)</f>
        <v/>
      </c>
      <c r="N4384" s="20">
        <f>VLOOKUP($O4384,매칭테이블!$G:$J,4,0)*H4384</f>
        <v/>
      </c>
      <c r="O4384" s="20">
        <f>F4384&amp;E4384&amp;G4384&amp;J4384</f>
        <v/>
      </c>
    </row>
    <row r="4385" ht="16.5" customHeight="1" s="17">
      <c r="B4385" s="16" t="n">
        <v>44258</v>
      </c>
      <c r="C4385" s="20" t="inlineStr">
        <is>
          <t>수</t>
        </is>
      </c>
      <c r="E4385" s="20" t="inlineStr">
        <is>
          <t>고체향수</t>
        </is>
      </c>
      <c r="F4385" s="20" t="inlineStr">
        <is>
          <t>스마트스토어</t>
        </is>
      </c>
      <c r="G4385" s="20" t="inlineStr">
        <is>
          <t>유즈 고체향수 세트(유즈 스테이포에버, 유즈 이그나이트)고체향수: 스테이포에버 1개</t>
        </is>
      </c>
      <c r="H4385" s="20" t="n">
        <v>2</v>
      </c>
      <c r="I4385" s="20" t="inlineStr">
        <is>
          <t>스테이포에버</t>
        </is>
      </c>
      <c r="J4385" s="20" t="n">
        <v>210207</v>
      </c>
      <c r="L4385" s="20">
        <f>VLOOKUP($O4385,매칭테이블!$G:$J,2,0)*H4385</f>
        <v/>
      </c>
      <c r="M4385" s="20">
        <f>L4385-L4385*VLOOKUP($O4385,매칭테이블!$G:$J,3,0)</f>
        <v/>
      </c>
      <c r="N4385" s="20">
        <f>VLOOKUP($O4385,매칭테이블!$G:$J,4,0)*H4385</f>
        <v/>
      </c>
      <c r="O4385" s="20">
        <f>F4385&amp;E4385&amp;G4385&amp;J4385</f>
        <v/>
      </c>
    </row>
    <row r="4386" ht="16.5" customHeight="1" s="17">
      <c r="B4386" s="16" t="n">
        <v>44258</v>
      </c>
      <c r="C4386" s="20" t="inlineStr">
        <is>
          <t>수</t>
        </is>
      </c>
      <c r="E4386" s="20" t="inlineStr">
        <is>
          <t>고체향수</t>
        </is>
      </c>
      <c r="F4386" s="20" t="inlineStr">
        <is>
          <t>스마트스토어</t>
        </is>
      </c>
      <c r="G4386" s="20" t="inlineStr">
        <is>
          <t>유즈 고체향수 세트(유즈 스테이포에버, 유즈 이그나이트)고체향수: 스테이포에버 1개 + 이그나이트 1개</t>
        </is>
      </c>
      <c r="H4386" s="20" t="n">
        <v>3</v>
      </c>
      <c r="I4386" s="20" t="inlineStr">
        <is>
          <t>이그나이트 + 스테이포에버</t>
        </is>
      </c>
      <c r="J4386" s="20" t="n">
        <v>210207</v>
      </c>
      <c r="L4386" s="20">
        <f>VLOOKUP($O4386,매칭테이블!$G:$J,2,0)*H4386</f>
        <v/>
      </c>
      <c r="M4386" s="20">
        <f>L4386-L4386*VLOOKUP($O4386,매칭테이블!$G:$J,3,0)</f>
        <v/>
      </c>
      <c r="N4386" s="20">
        <f>VLOOKUP($O4386,매칭테이블!$G:$J,4,0)*H4386</f>
        <v/>
      </c>
      <c r="O4386" s="20">
        <f>F4386&amp;E4386&amp;G4386&amp;J4386</f>
        <v/>
      </c>
    </row>
    <row r="4387" ht="16.5" customHeight="1" s="17">
      <c r="B4387" s="16" t="n">
        <v>44258</v>
      </c>
      <c r="C4387" s="20" t="inlineStr">
        <is>
          <t>수</t>
        </is>
      </c>
      <c r="E4387" s="20" t="inlineStr">
        <is>
          <t>고체향수</t>
        </is>
      </c>
      <c r="F4387" s="20" t="inlineStr">
        <is>
          <t>스마트스토어</t>
        </is>
      </c>
      <c r="G4387" s="20" t="inlineStr">
        <is>
          <t>유즈 고체향수 세트(유즈 스테이포에버, 유즈 이그나이트)고체향수: 이그나이트 1개</t>
        </is>
      </c>
      <c r="H4387" s="20" t="n">
        <v>1</v>
      </c>
      <c r="I4387" s="20" t="inlineStr">
        <is>
          <t>이그나이트</t>
        </is>
      </c>
      <c r="J4387" s="20" t="n">
        <v>210207</v>
      </c>
      <c r="L4387" s="20">
        <f>VLOOKUP($O4387,매칭테이블!$G:$J,2,0)*H4387</f>
        <v/>
      </c>
      <c r="M4387" s="20">
        <f>L4387-L4387*VLOOKUP($O4387,매칭테이블!$G:$J,3,0)</f>
        <v/>
      </c>
      <c r="N4387" s="20">
        <f>VLOOKUP($O4387,매칭테이블!$G:$J,4,0)*H4387</f>
        <v/>
      </c>
      <c r="O4387" s="20">
        <f>F4387&amp;E4387&amp;G4387&amp;J4387</f>
        <v/>
      </c>
    </row>
    <row r="4388" ht="16.5" customHeight="1" s="17">
      <c r="B4388" s="16" t="n">
        <v>44258</v>
      </c>
      <c r="C4388" s="20" t="inlineStr">
        <is>
          <t>수</t>
        </is>
      </c>
      <c r="E4388" s="20" t="inlineStr">
        <is>
          <t>고체향수</t>
        </is>
      </c>
      <c r="F4388" s="20" t="inlineStr">
        <is>
          <t>스마트스토어</t>
        </is>
      </c>
      <c r="G4388" s="20" t="inlineStr">
        <is>
          <t>유즈 고체향수 스테이포에버 002고체향수: 스테이포에버 1개</t>
        </is>
      </c>
      <c r="H4388" s="20" t="n">
        <v>23</v>
      </c>
      <c r="I4388" s="20" t="inlineStr">
        <is>
          <t>스테이포에버</t>
        </is>
      </c>
      <c r="J4388" s="20" t="n">
        <v>210207</v>
      </c>
      <c r="L4388" s="20">
        <f>VLOOKUP($O4388,매칭테이블!$G:$J,2,0)*H4388</f>
        <v/>
      </c>
      <c r="M4388" s="20">
        <f>L4388-L4388*VLOOKUP($O4388,매칭테이블!$G:$J,3,0)</f>
        <v/>
      </c>
      <c r="N4388" s="20">
        <f>VLOOKUP($O4388,매칭테이블!$G:$J,4,0)*H4388</f>
        <v/>
      </c>
      <c r="O4388" s="20">
        <f>F4388&amp;E4388&amp;G4388&amp;J4388</f>
        <v/>
      </c>
    </row>
    <row r="4389" ht="16.5" customHeight="1" s="17">
      <c r="B4389" s="16" t="n">
        <v>44258</v>
      </c>
      <c r="C4389" s="20" t="inlineStr">
        <is>
          <t>수</t>
        </is>
      </c>
      <c r="E4389" s="20" t="inlineStr">
        <is>
          <t>고체향수</t>
        </is>
      </c>
      <c r="F4389" s="20" t="inlineStr">
        <is>
          <t>유즈 CS</t>
        </is>
      </c>
      <c r="G4389" s="20" t="inlineStr">
        <is>
          <t>솔리드퍼퓸 이그나이트 001 30ml</t>
        </is>
      </c>
      <c r="H4389" s="20" t="n">
        <v>2</v>
      </c>
      <c r="I4389" s="20" t="inlineStr">
        <is>
          <t>이그나이트</t>
        </is>
      </c>
      <c r="J4389" s="20" t="n">
        <v>210207</v>
      </c>
      <c r="L4389" s="20">
        <f>VLOOKUP($O4389,매칭테이블!$G:$J,2,0)*H4389</f>
        <v/>
      </c>
      <c r="M4389" s="20">
        <f>L4389-L4389*VLOOKUP($O4389,매칭테이블!$G:$J,3,0)</f>
        <v/>
      </c>
      <c r="N4389" s="20">
        <f>VLOOKUP($O4389,매칭테이블!$G:$J,4,0)*H4389</f>
        <v/>
      </c>
      <c r="O4389" s="20">
        <f>F4389&amp;E4389&amp;G4389&amp;J4389</f>
        <v/>
      </c>
    </row>
    <row r="4390" ht="16.5" customHeight="1" s="17">
      <c r="B4390" s="16" t="n">
        <v>44258</v>
      </c>
      <c r="C4390" s="20" t="inlineStr">
        <is>
          <t>수</t>
        </is>
      </c>
      <c r="E4390" s="20" t="inlineStr">
        <is>
          <t>고체향수</t>
        </is>
      </c>
      <c r="F4390" s="20" t="inlineStr">
        <is>
          <t>카페24</t>
        </is>
      </c>
      <c r="G4390" s="20" t="inlineStr">
        <is>
          <t>솔리드퍼퓸 세트향=이그나이트 001 SOLID PERFUME, 세트 선택=1개</t>
        </is>
      </c>
      <c r="H4390" s="20" t="n">
        <v>2</v>
      </c>
      <c r="I4390" s="20" t="inlineStr">
        <is>
          <t>이그나이트</t>
        </is>
      </c>
      <c r="J4390" s="20" t="n">
        <v>210207</v>
      </c>
      <c r="L4390" s="20">
        <f>VLOOKUP($O4390,매칭테이블!$G:$J,2,0)*H4390</f>
        <v/>
      </c>
      <c r="M4390" s="20">
        <f>L4390-L4390*VLOOKUP($O4390,매칭테이블!$G:$J,3,0)</f>
        <v/>
      </c>
      <c r="N4390" s="20">
        <f>VLOOKUP($O4390,매칭테이블!$G:$J,4,0)*H4390</f>
        <v/>
      </c>
      <c r="O4390" s="20">
        <f>F4390&amp;E4390&amp;G4390&amp;J4390</f>
        <v/>
      </c>
    </row>
    <row r="4391" ht="16.5" customHeight="1" s="17">
      <c r="B4391" s="16" t="n">
        <v>44258</v>
      </c>
      <c r="C4391" s="20" t="inlineStr">
        <is>
          <t>수</t>
        </is>
      </c>
      <c r="E4391" s="20" t="inlineStr">
        <is>
          <t>고체향수</t>
        </is>
      </c>
      <c r="F4391" s="20" t="inlineStr">
        <is>
          <t>카페24</t>
        </is>
      </c>
      <c r="G4391" s="20" t="inlineStr">
        <is>
          <t>솔리드퍼퓸 세트향=스테이포에버 002 SOLID PERFUME, 세트 선택=1개</t>
        </is>
      </c>
      <c r="H4391" s="20" t="n">
        <v>3</v>
      </c>
      <c r="I4391" s="20" t="inlineStr">
        <is>
          <t>스테이포에버</t>
        </is>
      </c>
      <c r="J4391" s="20" t="n">
        <v>210207</v>
      </c>
      <c r="L4391" s="20">
        <f>VLOOKUP($O4391,매칭테이블!$G:$J,2,0)*H4391</f>
        <v/>
      </c>
      <c r="M4391" s="20">
        <f>L4391-L4391*VLOOKUP($O4391,매칭테이블!$G:$J,3,0)</f>
        <v/>
      </c>
      <c r="N4391" s="20">
        <f>VLOOKUP($O4391,매칭테이블!$G:$J,4,0)*H4391</f>
        <v/>
      </c>
      <c r="O4391" s="20">
        <f>F4391&amp;E4391&amp;G4391&amp;J4391</f>
        <v/>
      </c>
    </row>
    <row r="4392" ht="16.5" customHeight="1" s="17">
      <c r="B4392" s="16" t="n">
        <v>44258</v>
      </c>
      <c r="C4392" s="20" t="inlineStr">
        <is>
          <t>수</t>
        </is>
      </c>
      <c r="E4392" s="20" t="inlineStr">
        <is>
          <t>고체향수</t>
        </is>
      </c>
      <c r="F4392" s="20" t="inlineStr">
        <is>
          <t>카페24</t>
        </is>
      </c>
      <c r="G4392" s="20" t="inlineStr">
        <is>
          <t>솔리드퍼퓸 세트향=스테이포에버 002 SOLID PERFUME, 세트 선택=best 2개 (28% 할인)</t>
        </is>
      </c>
      <c r="H4392" s="20" t="n">
        <v>15</v>
      </c>
      <c r="I4392" s="20" t="inlineStr">
        <is>
          <t>스테이포에버 2set</t>
        </is>
      </c>
      <c r="J4392" s="20" t="n">
        <v>210207</v>
      </c>
      <c r="L4392" s="20">
        <f>VLOOKUP($O4392,매칭테이블!$G:$J,2,0)*H4392</f>
        <v/>
      </c>
      <c r="M4392" s="20">
        <f>L4392-L4392*VLOOKUP($O4392,매칭테이블!$G:$J,3,0)</f>
        <v/>
      </c>
      <c r="N4392" s="20">
        <f>VLOOKUP($O4392,매칭테이블!$G:$J,4,0)*H4392</f>
        <v/>
      </c>
      <c r="O4392" s="20">
        <f>F4392&amp;E4392&amp;G4392&amp;J4392</f>
        <v/>
      </c>
    </row>
    <row r="4393" ht="16.5" customHeight="1" s="17">
      <c r="B4393" s="16" t="n">
        <v>44258</v>
      </c>
      <c r="C4393" s="20" t="inlineStr">
        <is>
          <t>수</t>
        </is>
      </c>
      <c r="E4393" s="20" t="inlineStr">
        <is>
          <t>고체향수</t>
        </is>
      </c>
      <c r="F4393" s="20" t="inlineStr">
        <is>
          <t>카페24</t>
        </is>
      </c>
      <c r="G4393" s="20" t="inlineStr">
        <is>
          <t>솔리드퍼퓸 세트향=커플세트(이그나이트 + 스테이포에버), 세트 선택=1 SET</t>
        </is>
      </c>
      <c r="H4393" s="20" t="n">
        <v>19</v>
      </c>
      <c r="I4393" s="20" t="inlineStr">
        <is>
          <t>이그나이트 + 스테이포에버</t>
        </is>
      </c>
      <c r="J4393" s="20" t="n">
        <v>210207</v>
      </c>
      <c r="L4393" s="20">
        <f>VLOOKUP($O4393,매칭테이블!$G:$J,2,0)*H4393</f>
        <v/>
      </c>
      <c r="M4393" s="20">
        <f>L4393-L4393*VLOOKUP($O4393,매칭테이블!$G:$J,3,0)</f>
        <v/>
      </c>
      <c r="N4393" s="20">
        <f>VLOOKUP($O4393,매칭테이블!$G:$J,4,0)*H4393</f>
        <v/>
      </c>
      <c r="O4393" s="20">
        <f>F4393&amp;E4393&amp;G4393&amp;J4393</f>
        <v/>
      </c>
    </row>
    <row r="4394" ht="16.5" customHeight="1" s="17">
      <c r="B4394" s="16" t="n">
        <v>44258</v>
      </c>
      <c r="C4394" s="20" t="inlineStr">
        <is>
          <t>수</t>
        </is>
      </c>
      <c r="E4394" s="20" t="inlineStr">
        <is>
          <t>고체향수</t>
        </is>
      </c>
      <c r="F4394" s="20" t="inlineStr">
        <is>
          <t>카페24</t>
        </is>
      </c>
      <c r="G4394" s="20" t="inlineStr">
        <is>
          <t>솔리드퍼퓸 세트향=커플세트(이그나이트 + 스테이포에버), 세트 선택=2 SET (42% 할인)</t>
        </is>
      </c>
      <c r="H4394" s="20" t="n">
        <v>4</v>
      </c>
      <c r="I4394" s="20" t="inlineStr">
        <is>
          <t>이그나이트 + 스테이포에버</t>
        </is>
      </c>
      <c r="J4394" s="20" t="n">
        <v>210207</v>
      </c>
      <c r="L4394" s="20">
        <f>VLOOKUP($O4394,매칭테이블!$G:$J,2,0)*H4394</f>
        <v/>
      </c>
      <c r="M4394" s="20">
        <f>L4394-L4394*VLOOKUP($O4394,매칭테이블!$G:$J,3,0)</f>
        <v/>
      </c>
      <c r="N4394" s="20">
        <f>VLOOKUP($O4394,매칭테이블!$G:$J,4,0)*H4394</f>
        <v/>
      </c>
      <c r="O4394" s="20">
        <f>F4394&amp;E4394&amp;G4394&amp;J4394</f>
        <v/>
      </c>
    </row>
    <row r="4395" ht="16.5" customHeight="1" s="17">
      <c r="B4395" s="16" t="n">
        <v>44258</v>
      </c>
      <c r="C4395" s="20" t="inlineStr">
        <is>
          <t>수</t>
        </is>
      </c>
      <c r="E4395" s="20" t="inlineStr">
        <is>
          <t>고체향수</t>
        </is>
      </c>
      <c r="F4395" s="20" t="inlineStr">
        <is>
          <t>카페24</t>
        </is>
      </c>
      <c r="G4395" s="20" t="inlineStr">
        <is>
          <t>솔리드퍼퓸 스테이포에버 002제품선택=스테이포에버 1개</t>
        </is>
      </c>
      <c r="H4395" s="20" t="n">
        <v>240</v>
      </c>
      <c r="I4395" s="20" t="inlineStr">
        <is>
          <t>스테이포에버</t>
        </is>
      </c>
      <c r="J4395" s="20" t="n">
        <v>210207</v>
      </c>
      <c r="L4395" s="20">
        <f>VLOOKUP($O4395,매칭테이블!$G:$J,2,0)*H4395</f>
        <v/>
      </c>
      <c r="M4395" s="20">
        <f>L4395-L4395*VLOOKUP($O4395,매칭테이블!$G:$J,3,0)</f>
        <v/>
      </c>
      <c r="N4395" s="20">
        <f>VLOOKUP($O4395,매칭테이블!$G:$J,4,0)*H4395</f>
        <v/>
      </c>
      <c r="O4395" s="20">
        <f>F4395&amp;E4395&amp;G4395&amp;J4395</f>
        <v/>
      </c>
    </row>
    <row r="4396" ht="16.5" customHeight="1" s="17">
      <c r="B4396" s="16" t="n">
        <v>44258</v>
      </c>
      <c r="C4396" s="20" t="inlineStr">
        <is>
          <t>수</t>
        </is>
      </c>
      <c r="E4396" s="20" t="inlineStr">
        <is>
          <t>고체향수</t>
        </is>
      </c>
      <c r="F4396" s="20" t="inlineStr">
        <is>
          <t>카페24</t>
        </is>
      </c>
      <c r="G4396" s="20" t="inlineStr">
        <is>
          <t>솔리드퍼퓸 스테이포에버 002제품선택=best스테이포에버 2개[28% 할인]</t>
        </is>
      </c>
      <c r="H4396" s="20" t="n">
        <v>173</v>
      </c>
      <c r="I4396" s="20" t="inlineStr">
        <is>
          <t>스테이포에버 2set</t>
        </is>
      </c>
      <c r="J4396" s="20" t="n">
        <v>210207</v>
      </c>
      <c r="L4396" s="20">
        <f>VLOOKUP($O4396,매칭테이블!$G:$J,2,0)*H4396</f>
        <v/>
      </c>
      <c r="M4396" s="20">
        <f>L4396-L4396*VLOOKUP($O4396,매칭테이블!$G:$J,3,0)</f>
        <v/>
      </c>
      <c r="N4396" s="20">
        <f>VLOOKUP($O4396,매칭테이블!$G:$J,4,0)*H4396</f>
        <v/>
      </c>
      <c r="O4396" s="20">
        <f>F4396&amp;E4396&amp;G4396&amp;J4396</f>
        <v/>
      </c>
    </row>
    <row r="4397" ht="16.5" customHeight="1" s="17">
      <c r="B4397" s="16" t="n">
        <v>44258</v>
      </c>
      <c r="C4397" s="20" t="inlineStr">
        <is>
          <t>수</t>
        </is>
      </c>
      <c r="E4397" s="20" t="inlineStr">
        <is>
          <t>고체향수</t>
        </is>
      </c>
      <c r="F4397" s="20" t="inlineStr">
        <is>
          <t>카페24</t>
        </is>
      </c>
      <c r="G4397" s="20" t="inlineStr">
        <is>
          <t>솔리드퍼퓸 스테이포에버 002제품선택=커플추천스테이포에버 + 이그나이트 세트</t>
        </is>
      </c>
      <c r="H4397" s="20" t="n">
        <v>12</v>
      </c>
      <c r="I4397" s="20" t="inlineStr">
        <is>
          <t>이그나이트 + 스테이포에버</t>
        </is>
      </c>
      <c r="J4397" s="20" t="n">
        <v>210207</v>
      </c>
      <c r="L4397" s="20">
        <f>VLOOKUP($O4397,매칭테이블!$G:$J,2,0)*H4397</f>
        <v/>
      </c>
      <c r="M4397" s="20">
        <f>L4397-L4397*VLOOKUP($O4397,매칭테이블!$G:$J,3,0)</f>
        <v/>
      </c>
      <c r="N4397" s="20">
        <f>VLOOKUP($O4397,매칭테이블!$G:$J,4,0)*H4397</f>
        <v/>
      </c>
      <c r="O4397" s="20">
        <f>F4397&amp;E4397&amp;G4397&amp;J4397</f>
        <v/>
      </c>
    </row>
    <row r="4398" ht="16.5" customHeight="1" s="17">
      <c r="B4398" s="16" t="n">
        <v>44258</v>
      </c>
      <c r="C4398" s="20" t="inlineStr">
        <is>
          <t>수</t>
        </is>
      </c>
      <c r="E4398" s="20" t="inlineStr">
        <is>
          <t>쇼핑백</t>
        </is>
      </c>
      <c r="F4398" s="20" t="inlineStr">
        <is>
          <t>카페24</t>
        </is>
      </c>
      <c r="G4398" s="20" t="inlineStr">
        <is>
          <t>솔리드퍼퓸 스테이포에버 002쇼핑백=선물용 쇼핑백</t>
        </is>
      </c>
      <c r="H4398" s="20" t="n">
        <v>2</v>
      </c>
      <c r="I4398" s="20" t="inlineStr">
        <is>
          <t>쇼핑백</t>
        </is>
      </c>
      <c r="J4398" s="20" t="n">
        <v>210207</v>
      </c>
      <c r="L4398" s="20">
        <f>VLOOKUP($O4398,매칭테이블!$G:$J,2,0)*H4398</f>
        <v/>
      </c>
      <c r="M4398" s="20">
        <f>L4398-L4398*VLOOKUP($O4398,매칭테이블!$G:$J,3,0)</f>
        <v/>
      </c>
      <c r="N4398" s="20">
        <f>VLOOKUP($O4398,매칭테이블!$G:$J,4,0)*H4398</f>
        <v/>
      </c>
      <c r="O4398" s="20">
        <f>F4398&amp;E4398&amp;G4398&amp;J4398</f>
        <v/>
      </c>
    </row>
    <row r="4399" ht="16.5" customHeight="1" s="17">
      <c r="B4399" s="16" t="n">
        <v>44258</v>
      </c>
      <c r="C4399" s="20" t="inlineStr">
        <is>
          <t>수</t>
        </is>
      </c>
      <c r="E4399" s="20" t="inlineStr">
        <is>
          <t>고체향수</t>
        </is>
      </c>
      <c r="F4399" s="20" t="inlineStr">
        <is>
          <t>카페24</t>
        </is>
      </c>
      <c r="G4399" s="20" t="inlineStr">
        <is>
          <t>솔리드퍼퓸 이그나이트 001제품선택=이그나이트 솔리드퍼퓸 - 30ml</t>
        </is>
      </c>
      <c r="H4399" s="20" t="n">
        <v>3</v>
      </c>
      <c r="I4399" s="20" t="inlineStr">
        <is>
          <t>이그나이트</t>
        </is>
      </c>
      <c r="J4399" s="20" t="n">
        <v>210207</v>
      </c>
      <c r="L4399" s="20">
        <f>VLOOKUP($O4399,매칭테이블!$G:$J,2,0)*H4399</f>
        <v/>
      </c>
      <c r="M4399" s="20">
        <f>L4399-L4399*VLOOKUP($O4399,매칭테이블!$G:$J,3,0)</f>
        <v/>
      </c>
      <c r="N4399" s="20">
        <f>VLOOKUP($O4399,매칭테이블!$G:$J,4,0)*H4399</f>
        <v/>
      </c>
      <c r="O4399" s="20">
        <f>F4399&amp;E4399&amp;G4399&amp;J4399</f>
        <v/>
      </c>
    </row>
    <row r="4400" ht="16.5" customHeight="1" s="17">
      <c r="B4400" s="16" t="n">
        <v>44258</v>
      </c>
      <c r="C4400" s="20" t="inlineStr">
        <is>
          <t>수</t>
        </is>
      </c>
      <c r="E4400" s="20" t="inlineStr">
        <is>
          <t>고체향수</t>
        </is>
      </c>
      <c r="F4400" s="20" t="inlineStr">
        <is>
          <t>카페24</t>
        </is>
      </c>
      <c r="G4400" s="20" t="inlineStr">
        <is>
          <t>솔리드퍼퓸 이그나이트 001제품선택=이그나이트 2개 세트</t>
        </is>
      </c>
      <c r="H4400" s="20" t="n">
        <v>1</v>
      </c>
      <c r="I4400" s="20" t="inlineStr">
        <is>
          <t>이그나이트 2set</t>
        </is>
      </c>
      <c r="J4400" s="20" t="n">
        <v>210207</v>
      </c>
      <c r="L4400" s="20">
        <f>VLOOKUP($O4400,매칭테이블!$G:$J,2,0)*H4400</f>
        <v/>
      </c>
      <c r="M4400" s="20">
        <f>L4400-L4400*VLOOKUP($O4400,매칭테이블!$G:$J,3,0)</f>
        <v/>
      </c>
      <c r="N4400" s="20">
        <f>VLOOKUP($O4400,매칭테이블!$G:$J,4,0)*H4400</f>
        <v/>
      </c>
      <c r="O4400" s="20">
        <f>F4400&amp;E4400&amp;G4400&amp;J4400</f>
        <v/>
      </c>
    </row>
    <row r="4401" ht="16.5" customHeight="1" s="17">
      <c r="B4401" s="16" t="n">
        <v>44259</v>
      </c>
      <c r="C4401" s="20" t="inlineStr">
        <is>
          <t>목</t>
        </is>
      </c>
      <c r="E4401" s="20" t="inlineStr">
        <is>
          <t>고체향수</t>
        </is>
      </c>
      <c r="F4401" s="20" t="inlineStr">
        <is>
          <t>W컨셉</t>
        </is>
      </c>
      <c r="G4401" s="20" t="inlineStr">
        <is>
          <t>솔리드퍼퓸 이그나이트/스테이포에버 30ml (2종 택1)&lt;옵션1&gt;002 STAY FOREVER</t>
        </is>
      </c>
      <c r="H4401" s="20" t="n">
        <v>8</v>
      </c>
      <c r="I4401" s="20" t="inlineStr">
        <is>
          <t>스테이포에버</t>
        </is>
      </c>
      <c r="J4401" s="20" t="n">
        <v>210207</v>
      </c>
      <c r="L4401" s="20">
        <f>VLOOKUP($O4401,매칭테이블!$G:$J,2,0)*H4401</f>
        <v/>
      </c>
      <c r="M4401" s="20">
        <f>L4401-L4401*VLOOKUP($O4401,매칭테이블!$G:$J,3,0)</f>
        <v/>
      </c>
      <c r="N4401" s="20">
        <f>VLOOKUP($O4401,매칭테이블!$G:$J,4,0)*H4401</f>
        <v/>
      </c>
      <c r="O4401" s="20">
        <f>F4401&amp;E4401&amp;G4401&amp;J4401</f>
        <v/>
      </c>
    </row>
    <row r="4402" ht="16.5" customHeight="1" s="17">
      <c r="B4402" s="16" t="n">
        <v>44259</v>
      </c>
      <c r="C4402" s="20" t="inlineStr">
        <is>
          <t>목</t>
        </is>
      </c>
      <c r="E4402" s="20" t="inlineStr">
        <is>
          <t>고체향수</t>
        </is>
      </c>
      <c r="F4402" s="20" t="inlineStr">
        <is>
          <t>W컨셉</t>
        </is>
      </c>
      <c r="G4402" s="20" t="inlineStr">
        <is>
          <t>솔리드퍼퓸 이그나이트/스테이포에버 30ml (2종 택1)&lt;옵션1&gt;IGNITE + STAY FOREVER</t>
        </is>
      </c>
      <c r="H4402" s="20" t="n">
        <v>4</v>
      </c>
      <c r="I4402" s="20" t="inlineStr">
        <is>
          <t>이그나이트 + 스테이포에버</t>
        </is>
      </c>
      <c r="J4402" s="20" t="n">
        <v>210207</v>
      </c>
      <c r="L4402" s="20">
        <f>VLOOKUP($O4402,매칭테이블!$G:$J,2,0)*H4402</f>
        <v/>
      </c>
      <c r="M4402" s="20">
        <f>L4402-L4402*VLOOKUP($O4402,매칭테이블!$G:$J,3,0)</f>
        <v/>
      </c>
      <c r="N4402" s="20">
        <f>VLOOKUP($O4402,매칭테이블!$G:$J,4,0)*H4402</f>
        <v/>
      </c>
      <c r="O4402" s="20">
        <f>F4402&amp;E4402&amp;G4402&amp;J4402</f>
        <v/>
      </c>
    </row>
    <row r="4403" ht="16.5" customHeight="1" s="17">
      <c r="B4403" s="16" t="n">
        <v>44259</v>
      </c>
      <c r="C4403" s="20" t="inlineStr">
        <is>
          <t>목</t>
        </is>
      </c>
      <c r="E4403" s="20" t="inlineStr">
        <is>
          <t>고체향수</t>
        </is>
      </c>
      <c r="F4403" s="20" t="inlineStr">
        <is>
          <t>스마트스토어</t>
        </is>
      </c>
      <c r="G4403" s="20" t="inlineStr">
        <is>
          <t>유즈 고체향수 세트(유즈 스테이포에버, 유즈 이그나이트)고체향수: 스테이포에버 1개</t>
        </is>
      </c>
      <c r="H4403" s="20" t="n">
        <v>2</v>
      </c>
      <c r="I4403" s="20" t="inlineStr">
        <is>
          <t>스테이포에버</t>
        </is>
      </c>
      <c r="J4403" s="20" t="n">
        <v>210207</v>
      </c>
      <c r="L4403" s="20">
        <f>VLOOKUP($O4403,매칭테이블!$G:$J,2,0)*H4403</f>
        <v/>
      </c>
      <c r="M4403" s="20">
        <f>L4403-L4403*VLOOKUP($O4403,매칭테이블!$G:$J,3,0)</f>
        <v/>
      </c>
      <c r="N4403" s="20">
        <f>VLOOKUP($O4403,매칭테이블!$G:$J,4,0)*H4403</f>
        <v/>
      </c>
      <c r="O4403" s="20">
        <f>F4403&amp;E4403&amp;G4403&amp;J4403</f>
        <v/>
      </c>
    </row>
    <row r="4404" ht="16.5" customHeight="1" s="17">
      <c r="B4404" s="16" t="n">
        <v>44259</v>
      </c>
      <c r="C4404" s="20" t="inlineStr">
        <is>
          <t>목</t>
        </is>
      </c>
      <c r="E4404" s="20" t="inlineStr">
        <is>
          <t>고체향수</t>
        </is>
      </c>
      <c r="F4404" s="20" t="inlineStr">
        <is>
          <t>스마트스토어</t>
        </is>
      </c>
      <c r="G4404" s="20" t="inlineStr">
        <is>
          <t>유즈 고체향수 세트(유즈 스테이포에버, 유즈 이그나이트)고체향수: 스테이포에버 1개 + 이그나이트 1개</t>
        </is>
      </c>
      <c r="H4404" s="20" t="n">
        <v>3</v>
      </c>
      <c r="I4404" s="20" t="inlineStr">
        <is>
          <t>이그나이트 + 스테이포에버</t>
        </is>
      </c>
      <c r="J4404" s="20" t="n">
        <v>210207</v>
      </c>
      <c r="L4404" s="20">
        <f>VLOOKUP($O4404,매칭테이블!$G:$J,2,0)*H4404</f>
        <v/>
      </c>
      <c r="M4404" s="20">
        <f>L4404-L4404*VLOOKUP($O4404,매칭테이블!$G:$J,3,0)</f>
        <v/>
      </c>
      <c r="N4404" s="20">
        <f>VLOOKUP($O4404,매칭테이블!$G:$J,4,0)*H4404</f>
        <v/>
      </c>
      <c r="O4404" s="20">
        <f>F4404&amp;E4404&amp;G4404&amp;J4404</f>
        <v/>
      </c>
    </row>
    <row r="4405" ht="16.5" customHeight="1" s="17">
      <c r="B4405" s="16" t="n">
        <v>44259</v>
      </c>
      <c r="C4405" s="20" t="inlineStr">
        <is>
          <t>목</t>
        </is>
      </c>
      <c r="E4405" s="20" t="inlineStr">
        <is>
          <t>고체향수</t>
        </is>
      </c>
      <c r="F4405" s="20" t="inlineStr">
        <is>
          <t>스마트스토어</t>
        </is>
      </c>
      <c r="G4405" s="20" t="inlineStr">
        <is>
          <t>유즈 고체향수 세트(유즈 스테이포에버, 유즈 이그나이트)고체향수: 스테이포에버 2개</t>
        </is>
      </c>
      <c r="H4405" s="20" t="n">
        <v>2</v>
      </c>
      <c r="I4405" s="20" t="inlineStr">
        <is>
          <t>스테이포에버 2set</t>
        </is>
      </c>
      <c r="J4405" s="20" t="n">
        <v>210207</v>
      </c>
      <c r="L4405" s="20">
        <f>VLOOKUP($O4405,매칭테이블!$G:$J,2,0)*H4405</f>
        <v/>
      </c>
      <c r="M4405" s="20">
        <f>L4405-L4405*VLOOKUP($O4405,매칭테이블!$G:$J,3,0)</f>
        <v/>
      </c>
      <c r="N4405" s="20">
        <f>VLOOKUP($O4405,매칭테이블!$G:$J,4,0)*H4405</f>
        <v/>
      </c>
      <c r="O4405" s="20">
        <f>F4405&amp;E4405&amp;G4405&amp;J4405</f>
        <v/>
      </c>
    </row>
    <row r="4406" ht="16.5" customHeight="1" s="17">
      <c r="B4406" s="16" t="n">
        <v>44259</v>
      </c>
      <c r="C4406" s="20" t="inlineStr">
        <is>
          <t>목</t>
        </is>
      </c>
      <c r="E4406" s="20" t="inlineStr">
        <is>
          <t>고체향수</t>
        </is>
      </c>
      <c r="F4406" s="20" t="inlineStr">
        <is>
          <t>스마트스토어</t>
        </is>
      </c>
      <c r="G4406" s="20" t="inlineStr">
        <is>
          <t>유즈 고체향수 스테이포에버 002고체향수: 스테이포에버 1개</t>
        </is>
      </c>
      <c r="H4406" s="20" t="n">
        <v>28</v>
      </c>
      <c r="I4406" s="20" t="inlineStr">
        <is>
          <t>스테이포에버</t>
        </is>
      </c>
      <c r="J4406" s="20" t="n">
        <v>210207</v>
      </c>
      <c r="L4406" s="20">
        <f>VLOOKUP($O4406,매칭테이블!$G:$J,2,0)*H4406</f>
        <v/>
      </c>
      <c r="M4406" s="20">
        <f>L4406-L4406*VLOOKUP($O4406,매칭테이블!$G:$J,3,0)</f>
        <v/>
      </c>
      <c r="N4406" s="20">
        <f>VLOOKUP($O4406,매칭테이블!$G:$J,4,0)*H4406</f>
        <v/>
      </c>
      <c r="O4406" s="20">
        <f>F4406&amp;E4406&amp;G4406&amp;J4406</f>
        <v/>
      </c>
    </row>
    <row r="4407" ht="16.5" customHeight="1" s="17">
      <c r="B4407" s="16" t="n">
        <v>44259</v>
      </c>
      <c r="C4407" s="20" t="inlineStr">
        <is>
          <t>목</t>
        </is>
      </c>
      <c r="E4407" s="20" t="inlineStr">
        <is>
          <t>고체향수</t>
        </is>
      </c>
      <c r="F4407" s="20" t="inlineStr">
        <is>
          <t>스마트스토어</t>
        </is>
      </c>
      <c r="G4407" s="20" t="inlineStr">
        <is>
          <t>유즈 고체향수 이그나이트 001고체향수: 이그나이트 1개</t>
        </is>
      </c>
      <c r="H4407" s="20" t="n">
        <v>1</v>
      </c>
      <c r="I4407" s="20" t="inlineStr">
        <is>
          <t>이그나이트</t>
        </is>
      </c>
      <c r="J4407" s="20" t="n">
        <v>210207</v>
      </c>
      <c r="L4407" s="20">
        <f>VLOOKUP($O4407,매칭테이블!$G:$J,2,0)*H4407</f>
        <v/>
      </c>
      <c r="M4407" s="20">
        <f>L4407-L4407*VLOOKUP($O4407,매칭테이블!$G:$J,3,0)</f>
        <v/>
      </c>
      <c r="N4407" s="20">
        <f>VLOOKUP($O4407,매칭테이블!$G:$J,4,0)*H4407</f>
        <v/>
      </c>
      <c r="O4407" s="20">
        <f>F4407&amp;E4407&amp;G4407&amp;J4407</f>
        <v/>
      </c>
    </row>
    <row r="4408" ht="16.5" customHeight="1" s="17">
      <c r="B4408" s="16" t="n">
        <v>44259</v>
      </c>
      <c r="C4408" s="20" t="inlineStr">
        <is>
          <t>목</t>
        </is>
      </c>
      <c r="E4408" s="20" t="inlineStr">
        <is>
          <t>고체향수</t>
        </is>
      </c>
      <c r="F4408" s="20" t="inlineStr">
        <is>
          <t>유즈 CS</t>
        </is>
      </c>
      <c r="G4408" s="20" t="inlineStr">
        <is>
          <t>솔리드퍼퓸 스테이포에버 002 30ml</t>
        </is>
      </c>
      <c r="H4408" s="20" t="n">
        <v>2</v>
      </c>
      <c r="I4408" s="20" t="inlineStr">
        <is>
          <t>스테이포에버</t>
        </is>
      </c>
      <c r="J4408" s="20" t="n">
        <v>210207</v>
      </c>
      <c r="L4408" s="20">
        <f>VLOOKUP($O4408,매칭테이블!$G:$J,2,0)*H4408</f>
        <v/>
      </c>
      <c r="M4408" s="20">
        <f>L4408-L4408*VLOOKUP($O4408,매칭테이블!$G:$J,3,0)</f>
        <v/>
      </c>
      <c r="N4408" s="20">
        <f>VLOOKUP($O4408,매칭테이블!$G:$J,4,0)*H4408</f>
        <v/>
      </c>
      <c r="O4408" s="20">
        <f>F4408&amp;E4408&amp;G4408&amp;J4408</f>
        <v/>
      </c>
    </row>
    <row r="4409" ht="16.5" customHeight="1" s="17">
      <c r="B4409" s="16" t="n">
        <v>44259</v>
      </c>
      <c r="C4409" s="20" t="inlineStr">
        <is>
          <t>목</t>
        </is>
      </c>
      <c r="E4409" s="20" t="inlineStr">
        <is>
          <t>고체향수</t>
        </is>
      </c>
      <c r="F4409" s="20" t="inlineStr">
        <is>
          <t>카페24</t>
        </is>
      </c>
      <c r="G4409" s="20" t="inlineStr">
        <is>
          <t>솔리드퍼퓸 세트향=이그나이트 001 SOLID PERFUME, 세트 선택=1개</t>
        </is>
      </c>
      <c r="H4409" s="20" t="n">
        <v>1</v>
      </c>
      <c r="I4409" s="20" t="inlineStr">
        <is>
          <t>이그나이트</t>
        </is>
      </c>
      <c r="J4409" s="20" t="n">
        <v>210207</v>
      </c>
      <c r="L4409" s="20">
        <f>VLOOKUP($O4409,매칭테이블!$G:$J,2,0)*H4409</f>
        <v/>
      </c>
      <c r="M4409" s="20">
        <f>L4409-L4409*VLOOKUP($O4409,매칭테이블!$G:$J,3,0)</f>
        <v/>
      </c>
      <c r="N4409" s="20">
        <f>VLOOKUP($O4409,매칭테이블!$G:$J,4,0)*H4409</f>
        <v/>
      </c>
      <c r="O4409" s="20">
        <f>F4409&amp;E4409&amp;G4409&amp;J4409</f>
        <v/>
      </c>
    </row>
    <row r="4410" ht="16.5" customHeight="1" s="17">
      <c r="B4410" s="16" t="n">
        <v>44259</v>
      </c>
      <c r="C4410" s="20" t="inlineStr">
        <is>
          <t>목</t>
        </is>
      </c>
      <c r="E4410" s="20" t="inlineStr">
        <is>
          <t>고체향수</t>
        </is>
      </c>
      <c r="F4410" s="20" t="inlineStr">
        <is>
          <t>카페24</t>
        </is>
      </c>
      <c r="G4410" s="20" t="inlineStr">
        <is>
          <t>솔리드퍼퓸 세트향=스테이포에버 002 SOLID PERFUME, 세트 선택=1개</t>
        </is>
      </c>
      <c r="H4410" s="20" t="n">
        <v>6</v>
      </c>
      <c r="I4410" s="20" t="inlineStr">
        <is>
          <t>스테이포에버</t>
        </is>
      </c>
      <c r="J4410" s="20" t="n">
        <v>210207</v>
      </c>
      <c r="L4410" s="20">
        <f>VLOOKUP($O4410,매칭테이블!$G:$J,2,0)*H4410</f>
        <v/>
      </c>
      <c r="M4410" s="20">
        <f>L4410-L4410*VLOOKUP($O4410,매칭테이블!$G:$J,3,0)</f>
        <v/>
      </c>
      <c r="N4410" s="20">
        <f>VLOOKUP($O4410,매칭테이블!$G:$J,4,0)*H4410</f>
        <v/>
      </c>
      <c r="O4410" s="20">
        <f>F4410&amp;E4410&amp;G4410&amp;J4410</f>
        <v/>
      </c>
    </row>
    <row r="4411" ht="16.5" customHeight="1" s="17">
      <c r="B4411" s="16" t="n">
        <v>44259</v>
      </c>
      <c r="C4411" s="20" t="inlineStr">
        <is>
          <t>목</t>
        </is>
      </c>
      <c r="E4411" s="20" t="inlineStr">
        <is>
          <t>고체향수</t>
        </is>
      </c>
      <c r="F4411" s="20" t="inlineStr">
        <is>
          <t>카페24</t>
        </is>
      </c>
      <c r="G4411" s="20" t="inlineStr">
        <is>
          <t>솔리드퍼퓸 세트향=스테이포에버 002 SOLID PERFUME, 세트 선택=best 2개 (28% 할인)</t>
        </is>
      </c>
      <c r="H4411" s="20" t="n">
        <v>12</v>
      </c>
      <c r="I4411" s="20" t="inlineStr">
        <is>
          <t>스테이포에버 2set</t>
        </is>
      </c>
      <c r="J4411" s="20" t="n">
        <v>210207</v>
      </c>
      <c r="L4411" s="20">
        <f>VLOOKUP($O4411,매칭테이블!$G:$J,2,0)*H4411</f>
        <v/>
      </c>
      <c r="M4411" s="20">
        <f>L4411-L4411*VLOOKUP($O4411,매칭테이블!$G:$J,3,0)</f>
        <v/>
      </c>
      <c r="N4411" s="20">
        <f>VLOOKUP($O4411,매칭테이블!$G:$J,4,0)*H4411</f>
        <v/>
      </c>
      <c r="O4411" s="20">
        <f>F4411&amp;E4411&amp;G4411&amp;J4411</f>
        <v/>
      </c>
    </row>
    <row r="4412" ht="16.5" customHeight="1" s="17">
      <c r="B4412" s="16" t="n">
        <v>44259</v>
      </c>
      <c r="C4412" s="20" t="inlineStr">
        <is>
          <t>목</t>
        </is>
      </c>
      <c r="E4412" s="20" t="inlineStr">
        <is>
          <t>고체향수</t>
        </is>
      </c>
      <c r="F4412" s="20" t="inlineStr">
        <is>
          <t>카페24</t>
        </is>
      </c>
      <c r="G4412" s="20" t="inlineStr">
        <is>
          <t>솔리드퍼퓸 세트향=커플세트(이그나이트 + 스테이포에버), 세트 선택=1 SET</t>
        </is>
      </c>
      <c r="H4412" s="20" t="n">
        <v>17</v>
      </c>
      <c r="I4412" s="20" t="inlineStr">
        <is>
          <t>이그나이트 + 스테이포에버</t>
        </is>
      </c>
      <c r="J4412" s="20" t="n">
        <v>210207</v>
      </c>
      <c r="L4412" s="20">
        <f>VLOOKUP($O4412,매칭테이블!$G:$J,2,0)*H4412</f>
        <v/>
      </c>
      <c r="M4412" s="20">
        <f>L4412-L4412*VLOOKUP($O4412,매칭테이블!$G:$J,3,0)</f>
        <v/>
      </c>
      <c r="N4412" s="20">
        <f>VLOOKUP($O4412,매칭테이블!$G:$J,4,0)*H4412</f>
        <v/>
      </c>
      <c r="O4412" s="20">
        <f>F4412&amp;E4412&amp;G4412&amp;J4412</f>
        <v/>
      </c>
    </row>
    <row r="4413" ht="16.5" customHeight="1" s="17">
      <c r="B4413" s="16" t="n">
        <v>44259</v>
      </c>
      <c r="C4413" s="20" t="inlineStr">
        <is>
          <t>목</t>
        </is>
      </c>
      <c r="E4413" s="20" t="inlineStr">
        <is>
          <t>고체향수</t>
        </is>
      </c>
      <c r="F4413" s="20" t="inlineStr">
        <is>
          <t>카페24</t>
        </is>
      </c>
      <c r="G4413" s="20" t="inlineStr">
        <is>
          <t>솔리드퍼퓸 세트향=커플세트(이그나이트 + 스테이포에버), 세트 선택=2 SET (42% 할인)</t>
        </is>
      </c>
      <c r="H4413" s="20" t="n">
        <v>2</v>
      </c>
      <c r="I4413" s="20" t="inlineStr">
        <is>
          <t>이그나이트 + 스테이포에버</t>
        </is>
      </c>
      <c r="J4413" s="20" t="n">
        <v>210207</v>
      </c>
      <c r="L4413" s="20">
        <f>VLOOKUP($O4413,매칭테이블!$G:$J,2,0)*H4413</f>
        <v/>
      </c>
      <c r="M4413" s="20">
        <f>L4413-L4413*VLOOKUP($O4413,매칭테이블!$G:$J,3,0)</f>
        <v/>
      </c>
      <c r="N4413" s="20">
        <f>VLOOKUP($O4413,매칭테이블!$G:$J,4,0)*H4413</f>
        <v/>
      </c>
      <c r="O4413" s="20">
        <f>F4413&amp;E4413&amp;G4413&amp;J4413</f>
        <v/>
      </c>
    </row>
    <row r="4414" ht="16.5" customHeight="1" s="17">
      <c r="B4414" s="16" t="n">
        <v>44259</v>
      </c>
      <c r="C4414" s="20" t="inlineStr">
        <is>
          <t>목</t>
        </is>
      </c>
      <c r="E4414" s="20" t="inlineStr">
        <is>
          <t>고체향수</t>
        </is>
      </c>
      <c r="F4414" s="20" t="inlineStr">
        <is>
          <t>카페24</t>
        </is>
      </c>
      <c r="G4414" s="20" t="inlineStr">
        <is>
          <t>솔리드퍼퓸 스테이포에버 002제품선택=스테이포에버 1개</t>
        </is>
      </c>
      <c r="H4414" s="20" t="n">
        <v>227</v>
      </c>
      <c r="I4414" s="20" t="inlineStr">
        <is>
          <t>스테이포에버</t>
        </is>
      </c>
      <c r="J4414" s="20" t="n">
        <v>210207</v>
      </c>
      <c r="L4414" s="20">
        <f>VLOOKUP($O4414,매칭테이블!$G:$J,2,0)*H4414</f>
        <v/>
      </c>
      <c r="M4414" s="20">
        <f>L4414-L4414*VLOOKUP($O4414,매칭테이블!$G:$J,3,0)</f>
        <v/>
      </c>
      <c r="N4414" s="20">
        <f>VLOOKUP($O4414,매칭테이블!$G:$J,4,0)*H4414</f>
        <v/>
      </c>
      <c r="O4414" s="20">
        <f>F4414&amp;E4414&amp;G4414&amp;J4414</f>
        <v/>
      </c>
    </row>
    <row r="4415" ht="16.5" customHeight="1" s="17">
      <c r="B4415" s="16" t="n">
        <v>44259</v>
      </c>
      <c r="C4415" s="20" t="inlineStr">
        <is>
          <t>목</t>
        </is>
      </c>
      <c r="E4415" s="20" t="inlineStr">
        <is>
          <t>고체향수</t>
        </is>
      </c>
      <c r="F4415" s="20" t="inlineStr">
        <is>
          <t>카페24</t>
        </is>
      </c>
      <c r="G4415" s="20" t="inlineStr">
        <is>
          <t>솔리드퍼퓸 스테이포에버 002제품선택=best스테이포에버 2개[28% 할인]</t>
        </is>
      </c>
      <c r="H4415" s="20" t="n">
        <v>121</v>
      </c>
      <c r="I4415" s="20" t="inlineStr">
        <is>
          <t>스테이포에버 2set</t>
        </is>
      </c>
      <c r="J4415" s="20" t="n">
        <v>210207</v>
      </c>
      <c r="L4415" s="20">
        <f>VLOOKUP($O4415,매칭테이블!$G:$J,2,0)*H4415</f>
        <v/>
      </c>
      <c r="M4415" s="20">
        <f>L4415-L4415*VLOOKUP($O4415,매칭테이블!$G:$J,3,0)</f>
        <v/>
      </c>
      <c r="N4415" s="20">
        <f>VLOOKUP($O4415,매칭테이블!$G:$J,4,0)*H4415</f>
        <v/>
      </c>
      <c r="O4415" s="20">
        <f>F4415&amp;E4415&amp;G4415&amp;J4415</f>
        <v/>
      </c>
    </row>
    <row r="4416" ht="16.5" customHeight="1" s="17">
      <c r="B4416" s="16" t="n">
        <v>44259</v>
      </c>
      <c r="C4416" s="20" t="inlineStr">
        <is>
          <t>목</t>
        </is>
      </c>
      <c r="E4416" s="20" t="inlineStr">
        <is>
          <t>고체향수</t>
        </is>
      </c>
      <c r="F4416" s="20" t="inlineStr">
        <is>
          <t>카페24</t>
        </is>
      </c>
      <c r="G4416" s="20" t="inlineStr">
        <is>
          <t>솔리드퍼퓸 스테이포에버 002제품선택=커플추천스테이포에버 + 이그나이트 세트</t>
        </is>
      </c>
      <c r="H4416" s="20" t="n">
        <v>20</v>
      </c>
      <c r="I4416" s="20" t="inlineStr">
        <is>
          <t>이그나이트 + 스테이포에버</t>
        </is>
      </c>
      <c r="J4416" s="20" t="n">
        <v>210207</v>
      </c>
      <c r="L4416" s="20">
        <f>VLOOKUP($O4416,매칭테이블!$G:$J,2,0)*H4416</f>
        <v/>
      </c>
      <c r="M4416" s="20">
        <f>L4416-L4416*VLOOKUP($O4416,매칭테이블!$G:$J,3,0)</f>
        <v/>
      </c>
      <c r="N4416" s="20">
        <f>VLOOKUP($O4416,매칭테이블!$G:$J,4,0)*H4416</f>
        <v/>
      </c>
      <c r="O4416" s="20">
        <f>F4416&amp;E4416&amp;G4416&amp;J4416</f>
        <v/>
      </c>
    </row>
    <row r="4417" ht="16.5" customHeight="1" s="17">
      <c r="B4417" s="16" t="n">
        <v>44259</v>
      </c>
      <c r="C4417" s="20" t="inlineStr">
        <is>
          <t>목</t>
        </is>
      </c>
      <c r="E4417" s="20" t="inlineStr">
        <is>
          <t>쇼핑백</t>
        </is>
      </c>
      <c r="F4417" s="20" t="inlineStr">
        <is>
          <t>카페24</t>
        </is>
      </c>
      <c r="G4417" s="20" t="inlineStr">
        <is>
          <t>솔리드퍼퓸 스테이포에버 002쇼핑백=선물용 쇼핑백</t>
        </is>
      </c>
      <c r="H4417" s="20" t="n">
        <v>9</v>
      </c>
      <c r="I4417" s="20" t="inlineStr">
        <is>
          <t>쇼핑백</t>
        </is>
      </c>
      <c r="J4417" s="20" t="n">
        <v>210207</v>
      </c>
      <c r="L4417" s="20">
        <f>VLOOKUP($O4417,매칭테이블!$G:$J,2,0)*H4417</f>
        <v/>
      </c>
      <c r="M4417" s="20">
        <f>L4417-L4417*VLOOKUP($O4417,매칭테이블!$G:$J,3,0)</f>
        <v/>
      </c>
      <c r="N4417" s="20">
        <f>VLOOKUP($O4417,매칭테이블!$G:$J,4,0)*H4417</f>
        <v/>
      </c>
      <c r="O4417" s="20">
        <f>F4417&amp;E4417&amp;G4417&amp;J4417</f>
        <v/>
      </c>
    </row>
    <row r="4418" ht="16.5" customHeight="1" s="17">
      <c r="B4418" s="16" t="n">
        <v>44259</v>
      </c>
      <c r="C4418" s="20" t="inlineStr">
        <is>
          <t>목</t>
        </is>
      </c>
      <c r="E4418" s="20" t="inlineStr">
        <is>
          <t>고체향수</t>
        </is>
      </c>
      <c r="F4418" s="20" t="inlineStr">
        <is>
          <t>카페24</t>
        </is>
      </c>
      <c r="G4418" s="20" t="inlineStr">
        <is>
          <t>솔리드퍼퓸 이그나이트 001제품선택=이그나이트 솔리드퍼퓸 - 30ml</t>
        </is>
      </c>
      <c r="H4418" s="20" t="n">
        <v>3</v>
      </c>
      <c r="I4418" s="20" t="inlineStr">
        <is>
          <t>이그나이트</t>
        </is>
      </c>
      <c r="J4418" s="20" t="n">
        <v>210207</v>
      </c>
      <c r="L4418" s="20">
        <f>VLOOKUP($O4418,매칭테이블!$G:$J,2,0)*H4418</f>
        <v/>
      </c>
      <c r="M4418" s="20">
        <f>L4418-L4418*VLOOKUP($O4418,매칭테이블!$G:$J,3,0)</f>
        <v/>
      </c>
      <c r="N4418" s="20">
        <f>VLOOKUP($O4418,매칭테이블!$G:$J,4,0)*H4418</f>
        <v/>
      </c>
      <c r="O4418" s="20">
        <f>F4418&amp;E4418&amp;G4418&amp;J4418</f>
        <v/>
      </c>
    </row>
    <row r="4419" ht="16.5" customHeight="1" s="17">
      <c r="B4419" s="16" t="n">
        <v>44259</v>
      </c>
      <c r="C4419" s="20" t="inlineStr">
        <is>
          <t>목</t>
        </is>
      </c>
      <c r="E4419" s="20" t="inlineStr">
        <is>
          <t>고체향수</t>
        </is>
      </c>
      <c r="F4419" s="20" t="inlineStr">
        <is>
          <t>카페24</t>
        </is>
      </c>
      <c r="G4419" s="20" t="inlineStr">
        <is>
          <t>솔리드퍼퓸 이그나이트 001제품선택=이그나이트 2개 세트</t>
        </is>
      </c>
      <c r="H4419" s="20" t="n">
        <v>1</v>
      </c>
      <c r="I4419" s="20" t="inlineStr">
        <is>
          <t>이그나이트 2set</t>
        </is>
      </c>
      <c r="J4419" s="20" t="n">
        <v>210207</v>
      </c>
      <c r="L4419" s="20">
        <f>VLOOKUP($O4419,매칭테이블!$G:$J,2,0)*H4419</f>
        <v/>
      </c>
      <c r="M4419" s="20">
        <f>L4419-L4419*VLOOKUP($O4419,매칭테이블!$G:$J,3,0)</f>
        <v/>
      </c>
      <c r="N4419" s="20">
        <f>VLOOKUP($O4419,매칭테이블!$G:$J,4,0)*H4419</f>
        <v/>
      </c>
      <c r="O4419" s="20">
        <f>F4419&amp;E4419&amp;G4419&amp;J4419</f>
        <v/>
      </c>
    </row>
    <row r="4420" ht="16.5" customHeight="1" s="17">
      <c r="B4420" s="16" t="n">
        <v>44259</v>
      </c>
      <c r="C4420" s="20" t="inlineStr">
        <is>
          <t>목</t>
        </is>
      </c>
      <c r="E4420" s="20" t="inlineStr">
        <is>
          <t>쇼핑백</t>
        </is>
      </c>
      <c r="F4420" s="20" t="inlineStr">
        <is>
          <t>카페24</t>
        </is>
      </c>
      <c r="G4420" s="20" t="inlineStr">
        <is>
          <t>솔리드퍼퓸 이그나이트 001쇼핑백=선물용 쇼핑백</t>
        </is>
      </c>
      <c r="H4420" s="20" t="n">
        <v>1</v>
      </c>
      <c r="I4420" s="20" t="inlineStr">
        <is>
          <t>쇼핑백</t>
        </is>
      </c>
      <c r="J4420" s="20" t="n">
        <v>210207</v>
      </c>
      <c r="L4420" s="20">
        <f>VLOOKUP($O4420,매칭테이블!$G:$J,2,0)*H4420</f>
        <v/>
      </c>
      <c r="M4420" s="20">
        <f>L4420-L4420*VLOOKUP($O4420,매칭테이블!$G:$J,3,0)</f>
        <v/>
      </c>
      <c r="N4420" s="20">
        <f>VLOOKUP($O4420,매칭테이블!$G:$J,4,0)*H4420</f>
        <v/>
      </c>
      <c r="O4420" s="20">
        <f>F4420&amp;E4420&amp;G4420&amp;J4420</f>
        <v/>
      </c>
    </row>
    <row r="4421" ht="16.5" customHeight="1" s="17">
      <c r="B4421" s="16" t="n">
        <v>44260</v>
      </c>
      <c r="C4421" s="20" t="inlineStr">
        <is>
          <t>금</t>
        </is>
      </c>
      <c r="E4421" s="20">
        <f>INDEX(매칭테이블!C:C,MATCH(RD!G4421,매칭테이블!D:D,0))</f>
        <v/>
      </c>
      <c r="F4421" s="20" t="inlineStr">
        <is>
          <t>W컨셉</t>
        </is>
      </c>
      <c r="G4421" s="20" t="inlineStr">
        <is>
          <t>솔리드퍼퓸 이그나이트/스테이포에버 30ml (2종 택1)&lt;옵션1&gt;001 IGNITE</t>
        </is>
      </c>
      <c r="H4421" s="20" t="n">
        <v>1</v>
      </c>
      <c r="I4421" s="20">
        <f>VLOOKUP(G4421,매칭테이블!D:E,2,0)</f>
        <v/>
      </c>
      <c r="J4421" s="20" t="n">
        <v>210207</v>
      </c>
      <c r="L4421" s="20">
        <f>VLOOKUP($O4421,매칭테이블!$G:$J,2,0)*H4421</f>
        <v/>
      </c>
      <c r="M4421" s="20">
        <f>L4421-L4421*VLOOKUP($O4421,매칭테이블!$G:$J,3,0)</f>
        <v/>
      </c>
      <c r="N4421" s="20">
        <f>VLOOKUP($O4421,매칭테이블!$G:$J,4,0)*H4421</f>
        <v/>
      </c>
      <c r="O4421" s="20">
        <f>F4421&amp;E4421&amp;G4421&amp;J4421</f>
        <v/>
      </c>
    </row>
    <row r="4422" ht="16.5" customHeight="1" s="17">
      <c r="B4422" s="16" t="n">
        <v>44260</v>
      </c>
      <c r="C4422" s="20" t="inlineStr">
        <is>
          <t>금</t>
        </is>
      </c>
      <c r="E4422" s="20" t="inlineStr">
        <is>
          <t>고체향수</t>
        </is>
      </c>
      <c r="F4422" s="20" t="inlineStr">
        <is>
          <t>W컨셉</t>
        </is>
      </c>
      <c r="G4422" s="20" t="inlineStr">
        <is>
          <t>솔리드퍼퓸 이그나이트/스테이포에버 30ml (2종 택1)&lt;옵션1&gt;002 STAY FOREVER</t>
        </is>
      </c>
      <c r="H4422" s="20" t="n">
        <v>8</v>
      </c>
      <c r="I4422" s="20" t="inlineStr">
        <is>
          <t>스테이포에버</t>
        </is>
      </c>
      <c r="J4422" s="20" t="n">
        <v>210207</v>
      </c>
      <c r="L4422" s="20">
        <f>VLOOKUP($O4422,매칭테이블!$G:$J,2,0)*H4422</f>
        <v/>
      </c>
      <c r="M4422" s="20">
        <f>L4422-L4422*VLOOKUP($O4422,매칭테이블!$G:$J,3,0)</f>
        <v/>
      </c>
      <c r="N4422" s="20">
        <f>VLOOKUP($O4422,매칭테이블!$G:$J,4,0)*H4422</f>
        <v/>
      </c>
      <c r="O4422" s="20">
        <f>F4422&amp;E4422&amp;G4422&amp;J4422</f>
        <v/>
      </c>
    </row>
    <row r="4423" ht="16.5" customHeight="1" s="17">
      <c r="B4423" s="16" t="n">
        <v>44260</v>
      </c>
      <c r="C4423" s="20" t="inlineStr">
        <is>
          <t>금</t>
        </is>
      </c>
      <c r="E4423" s="20" t="inlineStr">
        <is>
          <t>고체향수</t>
        </is>
      </c>
      <c r="F4423" s="20" t="inlineStr">
        <is>
          <t>W컨셉</t>
        </is>
      </c>
      <c r="G4423" s="20" t="inlineStr">
        <is>
          <t>솔리드퍼퓸 이그나이트/스테이포에버 30ml (2종 택1)&lt;옵션1&gt;IGNITE + STAY FOREVER</t>
        </is>
      </c>
      <c r="H4423" s="20" t="n">
        <v>1</v>
      </c>
      <c r="I4423" s="20" t="inlineStr">
        <is>
          <t>이그나이트 + 스테이포에버</t>
        </is>
      </c>
      <c r="J4423" s="20" t="n">
        <v>210207</v>
      </c>
      <c r="L4423" s="20">
        <f>VLOOKUP($O4423,매칭테이블!$G:$J,2,0)*H4423</f>
        <v/>
      </c>
      <c r="M4423" s="20">
        <f>L4423-L4423*VLOOKUP($O4423,매칭테이블!$G:$J,3,0)</f>
        <v/>
      </c>
      <c r="N4423" s="20">
        <f>VLOOKUP($O4423,매칭테이블!$G:$J,4,0)*H4423</f>
        <v/>
      </c>
      <c r="O4423" s="20">
        <f>F4423&amp;E4423&amp;G4423&amp;J4423</f>
        <v/>
      </c>
    </row>
    <row r="4424" ht="16.5" customHeight="1" s="17">
      <c r="B4424" s="16" t="n">
        <v>44260</v>
      </c>
      <c r="C4424" s="20" t="inlineStr">
        <is>
          <t>금</t>
        </is>
      </c>
      <c r="E4424" s="20" t="inlineStr">
        <is>
          <t>고체향수</t>
        </is>
      </c>
      <c r="F4424" s="20" t="inlineStr">
        <is>
          <t>스마트스토어</t>
        </is>
      </c>
      <c r="G4424" s="20" t="inlineStr">
        <is>
          <t>유즈 고체향수 세트(유즈 스테이포에버, 유즈 이그나이트)고체향수: 스테이포에버 1개 + 이그나이트 1개</t>
        </is>
      </c>
      <c r="H4424" s="20" t="n">
        <v>2</v>
      </c>
      <c r="I4424" s="20" t="inlineStr">
        <is>
          <t>이그나이트 + 스테이포에버</t>
        </is>
      </c>
      <c r="J4424" s="20" t="n">
        <v>210207</v>
      </c>
      <c r="L4424" s="20">
        <f>VLOOKUP($O4424,매칭테이블!$G:$J,2,0)*H4424</f>
        <v/>
      </c>
      <c r="M4424" s="20">
        <f>L4424-L4424*VLOOKUP($O4424,매칭테이블!$G:$J,3,0)</f>
        <v/>
      </c>
      <c r="N4424" s="20">
        <f>VLOOKUP($O4424,매칭테이블!$G:$J,4,0)*H4424</f>
        <v/>
      </c>
      <c r="O4424" s="20">
        <f>F4424&amp;E4424&amp;G4424&amp;J4424</f>
        <v/>
      </c>
    </row>
    <row r="4425" ht="16.5" customHeight="1" s="17">
      <c r="B4425" s="16" t="n">
        <v>44260</v>
      </c>
      <c r="C4425" s="20" t="inlineStr">
        <is>
          <t>금</t>
        </is>
      </c>
      <c r="E4425" s="20" t="inlineStr">
        <is>
          <t>고체향수</t>
        </is>
      </c>
      <c r="F4425" s="20" t="inlineStr">
        <is>
          <t>스마트스토어</t>
        </is>
      </c>
      <c r="G4425" s="20" t="inlineStr">
        <is>
          <t>유즈 고체향수 세트(유즈 스테이포에버, 유즈 이그나이트)고체향수: 스테이포에버 2개</t>
        </is>
      </c>
      <c r="H4425" s="20" t="n">
        <v>3</v>
      </c>
      <c r="I4425" s="20" t="inlineStr">
        <is>
          <t>스테이포에버 2set</t>
        </is>
      </c>
      <c r="J4425" s="20" t="n">
        <v>210207</v>
      </c>
      <c r="L4425" s="20">
        <f>VLOOKUP($O4425,매칭테이블!$G:$J,2,0)*H4425</f>
        <v/>
      </c>
      <c r="M4425" s="20">
        <f>L4425-L4425*VLOOKUP($O4425,매칭테이블!$G:$J,3,0)</f>
        <v/>
      </c>
      <c r="N4425" s="20">
        <f>VLOOKUP($O4425,매칭테이블!$G:$J,4,0)*H4425</f>
        <v/>
      </c>
      <c r="O4425" s="20">
        <f>F4425&amp;E4425&amp;G4425&amp;J4425</f>
        <v/>
      </c>
    </row>
    <row r="4426" ht="16.5" customHeight="1" s="17">
      <c r="B4426" s="16" t="n">
        <v>44260</v>
      </c>
      <c r="C4426" s="20" t="inlineStr">
        <is>
          <t>금</t>
        </is>
      </c>
      <c r="E4426" s="20">
        <f>INDEX(매칭테이블!C:C,MATCH(RD!G4426,매칭테이블!D:D,0))</f>
        <v/>
      </c>
      <c r="F4426" s="20" t="inlineStr">
        <is>
          <t>스마트스토어</t>
        </is>
      </c>
      <c r="G4426" s="20" t="inlineStr">
        <is>
          <t>유즈 고체향수 세트(유즈 스테이포에버, 유즈 이그나이트)고체향수: 이그나이트 2개</t>
        </is>
      </c>
      <c r="H4426" s="20" t="n">
        <v>1</v>
      </c>
      <c r="I4426" s="20">
        <f>VLOOKUP(G4426,매칭테이블!D:E,2,0)</f>
        <v/>
      </c>
      <c r="J4426" s="20" t="n">
        <v>210207</v>
      </c>
      <c r="L4426" s="20">
        <f>VLOOKUP($O4426,매칭테이블!$G:$J,2,0)*H4426</f>
        <v/>
      </c>
      <c r="M4426" s="20">
        <f>L4426-L4426*VLOOKUP($O4426,매칭테이블!$G:$J,3,0)</f>
        <v/>
      </c>
      <c r="N4426" s="20">
        <f>VLOOKUP($O4426,매칭테이블!$G:$J,4,0)*H4426</f>
        <v/>
      </c>
      <c r="O4426" s="20">
        <f>F4426&amp;E4426&amp;G4426&amp;J4426</f>
        <v/>
      </c>
    </row>
    <row r="4427" ht="16.5" customHeight="1" s="17">
      <c r="B4427" s="16" t="n">
        <v>44260</v>
      </c>
      <c r="C4427" s="20" t="inlineStr">
        <is>
          <t>금</t>
        </is>
      </c>
      <c r="E4427" s="20" t="inlineStr">
        <is>
          <t>고체향수</t>
        </is>
      </c>
      <c r="F4427" s="20" t="inlineStr">
        <is>
          <t>스마트스토어</t>
        </is>
      </c>
      <c r="G4427" s="20" t="inlineStr">
        <is>
          <t>유즈 고체향수 스테이포에버 002고체향수: 스테이포에버 1개</t>
        </is>
      </c>
      <c r="H4427" s="20" t="n">
        <v>16</v>
      </c>
      <c r="I4427" s="20" t="inlineStr">
        <is>
          <t>스테이포에버</t>
        </is>
      </c>
      <c r="J4427" s="20" t="n">
        <v>210207</v>
      </c>
      <c r="L4427" s="20">
        <f>VLOOKUP($O4427,매칭테이블!$G:$J,2,0)*H4427</f>
        <v/>
      </c>
      <c r="M4427" s="20">
        <f>L4427-L4427*VLOOKUP($O4427,매칭테이블!$G:$J,3,0)</f>
        <v/>
      </c>
      <c r="N4427" s="20">
        <f>VLOOKUP($O4427,매칭테이블!$G:$J,4,0)*H4427</f>
        <v/>
      </c>
      <c r="O4427" s="20">
        <f>F4427&amp;E4427&amp;G4427&amp;J4427</f>
        <v/>
      </c>
    </row>
    <row r="4428" ht="16.5" customHeight="1" s="17">
      <c r="B4428" s="16" t="n">
        <v>44260</v>
      </c>
      <c r="C4428" s="20" t="inlineStr">
        <is>
          <t>금</t>
        </is>
      </c>
      <c r="E4428" s="20" t="inlineStr">
        <is>
          <t>고체향수</t>
        </is>
      </c>
      <c r="F4428" s="20" t="inlineStr">
        <is>
          <t>스마트스토어</t>
        </is>
      </c>
      <c r="G4428" s="20" t="inlineStr">
        <is>
          <t>유즈 고체향수 이그나이트 001고체향수: 이그나이트 1개</t>
        </is>
      </c>
      <c r="H4428" s="20" t="n">
        <v>1</v>
      </c>
      <c r="I4428" s="20" t="inlineStr">
        <is>
          <t>이그나이트</t>
        </is>
      </c>
      <c r="J4428" s="20" t="n">
        <v>210207</v>
      </c>
      <c r="L4428" s="20">
        <f>VLOOKUP($O4428,매칭테이블!$G:$J,2,0)*H4428</f>
        <v/>
      </c>
      <c r="M4428" s="20">
        <f>L4428-L4428*VLOOKUP($O4428,매칭테이블!$G:$J,3,0)</f>
        <v/>
      </c>
      <c r="N4428" s="20">
        <f>VLOOKUP($O4428,매칭테이블!$G:$J,4,0)*H4428</f>
        <v/>
      </c>
      <c r="O4428" s="20">
        <f>F4428&amp;E4428&amp;G4428&amp;J4428</f>
        <v/>
      </c>
    </row>
    <row r="4429" ht="16.5" customHeight="1" s="17">
      <c r="B4429" s="16" t="n">
        <v>44260</v>
      </c>
      <c r="C4429" s="20" t="inlineStr">
        <is>
          <t>금</t>
        </is>
      </c>
      <c r="E4429" s="20" t="inlineStr">
        <is>
          <t>쇼핑백</t>
        </is>
      </c>
      <c r="F4429" s="20" t="inlineStr">
        <is>
          <t>카페24</t>
        </is>
      </c>
      <c r="G4429" s="20" t="inlineStr">
        <is>
          <t>선물용 쇼핑백</t>
        </is>
      </c>
      <c r="H4429" s="20" t="n">
        <v>1</v>
      </c>
      <c r="I4429" s="20" t="inlineStr">
        <is>
          <t>쇼핑백</t>
        </is>
      </c>
      <c r="J4429" s="20" t="n">
        <v>210207</v>
      </c>
      <c r="L4429" s="20">
        <f>VLOOKUP($O4429,매칭테이블!$G:$J,2,0)*H4429</f>
        <v/>
      </c>
      <c r="M4429" s="20">
        <f>L4429-L4429*VLOOKUP($O4429,매칭테이블!$G:$J,3,0)</f>
        <v/>
      </c>
      <c r="N4429" s="20">
        <f>VLOOKUP($O4429,매칭테이블!$G:$J,4,0)*H4429</f>
        <v/>
      </c>
      <c r="O4429" s="20">
        <f>F4429&amp;E4429&amp;G4429&amp;J4429</f>
        <v/>
      </c>
    </row>
    <row r="4430" ht="16.5" customHeight="1" s="17">
      <c r="B4430" s="16" t="n">
        <v>44260</v>
      </c>
      <c r="C4430" s="20" t="inlineStr">
        <is>
          <t>금</t>
        </is>
      </c>
      <c r="E4430" s="20" t="inlineStr">
        <is>
          <t>고체향수</t>
        </is>
      </c>
      <c r="F4430" s="20" t="inlineStr">
        <is>
          <t>카페24</t>
        </is>
      </c>
      <c r="G4430" s="20" t="inlineStr">
        <is>
          <t>솔리드퍼퓸 세트향=이그나이트 001 SOLID PERFUME, 세트 선택=1개</t>
        </is>
      </c>
      <c r="H4430" s="20" t="n">
        <v>2</v>
      </c>
      <c r="I4430" s="20" t="inlineStr">
        <is>
          <t>이그나이트</t>
        </is>
      </c>
      <c r="J4430" s="20" t="n">
        <v>210207</v>
      </c>
      <c r="L4430" s="20">
        <f>VLOOKUP($O4430,매칭테이블!$G:$J,2,0)*H4430</f>
        <v/>
      </c>
      <c r="M4430" s="20">
        <f>L4430-L4430*VLOOKUP($O4430,매칭테이블!$G:$J,3,0)</f>
        <v/>
      </c>
      <c r="N4430" s="20">
        <f>VLOOKUP($O4430,매칭테이블!$G:$J,4,0)*H4430</f>
        <v/>
      </c>
      <c r="O4430" s="20">
        <f>F4430&amp;E4430&amp;G4430&amp;J4430</f>
        <v/>
      </c>
    </row>
    <row r="4431" ht="16.5" customHeight="1" s="17">
      <c r="B4431" s="16" t="n">
        <v>44260</v>
      </c>
      <c r="C4431" s="20" t="inlineStr">
        <is>
          <t>금</t>
        </is>
      </c>
      <c r="E4431" s="20" t="inlineStr">
        <is>
          <t>고체향수</t>
        </is>
      </c>
      <c r="F4431" s="20" t="inlineStr">
        <is>
          <t>카페24</t>
        </is>
      </c>
      <c r="G4431" s="20" t="inlineStr">
        <is>
          <t>솔리드퍼퓸 세트향=이그나이트 001 SOLID PERFUME, 세트 선택=best 2개 (28% 할인)</t>
        </is>
      </c>
      <c r="H4431" s="20" t="n">
        <v>2</v>
      </c>
      <c r="I4431" s="20" t="inlineStr">
        <is>
          <t>이그나이트 2set</t>
        </is>
      </c>
      <c r="J4431" s="20" t="n">
        <v>210207</v>
      </c>
      <c r="L4431" s="20">
        <f>VLOOKUP($O4431,매칭테이블!$G:$J,2,0)*H4431</f>
        <v/>
      </c>
      <c r="M4431" s="20">
        <f>L4431-L4431*VLOOKUP($O4431,매칭테이블!$G:$J,3,0)</f>
        <v/>
      </c>
      <c r="N4431" s="20">
        <f>VLOOKUP($O4431,매칭테이블!$G:$J,4,0)*H4431</f>
        <v/>
      </c>
      <c r="O4431" s="20">
        <f>F4431&amp;E4431&amp;G4431&amp;J4431</f>
        <v/>
      </c>
    </row>
    <row r="4432" ht="16.5" customHeight="1" s="17">
      <c r="B4432" s="16" t="n">
        <v>44260</v>
      </c>
      <c r="C4432" s="20" t="inlineStr">
        <is>
          <t>금</t>
        </is>
      </c>
      <c r="E4432" s="20" t="inlineStr">
        <is>
          <t>고체향수</t>
        </is>
      </c>
      <c r="F4432" s="20" t="inlineStr">
        <is>
          <t>카페24</t>
        </is>
      </c>
      <c r="G4432" s="20" t="inlineStr">
        <is>
          <t>솔리드퍼퓸 세트향=스테이포에버 002 SOLID PERFUME, 세트 선택=1개</t>
        </is>
      </c>
      <c r="H4432" s="20" t="n">
        <v>6</v>
      </c>
      <c r="I4432" s="20" t="inlineStr">
        <is>
          <t>스테이포에버</t>
        </is>
      </c>
      <c r="J4432" s="20" t="n">
        <v>210207</v>
      </c>
      <c r="L4432" s="20">
        <f>VLOOKUP($O4432,매칭테이블!$G:$J,2,0)*H4432</f>
        <v/>
      </c>
      <c r="M4432" s="20">
        <f>L4432-L4432*VLOOKUP($O4432,매칭테이블!$G:$J,3,0)</f>
        <v/>
      </c>
      <c r="N4432" s="20">
        <f>VLOOKUP($O4432,매칭테이블!$G:$J,4,0)*H4432</f>
        <v/>
      </c>
      <c r="O4432" s="20">
        <f>F4432&amp;E4432&amp;G4432&amp;J4432</f>
        <v/>
      </c>
    </row>
    <row r="4433" ht="16.5" customHeight="1" s="17">
      <c r="B4433" s="16" t="n">
        <v>44260</v>
      </c>
      <c r="C4433" s="20" t="inlineStr">
        <is>
          <t>금</t>
        </is>
      </c>
      <c r="E4433" s="20" t="inlineStr">
        <is>
          <t>고체향수</t>
        </is>
      </c>
      <c r="F4433" s="20" t="inlineStr">
        <is>
          <t>카페24</t>
        </is>
      </c>
      <c r="G4433" s="20" t="inlineStr">
        <is>
          <t>솔리드퍼퓸 세트향=스테이포에버 002 SOLID PERFUME, 세트 선택=best 2개 (28% 할인)</t>
        </is>
      </c>
      <c r="H4433" s="20" t="n">
        <v>5</v>
      </c>
      <c r="I4433" s="20" t="inlineStr">
        <is>
          <t>스테이포에버 2set</t>
        </is>
      </c>
      <c r="J4433" s="20" t="n">
        <v>210207</v>
      </c>
      <c r="L4433" s="20">
        <f>VLOOKUP($O4433,매칭테이블!$G:$J,2,0)*H4433</f>
        <v/>
      </c>
      <c r="M4433" s="20">
        <f>L4433-L4433*VLOOKUP($O4433,매칭테이블!$G:$J,3,0)</f>
        <v/>
      </c>
      <c r="N4433" s="20">
        <f>VLOOKUP($O4433,매칭테이블!$G:$J,4,0)*H4433</f>
        <v/>
      </c>
      <c r="O4433" s="20">
        <f>F4433&amp;E4433&amp;G4433&amp;J4433</f>
        <v/>
      </c>
    </row>
    <row r="4434" ht="16.5" customHeight="1" s="17">
      <c r="B4434" s="16" t="n">
        <v>44260</v>
      </c>
      <c r="C4434" s="20" t="inlineStr">
        <is>
          <t>금</t>
        </is>
      </c>
      <c r="E4434" s="20" t="inlineStr">
        <is>
          <t>고체향수</t>
        </is>
      </c>
      <c r="F4434" s="20" t="inlineStr">
        <is>
          <t>카페24</t>
        </is>
      </c>
      <c r="G4434" s="20" t="inlineStr">
        <is>
          <t>솔리드퍼퓸 세트향=커플세트(이그나이트 + 스테이포에버), 세트 선택=1 SET</t>
        </is>
      </c>
      <c r="H4434" s="20" t="n">
        <v>12</v>
      </c>
      <c r="I4434" s="20" t="inlineStr">
        <is>
          <t>이그나이트 + 스테이포에버</t>
        </is>
      </c>
      <c r="J4434" s="20" t="n">
        <v>210207</v>
      </c>
      <c r="L4434" s="20">
        <f>VLOOKUP($O4434,매칭테이블!$G:$J,2,0)*H4434</f>
        <v/>
      </c>
      <c r="M4434" s="20">
        <f>L4434-L4434*VLOOKUP($O4434,매칭테이블!$G:$J,3,0)</f>
        <v/>
      </c>
      <c r="N4434" s="20">
        <f>VLOOKUP($O4434,매칭테이블!$G:$J,4,0)*H4434</f>
        <v/>
      </c>
      <c r="O4434" s="20">
        <f>F4434&amp;E4434&amp;G4434&amp;J4434</f>
        <v/>
      </c>
    </row>
    <row r="4435" ht="16.5" customHeight="1" s="17">
      <c r="B4435" s="16" t="n">
        <v>44260</v>
      </c>
      <c r="C4435" s="20" t="inlineStr">
        <is>
          <t>금</t>
        </is>
      </c>
      <c r="E4435" s="20" t="inlineStr">
        <is>
          <t>고체향수</t>
        </is>
      </c>
      <c r="F4435" s="20" t="inlineStr">
        <is>
          <t>카페24</t>
        </is>
      </c>
      <c r="G4435" s="20" t="inlineStr">
        <is>
          <t>솔리드퍼퓸 세트향=커플세트(이그나이트 + 스테이포에버), 세트 선택=2 SET (42% 할인)</t>
        </is>
      </c>
      <c r="H4435" s="20" t="n">
        <v>1</v>
      </c>
      <c r="I4435" s="20" t="inlineStr">
        <is>
          <t>이그나이트 + 스테이포에버</t>
        </is>
      </c>
      <c r="J4435" s="20" t="n">
        <v>210207</v>
      </c>
      <c r="L4435" s="20">
        <f>VLOOKUP($O4435,매칭테이블!$G:$J,2,0)*H4435</f>
        <v/>
      </c>
      <c r="M4435" s="20">
        <f>L4435-L4435*VLOOKUP($O4435,매칭테이블!$G:$J,3,0)</f>
        <v/>
      </c>
      <c r="N4435" s="20">
        <f>VLOOKUP($O4435,매칭테이블!$G:$J,4,0)*H4435</f>
        <v/>
      </c>
      <c r="O4435" s="20">
        <f>F4435&amp;E4435&amp;G4435&amp;J4435</f>
        <v/>
      </c>
    </row>
    <row r="4436" ht="16.5" customHeight="1" s="17">
      <c r="B4436" s="16" t="n">
        <v>44260</v>
      </c>
      <c r="C4436" s="20" t="inlineStr">
        <is>
          <t>금</t>
        </is>
      </c>
      <c r="E4436" s="20" t="inlineStr">
        <is>
          <t>고체향수</t>
        </is>
      </c>
      <c r="F4436" s="20" t="inlineStr">
        <is>
          <t>카페24</t>
        </is>
      </c>
      <c r="G4436" s="20" t="inlineStr">
        <is>
          <t>솔리드퍼퓸 스테이포에버 002제품선택=스테이포에버 1개</t>
        </is>
      </c>
      <c r="H4436" s="20" t="n">
        <v>203</v>
      </c>
      <c r="I4436" s="20" t="inlineStr">
        <is>
          <t>스테이포에버</t>
        </is>
      </c>
      <c r="J4436" s="20" t="n">
        <v>210207</v>
      </c>
      <c r="L4436" s="20">
        <f>VLOOKUP($O4436,매칭테이블!$G:$J,2,0)*H4436</f>
        <v/>
      </c>
      <c r="M4436" s="20">
        <f>L4436-L4436*VLOOKUP($O4436,매칭테이블!$G:$J,3,0)</f>
        <v/>
      </c>
      <c r="N4436" s="20">
        <f>VLOOKUP($O4436,매칭테이블!$G:$J,4,0)*H4436</f>
        <v/>
      </c>
      <c r="O4436" s="20">
        <f>F4436&amp;E4436&amp;G4436&amp;J4436</f>
        <v/>
      </c>
    </row>
    <row r="4437" ht="16.5" customHeight="1" s="17">
      <c r="B4437" s="16" t="n">
        <v>44260</v>
      </c>
      <c r="C4437" s="20" t="inlineStr">
        <is>
          <t>금</t>
        </is>
      </c>
      <c r="E4437" s="20" t="inlineStr">
        <is>
          <t>고체향수</t>
        </is>
      </c>
      <c r="F4437" s="20" t="inlineStr">
        <is>
          <t>카페24</t>
        </is>
      </c>
      <c r="G4437" s="20" t="inlineStr">
        <is>
          <t>솔리드퍼퓸 스테이포에버 002제품선택=best스테이포에버 2개[28% 할인]</t>
        </is>
      </c>
      <c r="H4437" s="20" t="n">
        <v>134</v>
      </c>
      <c r="I4437" s="20" t="inlineStr">
        <is>
          <t>스테이포에버 2set</t>
        </is>
      </c>
      <c r="J4437" s="20" t="n">
        <v>210207</v>
      </c>
      <c r="L4437" s="20">
        <f>VLOOKUP($O4437,매칭테이블!$G:$J,2,0)*H4437</f>
        <v/>
      </c>
      <c r="M4437" s="20">
        <f>L4437-L4437*VLOOKUP($O4437,매칭테이블!$G:$J,3,0)</f>
        <v/>
      </c>
      <c r="N4437" s="20">
        <f>VLOOKUP($O4437,매칭테이블!$G:$J,4,0)*H4437</f>
        <v/>
      </c>
      <c r="O4437" s="20">
        <f>F4437&amp;E4437&amp;G4437&amp;J4437</f>
        <v/>
      </c>
    </row>
    <row r="4438" ht="16.5" customHeight="1" s="17">
      <c r="B4438" s="16" t="n">
        <v>44260</v>
      </c>
      <c r="C4438" s="20" t="inlineStr">
        <is>
          <t>금</t>
        </is>
      </c>
      <c r="E4438" s="20" t="inlineStr">
        <is>
          <t>고체향수</t>
        </is>
      </c>
      <c r="F4438" s="20" t="inlineStr">
        <is>
          <t>카페24</t>
        </is>
      </c>
      <c r="G4438" s="20" t="inlineStr">
        <is>
          <t>솔리드퍼퓸 스테이포에버 002제품선택=커플추천스테이포에버 + 이그나이트 세트</t>
        </is>
      </c>
      <c r="H4438" s="20" t="n">
        <v>18</v>
      </c>
      <c r="I4438" s="20" t="inlineStr">
        <is>
          <t>이그나이트 + 스테이포에버</t>
        </is>
      </c>
      <c r="J4438" s="20" t="n">
        <v>210207</v>
      </c>
      <c r="L4438" s="20">
        <f>VLOOKUP($O4438,매칭테이블!$G:$J,2,0)*H4438</f>
        <v/>
      </c>
      <c r="M4438" s="20">
        <f>L4438-L4438*VLOOKUP($O4438,매칭테이블!$G:$J,3,0)</f>
        <v/>
      </c>
      <c r="N4438" s="20">
        <f>VLOOKUP($O4438,매칭테이블!$G:$J,4,0)*H4438</f>
        <v/>
      </c>
      <c r="O4438" s="20">
        <f>F4438&amp;E4438&amp;G4438&amp;J4438</f>
        <v/>
      </c>
    </row>
    <row r="4439" ht="16.5" customHeight="1" s="17">
      <c r="B4439" s="16" t="n">
        <v>44260</v>
      </c>
      <c r="C4439" s="20" t="inlineStr">
        <is>
          <t>금</t>
        </is>
      </c>
      <c r="E4439" s="20" t="inlineStr">
        <is>
          <t>쇼핑백</t>
        </is>
      </c>
      <c r="F4439" s="20" t="inlineStr">
        <is>
          <t>카페24</t>
        </is>
      </c>
      <c r="G4439" s="20" t="inlineStr">
        <is>
          <t>솔리드퍼퓸 스테이포에버 002쇼핑백=선물용 쇼핑백</t>
        </is>
      </c>
      <c r="H4439" s="20" t="n">
        <v>6</v>
      </c>
      <c r="I4439" s="20" t="inlineStr">
        <is>
          <t>쇼핑백</t>
        </is>
      </c>
      <c r="J4439" s="20" t="n">
        <v>210207</v>
      </c>
      <c r="L4439" s="20">
        <f>VLOOKUP($O4439,매칭테이블!$G:$J,2,0)*H4439</f>
        <v/>
      </c>
      <c r="M4439" s="20">
        <f>L4439-L4439*VLOOKUP($O4439,매칭테이블!$G:$J,3,0)</f>
        <v/>
      </c>
      <c r="N4439" s="20">
        <f>VLOOKUP($O4439,매칭테이블!$G:$J,4,0)*H4439</f>
        <v/>
      </c>
      <c r="O4439" s="20">
        <f>F4439&amp;E4439&amp;G4439&amp;J4439</f>
        <v/>
      </c>
    </row>
    <row r="4440" ht="16.5" customHeight="1" s="17">
      <c r="B4440" s="16" t="n">
        <v>44260</v>
      </c>
      <c r="C4440" s="20" t="inlineStr">
        <is>
          <t>금</t>
        </is>
      </c>
      <c r="E4440" s="20" t="inlineStr">
        <is>
          <t>고체향수</t>
        </is>
      </c>
      <c r="F4440" s="20" t="inlineStr">
        <is>
          <t>카페24</t>
        </is>
      </c>
      <c r="G4440" s="20" t="inlineStr">
        <is>
          <t>솔리드퍼퓸 이그나이트 001제품선택=이그나이트 솔리드퍼퓸 - 30ml</t>
        </is>
      </c>
      <c r="H4440" s="20" t="n">
        <v>4</v>
      </c>
      <c r="I4440" s="20" t="inlineStr">
        <is>
          <t>이그나이트</t>
        </is>
      </c>
      <c r="J4440" s="20" t="n">
        <v>210207</v>
      </c>
      <c r="L4440" s="20">
        <f>VLOOKUP($O4440,매칭테이블!$G:$J,2,0)*H4440</f>
        <v/>
      </c>
      <c r="M4440" s="20">
        <f>L4440-L4440*VLOOKUP($O4440,매칭테이블!$G:$J,3,0)</f>
        <v/>
      </c>
      <c r="N4440" s="20">
        <f>VLOOKUP($O4440,매칭테이블!$G:$J,4,0)*H4440</f>
        <v/>
      </c>
      <c r="O4440" s="20">
        <f>F4440&amp;E4440&amp;G4440&amp;J4440</f>
        <v/>
      </c>
    </row>
    <row r="4441" ht="16.5" customHeight="1" s="17">
      <c r="B4441" s="16" t="n">
        <v>44260</v>
      </c>
      <c r="C4441" s="20" t="inlineStr">
        <is>
          <t>금</t>
        </is>
      </c>
      <c r="E4441" s="20" t="inlineStr">
        <is>
          <t>고체향수</t>
        </is>
      </c>
      <c r="F4441" s="20" t="inlineStr">
        <is>
          <t>카페24</t>
        </is>
      </c>
      <c r="G4441" s="20" t="inlineStr">
        <is>
          <t>솔리드퍼퓸 이그나이트 001제품선택=이그나이트 2개 세트</t>
        </is>
      </c>
      <c r="H4441" s="20" t="n">
        <v>2</v>
      </c>
      <c r="I4441" s="20" t="inlineStr">
        <is>
          <t>이그나이트 2set</t>
        </is>
      </c>
      <c r="J4441" s="20" t="n">
        <v>210207</v>
      </c>
      <c r="L4441" s="20">
        <f>VLOOKUP($O4441,매칭테이블!$G:$J,2,0)*H4441</f>
        <v/>
      </c>
      <c r="M4441" s="20">
        <f>L4441-L4441*VLOOKUP($O4441,매칭테이블!$G:$J,3,0)</f>
        <v/>
      </c>
      <c r="N4441" s="20">
        <f>VLOOKUP($O4441,매칭테이블!$G:$J,4,0)*H4441</f>
        <v/>
      </c>
      <c r="O4441" s="20">
        <f>F4441&amp;E4441&amp;G4441&amp;J4441</f>
        <v/>
      </c>
    </row>
    <row r="4442" ht="16.5" customHeight="1" s="17">
      <c r="B4442" s="16" t="n">
        <v>44261</v>
      </c>
      <c r="C4442" s="20" t="inlineStr">
        <is>
          <t>토</t>
        </is>
      </c>
      <c r="E4442" s="20" t="inlineStr">
        <is>
          <t>고체향수</t>
        </is>
      </c>
      <c r="F4442" s="20" t="inlineStr">
        <is>
          <t>스마트스토어</t>
        </is>
      </c>
      <c r="G4442" s="20" t="inlineStr">
        <is>
          <t>유즈 고체향수 세트(유즈 스테이포에버, 유즈 이그나이트)고체향수: 스테이포에버 1개 + 이그나이트 1개</t>
        </is>
      </c>
      <c r="H4442" s="20" t="n">
        <v>2</v>
      </c>
      <c r="I4442" s="20" t="inlineStr">
        <is>
          <t>이그나이트 + 스테이포에버</t>
        </is>
      </c>
      <c r="J4442" s="20" t="n">
        <v>210207</v>
      </c>
      <c r="L4442" s="20">
        <f>VLOOKUP($O4442,매칭테이블!$G:$J,2,0)*H4442</f>
        <v/>
      </c>
      <c r="M4442" s="20">
        <f>L4442-L4442*VLOOKUP($O4442,매칭테이블!$G:$J,3,0)</f>
        <v/>
      </c>
      <c r="N4442" s="20">
        <f>VLOOKUP($O4442,매칭테이블!$G:$J,4,0)*H4442</f>
        <v/>
      </c>
      <c r="O4442" s="20">
        <f>F4442&amp;E4442&amp;G4442&amp;J4442</f>
        <v/>
      </c>
    </row>
    <row r="4443" ht="16.5" customHeight="1" s="17">
      <c r="B4443" s="16" t="n">
        <v>44261</v>
      </c>
      <c r="C4443" s="20" t="inlineStr">
        <is>
          <t>토</t>
        </is>
      </c>
      <c r="E4443" s="20" t="inlineStr">
        <is>
          <t>고체향수</t>
        </is>
      </c>
      <c r="F4443" s="20" t="inlineStr">
        <is>
          <t>스마트스토어</t>
        </is>
      </c>
      <c r="G4443" s="20" t="inlineStr">
        <is>
          <t>유즈 고체향수 세트(유즈 스테이포에버, 유즈 이그나이트)고체향수: 스테이포에버 2개</t>
        </is>
      </c>
      <c r="H4443" s="20" t="n">
        <v>4</v>
      </c>
      <c r="I4443" s="20" t="inlineStr">
        <is>
          <t>스테이포에버 2set</t>
        </is>
      </c>
      <c r="J4443" s="20" t="n">
        <v>210207</v>
      </c>
      <c r="L4443" s="20">
        <f>VLOOKUP($O4443,매칭테이블!$G:$J,2,0)*H4443</f>
        <v/>
      </c>
      <c r="M4443" s="20">
        <f>L4443-L4443*VLOOKUP($O4443,매칭테이블!$G:$J,3,0)</f>
        <v/>
      </c>
      <c r="N4443" s="20">
        <f>VLOOKUP($O4443,매칭테이블!$G:$J,4,0)*H4443</f>
        <v/>
      </c>
      <c r="O4443" s="20">
        <f>F4443&amp;E4443&amp;G4443&amp;J4443</f>
        <v/>
      </c>
    </row>
    <row r="4444" ht="16.5" customHeight="1" s="17">
      <c r="B4444" s="16" t="n">
        <v>44261</v>
      </c>
      <c r="C4444" s="20" t="inlineStr">
        <is>
          <t>토</t>
        </is>
      </c>
      <c r="E4444" s="20">
        <f>INDEX(매칭테이블!C:C,MATCH(RD!G4444,매칭테이블!D:D,0))</f>
        <v/>
      </c>
      <c r="F4444" s="20" t="inlineStr">
        <is>
          <t>스마트스토어</t>
        </is>
      </c>
      <c r="G4444" s="20" t="inlineStr">
        <is>
          <t>유즈 고체향수 세트(유즈 스테이포에버, 유즈 이그나이트)고체향수: 이그나이트 2개</t>
        </is>
      </c>
      <c r="H4444" s="20" t="n">
        <v>1</v>
      </c>
      <c r="I4444" s="20">
        <f>VLOOKUP(G4444,매칭테이블!D:E,2,0)</f>
        <v/>
      </c>
      <c r="J4444" s="20" t="n">
        <v>210207</v>
      </c>
      <c r="L4444" s="20">
        <f>VLOOKUP($O4444,매칭테이블!$G:$J,2,0)*H4444</f>
        <v/>
      </c>
      <c r="M4444" s="20">
        <f>L4444-L4444*VLOOKUP($O4444,매칭테이블!$G:$J,3,0)</f>
        <v/>
      </c>
      <c r="N4444" s="20">
        <f>VLOOKUP($O4444,매칭테이블!$G:$J,4,0)*H4444</f>
        <v/>
      </c>
      <c r="O4444" s="20">
        <f>F4444&amp;E4444&amp;G4444&amp;J4444</f>
        <v/>
      </c>
    </row>
    <row r="4445" ht="16.5" customHeight="1" s="17">
      <c r="B4445" s="16" t="n">
        <v>44261</v>
      </c>
      <c r="C4445" s="20" t="inlineStr">
        <is>
          <t>토</t>
        </is>
      </c>
      <c r="E4445" s="20" t="inlineStr">
        <is>
          <t>고체향수</t>
        </is>
      </c>
      <c r="F4445" s="20" t="inlineStr">
        <is>
          <t>스마트스토어</t>
        </is>
      </c>
      <c r="G4445" s="20" t="inlineStr">
        <is>
          <t>유즈 고체향수 스테이포에버 002고체향수: 스테이포에버 1개</t>
        </is>
      </c>
      <c r="H4445" s="20" t="n">
        <v>21</v>
      </c>
      <c r="I4445" s="20" t="inlineStr">
        <is>
          <t>스테이포에버</t>
        </is>
      </c>
      <c r="J4445" s="20" t="n">
        <v>210207</v>
      </c>
      <c r="L4445" s="20">
        <f>VLOOKUP($O4445,매칭테이블!$G:$J,2,0)*H4445</f>
        <v/>
      </c>
      <c r="M4445" s="20">
        <f>L4445-L4445*VLOOKUP($O4445,매칭테이블!$G:$J,3,0)</f>
        <v/>
      </c>
      <c r="N4445" s="20">
        <f>VLOOKUP($O4445,매칭테이블!$G:$J,4,0)*H4445</f>
        <v/>
      </c>
      <c r="O4445" s="20">
        <f>F4445&amp;E4445&amp;G4445&amp;J4445</f>
        <v/>
      </c>
    </row>
    <row r="4446" ht="16.5" customHeight="1" s="17">
      <c r="B4446" s="16" t="n">
        <v>44261</v>
      </c>
      <c r="C4446" s="20" t="inlineStr">
        <is>
          <t>토</t>
        </is>
      </c>
      <c r="E4446" s="20" t="inlineStr">
        <is>
          <t>고체향수</t>
        </is>
      </c>
      <c r="F4446" s="20" t="inlineStr">
        <is>
          <t>카페24</t>
        </is>
      </c>
      <c r="G4446" s="20" t="inlineStr">
        <is>
          <t>솔리드퍼퓸 세트향=이그나이트 001 SOLID PERFUME, 세트 선택=best 2개 (28% 할인)</t>
        </is>
      </c>
      <c r="H4446" s="20" t="n">
        <v>1</v>
      </c>
      <c r="I4446" s="20" t="inlineStr">
        <is>
          <t>이그나이트 2set</t>
        </is>
      </c>
      <c r="J4446" s="20" t="n">
        <v>210207</v>
      </c>
      <c r="L4446" s="20">
        <f>VLOOKUP($O4446,매칭테이블!$G:$J,2,0)*H4446</f>
        <v/>
      </c>
      <c r="M4446" s="20">
        <f>L4446-L4446*VLOOKUP($O4446,매칭테이블!$G:$J,3,0)</f>
        <v/>
      </c>
      <c r="N4446" s="20">
        <f>VLOOKUP($O4446,매칭테이블!$G:$J,4,0)*H4446</f>
        <v/>
      </c>
      <c r="O4446" s="20">
        <f>F4446&amp;E4446&amp;G4446&amp;J4446</f>
        <v/>
      </c>
    </row>
    <row r="4447" ht="16.5" customHeight="1" s="17">
      <c r="B4447" s="16" t="n">
        <v>44261</v>
      </c>
      <c r="C4447" s="20" t="inlineStr">
        <is>
          <t>토</t>
        </is>
      </c>
      <c r="E4447" s="20" t="inlineStr">
        <is>
          <t>고체향수</t>
        </is>
      </c>
      <c r="F4447" s="20" t="inlineStr">
        <is>
          <t>카페24</t>
        </is>
      </c>
      <c r="G4447" s="20" t="inlineStr">
        <is>
          <t>솔리드퍼퓸 세트향=스테이포에버 002 SOLID PERFUME, 세트 선택=1개</t>
        </is>
      </c>
      <c r="H4447" s="20" t="n">
        <v>6</v>
      </c>
      <c r="I4447" s="20" t="inlineStr">
        <is>
          <t>스테이포에버</t>
        </is>
      </c>
      <c r="J4447" s="20" t="n">
        <v>210207</v>
      </c>
      <c r="L4447" s="20">
        <f>VLOOKUP($O4447,매칭테이블!$G:$J,2,0)*H4447</f>
        <v/>
      </c>
      <c r="M4447" s="20">
        <f>L4447-L4447*VLOOKUP($O4447,매칭테이블!$G:$J,3,0)</f>
        <v/>
      </c>
      <c r="N4447" s="20">
        <f>VLOOKUP($O4447,매칭테이블!$G:$J,4,0)*H4447</f>
        <v/>
      </c>
      <c r="O4447" s="20">
        <f>F4447&amp;E4447&amp;G4447&amp;J4447</f>
        <v/>
      </c>
    </row>
    <row r="4448" ht="16.5" customHeight="1" s="17">
      <c r="B4448" s="16" t="n">
        <v>44261</v>
      </c>
      <c r="C4448" s="20" t="inlineStr">
        <is>
          <t>토</t>
        </is>
      </c>
      <c r="E4448" s="20" t="inlineStr">
        <is>
          <t>고체향수</t>
        </is>
      </c>
      <c r="F4448" s="20" t="inlineStr">
        <is>
          <t>카페24</t>
        </is>
      </c>
      <c r="G4448" s="20" t="inlineStr">
        <is>
          <t>솔리드퍼퓸 세트향=스테이포에버 002 SOLID PERFUME, 세트 선택=best 2개 (28% 할인)</t>
        </is>
      </c>
      <c r="H4448" s="20" t="n">
        <v>10</v>
      </c>
      <c r="I4448" s="20" t="inlineStr">
        <is>
          <t>스테이포에버 2set</t>
        </is>
      </c>
      <c r="J4448" s="20" t="n">
        <v>210207</v>
      </c>
      <c r="L4448" s="20">
        <f>VLOOKUP($O4448,매칭테이블!$G:$J,2,0)*H4448</f>
        <v/>
      </c>
      <c r="M4448" s="20">
        <f>L4448-L4448*VLOOKUP($O4448,매칭테이블!$G:$J,3,0)</f>
        <v/>
      </c>
      <c r="N4448" s="20">
        <f>VLOOKUP($O4448,매칭테이블!$G:$J,4,0)*H4448</f>
        <v/>
      </c>
      <c r="O4448" s="20">
        <f>F4448&amp;E4448&amp;G4448&amp;J4448</f>
        <v/>
      </c>
    </row>
    <row r="4449" ht="16.5" customHeight="1" s="17">
      <c r="B4449" s="16" t="n">
        <v>44261</v>
      </c>
      <c r="C4449" s="20" t="inlineStr">
        <is>
          <t>토</t>
        </is>
      </c>
      <c r="E4449" s="20" t="inlineStr">
        <is>
          <t>고체향수</t>
        </is>
      </c>
      <c r="F4449" s="20" t="inlineStr">
        <is>
          <t>카페24</t>
        </is>
      </c>
      <c r="G4449" s="20" t="inlineStr">
        <is>
          <t>솔리드퍼퓸 세트향=커플세트(이그나이트 + 스테이포에버), 세트 선택=1 SET</t>
        </is>
      </c>
      <c r="H4449" s="20" t="n">
        <v>14</v>
      </c>
      <c r="I4449" s="20" t="inlineStr">
        <is>
          <t>이그나이트 + 스테이포에버</t>
        </is>
      </c>
      <c r="J4449" s="20" t="n">
        <v>210207</v>
      </c>
      <c r="L4449" s="20">
        <f>VLOOKUP($O4449,매칭테이블!$G:$J,2,0)*H4449</f>
        <v/>
      </c>
      <c r="M4449" s="20">
        <f>L4449-L4449*VLOOKUP($O4449,매칭테이블!$G:$J,3,0)</f>
        <v/>
      </c>
      <c r="N4449" s="20">
        <f>VLOOKUP($O4449,매칭테이블!$G:$J,4,0)*H4449</f>
        <v/>
      </c>
      <c r="O4449" s="20">
        <f>F4449&amp;E4449&amp;G4449&amp;J4449</f>
        <v/>
      </c>
    </row>
    <row r="4450" ht="16.5" customHeight="1" s="17">
      <c r="B4450" s="16" t="n">
        <v>44261</v>
      </c>
      <c r="C4450" s="20" t="inlineStr">
        <is>
          <t>토</t>
        </is>
      </c>
      <c r="E4450" s="20" t="inlineStr">
        <is>
          <t>고체향수</t>
        </is>
      </c>
      <c r="F4450" s="20" t="inlineStr">
        <is>
          <t>카페24</t>
        </is>
      </c>
      <c r="G4450" s="20" t="inlineStr">
        <is>
          <t>솔리드퍼퓸 세트향=커플세트(이그나이트 + 스테이포에버), 세트 선택=2 SET (42% 할인)</t>
        </is>
      </c>
      <c r="H4450" s="20" t="n">
        <v>2</v>
      </c>
      <c r="I4450" s="20" t="inlineStr">
        <is>
          <t>이그나이트 + 스테이포에버</t>
        </is>
      </c>
      <c r="J4450" s="20" t="n">
        <v>210207</v>
      </c>
      <c r="L4450" s="20">
        <f>VLOOKUP($O4450,매칭테이블!$G:$J,2,0)*H4450</f>
        <v/>
      </c>
      <c r="M4450" s="20">
        <f>L4450-L4450*VLOOKUP($O4450,매칭테이블!$G:$J,3,0)</f>
        <v/>
      </c>
      <c r="N4450" s="20">
        <f>VLOOKUP($O4450,매칭테이블!$G:$J,4,0)*H4450</f>
        <v/>
      </c>
      <c r="O4450" s="20">
        <f>F4450&amp;E4450&amp;G4450&amp;J4450</f>
        <v/>
      </c>
    </row>
    <row r="4451" ht="16.5" customHeight="1" s="17">
      <c r="B4451" s="16" t="n">
        <v>44261</v>
      </c>
      <c r="C4451" s="20" t="inlineStr">
        <is>
          <t>토</t>
        </is>
      </c>
      <c r="E4451" s="20" t="inlineStr">
        <is>
          <t>고체향수</t>
        </is>
      </c>
      <c r="F4451" s="20" t="inlineStr">
        <is>
          <t>카페24</t>
        </is>
      </c>
      <c r="G4451" s="20" t="inlineStr">
        <is>
          <t>솔리드퍼퓸 스테이포에버 002제품선택=스테이포에버 1개</t>
        </is>
      </c>
      <c r="H4451" s="20" t="n">
        <v>266</v>
      </c>
      <c r="I4451" s="20" t="inlineStr">
        <is>
          <t>스테이포에버</t>
        </is>
      </c>
      <c r="J4451" s="20" t="n">
        <v>210207</v>
      </c>
      <c r="L4451" s="20">
        <f>VLOOKUP($O4451,매칭테이블!$G:$J,2,0)*H4451</f>
        <v/>
      </c>
      <c r="M4451" s="20">
        <f>L4451-L4451*VLOOKUP($O4451,매칭테이블!$G:$J,3,0)</f>
        <v/>
      </c>
      <c r="N4451" s="20">
        <f>VLOOKUP($O4451,매칭테이블!$G:$J,4,0)*H4451</f>
        <v/>
      </c>
      <c r="O4451" s="20">
        <f>F4451&amp;E4451&amp;G4451&amp;J4451</f>
        <v/>
      </c>
    </row>
    <row r="4452" ht="16.5" customHeight="1" s="17">
      <c r="B4452" s="16" t="n">
        <v>44261</v>
      </c>
      <c r="C4452" s="20" t="inlineStr">
        <is>
          <t>토</t>
        </is>
      </c>
      <c r="E4452" s="20" t="inlineStr">
        <is>
          <t>고체향수</t>
        </is>
      </c>
      <c r="F4452" s="20" t="inlineStr">
        <is>
          <t>카페24</t>
        </is>
      </c>
      <c r="G4452" s="20" t="inlineStr">
        <is>
          <t>솔리드퍼퓸 스테이포에버 002제품선택=best스테이포에버 2개[28% 할인]</t>
        </is>
      </c>
      <c r="H4452" s="20" t="n">
        <v>148</v>
      </c>
      <c r="I4452" s="20" t="inlineStr">
        <is>
          <t>스테이포에버 2set</t>
        </is>
      </c>
      <c r="J4452" s="20" t="n">
        <v>210207</v>
      </c>
      <c r="L4452" s="20">
        <f>VLOOKUP($O4452,매칭테이블!$G:$J,2,0)*H4452</f>
        <v/>
      </c>
      <c r="M4452" s="20">
        <f>L4452-L4452*VLOOKUP($O4452,매칭테이블!$G:$J,3,0)</f>
        <v/>
      </c>
      <c r="N4452" s="20">
        <f>VLOOKUP($O4452,매칭테이블!$G:$J,4,0)*H4452</f>
        <v/>
      </c>
      <c r="O4452" s="20">
        <f>F4452&amp;E4452&amp;G4452&amp;J4452</f>
        <v/>
      </c>
    </row>
    <row r="4453" ht="16.5" customHeight="1" s="17">
      <c r="B4453" s="16" t="n">
        <v>44261</v>
      </c>
      <c r="C4453" s="20" t="inlineStr">
        <is>
          <t>토</t>
        </is>
      </c>
      <c r="E4453" s="20" t="inlineStr">
        <is>
          <t>고체향수</t>
        </is>
      </c>
      <c r="F4453" s="20" t="inlineStr">
        <is>
          <t>카페24</t>
        </is>
      </c>
      <c r="G4453" s="20" t="inlineStr">
        <is>
          <t>솔리드퍼퓸 스테이포에버 002제품선택=커플추천스테이포에버 + 이그나이트 세트</t>
        </is>
      </c>
      <c r="H4453" s="20" t="n">
        <v>20</v>
      </c>
      <c r="I4453" s="20" t="inlineStr">
        <is>
          <t>이그나이트 + 스테이포에버</t>
        </is>
      </c>
      <c r="J4453" s="20" t="n">
        <v>210207</v>
      </c>
      <c r="L4453" s="20">
        <f>VLOOKUP($O4453,매칭테이블!$G:$J,2,0)*H4453</f>
        <v/>
      </c>
      <c r="M4453" s="20">
        <f>L4453-L4453*VLOOKUP($O4453,매칭테이블!$G:$J,3,0)</f>
        <v/>
      </c>
      <c r="N4453" s="20">
        <f>VLOOKUP($O4453,매칭테이블!$G:$J,4,0)*H4453</f>
        <v/>
      </c>
      <c r="O4453" s="20">
        <f>F4453&amp;E4453&amp;G4453&amp;J4453</f>
        <v/>
      </c>
    </row>
    <row r="4454" ht="16.5" customHeight="1" s="17">
      <c r="B4454" s="16" t="n">
        <v>44261</v>
      </c>
      <c r="C4454" s="20" t="inlineStr">
        <is>
          <t>토</t>
        </is>
      </c>
      <c r="E4454" s="20" t="inlineStr">
        <is>
          <t>쇼핑백</t>
        </is>
      </c>
      <c r="F4454" s="20" t="inlineStr">
        <is>
          <t>카페24</t>
        </is>
      </c>
      <c r="G4454" s="20" t="inlineStr">
        <is>
          <t>솔리드퍼퓸 스테이포에버 002쇼핑백=선물용 쇼핑백</t>
        </is>
      </c>
      <c r="H4454" s="20" t="n">
        <v>10</v>
      </c>
      <c r="I4454" s="20" t="inlineStr">
        <is>
          <t>쇼핑백</t>
        </is>
      </c>
      <c r="J4454" s="20" t="n">
        <v>210207</v>
      </c>
      <c r="L4454" s="20">
        <f>VLOOKUP($O4454,매칭테이블!$G:$J,2,0)*H4454</f>
        <v/>
      </c>
      <c r="M4454" s="20">
        <f>L4454-L4454*VLOOKUP($O4454,매칭테이블!$G:$J,3,0)</f>
        <v/>
      </c>
      <c r="N4454" s="20">
        <f>VLOOKUP($O4454,매칭테이블!$G:$J,4,0)*H4454</f>
        <v/>
      </c>
      <c r="O4454" s="20">
        <f>F4454&amp;E4454&amp;G4454&amp;J4454</f>
        <v/>
      </c>
    </row>
    <row r="4455" ht="16.5" customHeight="1" s="17">
      <c r="B4455" s="16" t="n">
        <v>44261</v>
      </c>
      <c r="C4455" s="20" t="inlineStr">
        <is>
          <t>토</t>
        </is>
      </c>
      <c r="E4455" s="20" t="inlineStr">
        <is>
          <t>고체향수</t>
        </is>
      </c>
      <c r="F4455" s="20" t="inlineStr">
        <is>
          <t>카페24</t>
        </is>
      </c>
      <c r="G4455" s="20" t="inlineStr">
        <is>
          <t>솔리드퍼퓸 이그나이트 001제품선택=이그나이트 솔리드퍼퓸 - 30ml</t>
        </is>
      </c>
      <c r="H4455" s="20" t="n">
        <v>2</v>
      </c>
      <c r="I4455" s="20" t="inlineStr">
        <is>
          <t>이그나이트</t>
        </is>
      </c>
      <c r="J4455" s="20" t="n">
        <v>210207</v>
      </c>
      <c r="L4455" s="20">
        <f>VLOOKUP($O4455,매칭테이블!$G:$J,2,0)*H4455</f>
        <v/>
      </c>
      <c r="M4455" s="20">
        <f>L4455-L4455*VLOOKUP($O4455,매칭테이블!$G:$J,3,0)</f>
        <v/>
      </c>
      <c r="N4455" s="20">
        <f>VLOOKUP($O4455,매칭테이블!$G:$J,4,0)*H4455</f>
        <v/>
      </c>
      <c r="O4455" s="20">
        <f>F4455&amp;E4455&amp;G4455&amp;J4455</f>
        <v/>
      </c>
    </row>
    <row r="4456" ht="16.5" customHeight="1" s="17">
      <c r="B4456" s="16" t="n">
        <v>44261</v>
      </c>
      <c r="C4456" s="20" t="inlineStr">
        <is>
          <t>토</t>
        </is>
      </c>
      <c r="E4456" s="20" t="inlineStr">
        <is>
          <t>고체향수</t>
        </is>
      </c>
      <c r="F4456" s="20" t="inlineStr">
        <is>
          <t>카페24</t>
        </is>
      </c>
      <c r="G4456" s="20" t="inlineStr">
        <is>
          <t>솔리드퍼퓸 이그나이트 001제품선택=이그나이트 2개 세트</t>
        </is>
      </c>
      <c r="H4456" s="20" t="n">
        <v>1</v>
      </c>
      <c r="I4456" s="20" t="inlineStr">
        <is>
          <t>이그나이트 2set</t>
        </is>
      </c>
      <c r="J4456" s="20" t="n">
        <v>210207</v>
      </c>
      <c r="L4456" s="20">
        <f>VLOOKUP($O4456,매칭테이블!$G:$J,2,0)*H4456</f>
        <v/>
      </c>
      <c r="M4456" s="20">
        <f>L4456-L4456*VLOOKUP($O4456,매칭테이블!$G:$J,3,0)</f>
        <v/>
      </c>
      <c r="N4456" s="20">
        <f>VLOOKUP($O4456,매칭테이블!$G:$J,4,0)*H4456</f>
        <v/>
      </c>
      <c r="O4456" s="20">
        <f>F4456&amp;E4456&amp;G4456&amp;J4456</f>
        <v/>
      </c>
    </row>
    <row r="4457" ht="16.5" customHeight="1" s="17">
      <c r="B4457" s="16" t="n">
        <v>44262</v>
      </c>
      <c r="C4457" s="20" t="inlineStr">
        <is>
          <t>일</t>
        </is>
      </c>
      <c r="E4457" s="20" t="inlineStr">
        <is>
          <t>고체향수</t>
        </is>
      </c>
      <c r="F4457" s="20" t="inlineStr">
        <is>
          <t>스마트스토어</t>
        </is>
      </c>
      <c r="G4457" s="20" t="inlineStr">
        <is>
          <t>유즈 고체향수 세트(유즈 스테이포에버, 유즈 이그나이트)고체향수: 스테이포에버 1개 + 이그나이트 1개</t>
        </is>
      </c>
      <c r="H4457" s="20" t="n">
        <v>2</v>
      </c>
      <c r="I4457" s="20" t="inlineStr">
        <is>
          <t>이그나이트 + 스테이포에버</t>
        </is>
      </c>
      <c r="J4457" s="20" t="n">
        <v>210207</v>
      </c>
      <c r="L4457" s="20">
        <f>VLOOKUP($O4457,매칭테이블!$G:$J,2,0)*H4457</f>
        <v/>
      </c>
      <c r="M4457" s="20">
        <f>L4457-L4457*VLOOKUP($O4457,매칭테이블!$G:$J,3,0)</f>
        <v/>
      </c>
      <c r="N4457" s="20">
        <f>VLOOKUP($O4457,매칭테이블!$G:$J,4,0)*H4457</f>
        <v/>
      </c>
      <c r="O4457" s="20">
        <f>F4457&amp;E4457&amp;G4457&amp;J4457</f>
        <v/>
      </c>
    </row>
    <row r="4458" ht="16.5" customHeight="1" s="17">
      <c r="B4458" s="16" t="n">
        <v>44262</v>
      </c>
      <c r="C4458" s="20" t="inlineStr">
        <is>
          <t>일</t>
        </is>
      </c>
      <c r="E4458" s="20" t="inlineStr">
        <is>
          <t>고체향수</t>
        </is>
      </c>
      <c r="F4458" s="20" t="inlineStr">
        <is>
          <t>스마트스토어</t>
        </is>
      </c>
      <c r="G4458" s="20" t="inlineStr">
        <is>
          <t>유즈 고체향수 세트(유즈 스테이포에버, 유즈 이그나이트)고체향수: 스테이포에버 2개</t>
        </is>
      </c>
      <c r="H4458" s="20" t="n">
        <v>5</v>
      </c>
      <c r="I4458" s="20" t="inlineStr">
        <is>
          <t>스테이포에버 2set</t>
        </is>
      </c>
      <c r="J4458" s="20" t="n">
        <v>210207</v>
      </c>
      <c r="L4458" s="20">
        <f>VLOOKUP($O4458,매칭테이블!$G:$J,2,0)*H4458</f>
        <v/>
      </c>
      <c r="M4458" s="20">
        <f>L4458-L4458*VLOOKUP($O4458,매칭테이블!$G:$J,3,0)</f>
        <v/>
      </c>
      <c r="N4458" s="20">
        <f>VLOOKUP($O4458,매칭테이블!$G:$J,4,0)*H4458</f>
        <v/>
      </c>
      <c r="O4458" s="20">
        <f>F4458&amp;E4458&amp;G4458&amp;J4458</f>
        <v/>
      </c>
    </row>
    <row r="4459" ht="16.5" customHeight="1" s="17">
      <c r="B4459" s="16" t="n">
        <v>44262</v>
      </c>
      <c r="C4459" s="20" t="inlineStr">
        <is>
          <t>일</t>
        </is>
      </c>
      <c r="E4459" s="20">
        <f>INDEX(매칭테이블!C:C,MATCH(RD!G4459,매칭테이블!D:D,0))</f>
        <v/>
      </c>
      <c r="F4459" s="20" t="inlineStr">
        <is>
          <t>스마트스토어</t>
        </is>
      </c>
      <c r="G4459" s="20" t="inlineStr">
        <is>
          <t>유즈 고체향수 세트(유즈 스테이포에버, 유즈 이그나이트)고체향수: 이그나이트 2개</t>
        </is>
      </c>
      <c r="H4459" s="20" t="n">
        <v>1</v>
      </c>
      <c r="I4459" s="20">
        <f>VLOOKUP(G4459,매칭테이블!D:E,2,0)</f>
        <v/>
      </c>
      <c r="J4459" s="20" t="n">
        <v>210207</v>
      </c>
      <c r="L4459" s="20">
        <f>VLOOKUP($O4459,매칭테이블!$G:$J,2,0)*H4459</f>
        <v/>
      </c>
      <c r="M4459" s="20">
        <f>L4459-L4459*VLOOKUP($O4459,매칭테이블!$G:$J,3,0)</f>
        <v/>
      </c>
      <c r="N4459" s="20">
        <f>VLOOKUP($O4459,매칭테이블!$G:$J,4,0)*H4459</f>
        <v/>
      </c>
      <c r="O4459" s="20">
        <f>F4459&amp;E4459&amp;G4459&amp;J4459</f>
        <v/>
      </c>
    </row>
    <row r="4460" ht="16.5" customHeight="1" s="17">
      <c r="B4460" s="16" t="n">
        <v>44262</v>
      </c>
      <c r="C4460" s="20" t="inlineStr">
        <is>
          <t>일</t>
        </is>
      </c>
      <c r="E4460" s="20" t="inlineStr">
        <is>
          <t>고체향수</t>
        </is>
      </c>
      <c r="F4460" s="20" t="inlineStr">
        <is>
          <t>스마트스토어</t>
        </is>
      </c>
      <c r="G4460" s="20" t="inlineStr">
        <is>
          <t>유즈 고체향수 스테이포에버 002고체향수: 스테이포에버 1개</t>
        </is>
      </c>
      <c r="H4460" s="20" t="n">
        <v>28</v>
      </c>
      <c r="I4460" s="20" t="inlineStr">
        <is>
          <t>스테이포에버</t>
        </is>
      </c>
      <c r="J4460" s="20" t="n">
        <v>210207</v>
      </c>
      <c r="L4460" s="20">
        <f>VLOOKUP($O4460,매칭테이블!$G:$J,2,0)*H4460</f>
        <v/>
      </c>
      <c r="M4460" s="20">
        <f>L4460-L4460*VLOOKUP($O4460,매칭테이블!$G:$J,3,0)</f>
        <v/>
      </c>
      <c r="N4460" s="20">
        <f>VLOOKUP($O4460,매칭테이블!$G:$J,4,0)*H4460</f>
        <v/>
      </c>
      <c r="O4460" s="20">
        <f>F4460&amp;E4460&amp;G4460&amp;J4460</f>
        <v/>
      </c>
    </row>
    <row r="4461" ht="16.5" customHeight="1" s="17">
      <c r="B4461" s="16" t="n">
        <v>44262</v>
      </c>
      <c r="C4461" s="20" t="inlineStr">
        <is>
          <t>일</t>
        </is>
      </c>
      <c r="E4461" s="20" t="inlineStr">
        <is>
          <t>쇼핑백</t>
        </is>
      </c>
      <c r="F4461" s="20" t="inlineStr">
        <is>
          <t>카페24</t>
        </is>
      </c>
      <c r="G4461" s="20" t="inlineStr">
        <is>
          <t>선물용 쇼핑백</t>
        </is>
      </c>
      <c r="H4461" s="20" t="n">
        <v>1</v>
      </c>
      <c r="I4461" s="20" t="inlineStr">
        <is>
          <t>쇼핑백</t>
        </is>
      </c>
      <c r="J4461" s="20" t="n">
        <v>210207</v>
      </c>
      <c r="L4461" s="20">
        <f>VLOOKUP($O4461,매칭테이블!$G:$J,2,0)*H4461</f>
        <v/>
      </c>
      <c r="M4461" s="20">
        <f>L4461-L4461*VLOOKUP($O4461,매칭테이블!$G:$J,3,0)</f>
        <v/>
      </c>
      <c r="N4461" s="20">
        <f>VLOOKUP($O4461,매칭테이블!$G:$J,4,0)*H4461</f>
        <v/>
      </c>
      <c r="O4461" s="20">
        <f>F4461&amp;E4461&amp;G4461&amp;J4461</f>
        <v/>
      </c>
    </row>
    <row r="4462" ht="16.5" customHeight="1" s="17">
      <c r="B4462" s="16" t="n">
        <v>44262</v>
      </c>
      <c r="C4462" s="20" t="inlineStr">
        <is>
          <t>일</t>
        </is>
      </c>
      <c r="E4462" s="20" t="inlineStr">
        <is>
          <t>고체향수</t>
        </is>
      </c>
      <c r="F4462" s="20" t="inlineStr">
        <is>
          <t>카페24</t>
        </is>
      </c>
      <c r="G4462" s="20" t="inlineStr">
        <is>
          <t>솔리드퍼퓸 세트향=이그나이트 001 SOLID PERFUME, 세트 선택=1개</t>
        </is>
      </c>
      <c r="H4462" s="20" t="n">
        <v>3</v>
      </c>
      <c r="I4462" s="20" t="inlineStr">
        <is>
          <t>이그나이트</t>
        </is>
      </c>
      <c r="J4462" s="20" t="n">
        <v>210207</v>
      </c>
      <c r="L4462" s="20">
        <f>VLOOKUP($O4462,매칭테이블!$G:$J,2,0)*H4462</f>
        <v/>
      </c>
      <c r="M4462" s="20">
        <f>L4462-L4462*VLOOKUP($O4462,매칭테이블!$G:$J,3,0)</f>
        <v/>
      </c>
      <c r="N4462" s="20">
        <f>VLOOKUP($O4462,매칭테이블!$G:$J,4,0)*H4462</f>
        <v/>
      </c>
      <c r="O4462" s="20">
        <f>F4462&amp;E4462&amp;G4462&amp;J4462</f>
        <v/>
      </c>
    </row>
    <row r="4463" ht="16.5" customHeight="1" s="17">
      <c r="B4463" s="16" t="n">
        <v>44262</v>
      </c>
      <c r="C4463" s="20" t="inlineStr">
        <is>
          <t>일</t>
        </is>
      </c>
      <c r="E4463" s="20" t="inlineStr">
        <is>
          <t>고체향수</t>
        </is>
      </c>
      <c r="F4463" s="20" t="inlineStr">
        <is>
          <t>카페24</t>
        </is>
      </c>
      <c r="G4463" s="20" t="inlineStr">
        <is>
          <t>솔리드퍼퓸 세트향=이그나이트 001 SOLID PERFUME, 세트 선택=best 2개 (28% 할인)</t>
        </is>
      </c>
      <c r="H4463" s="20" t="n">
        <v>1</v>
      </c>
      <c r="I4463" s="20" t="inlineStr">
        <is>
          <t>이그나이트 2set</t>
        </is>
      </c>
      <c r="J4463" s="20" t="n">
        <v>210207</v>
      </c>
      <c r="L4463" s="20">
        <f>VLOOKUP($O4463,매칭테이블!$G:$J,2,0)*H4463</f>
        <v/>
      </c>
      <c r="M4463" s="20">
        <f>L4463-L4463*VLOOKUP($O4463,매칭테이블!$G:$J,3,0)</f>
        <v/>
      </c>
      <c r="N4463" s="20">
        <f>VLOOKUP($O4463,매칭테이블!$G:$J,4,0)*H4463</f>
        <v/>
      </c>
      <c r="O4463" s="20">
        <f>F4463&amp;E4463&amp;G4463&amp;J4463</f>
        <v/>
      </c>
    </row>
    <row r="4464" ht="16.5" customHeight="1" s="17">
      <c r="B4464" s="16" t="n">
        <v>44262</v>
      </c>
      <c r="C4464" s="20" t="inlineStr">
        <is>
          <t>일</t>
        </is>
      </c>
      <c r="E4464" s="20" t="inlineStr">
        <is>
          <t>고체향수</t>
        </is>
      </c>
      <c r="F4464" s="20" t="inlineStr">
        <is>
          <t>카페24</t>
        </is>
      </c>
      <c r="G4464" s="20" t="inlineStr">
        <is>
          <t>솔리드퍼퓸 세트향=스테이포에버 002 SOLID PERFUME, 세트 선택=1개</t>
        </is>
      </c>
      <c r="H4464" s="20" t="n">
        <v>14</v>
      </c>
      <c r="I4464" s="20" t="inlineStr">
        <is>
          <t>스테이포에버</t>
        </is>
      </c>
      <c r="J4464" s="20" t="n">
        <v>210207</v>
      </c>
      <c r="L4464" s="20">
        <f>VLOOKUP($O4464,매칭테이블!$G:$J,2,0)*H4464</f>
        <v/>
      </c>
      <c r="M4464" s="20">
        <f>L4464-L4464*VLOOKUP($O4464,매칭테이블!$G:$J,3,0)</f>
        <v/>
      </c>
      <c r="N4464" s="20">
        <f>VLOOKUP($O4464,매칭테이블!$G:$J,4,0)*H4464</f>
        <v/>
      </c>
      <c r="O4464" s="20">
        <f>F4464&amp;E4464&amp;G4464&amp;J4464</f>
        <v/>
      </c>
    </row>
    <row r="4465" ht="16.5" customHeight="1" s="17">
      <c r="B4465" s="16" t="n">
        <v>44262</v>
      </c>
      <c r="C4465" s="20" t="inlineStr">
        <is>
          <t>일</t>
        </is>
      </c>
      <c r="E4465" s="20" t="inlineStr">
        <is>
          <t>고체향수</t>
        </is>
      </c>
      <c r="F4465" s="20" t="inlineStr">
        <is>
          <t>카페24</t>
        </is>
      </c>
      <c r="G4465" s="20" t="inlineStr">
        <is>
          <t>솔리드퍼퓸 세트향=스테이포에버 002 SOLID PERFUME, 세트 선택=best 2개 (28% 할인)</t>
        </is>
      </c>
      <c r="H4465" s="20" t="n">
        <v>16</v>
      </c>
      <c r="I4465" s="20" t="inlineStr">
        <is>
          <t>스테이포에버 2set</t>
        </is>
      </c>
      <c r="J4465" s="20" t="n">
        <v>210207</v>
      </c>
      <c r="L4465" s="20">
        <f>VLOOKUP($O4465,매칭테이블!$G:$J,2,0)*H4465</f>
        <v/>
      </c>
      <c r="M4465" s="20">
        <f>L4465-L4465*VLOOKUP($O4465,매칭테이블!$G:$J,3,0)</f>
        <v/>
      </c>
      <c r="N4465" s="20">
        <f>VLOOKUP($O4465,매칭테이블!$G:$J,4,0)*H4465</f>
        <v/>
      </c>
      <c r="O4465" s="20">
        <f>F4465&amp;E4465&amp;G4465&amp;J4465</f>
        <v/>
      </c>
    </row>
    <row r="4466" ht="16.5" customHeight="1" s="17">
      <c r="B4466" s="16" t="n">
        <v>44262</v>
      </c>
      <c r="C4466" s="20" t="inlineStr">
        <is>
          <t>일</t>
        </is>
      </c>
      <c r="E4466" s="20" t="inlineStr">
        <is>
          <t>고체향수</t>
        </is>
      </c>
      <c r="F4466" s="20" t="inlineStr">
        <is>
          <t>카페24</t>
        </is>
      </c>
      <c r="G4466" s="20" t="inlineStr">
        <is>
          <t>솔리드퍼퓸 세트향=커플세트(이그나이트 + 스테이포에버), 세트 선택=1 SET</t>
        </is>
      </c>
      <c r="H4466" s="20" t="n">
        <v>17</v>
      </c>
      <c r="I4466" s="20" t="inlineStr">
        <is>
          <t>이그나이트 + 스테이포에버</t>
        </is>
      </c>
      <c r="J4466" s="20" t="n">
        <v>210207</v>
      </c>
      <c r="L4466" s="20">
        <f>VLOOKUP($O4466,매칭테이블!$G:$J,2,0)*H4466</f>
        <v/>
      </c>
      <c r="M4466" s="20">
        <f>L4466-L4466*VLOOKUP($O4466,매칭테이블!$G:$J,3,0)</f>
        <v/>
      </c>
      <c r="N4466" s="20">
        <f>VLOOKUP($O4466,매칭테이블!$G:$J,4,0)*H4466</f>
        <v/>
      </c>
      <c r="O4466" s="20">
        <f>F4466&amp;E4466&amp;G4466&amp;J4466</f>
        <v/>
      </c>
    </row>
    <row r="4467" ht="16.5" customHeight="1" s="17">
      <c r="B4467" s="16" t="n">
        <v>44262</v>
      </c>
      <c r="C4467" s="20" t="inlineStr">
        <is>
          <t>일</t>
        </is>
      </c>
      <c r="E4467" s="20" t="inlineStr">
        <is>
          <t>고체향수</t>
        </is>
      </c>
      <c r="F4467" s="20" t="inlineStr">
        <is>
          <t>카페24</t>
        </is>
      </c>
      <c r="G4467" s="20" t="inlineStr">
        <is>
          <t>솔리드퍼퓸 스테이포에버 002제품선택=스테이포에버 1개</t>
        </is>
      </c>
      <c r="H4467" s="20" t="n">
        <v>263</v>
      </c>
      <c r="I4467" s="20" t="inlineStr">
        <is>
          <t>스테이포에버</t>
        </is>
      </c>
      <c r="J4467" s="20" t="n">
        <v>210207</v>
      </c>
      <c r="L4467" s="20">
        <f>VLOOKUP($O4467,매칭테이블!$G:$J,2,0)*H4467</f>
        <v/>
      </c>
      <c r="M4467" s="20">
        <f>L4467-L4467*VLOOKUP($O4467,매칭테이블!$G:$J,3,0)</f>
        <v/>
      </c>
      <c r="N4467" s="20">
        <f>VLOOKUP($O4467,매칭테이블!$G:$J,4,0)*H4467</f>
        <v/>
      </c>
      <c r="O4467" s="20">
        <f>F4467&amp;E4467&amp;G4467&amp;J4467</f>
        <v/>
      </c>
    </row>
    <row r="4468" ht="16.5" customHeight="1" s="17">
      <c r="B4468" s="16" t="n">
        <v>44262</v>
      </c>
      <c r="C4468" s="20" t="inlineStr">
        <is>
          <t>일</t>
        </is>
      </c>
      <c r="E4468" s="20" t="inlineStr">
        <is>
          <t>고체향수</t>
        </is>
      </c>
      <c r="F4468" s="20" t="inlineStr">
        <is>
          <t>카페24</t>
        </is>
      </c>
      <c r="G4468" s="20" t="inlineStr">
        <is>
          <t>솔리드퍼퓸 스테이포에버 002제품선택=best스테이포에버 2개[28% 할인]</t>
        </is>
      </c>
      <c r="H4468" s="20" t="n">
        <v>134</v>
      </c>
      <c r="I4468" s="20" t="inlineStr">
        <is>
          <t>스테이포에버 2set</t>
        </is>
      </c>
      <c r="J4468" s="20" t="n">
        <v>210207</v>
      </c>
      <c r="L4468" s="20">
        <f>VLOOKUP($O4468,매칭테이블!$G:$J,2,0)*H4468</f>
        <v/>
      </c>
      <c r="M4468" s="20">
        <f>L4468-L4468*VLOOKUP($O4468,매칭테이블!$G:$J,3,0)</f>
        <v/>
      </c>
      <c r="N4468" s="20">
        <f>VLOOKUP($O4468,매칭테이블!$G:$J,4,0)*H4468</f>
        <v/>
      </c>
      <c r="O4468" s="20">
        <f>F4468&amp;E4468&amp;G4468&amp;J4468</f>
        <v/>
      </c>
    </row>
    <row r="4469" ht="16.5" customHeight="1" s="17">
      <c r="B4469" s="16" t="n">
        <v>44262</v>
      </c>
      <c r="C4469" s="20" t="inlineStr">
        <is>
          <t>일</t>
        </is>
      </c>
      <c r="E4469" s="20" t="inlineStr">
        <is>
          <t>고체향수</t>
        </is>
      </c>
      <c r="F4469" s="20" t="inlineStr">
        <is>
          <t>카페24</t>
        </is>
      </c>
      <c r="G4469" s="20" t="inlineStr">
        <is>
          <t>솔리드퍼퓸 스테이포에버 002제품선택=커플추천스테이포에버 + 이그나이트 세트</t>
        </is>
      </c>
      <c r="H4469" s="20" t="n">
        <v>12</v>
      </c>
      <c r="I4469" s="20" t="inlineStr">
        <is>
          <t>이그나이트 + 스테이포에버</t>
        </is>
      </c>
      <c r="J4469" s="20" t="n">
        <v>210207</v>
      </c>
      <c r="L4469" s="20">
        <f>VLOOKUP($O4469,매칭테이블!$G:$J,2,0)*H4469</f>
        <v/>
      </c>
      <c r="M4469" s="20">
        <f>L4469-L4469*VLOOKUP($O4469,매칭테이블!$G:$J,3,0)</f>
        <v/>
      </c>
      <c r="N4469" s="20">
        <f>VLOOKUP($O4469,매칭테이블!$G:$J,4,0)*H4469</f>
        <v/>
      </c>
      <c r="O4469" s="20">
        <f>F4469&amp;E4469&amp;G4469&amp;J4469</f>
        <v/>
      </c>
    </row>
    <row r="4470" ht="16.5" customHeight="1" s="17">
      <c r="B4470" s="16" t="n">
        <v>44262</v>
      </c>
      <c r="C4470" s="20" t="inlineStr">
        <is>
          <t>일</t>
        </is>
      </c>
      <c r="E4470" s="20" t="inlineStr">
        <is>
          <t>쇼핑백</t>
        </is>
      </c>
      <c r="F4470" s="20" t="inlineStr">
        <is>
          <t>카페24</t>
        </is>
      </c>
      <c r="G4470" s="20" t="inlineStr">
        <is>
          <t>솔리드퍼퓸 스테이포에버 002쇼핑백=선물용 쇼핑백</t>
        </is>
      </c>
      <c r="H4470" s="20" t="n">
        <v>6</v>
      </c>
      <c r="I4470" s="20" t="inlineStr">
        <is>
          <t>쇼핑백</t>
        </is>
      </c>
      <c r="J4470" s="20" t="n">
        <v>210207</v>
      </c>
      <c r="L4470" s="20">
        <f>VLOOKUP($O4470,매칭테이블!$G:$J,2,0)*H4470</f>
        <v/>
      </c>
      <c r="M4470" s="20">
        <f>L4470-L4470*VLOOKUP($O4470,매칭테이블!$G:$J,3,0)</f>
        <v/>
      </c>
      <c r="N4470" s="20">
        <f>VLOOKUP($O4470,매칭테이블!$G:$J,4,0)*H4470</f>
        <v/>
      </c>
      <c r="O4470" s="20">
        <f>F4470&amp;E4470&amp;G4470&amp;J4470</f>
        <v/>
      </c>
    </row>
    <row r="4471" ht="16.5" customHeight="1" s="17">
      <c r="B4471" s="16" t="n">
        <v>44262</v>
      </c>
      <c r="C4471" s="20" t="inlineStr">
        <is>
          <t>일</t>
        </is>
      </c>
      <c r="E4471" s="20" t="inlineStr">
        <is>
          <t>고체향수</t>
        </is>
      </c>
      <c r="F4471" s="20" t="inlineStr">
        <is>
          <t>카페24</t>
        </is>
      </c>
      <c r="G4471" s="20" t="inlineStr">
        <is>
          <t>솔리드퍼퓸 이그나이트 001제품선택=이그나이트 솔리드퍼퓸 - 30ml</t>
        </is>
      </c>
      <c r="H4471" s="20" t="n">
        <v>3</v>
      </c>
      <c r="I4471" s="20" t="inlineStr">
        <is>
          <t>이그나이트</t>
        </is>
      </c>
      <c r="J4471" s="20" t="n">
        <v>210207</v>
      </c>
      <c r="L4471" s="20">
        <f>VLOOKUP($O4471,매칭테이블!$G:$J,2,0)*H4471</f>
        <v/>
      </c>
      <c r="M4471" s="20">
        <f>L4471-L4471*VLOOKUP($O4471,매칭테이블!$G:$J,3,0)</f>
        <v/>
      </c>
      <c r="N4471" s="20">
        <f>VLOOKUP($O4471,매칭테이블!$G:$J,4,0)*H4471</f>
        <v/>
      </c>
      <c r="O4471" s="20">
        <f>F4471&amp;E4471&amp;G4471&amp;J4471</f>
        <v/>
      </c>
    </row>
    <row r="4472" ht="16.5" customHeight="1" s="17">
      <c r="B4472" s="16" t="n">
        <v>44262</v>
      </c>
      <c r="C4472" s="20" t="inlineStr">
        <is>
          <t>일</t>
        </is>
      </c>
      <c r="E4472" s="20" t="inlineStr">
        <is>
          <t>쇼핑백</t>
        </is>
      </c>
      <c r="F4472" s="20" t="inlineStr">
        <is>
          <t>카페24</t>
        </is>
      </c>
      <c r="G4472" s="20" t="inlineStr">
        <is>
          <t>솔리드퍼퓸 이그나이트 001쇼핑백=선물용 쇼핑백</t>
        </is>
      </c>
      <c r="H4472" s="20" t="n">
        <v>1</v>
      </c>
      <c r="I4472" s="20" t="inlineStr">
        <is>
          <t>쇼핑백</t>
        </is>
      </c>
      <c r="J4472" s="20" t="n">
        <v>210207</v>
      </c>
      <c r="L4472" s="20">
        <f>VLOOKUP($O4472,매칭테이블!$G:$J,2,0)*H4472</f>
        <v/>
      </c>
      <c r="M4472" s="20">
        <f>L4472-L4472*VLOOKUP($O4472,매칭테이블!$G:$J,3,0)</f>
        <v/>
      </c>
      <c r="N4472" s="20">
        <f>VLOOKUP($O4472,매칭테이블!$G:$J,4,0)*H4472</f>
        <v/>
      </c>
      <c r="O4472" s="20">
        <f>F4472&amp;E4472&amp;G4472&amp;J4472</f>
        <v/>
      </c>
    </row>
    <row r="4473" ht="16.5" customHeight="1" s="17">
      <c r="A4473" s="20" t="inlineStr">
        <is>
          <t>고체향수</t>
        </is>
      </c>
      <c r="B4473" s="16" t="n">
        <v>44257</v>
      </c>
      <c r="C4473" s="20" t="inlineStr">
        <is>
          <t>화</t>
        </is>
      </c>
      <c r="D4473" s="20" t="inlineStr">
        <is>
          <t>네이버 배너</t>
        </is>
      </c>
      <c r="E4473" s="20" t="inlineStr">
        <is>
          <t>고체향수</t>
        </is>
      </c>
      <c r="K4473" s="20" t="n">
        <v>1496918.181818182</v>
      </c>
    </row>
    <row r="4474" ht="16.5" customHeight="1" s="17">
      <c r="A4474" s="20" t="inlineStr">
        <is>
          <t>고체향수</t>
        </is>
      </c>
      <c r="B4474" s="16" t="n">
        <v>44258</v>
      </c>
      <c r="C4474" s="20" t="inlineStr">
        <is>
          <t>수</t>
        </is>
      </c>
      <c r="D4474" s="20" t="inlineStr">
        <is>
          <t>네이버 배너</t>
        </is>
      </c>
      <c r="E4474" s="20" t="inlineStr">
        <is>
          <t>고체향수</t>
        </is>
      </c>
      <c r="K4474" s="20" t="n">
        <v>1331852.727272727</v>
      </c>
    </row>
    <row r="4475" ht="16.5" customHeight="1" s="17">
      <c r="A4475" s="20" t="inlineStr">
        <is>
          <t>고체향수</t>
        </is>
      </c>
      <c r="B4475" s="16" t="n">
        <v>44259</v>
      </c>
      <c r="C4475" s="20" t="inlineStr">
        <is>
          <t>목</t>
        </is>
      </c>
      <c r="D4475" s="20" t="inlineStr">
        <is>
          <t>네이버 배너</t>
        </is>
      </c>
      <c r="E4475" s="20" t="inlineStr">
        <is>
          <t>고체향수</t>
        </is>
      </c>
      <c r="K4475" s="20" t="n">
        <v>1300603.636363636</v>
      </c>
    </row>
    <row r="4476" ht="16.5" customHeight="1" s="17">
      <c r="A4476" s="20" t="inlineStr">
        <is>
          <t>고체향수</t>
        </is>
      </c>
      <c r="B4476" s="16" t="n">
        <v>44260</v>
      </c>
      <c r="C4476" s="20" t="inlineStr">
        <is>
          <t>금</t>
        </is>
      </c>
      <c r="D4476" s="20" t="inlineStr">
        <is>
          <t>네이버 배너</t>
        </is>
      </c>
      <c r="E4476" s="20" t="inlineStr">
        <is>
          <t>고체향수</t>
        </is>
      </c>
      <c r="K4476" s="20" t="n">
        <v>1228050</v>
      </c>
    </row>
    <row r="4477" ht="16.5" customHeight="1" s="17">
      <c r="A4477" s="20" t="inlineStr">
        <is>
          <t>고체향수</t>
        </is>
      </c>
      <c r="B4477" s="16" t="n">
        <v>44261</v>
      </c>
      <c r="C4477" s="20" t="inlineStr">
        <is>
          <t>토</t>
        </is>
      </c>
      <c r="D4477" s="20" t="inlineStr">
        <is>
          <t>네이버 배너</t>
        </is>
      </c>
      <c r="E4477" s="20" t="inlineStr">
        <is>
          <t>고체향수</t>
        </is>
      </c>
      <c r="K4477" s="20" t="n">
        <v>1424686.363636364</v>
      </c>
    </row>
    <row r="4478" ht="16.5" customHeight="1" s="17">
      <c r="A4478" s="20" t="inlineStr">
        <is>
          <t>고체향수</t>
        </is>
      </c>
      <c r="B4478" s="16" t="n">
        <v>44262</v>
      </c>
      <c r="C4478" s="20" t="inlineStr">
        <is>
          <t>일</t>
        </is>
      </c>
      <c r="D4478" s="20" t="inlineStr">
        <is>
          <t>네이버 배너</t>
        </is>
      </c>
      <c r="E4478" s="20" t="inlineStr">
        <is>
          <t>고체향수</t>
        </is>
      </c>
      <c r="K4478" s="20" t="n">
        <v>1407141.818181818</v>
      </c>
    </row>
    <row r="4479" ht="16.5" customHeight="1" s="17">
      <c r="A4479" s="20" t="inlineStr">
        <is>
          <t>[다현 TEST] 스테이포에버_유즈모먼트</t>
        </is>
      </c>
      <c r="B4479" s="16" t="n">
        <v>44263</v>
      </c>
      <c r="C4479" s="20" t="inlineStr">
        <is>
          <t>월</t>
        </is>
      </c>
      <c r="D4479" s="20" t="inlineStr">
        <is>
          <t>페이스북/인스타그램</t>
        </is>
      </c>
      <c r="E4479" s="20" t="inlineStr">
        <is>
          <t>고체향수</t>
        </is>
      </c>
      <c r="K4479" s="20" t="n">
        <v>58047</v>
      </c>
    </row>
    <row r="4480" ht="16.5" customHeight="1" s="17">
      <c r="A4480" s="20" t="inlineStr">
        <is>
          <t>[성민 TEST] 스테이포에버_이미지</t>
        </is>
      </c>
      <c r="B4480" s="16" t="n">
        <v>44263</v>
      </c>
      <c r="C4480" s="20" t="inlineStr">
        <is>
          <t>월</t>
        </is>
      </c>
      <c r="D4480" s="20" t="inlineStr">
        <is>
          <t>페이스북/인스타그램</t>
        </is>
      </c>
      <c r="E4480" s="20" t="inlineStr">
        <is>
          <t>고체향수</t>
        </is>
      </c>
      <c r="K4480" s="20" t="n">
        <v>29464</v>
      </c>
    </row>
    <row r="4481" ht="16.5" customHeight="1" s="17">
      <c r="A4481" s="20" t="inlineStr">
        <is>
          <t>[승은 TEST] 스테이포에버_카드뉴스</t>
        </is>
      </c>
      <c r="B4481" s="16" t="n">
        <v>44263</v>
      </c>
      <c r="C4481" s="20" t="inlineStr">
        <is>
          <t>월</t>
        </is>
      </c>
      <c r="D4481" s="20" t="inlineStr">
        <is>
          <t>페이스북/인스타그램</t>
        </is>
      </c>
      <c r="E4481" s="20" t="inlineStr">
        <is>
          <t>고체향수</t>
        </is>
      </c>
      <c r="K4481" s="20" t="n">
        <v>57969</v>
      </c>
    </row>
    <row r="4482" ht="16.5" customHeight="1" s="17">
      <c r="A4482" s="20" t="inlineStr">
        <is>
          <t>[승무원 2] 스테이포에버_카드뉴스</t>
        </is>
      </c>
      <c r="B4482" s="16" t="n">
        <v>44263</v>
      </c>
      <c r="C4482" s="20" t="inlineStr">
        <is>
          <t>월</t>
        </is>
      </c>
      <c r="D4482" s="20" t="inlineStr">
        <is>
          <t>페이스북/인스타그램</t>
        </is>
      </c>
      <c r="E4482" s="20" t="inlineStr">
        <is>
          <t>고체향수</t>
        </is>
      </c>
      <c r="K4482" s="20" t="n">
        <v>292629</v>
      </c>
    </row>
    <row r="4483" ht="16.5" customHeight="1" s="17">
      <c r="A4483" s="20" t="inlineStr">
        <is>
          <t>[테스트]아줌마</t>
        </is>
      </c>
      <c r="B4483" s="16" t="n">
        <v>44263</v>
      </c>
      <c r="C4483" s="20" t="inlineStr">
        <is>
          <t>월</t>
        </is>
      </c>
      <c r="D4483" s="20" t="inlineStr">
        <is>
          <t>페이스북/인스타그램</t>
        </is>
      </c>
      <c r="E4483" s="20" t="inlineStr">
        <is>
          <t>고체향수</t>
        </is>
      </c>
      <c r="K4483" s="20" t="n">
        <v>146001</v>
      </c>
    </row>
    <row r="4484" ht="16.5" customHeight="1" s="17">
      <c r="A4484" s="20" t="inlineStr">
        <is>
          <t>[키워드 확장 테스트]스테이포에버_이미지</t>
        </is>
      </c>
      <c r="B4484" s="16" t="n">
        <v>44263</v>
      </c>
      <c r="C4484" s="20" t="inlineStr">
        <is>
          <t>월</t>
        </is>
      </c>
      <c r="D4484" s="20" t="inlineStr">
        <is>
          <t>페이스북/인스타그램</t>
        </is>
      </c>
      <c r="E4484" s="20" t="inlineStr">
        <is>
          <t>고체향수</t>
        </is>
      </c>
      <c r="K4484" s="20" t="n">
        <v>263778</v>
      </c>
    </row>
    <row r="4485" ht="16.5" customHeight="1" s="17">
      <c r="A4485" s="20" t="inlineStr">
        <is>
          <t>[재입고]스테이포에버_이미지</t>
        </is>
      </c>
      <c r="B4485" s="16" t="n">
        <v>44263</v>
      </c>
      <c r="C4485" s="20" t="inlineStr">
        <is>
          <t>월</t>
        </is>
      </c>
      <c r="D4485" s="20" t="inlineStr">
        <is>
          <t>페이스북/인스타그램</t>
        </is>
      </c>
      <c r="E4485" s="20" t="inlineStr">
        <is>
          <t>고체향수</t>
        </is>
      </c>
      <c r="K4485" s="20" t="n">
        <v>146739</v>
      </c>
    </row>
    <row r="4486" ht="16.5" customHeight="1" s="17">
      <c r="A4486" s="20" t="inlineStr">
        <is>
          <t>[승무원]숏폼_영상</t>
        </is>
      </c>
      <c r="B4486" s="16" t="n">
        <v>44263</v>
      </c>
      <c r="C4486" s="20" t="inlineStr">
        <is>
          <t>월</t>
        </is>
      </c>
      <c r="D4486" s="20" t="inlineStr">
        <is>
          <t>페이스북/인스타그램</t>
        </is>
      </c>
      <c r="E4486" s="20" t="inlineStr">
        <is>
          <t>고체향수</t>
        </is>
      </c>
      <c r="K4486" s="20" t="n">
        <v>97290</v>
      </c>
    </row>
    <row r="4487" ht="16.5" customHeight="1" s="17">
      <c r="A4487" s="20" t="inlineStr">
        <is>
          <t>[재입고]스테이포에버_영상</t>
        </is>
      </c>
      <c r="B4487" s="16" t="n">
        <v>44263</v>
      </c>
      <c r="C4487" s="20" t="inlineStr">
        <is>
          <t>월</t>
        </is>
      </c>
      <c r="D4487" s="20" t="inlineStr">
        <is>
          <t>페이스북/인스타그램</t>
        </is>
      </c>
      <c r="E4487" s="20" t="inlineStr">
        <is>
          <t>고체향수</t>
        </is>
      </c>
      <c r="K4487" s="20" t="n">
        <v>193609</v>
      </c>
    </row>
    <row r="4488" ht="16.5" customHeight="1" s="17">
      <c r="A4488" s="20" t="inlineStr">
        <is>
          <t>[젊줌마]스테이포에버_영상</t>
        </is>
      </c>
      <c r="B4488" s="16" t="n">
        <v>44263</v>
      </c>
      <c r="C4488" s="20" t="inlineStr">
        <is>
          <t>월</t>
        </is>
      </c>
      <c r="D4488" s="20" t="inlineStr">
        <is>
          <t>페이스북/인스타그램</t>
        </is>
      </c>
      <c r="E4488" s="20" t="inlineStr">
        <is>
          <t>고체향수</t>
        </is>
      </c>
      <c r="K4488" s="20" t="n">
        <v>97502</v>
      </c>
    </row>
    <row r="4489" ht="16.5" customHeight="1" s="17">
      <c r="A4489" s="20" t="inlineStr">
        <is>
          <t>[이성소구]스테이포에버_영상</t>
        </is>
      </c>
      <c r="B4489" s="16" t="n">
        <v>44263</v>
      </c>
      <c r="C4489" s="20" t="inlineStr">
        <is>
          <t>월</t>
        </is>
      </c>
      <c r="D4489" s="20" t="inlineStr">
        <is>
          <t>페이스북/인스타그램</t>
        </is>
      </c>
      <c r="E4489" s="20" t="inlineStr">
        <is>
          <t>고체향수</t>
        </is>
      </c>
      <c r="K4489" s="20" t="n">
        <v>29189</v>
      </c>
    </row>
    <row r="4490" ht="16.5" customHeight="1" s="17">
      <c r="A4490" s="20" t="inlineStr">
        <is>
          <t>[승무원]2019년썰 카드뉴스+ 향묘사_영상</t>
        </is>
      </c>
      <c r="B4490" s="16" t="n">
        <v>44263</v>
      </c>
      <c r="C4490" s="20" t="inlineStr">
        <is>
          <t>월</t>
        </is>
      </c>
      <c r="D4490" s="20" t="inlineStr">
        <is>
          <t>페이스북/인스타그램</t>
        </is>
      </c>
      <c r="E4490" s="20" t="inlineStr">
        <is>
          <t>고체향수</t>
        </is>
      </c>
      <c r="K4490" s="20" t="n">
        <v>67560</v>
      </c>
    </row>
    <row r="4491" ht="16.5" customHeight="1" s="17">
      <c r="A4491" s="20" t="inlineStr">
        <is>
          <t>[승무원어피]스테이포에버_이미지</t>
        </is>
      </c>
      <c r="B4491" s="16" t="n">
        <v>44263</v>
      </c>
      <c r="C4491" s="20" t="inlineStr">
        <is>
          <t>월</t>
        </is>
      </c>
      <c r="D4491" s="20" t="inlineStr">
        <is>
          <t>페이스북/인스타그램</t>
        </is>
      </c>
      <c r="E4491" s="20" t="inlineStr">
        <is>
          <t>고체향수</t>
        </is>
      </c>
      <c r="K4491" s="20" t="n">
        <v>97281</v>
      </c>
    </row>
    <row r="4492" ht="16.5" customHeight="1" s="17">
      <c r="A4492" s="20" t="inlineStr">
        <is>
          <t>[다현]스테이포에버_이미지</t>
        </is>
      </c>
      <c r="B4492" s="16" t="n">
        <v>44263</v>
      </c>
      <c r="C4492" s="20" t="inlineStr">
        <is>
          <t>월</t>
        </is>
      </c>
      <c r="D4492" s="20" t="inlineStr">
        <is>
          <t>페이스북/인스타그램</t>
        </is>
      </c>
      <c r="E4492" s="20" t="inlineStr">
        <is>
          <t>고체향수</t>
        </is>
      </c>
      <c r="K4492" s="20" t="n">
        <v>290461</v>
      </c>
    </row>
    <row r="4493" ht="16.5" customHeight="1" s="17">
      <c r="A4493" s="20" t="inlineStr">
        <is>
          <t>[승무원]스테이포에버_카드뉴스</t>
        </is>
      </c>
      <c r="B4493" s="16" t="n">
        <v>44263</v>
      </c>
      <c r="C4493" s="20" t="inlineStr">
        <is>
          <t>월</t>
        </is>
      </c>
      <c r="D4493" s="20" t="inlineStr">
        <is>
          <t>페이스북/인스타그램</t>
        </is>
      </c>
      <c r="E4493" s="20" t="inlineStr">
        <is>
          <t>고체향수</t>
        </is>
      </c>
      <c r="K4493" s="20" t="n">
        <v>290896</v>
      </c>
    </row>
    <row r="4494" ht="16.5" customHeight="1" s="17">
      <c r="A4494" s="20" t="inlineStr">
        <is>
          <t>[후기타입]스테이포에버_영상</t>
        </is>
      </c>
      <c r="B4494" s="16" t="n">
        <v>44263</v>
      </c>
      <c r="C4494" s="20" t="inlineStr">
        <is>
          <t>월</t>
        </is>
      </c>
      <c r="D4494" s="20" t="inlineStr">
        <is>
          <t>페이스북/인스타그램</t>
        </is>
      </c>
      <c r="E4494" s="20" t="inlineStr">
        <is>
          <t>고체향수</t>
        </is>
      </c>
      <c r="K4494" s="20" t="n">
        <v>147316</v>
      </c>
    </row>
    <row r="4495" ht="16.5" customHeight="1" s="17">
      <c r="A4495" s="20" t="inlineStr">
        <is>
          <t>전환_스테이포에버</t>
        </is>
      </c>
      <c r="B4495" s="16" t="n">
        <v>44263</v>
      </c>
      <c r="C4495" s="20" t="inlineStr">
        <is>
          <t>월</t>
        </is>
      </c>
      <c r="D4495" s="20" t="inlineStr">
        <is>
          <t>페이스북/인스타그램</t>
        </is>
      </c>
      <c r="E4495" s="20" t="inlineStr">
        <is>
          <t>고체향수</t>
        </is>
      </c>
      <c r="K4495" s="20" t="n">
        <v>145477</v>
      </c>
    </row>
    <row r="4496" ht="16.5" customHeight="1" s="17">
      <c r="A4496" s="20" t="inlineStr">
        <is>
          <t>[권태기커플]스테이포에버_영상</t>
        </is>
      </c>
      <c r="B4496" s="16" t="n">
        <v>44263</v>
      </c>
      <c r="C4496" s="20" t="inlineStr">
        <is>
          <t>월</t>
        </is>
      </c>
      <c r="D4496" s="20" t="inlineStr">
        <is>
          <t>페이스북/인스타그램</t>
        </is>
      </c>
      <c r="E4496" s="20" t="inlineStr">
        <is>
          <t>고체향수</t>
        </is>
      </c>
      <c r="K4496" s="20" t="n">
        <v>146935</v>
      </c>
    </row>
    <row r="4497" ht="16.5" customHeight="1" s="17">
      <c r="A4497" s="20" t="inlineStr">
        <is>
          <t>동영상캠페인_승무원_2019년썰(타겟 cpa)</t>
        </is>
      </c>
      <c r="B4497" s="16" t="n">
        <v>44263</v>
      </c>
      <c r="C4497" s="20" t="inlineStr">
        <is>
          <t>월</t>
        </is>
      </c>
      <c r="D4497" s="20" t="inlineStr">
        <is>
          <t>유튜브 광고</t>
        </is>
      </c>
      <c r="E4497" s="20" t="inlineStr">
        <is>
          <t>고체향수</t>
        </is>
      </c>
      <c r="K4497" s="20" t="n">
        <v>30948</v>
      </c>
    </row>
    <row r="4498" ht="16.5" customHeight="1" s="17">
      <c r="A4498" s="20" t="inlineStr">
        <is>
          <t>웹사이트 트래픽 서치</t>
        </is>
      </c>
      <c r="B4498" s="16" t="n">
        <v>44263</v>
      </c>
      <c r="C4498" s="20" t="inlineStr">
        <is>
          <t>월</t>
        </is>
      </c>
      <c r="D4498" s="20" t="inlineStr">
        <is>
          <t>유튜브 광고</t>
        </is>
      </c>
      <c r="E4498" s="20" t="inlineStr">
        <is>
          <t>고체향수</t>
        </is>
      </c>
      <c r="K4498" s="20" t="n">
        <v>31149</v>
      </c>
    </row>
    <row r="4499" ht="16.5" customHeight="1" s="17">
      <c r="A4499" s="20" t="inlineStr">
        <is>
          <t>동영상캠페인_승무원_보이는 라디오</t>
        </is>
      </c>
      <c r="B4499" s="16" t="n">
        <v>44263</v>
      </c>
      <c r="C4499" s="20" t="inlineStr">
        <is>
          <t>월</t>
        </is>
      </c>
      <c r="D4499" s="20" t="inlineStr">
        <is>
          <t>유튜브 광고</t>
        </is>
      </c>
      <c r="E4499" s="20" t="inlineStr">
        <is>
          <t>고체향수</t>
        </is>
      </c>
      <c r="K4499" s="20" t="n">
        <v>519488</v>
      </c>
    </row>
    <row r="4500" ht="16.5" customHeight="1" s="17">
      <c r="A4500" s="20" t="inlineStr">
        <is>
          <t>디스커버리 배너_승무원,할인_리마케팅</t>
        </is>
      </c>
      <c r="B4500" s="16" t="n">
        <v>44263</v>
      </c>
      <c r="C4500" s="20" t="inlineStr">
        <is>
          <t>월</t>
        </is>
      </c>
      <c r="D4500" s="20" t="inlineStr">
        <is>
          <t>유튜브 광고</t>
        </is>
      </c>
      <c r="E4500" s="20" t="inlineStr">
        <is>
          <t>고체향수</t>
        </is>
      </c>
      <c r="K4500" s="20" t="n">
        <v>513409</v>
      </c>
    </row>
    <row r="4501" ht="16.5" customHeight="1" s="17">
      <c r="A4501" s="20" t="inlineStr">
        <is>
          <t>동영상캠페인_승무원_써니스카이</t>
        </is>
      </c>
      <c r="B4501" s="16" t="n">
        <v>44263</v>
      </c>
      <c r="C4501" s="20" t="inlineStr">
        <is>
          <t>월</t>
        </is>
      </c>
      <c r="D4501" s="20" t="inlineStr">
        <is>
          <t>유튜브 광고</t>
        </is>
      </c>
      <c r="E4501" s="20" t="inlineStr">
        <is>
          <t>고체향수</t>
        </is>
      </c>
      <c r="K4501" s="20" t="n">
        <v>520896</v>
      </c>
    </row>
    <row r="4502" ht="16.5" customHeight="1" s="17">
      <c r="A4502" s="20" t="inlineStr">
        <is>
          <t>동영상캠페인_필라테스_자기관리(타겟 cpa)</t>
        </is>
      </c>
      <c r="B4502" s="16" t="n">
        <v>44263</v>
      </c>
      <c r="C4502" s="20" t="inlineStr">
        <is>
          <t>월</t>
        </is>
      </c>
      <c r="D4502" s="20" t="inlineStr">
        <is>
          <t>유튜브 광고</t>
        </is>
      </c>
      <c r="E4502" s="20" t="inlineStr">
        <is>
          <t>고체향수</t>
        </is>
      </c>
      <c r="K4502" s="20" t="n">
        <v>28922</v>
      </c>
    </row>
    <row r="4503" ht="16.5" customHeight="1" s="17">
      <c r="A4503" s="20" t="inlineStr">
        <is>
          <t>동영상캠페인_승무원_비누향 나는 승무원에게(타겟 cpa)</t>
        </is>
      </c>
      <c r="B4503" s="16" t="n">
        <v>44263</v>
      </c>
      <c r="C4503" s="20" t="inlineStr">
        <is>
          <t>월</t>
        </is>
      </c>
      <c r="D4503" s="20" t="inlineStr">
        <is>
          <t>유튜브 광고</t>
        </is>
      </c>
      <c r="E4503" s="20" t="inlineStr">
        <is>
          <t>고체향수</t>
        </is>
      </c>
      <c r="K4503" s="20" t="n">
        <v>224026</v>
      </c>
    </row>
    <row r="4504" ht="16.5" customHeight="1" s="17">
      <c r="A4504" s="20" t="inlineStr">
        <is>
          <t>동영상캠페인_유즈모먼트_2차_30대 여성 회사원(타겟 cpa)</t>
        </is>
      </c>
      <c r="B4504" s="16" t="n">
        <v>44263</v>
      </c>
      <c r="C4504" s="20" t="inlineStr">
        <is>
          <t>월</t>
        </is>
      </c>
      <c r="D4504" s="20" t="inlineStr">
        <is>
          <t>유튜브 광고</t>
        </is>
      </c>
      <c r="E4504" s="20" t="inlineStr">
        <is>
          <t>고체향수</t>
        </is>
      </c>
      <c r="K4504" s="20" t="n">
        <v>194496</v>
      </c>
    </row>
    <row r="4505" ht="16.5" customHeight="1" s="17">
      <c r="A4505" s="20" t="inlineStr">
        <is>
          <t>동영상캠페인_유즈모먼트_조향사 친구</t>
        </is>
      </c>
      <c r="B4505" s="16" t="n">
        <v>44263</v>
      </c>
      <c r="C4505" s="20" t="inlineStr">
        <is>
          <t>월</t>
        </is>
      </c>
      <c r="D4505" s="20" t="inlineStr">
        <is>
          <t>유튜브 광고</t>
        </is>
      </c>
      <c r="E4505" s="20" t="inlineStr">
        <is>
          <t>고체향수</t>
        </is>
      </c>
      <c r="K4505" s="20" t="n">
        <v>103852</v>
      </c>
    </row>
    <row r="4506" ht="16.5" customHeight="1" s="17">
      <c r="A4506" s="20" t="inlineStr">
        <is>
          <t>동영상캠페인_유즈모먼트_사춘기 딸 2차</t>
        </is>
      </c>
      <c r="B4506" s="16" t="n">
        <v>44263</v>
      </c>
      <c r="C4506" s="20" t="inlineStr">
        <is>
          <t>월</t>
        </is>
      </c>
      <c r="D4506" s="20" t="inlineStr">
        <is>
          <t>유튜브 광고</t>
        </is>
      </c>
      <c r="E4506" s="20" t="inlineStr">
        <is>
          <t>고체향수</t>
        </is>
      </c>
      <c r="K4506" s="20" t="n">
        <v>259936</v>
      </c>
    </row>
    <row r="4507" ht="16.5" customHeight="1" s="17">
      <c r="A4507" s="20" t="inlineStr">
        <is>
          <t>쇼핑검색_고체향수</t>
        </is>
      </c>
      <c r="B4507" s="16" t="n">
        <v>44263</v>
      </c>
      <c r="C4507" s="20" t="inlineStr">
        <is>
          <t>월</t>
        </is>
      </c>
      <c r="D4507" s="20" t="inlineStr">
        <is>
          <t>네이버 쇼핑검색</t>
        </is>
      </c>
      <c r="E4507" s="20" t="inlineStr">
        <is>
          <t>고체향수</t>
        </is>
      </c>
      <c r="K4507" s="20" t="n">
        <v>1920</v>
      </c>
    </row>
    <row r="4508" ht="16.5" customHeight="1" s="17">
      <c r="A4508" s="20" t="inlineStr">
        <is>
          <t>쇼핑검색_고체향수세부키워드</t>
        </is>
      </c>
      <c r="B4508" s="16" t="n">
        <v>44263</v>
      </c>
      <c r="C4508" s="20" t="inlineStr">
        <is>
          <t>월</t>
        </is>
      </c>
      <c r="D4508" s="20" t="inlineStr">
        <is>
          <t>네이버 쇼핑검색</t>
        </is>
      </c>
      <c r="E4508" s="20" t="inlineStr">
        <is>
          <t>고체향수</t>
        </is>
      </c>
      <c r="K4508" s="20" t="n">
        <v>127820</v>
      </c>
    </row>
    <row r="4509" ht="16.5" customHeight="1" s="17">
      <c r="A4509" s="20" t="inlineStr">
        <is>
          <t>쇼핑검색_고체향수세부키워드2</t>
        </is>
      </c>
      <c r="B4509" s="16" t="n">
        <v>44263</v>
      </c>
      <c r="C4509" s="20" t="inlineStr">
        <is>
          <t>월</t>
        </is>
      </c>
      <c r="D4509" s="20" t="inlineStr">
        <is>
          <t>네이버 쇼핑검색</t>
        </is>
      </c>
      <c r="E4509" s="20" t="inlineStr">
        <is>
          <t>고체향수</t>
        </is>
      </c>
      <c r="K4509" s="20" t="n">
        <v>2830</v>
      </c>
    </row>
    <row r="4510" ht="16.5" customHeight="1" s="17">
      <c r="A4510" s="20" t="inlineStr">
        <is>
          <t>모바일 브검</t>
        </is>
      </c>
      <c r="B4510" s="16" t="n">
        <v>44263</v>
      </c>
      <c r="C4510" s="20" t="inlineStr">
        <is>
          <t>월</t>
        </is>
      </c>
      <c r="D4510" s="20" t="inlineStr">
        <is>
          <t>네이버 브랜드검색</t>
        </is>
      </c>
      <c r="E4510" s="20" t="inlineStr">
        <is>
          <t>브랜드</t>
        </is>
      </c>
      <c r="K4510" s="20" t="n">
        <v>140000</v>
      </c>
    </row>
    <row r="4511" ht="16.5" customHeight="1" s="17">
      <c r="B4511" s="16" t="n">
        <v>44263</v>
      </c>
      <c r="C4511" s="20" t="inlineStr">
        <is>
          <t>월</t>
        </is>
      </c>
      <c r="E4511" s="20" t="inlineStr">
        <is>
          <t>고체향수</t>
        </is>
      </c>
      <c r="F4511" s="20" t="inlineStr">
        <is>
          <t>W컨셉</t>
        </is>
      </c>
      <c r="G4511" s="20" t="inlineStr">
        <is>
          <t>솔리드퍼퓸 이그나이트/스테이포에버 30ml (2종 택1)&lt;옵션1&gt;001 IGNITE</t>
        </is>
      </c>
      <c r="H4511" s="20" t="n">
        <v>2</v>
      </c>
      <c r="I4511" s="20" t="inlineStr">
        <is>
          <t>이그나이트</t>
        </is>
      </c>
      <c r="J4511" s="20" t="inlineStr">
        <is>
          <t>210207</t>
        </is>
      </c>
      <c r="L4511" s="20" t="n">
        <v>68000</v>
      </c>
      <c r="M4511" s="20" t="n">
        <v>47600</v>
      </c>
      <c r="N4511" s="20" t="n">
        <v>5506</v>
      </c>
      <c r="O4511" s="20" t="inlineStr">
        <is>
          <t>W컨셉고체향수솔리드퍼퓸 이그나이트/스테이포에버 30ml (2종 택1)&lt;옵션1&gt;001 IGNITE210207</t>
        </is>
      </c>
    </row>
    <row r="4512" ht="16.5" customHeight="1" s="17">
      <c r="B4512" s="16" t="n">
        <v>44263</v>
      </c>
      <c r="C4512" s="20" t="inlineStr">
        <is>
          <t>월</t>
        </is>
      </c>
      <c r="E4512" s="20" t="inlineStr">
        <is>
          <t>고체향수</t>
        </is>
      </c>
      <c r="F4512" s="20" t="inlineStr">
        <is>
          <t>W컨셉</t>
        </is>
      </c>
      <c r="G4512" s="20" t="inlineStr">
        <is>
          <t>솔리드퍼퓸 이그나이트/스테이포에버 30ml (2종 택1)&lt;옵션1&gt;002 STAY FOREVER</t>
        </is>
      </c>
      <c r="H4512" s="20" t="n">
        <v>16</v>
      </c>
      <c r="I4512" s="20" t="inlineStr">
        <is>
          <t>스테이포에버</t>
        </is>
      </c>
      <c r="J4512" s="20" t="inlineStr">
        <is>
          <t>210207</t>
        </is>
      </c>
      <c r="L4512" s="20" t="n">
        <v>544000</v>
      </c>
      <c r="M4512" s="20" t="n">
        <v>380800</v>
      </c>
      <c r="N4512" s="20" t="n">
        <v>41472</v>
      </c>
      <c r="O4512" s="20" t="inlineStr">
        <is>
          <t>W컨셉고체향수솔리드퍼퓸 이그나이트/스테이포에버 30ml (2종 택1)&lt;옵션1&gt;002 STAY FOREVER210207</t>
        </is>
      </c>
    </row>
    <row r="4513" ht="16.5" customHeight="1" s="17">
      <c r="B4513" s="16" t="n">
        <v>44263</v>
      </c>
      <c r="C4513" s="20" t="inlineStr">
        <is>
          <t>월</t>
        </is>
      </c>
      <c r="E4513" s="20" t="inlineStr">
        <is>
          <t>고체향수</t>
        </is>
      </c>
      <c r="F4513" s="20" t="inlineStr">
        <is>
          <t>스마트스토어</t>
        </is>
      </c>
      <c r="G4513" s="20" t="inlineStr">
        <is>
          <t>유즈 고체향수 세트(유즈 스테이포에버, 유즈 이그나이트)고체향수: 스테이포에버 1개</t>
        </is>
      </c>
      <c r="H4513" s="20" t="n">
        <v>1</v>
      </c>
      <c r="I4513" s="20" t="inlineStr">
        <is>
          <t>스테이포에버</t>
        </is>
      </c>
      <c r="J4513" s="20" t="inlineStr">
        <is>
          <t>210207</t>
        </is>
      </c>
      <c r="L4513" s="20" t="n">
        <v>34000</v>
      </c>
      <c r="M4513" s="20" t="n">
        <v>33320</v>
      </c>
      <c r="N4513" s="20" t="n">
        <v>2592</v>
      </c>
      <c r="O4513" s="20" t="inlineStr">
        <is>
          <t>스마트스토어고체향수유즈 고체향수 세트(유즈 스테이포에버, 유즈 이그나이트)고체향수: 스테이포에버 1개210207</t>
        </is>
      </c>
    </row>
    <row r="4514" ht="16.5" customHeight="1" s="17">
      <c r="B4514" s="16" t="n">
        <v>44263</v>
      </c>
      <c r="C4514" s="20" t="inlineStr">
        <is>
          <t>월</t>
        </is>
      </c>
      <c r="E4514" s="20" t="inlineStr">
        <is>
          <t>고체향수</t>
        </is>
      </c>
      <c r="F4514" s="20" t="inlineStr">
        <is>
          <t>스마트스토어</t>
        </is>
      </c>
      <c r="G4514" s="20" t="inlineStr">
        <is>
          <t>유즈 고체향수 세트(유즈 스테이포에버, 유즈 이그나이트)고체향수: 스테이포에버 1개 + 이그나이트 1개</t>
        </is>
      </c>
      <c r="H4514" s="20" t="n">
        <v>2</v>
      </c>
      <c r="I4514" s="20" t="inlineStr">
        <is>
          <t>이그나이트 + 스테이포에버</t>
        </is>
      </c>
      <c r="J4514" s="20" t="inlineStr">
        <is>
          <t>210207</t>
        </is>
      </c>
      <c r="L4514" s="20" t="n">
        <v>117600</v>
      </c>
      <c r="M4514" s="20" t="n">
        <v>110720.4</v>
      </c>
      <c r="N4514" s="20" t="n">
        <v>10690</v>
      </c>
      <c r="O4514" s="20" t="inlineStr">
        <is>
          <t>스마트스토어고체향수유즈 고체향수 세트(유즈 스테이포에버, 유즈 이그나이트)고체향수: 스테이포에버 1개 + 이그나이트 1개210207</t>
        </is>
      </c>
    </row>
    <row r="4515" ht="16.5" customHeight="1" s="17">
      <c r="B4515" s="16" t="n">
        <v>44263</v>
      </c>
      <c r="C4515" s="20" t="inlineStr">
        <is>
          <t>월</t>
        </is>
      </c>
      <c r="E4515" s="20" t="inlineStr">
        <is>
          <t>고체향수</t>
        </is>
      </c>
      <c r="F4515" s="20" t="inlineStr">
        <is>
          <t>스마트스토어</t>
        </is>
      </c>
      <c r="G4515" s="20" t="inlineStr">
        <is>
          <t>유즈 고체향수 세트(유즈 스테이포에버, 유즈 이그나이트)고체향수: 스테이포에버 2개</t>
        </is>
      </c>
      <c r="H4515" s="20" t="n">
        <v>2</v>
      </c>
      <c r="I4515" s="20" t="inlineStr">
        <is>
          <t>스테이포에버 2set</t>
        </is>
      </c>
      <c r="J4515" s="20" t="inlineStr">
        <is>
          <t>210207</t>
        </is>
      </c>
      <c r="L4515" s="20" t="n">
        <v>117600</v>
      </c>
      <c r="M4515" s="20" t="n">
        <v>115248</v>
      </c>
      <c r="N4515" s="20" t="n">
        <v>10368</v>
      </c>
      <c r="O4515" s="20" t="inlineStr">
        <is>
          <t>스마트스토어고체향수유즈 고체향수 세트(유즈 스테이포에버, 유즈 이그나이트)고체향수: 스테이포에버 2개210207</t>
        </is>
      </c>
    </row>
    <row r="4516" ht="16.5" customHeight="1" s="17">
      <c r="B4516" s="16" t="n">
        <v>44263</v>
      </c>
      <c r="C4516" s="20" t="inlineStr">
        <is>
          <t>월</t>
        </is>
      </c>
      <c r="E4516" s="20" t="inlineStr">
        <is>
          <t>고체향수</t>
        </is>
      </c>
      <c r="F4516" s="20" t="inlineStr">
        <is>
          <t>스마트스토어</t>
        </is>
      </c>
      <c r="G4516" s="20" t="inlineStr">
        <is>
          <t>유즈 고체향수 스테이포에버 002고체향수: 스테이포에버 1개</t>
        </is>
      </c>
      <c r="H4516" s="20" t="n">
        <v>22</v>
      </c>
      <c r="I4516" s="20" t="inlineStr">
        <is>
          <t>스테이포에버</t>
        </is>
      </c>
      <c r="J4516" s="20" t="inlineStr">
        <is>
          <t>210207</t>
        </is>
      </c>
      <c r="L4516" s="20" t="n">
        <v>748000</v>
      </c>
      <c r="M4516" s="20" t="n">
        <v>733040</v>
      </c>
      <c r="N4516" s="20" t="n">
        <v>57024</v>
      </c>
      <c r="O4516" s="20" t="inlineStr">
        <is>
          <t>스마트스토어고체향수유즈 고체향수 스테이포에버 002고체향수: 스테이포에버 1개210207</t>
        </is>
      </c>
    </row>
    <row r="4517" ht="16.5" customHeight="1" s="17">
      <c r="B4517" s="16" t="n">
        <v>44263</v>
      </c>
      <c r="C4517" s="20" t="inlineStr">
        <is>
          <t>월</t>
        </is>
      </c>
      <c r="E4517" s="20" t="inlineStr">
        <is>
          <t>고체향수</t>
        </is>
      </c>
      <c r="F4517" s="20" t="inlineStr">
        <is>
          <t>유즈 CS</t>
        </is>
      </c>
      <c r="G4517" s="20" t="inlineStr">
        <is>
          <t>솔리드퍼퓸 스테이포에버 002 30ml</t>
        </is>
      </c>
      <c r="H4517" s="20" t="n">
        <v>1</v>
      </c>
      <c r="I4517" s="20" t="inlineStr">
        <is>
          <t>스테이포에버</t>
        </is>
      </c>
      <c r="J4517" s="20" t="inlineStr">
        <is>
          <t>210207</t>
        </is>
      </c>
      <c r="L4517" s="20" t="n">
        <v>0</v>
      </c>
      <c r="M4517" s="20" t="n">
        <v>0</v>
      </c>
      <c r="N4517" s="20" t="n">
        <v>2592</v>
      </c>
      <c r="O4517" s="20" t="inlineStr">
        <is>
          <t>유즈 CS고체향수솔리드퍼퓸 스테이포에버 002 30ml210207</t>
        </is>
      </c>
    </row>
    <row r="4518" ht="16.5" customHeight="1" s="17">
      <c r="B4518" s="16" t="n">
        <v>44263</v>
      </c>
      <c r="C4518" s="20" t="inlineStr">
        <is>
          <t>월</t>
        </is>
      </c>
      <c r="E4518" s="20" t="inlineStr">
        <is>
          <t>쇼핑백</t>
        </is>
      </c>
      <c r="F4518" s="20" t="inlineStr">
        <is>
          <t>카페24</t>
        </is>
      </c>
      <c r="G4518" s="20" t="inlineStr">
        <is>
          <t>선물용 쇼핑백</t>
        </is>
      </c>
      <c r="H4518" s="20" t="n">
        <v>4</v>
      </c>
      <c r="I4518" s="20" t="inlineStr">
        <is>
          <t>쇼핑백</t>
        </is>
      </c>
      <c r="J4518" s="20" t="inlineStr">
        <is>
          <t>210207</t>
        </is>
      </c>
      <c r="L4518" s="20" t="n">
        <v>8000</v>
      </c>
      <c r="M4518" s="20" t="n">
        <v>7532</v>
      </c>
      <c r="N4518" s="20" t="n">
        <v>3320</v>
      </c>
      <c r="O4518" s="20" t="inlineStr">
        <is>
          <t>카페24쇼핑백선물용 쇼핑백210207</t>
        </is>
      </c>
    </row>
    <row r="4519" ht="16.5" customHeight="1" s="17">
      <c r="B4519" s="16" t="n">
        <v>44263</v>
      </c>
      <c r="C4519" s="20" t="inlineStr">
        <is>
          <t>월</t>
        </is>
      </c>
      <c r="E4519" s="20" t="inlineStr">
        <is>
          <t>고체향수</t>
        </is>
      </c>
      <c r="F4519" s="20" t="inlineStr">
        <is>
          <t>카페24</t>
        </is>
      </c>
      <c r="G4519" s="20" t="inlineStr">
        <is>
          <t>솔리드퍼퓸 세트향=스테이포에버 002 SOLID PERFUME, 세트 선택=1개</t>
        </is>
      </c>
      <c r="H4519" s="20" t="n">
        <v>3</v>
      </c>
      <c r="I4519" s="20" t="inlineStr">
        <is>
          <t>스테이포에버</t>
        </is>
      </c>
      <c r="J4519" s="20" t="inlineStr">
        <is>
          <t>210207</t>
        </is>
      </c>
      <c r="L4519" s="20" t="n">
        <v>102000</v>
      </c>
      <c r="M4519" s="20" t="n">
        <v>96033</v>
      </c>
      <c r="N4519" s="20" t="n">
        <v>7776</v>
      </c>
      <c r="O4519" s="20" t="inlineStr">
        <is>
          <t>카페24고체향수솔리드퍼퓸 세트향=스테이포에버 002 SOLID PERFUME, 세트 선택=1개210207</t>
        </is>
      </c>
    </row>
    <row r="4520" ht="16.5" customHeight="1" s="17">
      <c r="B4520" s="16" t="n">
        <v>44263</v>
      </c>
      <c r="C4520" s="20" t="inlineStr">
        <is>
          <t>월</t>
        </is>
      </c>
      <c r="E4520" s="20" t="inlineStr">
        <is>
          <t>고체향수</t>
        </is>
      </c>
      <c r="F4520" s="20" t="inlineStr">
        <is>
          <t>카페24</t>
        </is>
      </c>
      <c r="G4520" s="20" t="inlineStr">
        <is>
          <t>솔리드퍼퓸 세트향=스테이포에버 002 SOLID PERFUME, 세트 선택=best 2개 (28% 할인)</t>
        </is>
      </c>
      <c r="H4520" s="20" t="n">
        <v>9</v>
      </c>
      <c r="I4520" s="20" t="inlineStr">
        <is>
          <t>스테이포에버 2set</t>
        </is>
      </c>
      <c r="J4520" s="20" t="inlineStr">
        <is>
          <t>210207</t>
        </is>
      </c>
      <c r="L4520" s="20" t="n">
        <v>529200</v>
      </c>
      <c r="M4520" s="20" t="n">
        <v>498241.8</v>
      </c>
      <c r="N4520" s="20" t="n">
        <v>46656</v>
      </c>
      <c r="O4520" s="20" t="inlineStr">
        <is>
          <t>카페24고체향수솔리드퍼퓸 세트향=스테이포에버 002 SOLID PERFUME, 세트 선택=best 2개 (28% 할인)210207</t>
        </is>
      </c>
    </row>
    <row r="4521" ht="16.5" customHeight="1" s="17">
      <c r="B4521" s="16" t="n">
        <v>44263</v>
      </c>
      <c r="C4521" s="20" t="inlineStr">
        <is>
          <t>월</t>
        </is>
      </c>
      <c r="E4521" s="20" t="inlineStr">
        <is>
          <t>고체향수</t>
        </is>
      </c>
      <c r="F4521" s="20" t="inlineStr">
        <is>
          <t>카페24</t>
        </is>
      </c>
      <c r="G4521" s="20" t="inlineStr">
        <is>
          <t>솔리드퍼퓸 세트향=커플세트(이그나이트 + 스테이포에버), 세트 선택=1 SET</t>
        </is>
      </c>
      <c r="H4521" s="20" t="n">
        <v>16</v>
      </c>
      <c r="I4521" s="20" t="inlineStr">
        <is>
          <t>이그나이트 + 스테이포에버</t>
        </is>
      </c>
      <c r="J4521" s="20" t="inlineStr">
        <is>
          <t>210207</t>
        </is>
      </c>
      <c r="L4521" s="20" t="n">
        <v>940800</v>
      </c>
      <c r="M4521" s="20" t="n">
        <v>885763.2</v>
      </c>
      <c r="N4521" s="20" t="n">
        <v>85520</v>
      </c>
      <c r="O4521" s="20" t="inlineStr">
        <is>
          <t>카페24고체향수솔리드퍼퓸 세트향=커플세트(이그나이트 + 스테이포에버), 세트 선택=1 SET210207</t>
        </is>
      </c>
    </row>
    <row r="4522" ht="16.5" customHeight="1" s="17">
      <c r="B4522" s="16" t="n">
        <v>44263</v>
      </c>
      <c r="C4522" s="20" t="inlineStr">
        <is>
          <t>월</t>
        </is>
      </c>
      <c r="E4522" s="20" t="inlineStr">
        <is>
          <t>고체향수</t>
        </is>
      </c>
      <c r="F4522" s="20" t="inlineStr">
        <is>
          <t>카페24</t>
        </is>
      </c>
      <c r="G4522" s="20" t="inlineStr">
        <is>
          <t>솔리드퍼퓸 세트향=커플세트(이그나이트 + 스테이포에버), 세트 선택=2 SET (42% 할인)</t>
        </is>
      </c>
      <c r="H4522" s="20" t="n">
        <v>1</v>
      </c>
      <c r="I4522" s="20" t="inlineStr">
        <is>
          <t>이그나이트 + 스테이포에버</t>
        </is>
      </c>
      <c r="J4522" s="20" t="inlineStr">
        <is>
          <t>210207</t>
        </is>
      </c>
      <c r="L4522" s="20" t="n">
        <v>58800</v>
      </c>
      <c r="M4522" s="20" t="n">
        <v>55360.2</v>
      </c>
      <c r="N4522" s="20" t="n">
        <v>5345</v>
      </c>
      <c r="O4522" s="20" t="inlineStr">
        <is>
          <t>카페24고체향수솔리드퍼퓸 세트향=커플세트(이그나이트 + 스테이포에버), 세트 선택=2 SET (42% 할인)210207</t>
        </is>
      </c>
    </row>
    <row r="4523" ht="16.5" customHeight="1" s="17">
      <c r="B4523" s="16" t="n">
        <v>44263</v>
      </c>
      <c r="C4523" s="20" t="inlineStr">
        <is>
          <t>월</t>
        </is>
      </c>
      <c r="E4523" s="20" t="inlineStr">
        <is>
          <t>고체향수</t>
        </is>
      </c>
      <c r="F4523" s="20" t="inlineStr">
        <is>
          <t>카페24</t>
        </is>
      </c>
      <c r="G4523" s="20" t="inlineStr">
        <is>
          <t>솔리드퍼퓸 스테이포에버 002제품선택=스테이포에버 1개</t>
        </is>
      </c>
      <c r="H4523" s="20" t="n">
        <v>171</v>
      </c>
      <c r="I4523" s="20" t="inlineStr">
        <is>
          <t>스테이포에버</t>
        </is>
      </c>
      <c r="J4523" s="20" t="inlineStr">
        <is>
          <t>210207</t>
        </is>
      </c>
      <c r="L4523" s="20" t="n">
        <v>5814000</v>
      </c>
      <c r="M4523" s="20" t="n">
        <v>5473881</v>
      </c>
      <c r="N4523" s="20" t="n">
        <v>443232</v>
      </c>
      <c r="O4523" s="20" t="inlineStr">
        <is>
          <t>카페24고체향수솔리드퍼퓸 스테이포에버 002제품선택=스테이포에버 1개210207</t>
        </is>
      </c>
    </row>
    <row r="4524" ht="16.5" customHeight="1" s="17">
      <c r="B4524" s="16" t="n">
        <v>44263</v>
      </c>
      <c r="C4524" s="20" t="inlineStr">
        <is>
          <t>월</t>
        </is>
      </c>
      <c r="E4524" s="20" t="inlineStr">
        <is>
          <t>고체향수</t>
        </is>
      </c>
      <c r="F4524" s="20" t="inlineStr">
        <is>
          <t>카페24</t>
        </is>
      </c>
      <c r="G4524" s="20" t="inlineStr">
        <is>
          <t>솔리드퍼퓸 스테이포에버 002제품선택=best스테이포에버 2개[28% 할인]</t>
        </is>
      </c>
      <c r="H4524" s="20" t="n">
        <v>99</v>
      </c>
      <c r="I4524" s="20" t="inlineStr">
        <is>
          <t>스테이포에버 2set</t>
        </is>
      </c>
      <c r="J4524" s="20" t="inlineStr">
        <is>
          <t>210207</t>
        </is>
      </c>
      <c r="L4524" s="20" t="n">
        <v>5821200</v>
      </c>
      <c r="M4524" s="20" t="n">
        <v>5480659.8</v>
      </c>
      <c r="N4524" s="20" t="n">
        <v>513216</v>
      </c>
      <c r="O4524" s="20" t="inlineStr">
        <is>
          <t>카페24고체향수솔리드퍼퓸 스테이포에버 002제품선택=best스테이포에버 2개[28% 할인]210207</t>
        </is>
      </c>
    </row>
    <row r="4525" ht="16.5" customHeight="1" s="17">
      <c r="B4525" s="16" t="n">
        <v>44263</v>
      </c>
      <c r="C4525" s="20" t="inlineStr">
        <is>
          <t>월</t>
        </is>
      </c>
      <c r="E4525" s="20" t="inlineStr">
        <is>
          <t>고체향수</t>
        </is>
      </c>
      <c r="F4525" s="20" t="inlineStr">
        <is>
          <t>카페24</t>
        </is>
      </c>
      <c r="G4525" s="20" t="inlineStr">
        <is>
          <t>솔리드퍼퓸 스테이포에버 002제품선택=커플추천스테이포에버 + 이그나이트 세트</t>
        </is>
      </c>
      <c r="H4525" s="20" t="n">
        <v>8</v>
      </c>
      <c r="I4525" s="20" t="inlineStr">
        <is>
          <t>이그나이트 + 스테이포에버</t>
        </is>
      </c>
      <c r="J4525" s="20" t="inlineStr">
        <is>
          <t>210207</t>
        </is>
      </c>
      <c r="L4525" s="20" t="n">
        <v>470400</v>
      </c>
      <c r="M4525" s="20" t="n">
        <v>442881.6</v>
      </c>
      <c r="N4525" s="20" t="n">
        <v>42760</v>
      </c>
      <c r="O4525" s="20" t="inlineStr">
        <is>
          <t>카페24고체향수솔리드퍼퓸 스테이포에버 002제품선택=커플추천스테이포에버 + 이그나이트 세트210207</t>
        </is>
      </c>
    </row>
    <row r="4526" ht="16.5" customHeight="1" s="17">
      <c r="B4526" s="16" t="n">
        <v>44263</v>
      </c>
      <c r="C4526" s="20" t="inlineStr">
        <is>
          <t>월</t>
        </is>
      </c>
      <c r="E4526" s="20" t="inlineStr">
        <is>
          <t>쇼핑백</t>
        </is>
      </c>
      <c r="F4526" s="20" t="inlineStr">
        <is>
          <t>카페24</t>
        </is>
      </c>
      <c r="G4526" s="20" t="inlineStr">
        <is>
          <t>솔리드퍼퓸 스테이포에버 002쇼핑백=선물용 쇼핑백</t>
        </is>
      </c>
      <c r="H4526" s="20" t="n">
        <v>4</v>
      </c>
      <c r="I4526" s="20" t="inlineStr">
        <is>
          <t>쇼핑백</t>
        </is>
      </c>
      <c r="J4526" s="20" t="inlineStr">
        <is>
          <t>210207</t>
        </is>
      </c>
      <c r="L4526" s="20" t="n">
        <v>8000</v>
      </c>
      <c r="M4526" s="20" t="n">
        <v>7532</v>
      </c>
      <c r="N4526" s="20" t="n">
        <v>3320</v>
      </c>
      <c r="O4526" s="20" t="inlineStr">
        <is>
          <t>카페24쇼핑백솔리드퍼퓸 스테이포에버 002쇼핑백=선물용 쇼핑백210207</t>
        </is>
      </c>
    </row>
    <row r="4527" ht="16.5" customHeight="1" s="17">
      <c r="B4527" s="16" t="n">
        <v>44263</v>
      </c>
      <c r="C4527" s="20" t="inlineStr">
        <is>
          <t>월</t>
        </is>
      </c>
      <c r="E4527" s="20" t="inlineStr">
        <is>
          <t>고체향수</t>
        </is>
      </c>
      <c r="F4527" s="20" t="inlineStr">
        <is>
          <t>카페24</t>
        </is>
      </c>
      <c r="G4527" s="20" t="inlineStr">
        <is>
          <t>솔리드퍼퓸 이그나이트 001제품선택=이그나이트 솔리드퍼퓸 - 30ml</t>
        </is>
      </c>
      <c r="H4527" s="20" t="n">
        <v>2</v>
      </c>
      <c r="I4527" s="20" t="inlineStr">
        <is>
          <t>이그나이트</t>
        </is>
      </c>
      <c r="J4527" s="20" t="inlineStr">
        <is>
          <t>210207</t>
        </is>
      </c>
      <c r="L4527" s="20" t="n">
        <v>68000</v>
      </c>
      <c r="M4527" s="20" t="n">
        <v>64022</v>
      </c>
      <c r="N4527" s="20" t="n">
        <v>5506</v>
      </c>
      <c r="O4527" s="20" t="inlineStr">
        <is>
          <t>카페24고체향수솔리드퍼퓸 이그나이트 001제품선택=이그나이트 솔리드퍼퓸 - 30ml210207</t>
        </is>
      </c>
    </row>
    <row r="4528" ht="16.5" customHeight="1" s="17">
      <c r="B4528" s="16" t="n">
        <v>44263</v>
      </c>
      <c r="C4528" s="20" t="inlineStr">
        <is>
          <t>월</t>
        </is>
      </c>
      <c r="E4528" s="20" t="inlineStr">
        <is>
          <t>고체향수</t>
        </is>
      </c>
      <c r="F4528" s="20" t="inlineStr">
        <is>
          <t>카페24</t>
        </is>
      </c>
      <c r="G4528" s="20" t="inlineStr">
        <is>
          <t>솔리드퍼퓸 이그나이트 001제품선택=이그나이트 2개 세트</t>
        </is>
      </c>
      <c r="H4528" s="20" t="n">
        <v>1</v>
      </c>
      <c r="I4528" s="20" t="inlineStr">
        <is>
          <t>이그나이트 2set</t>
        </is>
      </c>
      <c r="J4528" s="20" t="inlineStr">
        <is>
          <t>210207</t>
        </is>
      </c>
      <c r="L4528" s="20" t="n">
        <v>58800</v>
      </c>
      <c r="M4528" s="20" t="n">
        <v>55360.2</v>
      </c>
      <c r="N4528" s="20" t="n">
        <v>5506</v>
      </c>
      <c r="O4528" s="20" t="inlineStr">
        <is>
          <t>카페24고체향수솔리드퍼퓸 이그나이트 001제품선택=이그나이트 2개 세트210207</t>
        </is>
      </c>
    </row>
    <row r="4529" ht="16.5" customHeight="1" s="17">
      <c r="A4529" s="20" t="inlineStr">
        <is>
          <t>고체향수_전환추적</t>
        </is>
      </c>
      <c r="B4529" s="16" t="n">
        <v>44263</v>
      </c>
      <c r="C4529" s="20" t="inlineStr">
        <is>
          <t>월</t>
        </is>
      </c>
      <c r="D4529" s="20">
        <f>VLOOKUP($A4529,매칭테이블!$B$548:$D$1048576,2,0)</f>
        <v/>
      </c>
      <c r="E4529" s="20" t="inlineStr">
        <is>
          <t>고체향수</t>
        </is>
      </c>
      <c r="K4529" s="20" t="n">
        <v>31443.63636363636</v>
      </c>
    </row>
    <row r="4530" ht="16.5" customHeight="1" s="17">
      <c r="A4530" s="20" t="inlineStr">
        <is>
          <t>고체향수</t>
        </is>
      </c>
      <c r="B4530" s="16" t="n">
        <v>44263</v>
      </c>
      <c r="C4530" s="20" t="inlineStr">
        <is>
          <t>월</t>
        </is>
      </c>
      <c r="D4530" s="20" t="inlineStr">
        <is>
          <t>네이버 배너</t>
        </is>
      </c>
      <c r="E4530" s="20" t="inlineStr">
        <is>
          <t>고체향수</t>
        </is>
      </c>
      <c r="K4530" s="20" t="n">
        <v>1295517.272727273</v>
      </c>
    </row>
    <row r="4531" ht="16.5" customHeight="1" s="17">
      <c r="A4531" s="20" t="inlineStr">
        <is>
          <t>고체향수_승무원 어피_Npay 추적</t>
        </is>
      </c>
      <c r="B4531" s="16" t="n">
        <v>44263</v>
      </c>
      <c r="C4531" s="20" t="inlineStr">
        <is>
          <t>월</t>
        </is>
      </c>
      <c r="D4531" s="20" t="inlineStr">
        <is>
          <t>카카오 배너</t>
        </is>
      </c>
      <c r="E4531" s="20" t="inlineStr">
        <is>
          <t>고체향수</t>
        </is>
      </c>
      <c r="K4531" s="20" t="n">
        <v>91069.99999999999</v>
      </c>
    </row>
    <row r="4532" ht="16.5" customHeight="1" s="17">
      <c r="A4532" s="20" t="inlineStr">
        <is>
          <t>고체향수_Npay 추적</t>
        </is>
      </c>
      <c r="B4532" s="16" t="n">
        <v>44263</v>
      </c>
      <c r="C4532" s="20" t="inlineStr">
        <is>
          <t>월</t>
        </is>
      </c>
      <c r="D4532" s="20" t="inlineStr">
        <is>
          <t>카카오 배너</t>
        </is>
      </c>
      <c r="E4532" s="20" t="inlineStr">
        <is>
          <t>고체향수</t>
        </is>
      </c>
      <c r="K4532" s="20" t="n">
        <v>591670</v>
      </c>
    </row>
    <row r="4533" ht="16.5" customHeight="1" s="17">
      <c r="B4533" s="16" t="n">
        <v>44263</v>
      </c>
      <c r="C4533" s="20" t="inlineStr">
        <is>
          <t>월</t>
        </is>
      </c>
      <c r="D4533" s="20" t="inlineStr">
        <is>
          <t>네이버 배너(대행사)</t>
        </is>
      </c>
      <c r="E4533" s="20" t="inlineStr">
        <is>
          <t>고체향수</t>
        </is>
      </c>
      <c r="K4533" s="20">
        <f>484914/1.1</f>
        <v/>
      </c>
    </row>
    <row r="4534" ht="16.5" customHeight="1" s="17">
      <c r="A4534" s="20" t="inlineStr">
        <is>
          <t>[유튜버 수지큐]스테이포에버_영상</t>
        </is>
      </c>
      <c r="B4534" s="16" t="n">
        <v>44264</v>
      </c>
      <c r="C4534" s="20" t="inlineStr">
        <is>
          <t>화</t>
        </is>
      </c>
      <c r="D4534" s="20">
        <f>VLOOKUP($A4534,매칭테이블!$B$548:$D$1048576,2,0)</f>
        <v/>
      </c>
      <c r="E4534" s="20" t="inlineStr">
        <is>
          <t>고체향수</t>
        </is>
      </c>
      <c r="K4534" s="20" t="n">
        <v>35889</v>
      </c>
    </row>
    <row r="4535" ht="16.5" customHeight="1" s="17">
      <c r="A4535" s="20" t="inlineStr">
        <is>
          <t>[승무원]수지큐2차활용_스테이포에버_이미지</t>
        </is>
      </c>
      <c r="B4535" s="16" t="n">
        <v>44264</v>
      </c>
      <c r="C4535" s="20" t="inlineStr">
        <is>
          <t>화</t>
        </is>
      </c>
      <c r="D4535" s="20">
        <f>VLOOKUP($A4535,매칭테이블!$B$548:$D$1048576,2,0)</f>
        <v/>
      </c>
      <c r="E4535" s="20" t="inlineStr">
        <is>
          <t>고체향수</t>
        </is>
      </c>
      <c r="K4535" s="20" t="n">
        <v>17601</v>
      </c>
    </row>
    <row r="4536" ht="16.5" customHeight="1" s="17">
      <c r="A4536" s="20" t="inlineStr">
        <is>
          <t>[다현 TEST] 스테이포에버_유즈모먼트</t>
        </is>
      </c>
      <c r="B4536" s="16" t="n">
        <v>44264</v>
      </c>
      <c r="C4536" s="20" t="inlineStr">
        <is>
          <t>화</t>
        </is>
      </c>
      <c r="D4536" s="20" t="inlineStr">
        <is>
          <t>페이스북/인스타그램</t>
        </is>
      </c>
      <c r="E4536" s="20" t="inlineStr">
        <is>
          <t>고체향수</t>
        </is>
      </c>
      <c r="K4536" s="20" t="n">
        <v>58989</v>
      </c>
    </row>
    <row r="4537" ht="16.5" customHeight="1" s="17">
      <c r="A4537" s="20" t="inlineStr">
        <is>
          <t>[성민 TEST] 스테이포에버_이미지</t>
        </is>
      </c>
      <c r="B4537" s="16" t="n">
        <v>44264</v>
      </c>
      <c r="C4537" s="20" t="inlineStr">
        <is>
          <t>화</t>
        </is>
      </c>
      <c r="D4537" s="20" t="inlineStr">
        <is>
          <t>페이스북/인스타그램</t>
        </is>
      </c>
      <c r="E4537" s="20" t="inlineStr">
        <is>
          <t>고체향수</t>
        </is>
      </c>
      <c r="G4537" s="20" t="inlineStr">
        <is>
          <t>ㅇ</t>
        </is>
      </c>
      <c r="K4537" s="20" t="n">
        <v>29876</v>
      </c>
    </row>
    <row r="4538" ht="16.5" customHeight="1" s="17">
      <c r="A4538" s="20" t="inlineStr">
        <is>
          <t>[승은 TEST] 스테이포에버_카드뉴스</t>
        </is>
      </c>
      <c r="B4538" s="16" t="n">
        <v>44264</v>
      </c>
      <c r="C4538" s="20" t="inlineStr">
        <is>
          <t>화</t>
        </is>
      </c>
      <c r="D4538" s="20" t="inlineStr">
        <is>
          <t>페이스북/인스타그램</t>
        </is>
      </c>
      <c r="E4538" s="20" t="inlineStr">
        <is>
          <t>고체향수</t>
        </is>
      </c>
      <c r="K4538" s="20" t="n">
        <v>59588</v>
      </c>
    </row>
    <row r="4539" ht="16.5" customHeight="1" s="17">
      <c r="A4539" s="20" t="inlineStr">
        <is>
          <t>[승무원 2] 스테이포에버_카드뉴스</t>
        </is>
      </c>
      <c r="B4539" s="16" t="n">
        <v>44264</v>
      </c>
      <c r="C4539" s="20" t="inlineStr">
        <is>
          <t>화</t>
        </is>
      </c>
      <c r="D4539" s="20" t="inlineStr">
        <is>
          <t>페이스북/인스타그램</t>
        </is>
      </c>
      <c r="E4539" s="20" t="inlineStr">
        <is>
          <t>고체향수</t>
        </is>
      </c>
      <c r="K4539" s="20" t="n">
        <v>236425</v>
      </c>
    </row>
    <row r="4540" ht="16.5" customHeight="1" s="17">
      <c r="A4540" s="20" t="inlineStr">
        <is>
          <t>[테스트]아줌마</t>
        </is>
      </c>
      <c r="B4540" s="16" t="n">
        <v>44264</v>
      </c>
      <c r="C4540" s="20" t="inlineStr">
        <is>
          <t>화</t>
        </is>
      </c>
      <c r="D4540" s="20" t="inlineStr">
        <is>
          <t>페이스북/인스타그램</t>
        </is>
      </c>
      <c r="E4540" s="20" t="inlineStr">
        <is>
          <t>고체향수</t>
        </is>
      </c>
      <c r="K4540" s="20" t="n">
        <v>161677</v>
      </c>
    </row>
    <row r="4541" ht="16.5" customHeight="1" s="17">
      <c r="A4541" s="20" t="inlineStr">
        <is>
          <t>[키워드 확장 테스트]스테이포에버_이미지</t>
        </is>
      </c>
      <c r="B4541" s="16" t="n">
        <v>44264</v>
      </c>
      <c r="C4541" s="20" t="inlineStr">
        <is>
          <t>화</t>
        </is>
      </c>
      <c r="D4541" s="20" t="inlineStr">
        <is>
          <t>페이스북/인스타그램</t>
        </is>
      </c>
      <c r="E4541" s="20" t="inlineStr">
        <is>
          <t>고체향수</t>
        </is>
      </c>
      <c r="K4541" s="20" t="n">
        <v>223595</v>
      </c>
    </row>
    <row r="4542" ht="16.5" customHeight="1" s="17">
      <c r="A4542" s="20" t="inlineStr">
        <is>
          <t>[재입고]스테이포에버_이미지</t>
        </is>
      </c>
      <c r="B4542" s="16" t="n">
        <v>44264</v>
      </c>
      <c r="C4542" s="20" t="inlineStr">
        <is>
          <t>화</t>
        </is>
      </c>
      <c r="D4542" s="20" t="inlineStr">
        <is>
          <t>페이스북/인스타그램</t>
        </is>
      </c>
      <c r="E4542" s="20" t="inlineStr">
        <is>
          <t>고체향수</t>
        </is>
      </c>
      <c r="K4542" s="20" t="n">
        <v>159619</v>
      </c>
    </row>
    <row r="4543" ht="16.5" customHeight="1" s="17">
      <c r="A4543" s="20" t="inlineStr">
        <is>
          <t>[승무원]숏폼_영상</t>
        </is>
      </c>
      <c r="B4543" s="16" t="n">
        <v>44264</v>
      </c>
      <c r="C4543" s="20" t="inlineStr">
        <is>
          <t>화</t>
        </is>
      </c>
      <c r="D4543" s="20" t="inlineStr">
        <is>
          <t>페이스북/인스타그램</t>
        </is>
      </c>
      <c r="E4543" s="20" t="inlineStr">
        <is>
          <t>고체향수</t>
        </is>
      </c>
      <c r="K4543" s="20" t="n">
        <v>99299</v>
      </c>
    </row>
    <row r="4544" ht="16.5" customHeight="1" s="17">
      <c r="A4544" s="20" t="inlineStr">
        <is>
          <t>[재입고]스테이포에버_영상</t>
        </is>
      </c>
      <c r="B4544" s="16" t="n">
        <v>44264</v>
      </c>
      <c r="C4544" s="20" t="inlineStr">
        <is>
          <t>화</t>
        </is>
      </c>
      <c r="D4544" s="20" t="inlineStr">
        <is>
          <t>페이스북/인스타그램</t>
        </is>
      </c>
      <c r="E4544" s="20" t="inlineStr">
        <is>
          <t>고체향수</t>
        </is>
      </c>
      <c r="K4544" s="20" t="n">
        <v>199293</v>
      </c>
    </row>
    <row r="4545" ht="16.5" customHeight="1" s="17">
      <c r="A4545" s="20" t="inlineStr">
        <is>
          <t>[젊줌마]스테이포에버_영상</t>
        </is>
      </c>
      <c r="B4545" s="16" t="n">
        <v>44264</v>
      </c>
      <c r="C4545" s="20" t="inlineStr">
        <is>
          <t>화</t>
        </is>
      </c>
      <c r="D4545" s="20" t="inlineStr">
        <is>
          <t>페이스북/인스타그램</t>
        </is>
      </c>
      <c r="E4545" s="20" t="inlineStr">
        <is>
          <t>고체향수</t>
        </is>
      </c>
      <c r="K4545" s="20" t="n">
        <v>100790</v>
      </c>
    </row>
    <row r="4546" ht="16.5" customHeight="1" s="17">
      <c r="A4546" s="20" t="inlineStr">
        <is>
          <t>[이성소구]스테이포에버_영상</t>
        </is>
      </c>
      <c r="B4546" s="16" t="n">
        <v>44264</v>
      </c>
      <c r="C4546" s="20" t="inlineStr">
        <is>
          <t>화</t>
        </is>
      </c>
      <c r="D4546" s="20" t="inlineStr">
        <is>
          <t>페이스북/인스타그램</t>
        </is>
      </c>
      <c r="E4546" s="20" t="inlineStr">
        <is>
          <t>고체향수</t>
        </is>
      </c>
      <c r="K4546" s="20" t="n">
        <v>30530</v>
      </c>
    </row>
    <row r="4547" ht="16.5" customHeight="1" s="17">
      <c r="A4547" s="20" t="inlineStr">
        <is>
          <t>[승무원]2019년썰 카드뉴스+ 향묘사_영상</t>
        </is>
      </c>
      <c r="B4547" s="16" t="n">
        <v>44264</v>
      </c>
      <c r="C4547" s="20" t="inlineStr">
        <is>
          <t>화</t>
        </is>
      </c>
      <c r="D4547" s="20" t="inlineStr">
        <is>
          <t>페이스북/인스타그램</t>
        </is>
      </c>
      <c r="E4547" s="20" t="inlineStr">
        <is>
          <t>고체향수</t>
        </is>
      </c>
      <c r="K4547" s="20" t="n">
        <v>68878</v>
      </c>
    </row>
    <row r="4548" ht="16.5" customHeight="1" s="17">
      <c r="A4548" s="20" t="inlineStr">
        <is>
          <t>[승무원어피]스테이포에버_이미지</t>
        </is>
      </c>
      <c r="B4548" s="16" t="n">
        <v>44264</v>
      </c>
      <c r="C4548" s="20" t="inlineStr">
        <is>
          <t>화</t>
        </is>
      </c>
      <c r="D4548" s="20" t="inlineStr">
        <is>
          <t>페이스북/인스타그램</t>
        </is>
      </c>
      <c r="E4548" s="20" t="inlineStr">
        <is>
          <t>고체향수</t>
        </is>
      </c>
      <c r="K4548" s="20" t="n">
        <v>129485</v>
      </c>
    </row>
    <row r="4549" ht="16.5" customHeight="1" s="17">
      <c r="A4549" s="20" t="inlineStr">
        <is>
          <t>[다현]스테이포에버_이미지</t>
        </is>
      </c>
      <c r="B4549" s="16" t="n">
        <v>44264</v>
      </c>
      <c r="C4549" s="20" t="inlineStr">
        <is>
          <t>화</t>
        </is>
      </c>
      <c r="D4549" s="20" t="inlineStr">
        <is>
          <t>페이스북/인스타그램</t>
        </is>
      </c>
      <c r="E4549" s="20" t="inlineStr">
        <is>
          <t>고체향수</t>
        </is>
      </c>
      <c r="K4549" s="20" t="n">
        <v>299152</v>
      </c>
    </row>
    <row r="4550" ht="16.5" customHeight="1" s="17">
      <c r="A4550" s="20" t="inlineStr">
        <is>
          <t>[승무원]스테이포에버_카드뉴스</t>
        </is>
      </c>
      <c r="B4550" s="16" t="n">
        <v>44264</v>
      </c>
      <c r="C4550" s="20" t="inlineStr">
        <is>
          <t>화</t>
        </is>
      </c>
      <c r="D4550" s="20" t="inlineStr">
        <is>
          <t>페이스북/인스타그램</t>
        </is>
      </c>
      <c r="E4550" s="20" t="inlineStr">
        <is>
          <t>고체향수</t>
        </is>
      </c>
      <c r="K4550" s="20" t="n">
        <v>245260</v>
      </c>
    </row>
    <row r="4551" ht="16.5" customHeight="1" s="17">
      <c r="A4551" s="20" t="inlineStr">
        <is>
          <t>[후기타입]스테이포에버_영상</t>
        </is>
      </c>
      <c r="B4551" s="16" t="n">
        <v>44264</v>
      </c>
      <c r="C4551" s="20" t="inlineStr">
        <is>
          <t>화</t>
        </is>
      </c>
      <c r="D4551" s="20" t="inlineStr">
        <is>
          <t>페이스북/인스타그램</t>
        </is>
      </c>
      <c r="E4551" s="20" t="inlineStr">
        <is>
          <t>고체향수</t>
        </is>
      </c>
      <c r="K4551" s="20" t="n">
        <v>150012</v>
      </c>
    </row>
    <row r="4552" ht="16.5" customHeight="1" s="17">
      <c r="A4552" s="20" t="inlineStr">
        <is>
          <t>전환_스테이포에버</t>
        </is>
      </c>
      <c r="B4552" s="16" t="n">
        <v>44264</v>
      </c>
      <c r="C4552" s="20" t="inlineStr">
        <is>
          <t>화</t>
        </is>
      </c>
      <c r="D4552" s="20" t="inlineStr">
        <is>
          <t>페이스북/인스타그램</t>
        </is>
      </c>
      <c r="E4552" s="20" t="inlineStr">
        <is>
          <t>고체향수</t>
        </is>
      </c>
      <c r="K4552" s="20" t="n">
        <v>149196</v>
      </c>
    </row>
    <row r="4553" ht="16.5" customHeight="1" s="17">
      <c r="A4553" s="20" t="inlineStr">
        <is>
          <t>[권태기커플]스테이포에버_영상</t>
        </is>
      </c>
      <c r="B4553" s="16" t="n">
        <v>44264</v>
      </c>
      <c r="C4553" s="20" t="inlineStr">
        <is>
          <t>화</t>
        </is>
      </c>
      <c r="D4553" s="20" t="inlineStr">
        <is>
          <t>페이스북/인스타그램</t>
        </is>
      </c>
      <c r="E4553" s="20" t="inlineStr">
        <is>
          <t>고체향수</t>
        </is>
      </c>
      <c r="K4553" s="20" t="n">
        <v>149366</v>
      </c>
    </row>
    <row r="4554" ht="16.5" customHeight="1" s="17">
      <c r="A4554" s="20" t="inlineStr">
        <is>
          <t>동영상캠페인_승무원_2019년썰(cpa)</t>
        </is>
      </c>
      <c r="B4554" s="16" t="n">
        <v>44264</v>
      </c>
      <c r="C4554" s="20" t="inlineStr">
        <is>
          <t>화</t>
        </is>
      </c>
      <c r="D4554" s="20">
        <f>VLOOKUP($A4554,매칭테이블!$B$548:$D$1048576,2,0)</f>
        <v/>
      </c>
      <c r="E4554" s="20" t="inlineStr">
        <is>
          <t>고체향수</t>
        </is>
      </c>
      <c r="K4554" s="20" t="n">
        <v>9533</v>
      </c>
    </row>
    <row r="4555" ht="16.5" customHeight="1" s="17">
      <c r="A4555" s="20" t="inlineStr">
        <is>
          <t>웹사이트 트래픽 서치</t>
        </is>
      </c>
      <c r="B4555" s="16" t="n">
        <v>44264</v>
      </c>
      <c r="C4555" s="20" t="inlineStr">
        <is>
          <t>화</t>
        </is>
      </c>
      <c r="D4555" s="20" t="inlineStr">
        <is>
          <t>유튜브 광고</t>
        </is>
      </c>
      <c r="E4555" s="20" t="inlineStr">
        <is>
          <t>고체향수</t>
        </is>
      </c>
      <c r="K4555" s="20" t="n">
        <v>45073</v>
      </c>
    </row>
    <row r="4556" ht="16.5" customHeight="1" s="17">
      <c r="A4556" s="20" t="inlineStr">
        <is>
          <t>동영상캠페인_승무원_보이는 라디오(cpa)</t>
        </is>
      </c>
      <c r="B4556" s="16" t="n">
        <v>44264</v>
      </c>
      <c r="C4556" s="20" t="inlineStr">
        <is>
          <t>화</t>
        </is>
      </c>
      <c r="D4556" s="20">
        <f>VLOOKUP($A4556,매칭테이블!$B$548:$D$1048576,2,0)</f>
        <v/>
      </c>
      <c r="E4556" s="20" t="inlineStr">
        <is>
          <t>고체향수</t>
        </is>
      </c>
      <c r="K4556" s="20" t="n">
        <v>511982</v>
      </c>
    </row>
    <row r="4557" ht="16.5" customHeight="1" s="17">
      <c r="A4557" s="20" t="inlineStr">
        <is>
          <t>디스커버리 배너_승무원,할인_리마케팅</t>
        </is>
      </c>
      <c r="B4557" s="16" t="n">
        <v>44264</v>
      </c>
      <c r="C4557" s="20" t="inlineStr">
        <is>
          <t>화</t>
        </is>
      </c>
      <c r="D4557" s="20" t="inlineStr">
        <is>
          <t>유튜브 광고</t>
        </is>
      </c>
      <c r="E4557" s="20" t="inlineStr">
        <is>
          <t>고체향수</t>
        </is>
      </c>
      <c r="K4557" s="20" t="n">
        <v>489613</v>
      </c>
    </row>
    <row r="4558" ht="16.5" customHeight="1" s="17">
      <c r="A4558" s="20" t="inlineStr">
        <is>
          <t>동영상캠페인_승무원_써니스카이</t>
        </is>
      </c>
      <c r="B4558" s="16" t="n">
        <v>44264</v>
      </c>
      <c r="C4558" s="20" t="inlineStr">
        <is>
          <t>화</t>
        </is>
      </c>
      <c r="D4558" s="20" t="inlineStr">
        <is>
          <t>유튜브 광고</t>
        </is>
      </c>
      <c r="E4558" s="20" t="inlineStr">
        <is>
          <t>고체향수</t>
        </is>
      </c>
      <c r="K4558" s="20" t="n">
        <v>514141</v>
      </c>
    </row>
    <row r="4559" ht="16.5" customHeight="1" s="17">
      <c r="A4559" s="20" t="inlineStr">
        <is>
          <t>동영상캠페인_필라테스_자기관리(타겟 cpa)</t>
        </is>
      </c>
      <c r="B4559" s="16" t="n">
        <v>44264</v>
      </c>
      <c r="C4559" s="20" t="inlineStr">
        <is>
          <t>화</t>
        </is>
      </c>
      <c r="D4559" s="20" t="inlineStr">
        <is>
          <t>유튜브 광고</t>
        </is>
      </c>
      <c r="E4559" s="20" t="inlineStr">
        <is>
          <t>고체향수</t>
        </is>
      </c>
      <c r="K4559" s="20" t="n">
        <v>10114</v>
      </c>
    </row>
    <row r="4560" ht="16.5" customHeight="1" s="17">
      <c r="A4560" s="20" t="inlineStr">
        <is>
          <t>동영상캠페인_승무원_비누향 나는 승무원에게(cpa)</t>
        </is>
      </c>
      <c r="B4560" s="16" t="n">
        <v>44264</v>
      </c>
      <c r="C4560" s="20" t="inlineStr">
        <is>
          <t>화</t>
        </is>
      </c>
      <c r="D4560" s="20">
        <f>VLOOKUP($A4560,매칭테이블!$B$548:$D$1048576,2,0)</f>
        <v/>
      </c>
      <c r="E4560" s="20" t="inlineStr">
        <is>
          <t>고체향수</t>
        </is>
      </c>
      <c r="K4560" s="20" t="n">
        <v>284226</v>
      </c>
    </row>
    <row r="4561" ht="16.5" customHeight="1" s="17">
      <c r="A4561" s="20" t="inlineStr">
        <is>
          <t>동영상캠페인_유즈모먼트_2차_30대 여성 회사원(cpa)</t>
        </is>
      </c>
      <c r="B4561" s="16" t="n">
        <v>44264</v>
      </c>
      <c r="C4561" s="20" t="inlineStr">
        <is>
          <t>화</t>
        </is>
      </c>
      <c r="D4561" s="20">
        <f>VLOOKUP($A4561,매칭테이블!$B$548:$D$1048576,2,0)</f>
        <v/>
      </c>
      <c r="E4561" s="20" t="inlineStr">
        <is>
          <t>고체향수</t>
        </is>
      </c>
      <c r="K4561" s="20" t="n">
        <v>200533</v>
      </c>
    </row>
    <row r="4562" ht="16.5" customHeight="1" s="17">
      <c r="A4562" s="20" t="inlineStr">
        <is>
          <t>동영상캠페인_유즈모먼트_조향사 친구(cpa)</t>
        </is>
      </c>
      <c r="B4562" s="16" t="n">
        <v>44264</v>
      </c>
      <c r="C4562" s="20" t="inlineStr">
        <is>
          <t>화</t>
        </is>
      </c>
      <c r="D4562" s="20">
        <f>VLOOKUP($A4562,매칭테이블!$B$548:$D$1048576,2,0)</f>
        <v/>
      </c>
      <c r="E4562" s="20" t="inlineStr">
        <is>
          <t>고체향수</t>
        </is>
      </c>
      <c r="K4562" s="20" t="n">
        <v>102508</v>
      </c>
    </row>
    <row r="4563" ht="16.5" customHeight="1" s="17">
      <c r="A4563" s="20" t="inlineStr">
        <is>
          <t>동영상캠페인_유즈모먼트_사춘기 딸 2차</t>
        </is>
      </c>
      <c r="B4563" s="16" t="n">
        <v>44264</v>
      </c>
      <c r="C4563" s="20" t="inlineStr">
        <is>
          <t>화</t>
        </is>
      </c>
      <c r="D4563" s="20" t="inlineStr">
        <is>
          <t>유튜브 광고</t>
        </is>
      </c>
      <c r="E4563" s="20" t="inlineStr">
        <is>
          <t>고체향수</t>
        </is>
      </c>
      <c r="K4563" s="20" t="n">
        <v>257229</v>
      </c>
    </row>
    <row r="4564" ht="16.5" customHeight="1" s="17">
      <c r="A4564" s="20" t="inlineStr">
        <is>
          <t>동영상 캠페인_유튜버 수지큐 2차활용</t>
        </is>
      </c>
      <c r="B4564" s="16" t="n">
        <v>44264</v>
      </c>
      <c r="C4564" s="20" t="inlineStr">
        <is>
          <t>화</t>
        </is>
      </c>
      <c r="D4564" s="20">
        <f>VLOOKUP($A4564,매칭테이블!$B$548:$D$1048576,2,0)</f>
        <v/>
      </c>
      <c r="E4564" s="20" t="inlineStr">
        <is>
          <t>고체향수</t>
        </is>
      </c>
      <c r="K4564" s="20" t="n">
        <v>104005</v>
      </c>
    </row>
    <row r="4565" ht="16.5" customHeight="1" s="17">
      <c r="A4565" s="20" t="inlineStr">
        <is>
          <t>쇼핑검색_고체향수</t>
        </is>
      </c>
      <c r="B4565" s="16" t="n">
        <v>44264</v>
      </c>
      <c r="C4565" s="20" t="inlineStr">
        <is>
          <t>화</t>
        </is>
      </c>
      <c r="D4565" s="20" t="inlineStr">
        <is>
          <t>네이버 쇼핑검색</t>
        </is>
      </c>
      <c r="E4565" s="20" t="inlineStr">
        <is>
          <t>고체향수</t>
        </is>
      </c>
      <c r="K4565" s="20" t="n">
        <v>1680</v>
      </c>
    </row>
    <row r="4566" ht="16.5" customHeight="1" s="17">
      <c r="A4566" s="20" t="inlineStr">
        <is>
          <t>쇼핑검색_고체향수세부키워드</t>
        </is>
      </c>
      <c r="B4566" s="16" t="n">
        <v>44264</v>
      </c>
      <c r="C4566" s="20" t="inlineStr">
        <is>
          <t>화</t>
        </is>
      </c>
      <c r="D4566" s="20" t="inlineStr">
        <is>
          <t>네이버 쇼핑검색</t>
        </is>
      </c>
      <c r="E4566" s="20" t="inlineStr">
        <is>
          <t>고체향수</t>
        </is>
      </c>
      <c r="K4566" s="20" t="n">
        <v>111530</v>
      </c>
    </row>
    <row r="4567" ht="16.5" customHeight="1" s="17">
      <c r="A4567" s="20" t="inlineStr">
        <is>
          <t>쇼핑검색_고체향수세부키워드2</t>
        </is>
      </c>
      <c r="B4567" s="16" t="n">
        <v>44264</v>
      </c>
      <c r="C4567" s="20" t="inlineStr">
        <is>
          <t>화</t>
        </is>
      </c>
      <c r="D4567" s="20" t="inlineStr">
        <is>
          <t>네이버 쇼핑검색</t>
        </is>
      </c>
      <c r="E4567" s="20" t="inlineStr">
        <is>
          <t>고체향수</t>
        </is>
      </c>
      <c r="K4567" s="20" t="n">
        <v>1400</v>
      </c>
    </row>
    <row r="4568" ht="16.5" customHeight="1" s="17">
      <c r="A4568" s="20" t="inlineStr">
        <is>
          <t>모바일 브검</t>
        </is>
      </c>
      <c r="B4568" s="16" t="n">
        <v>44264</v>
      </c>
      <c r="C4568" s="20" t="inlineStr">
        <is>
          <t>화</t>
        </is>
      </c>
      <c r="D4568" s="20" t="inlineStr">
        <is>
          <t>네이버 브랜드검색</t>
        </is>
      </c>
      <c r="E4568" s="20" t="inlineStr">
        <is>
          <t>브랜드</t>
        </is>
      </c>
      <c r="K4568" s="20" t="n">
        <v>140000</v>
      </c>
    </row>
    <row r="4569" ht="16.5" customHeight="1" s="17">
      <c r="B4569" s="16" t="n">
        <v>44264</v>
      </c>
      <c r="C4569" s="20" t="inlineStr">
        <is>
          <t>화</t>
        </is>
      </c>
      <c r="E4569" s="20" t="inlineStr">
        <is>
          <t>고체향수</t>
        </is>
      </c>
      <c r="F4569" s="20" t="inlineStr">
        <is>
          <t>W컨셉</t>
        </is>
      </c>
      <c r="G4569" s="20" t="inlineStr">
        <is>
          <t>솔리드퍼퓸 이그나이트/스테이포에버 30ml (2종 택1)&lt;옵션1&gt;002 STAY FOREVER</t>
        </is>
      </c>
      <c r="H4569" s="20" t="n">
        <v>6</v>
      </c>
      <c r="I4569" s="20" t="inlineStr">
        <is>
          <t>스테이포에버</t>
        </is>
      </c>
      <c r="J4569" s="20" t="inlineStr">
        <is>
          <t>210207</t>
        </is>
      </c>
      <c r="L4569" s="20" t="n">
        <v>204000</v>
      </c>
      <c r="M4569" s="20" t="n">
        <v>142800</v>
      </c>
      <c r="N4569" s="20" t="n">
        <v>15552</v>
      </c>
      <c r="O4569" s="20" t="inlineStr">
        <is>
          <t>W컨셉고체향수솔리드퍼퓸 이그나이트/스테이포에버 30ml (2종 택1)&lt;옵션1&gt;002 STAY FOREVER210207</t>
        </is>
      </c>
    </row>
    <row r="4570" ht="16.5" customHeight="1" s="17">
      <c r="B4570" s="16" t="n">
        <v>44264</v>
      </c>
      <c r="C4570" s="20" t="inlineStr">
        <is>
          <t>화</t>
        </is>
      </c>
      <c r="E4570" s="20" t="inlineStr">
        <is>
          <t>고체향수</t>
        </is>
      </c>
      <c r="F4570" s="20" t="inlineStr">
        <is>
          <t>W컨셉</t>
        </is>
      </c>
      <c r="G4570" s="20" t="inlineStr">
        <is>
          <t>솔리드퍼퓸 이그나이트/스테이포에버 30ml (2종 택1)&lt;옵션1&gt;IGNITE + STAY FOREVER</t>
        </is>
      </c>
      <c r="H4570" s="20" t="n">
        <v>2</v>
      </c>
      <c r="I4570" s="20" t="inlineStr">
        <is>
          <t>이그나이트 + 스테이포에버</t>
        </is>
      </c>
      <c r="J4570" s="20" t="inlineStr">
        <is>
          <t>210207</t>
        </is>
      </c>
      <c r="L4570" s="20" t="n">
        <v>117600</v>
      </c>
      <c r="M4570" s="20" t="n">
        <v>94080</v>
      </c>
      <c r="N4570" s="20" t="n">
        <v>10690</v>
      </c>
      <c r="O4570" s="20" t="inlineStr">
        <is>
          <t>W컨셉고체향수솔리드퍼퓸 이그나이트/스테이포에버 30ml (2종 택1)&lt;옵션1&gt;IGNITE + STAY FOREVER210207</t>
        </is>
      </c>
    </row>
    <row r="4571" ht="16.5" customHeight="1" s="17">
      <c r="B4571" s="16" t="n">
        <v>44264</v>
      </c>
      <c r="C4571" s="20" t="inlineStr">
        <is>
          <t>화</t>
        </is>
      </c>
      <c r="E4571" s="20" t="inlineStr">
        <is>
          <t>고체향수</t>
        </is>
      </c>
      <c r="F4571" s="20" t="inlineStr">
        <is>
          <t>스마트스토어</t>
        </is>
      </c>
      <c r="G4571" s="20" t="inlineStr">
        <is>
          <t>유즈 고체향수 세트(유즈 스테이포에버, 유즈 이그나이트)고체향수: 스테이포에버 1개 + 이그나이트 1개</t>
        </is>
      </c>
      <c r="H4571" s="20" t="n">
        <v>2</v>
      </c>
      <c r="I4571" s="20" t="inlineStr">
        <is>
          <t>이그나이트 + 스테이포에버</t>
        </is>
      </c>
      <c r="J4571" s="20" t="inlineStr">
        <is>
          <t>210207</t>
        </is>
      </c>
      <c r="L4571" s="20" t="n">
        <v>117600</v>
      </c>
      <c r="M4571" s="20" t="n">
        <v>110720.4</v>
      </c>
      <c r="N4571" s="20" t="n">
        <v>10690</v>
      </c>
      <c r="O4571" s="20" t="inlineStr">
        <is>
          <t>스마트스토어고체향수유즈 고체향수 세트(유즈 스테이포에버, 유즈 이그나이트)고체향수: 스테이포에버 1개 + 이그나이트 1개210207</t>
        </is>
      </c>
    </row>
    <row r="4572" ht="16.5" customHeight="1" s="17">
      <c r="B4572" s="16" t="n">
        <v>44264</v>
      </c>
      <c r="C4572" s="20" t="inlineStr">
        <is>
          <t>화</t>
        </is>
      </c>
      <c r="E4572" s="20" t="inlineStr">
        <is>
          <t>고체향수</t>
        </is>
      </c>
      <c r="F4572" s="20" t="inlineStr">
        <is>
          <t>스마트스토어</t>
        </is>
      </c>
      <c r="G4572" s="20" t="inlineStr">
        <is>
          <t>유즈 고체향수 세트(유즈 스테이포에버, 유즈 이그나이트)고체향수: 스테이포에버 2개</t>
        </is>
      </c>
      <c r="H4572" s="20" t="n">
        <v>2</v>
      </c>
      <c r="I4572" s="20" t="inlineStr">
        <is>
          <t>스테이포에버 2set</t>
        </is>
      </c>
      <c r="J4572" s="20" t="inlineStr">
        <is>
          <t>210207</t>
        </is>
      </c>
      <c r="L4572" s="20" t="n">
        <v>117600</v>
      </c>
      <c r="M4572" s="20" t="n">
        <v>115248</v>
      </c>
      <c r="N4572" s="20" t="n">
        <v>10368</v>
      </c>
      <c r="O4572" s="20" t="inlineStr">
        <is>
          <t>스마트스토어고체향수유즈 고체향수 세트(유즈 스테이포에버, 유즈 이그나이트)고체향수: 스테이포에버 2개210207</t>
        </is>
      </c>
    </row>
    <row r="4573" ht="16.5" customHeight="1" s="17">
      <c r="B4573" s="16" t="n">
        <v>44264</v>
      </c>
      <c r="C4573" s="20" t="inlineStr">
        <is>
          <t>화</t>
        </is>
      </c>
      <c r="E4573" s="20" t="inlineStr">
        <is>
          <t>고체향수</t>
        </is>
      </c>
      <c r="F4573" s="20" t="inlineStr">
        <is>
          <t>스마트스토어</t>
        </is>
      </c>
      <c r="G4573" s="20" t="inlineStr">
        <is>
          <t>유즈 고체향수 스테이포에버 002고체향수: 스테이포에버 1개</t>
        </is>
      </c>
      <c r="H4573" s="20" t="n">
        <v>30</v>
      </c>
      <c r="I4573" s="20" t="inlineStr">
        <is>
          <t>스테이포에버</t>
        </is>
      </c>
      <c r="J4573" s="20" t="inlineStr">
        <is>
          <t>210207</t>
        </is>
      </c>
      <c r="L4573" s="20" t="n">
        <v>1020000</v>
      </c>
      <c r="M4573" s="20" t="n">
        <v>999600</v>
      </c>
      <c r="N4573" s="20" t="n">
        <v>77760</v>
      </c>
      <c r="O4573" s="20" t="inlineStr">
        <is>
          <t>스마트스토어고체향수유즈 고체향수 스테이포에버 002고체향수: 스테이포에버 1개210207</t>
        </is>
      </c>
    </row>
    <row r="4574" ht="16.5" customHeight="1" s="17">
      <c r="B4574" s="16" t="n">
        <v>44264</v>
      </c>
      <c r="C4574" s="20" t="inlineStr">
        <is>
          <t>화</t>
        </is>
      </c>
      <c r="E4574" s="20" t="inlineStr">
        <is>
          <t>고체향수</t>
        </is>
      </c>
      <c r="F4574" s="20" t="inlineStr">
        <is>
          <t>카페24</t>
        </is>
      </c>
      <c r="G4574" s="20" t="inlineStr">
        <is>
          <t>솔리드퍼퓸 세트향=스테이포에버 002 SOLID PERFUME, 세트 선택=1개</t>
        </is>
      </c>
      <c r="H4574" s="20" t="n">
        <v>3</v>
      </c>
      <c r="I4574" s="20" t="inlineStr">
        <is>
          <t>스테이포에버</t>
        </is>
      </c>
      <c r="J4574" s="20" t="inlineStr">
        <is>
          <t>210207</t>
        </is>
      </c>
      <c r="L4574" s="20" t="n">
        <v>102000</v>
      </c>
      <c r="M4574" s="20" t="n">
        <v>96033</v>
      </c>
      <c r="N4574" s="20" t="n">
        <v>7776</v>
      </c>
      <c r="O4574" s="20" t="inlineStr">
        <is>
          <t>카페24고체향수솔리드퍼퓸 세트향=스테이포에버 002 SOLID PERFUME, 세트 선택=1개210207</t>
        </is>
      </c>
    </row>
    <row r="4575" ht="16.5" customHeight="1" s="17">
      <c r="B4575" s="16" t="n">
        <v>44264</v>
      </c>
      <c r="C4575" s="20" t="inlineStr">
        <is>
          <t>화</t>
        </is>
      </c>
      <c r="E4575" s="20" t="inlineStr">
        <is>
          <t>고체향수</t>
        </is>
      </c>
      <c r="F4575" s="20" t="inlineStr">
        <is>
          <t>카페24</t>
        </is>
      </c>
      <c r="G4575" s="20" t="inlineStr">
        <is>
          <t>솔리드퍼퓸 세트향=스테이포에버 002 SOLID PERFUME, 세트 선택=best 2개 (28% 할인)</t>
        </is>
      </c>
      <c r="H4575" s="20" t="n">
        <v>1</v>
      </c>
      <c r="I4575" s="20" t="inlineStr">
        <is>
          <t>스테이포에버 2set</t>
        </is>
      </c>
      <c r="J4575" s="20" t="inlineStr">
        <is>
          <t>210207</t>
        </is>
      </c>
      <c r="L4575" s="20" t="n">
        <v>58800</v>
      </c>
      <c r="M4575" s="20" t="n">
        <v>55360.2</v>
      </c>
      <c r="N4575" s="20" t="n">
        <v>5184</v>
      </c>
      <c r="O4575" s="20" t="inlineStr">
        <is>
          <t>카페24고체향수솔리드퍼퓸 세트향=스테이포에버 002 SOLID PERFUME, 세트 선택=best 2개 (28% 할인)210207</t>
        </is>
      </c>
    </row>
    <row r="4576" ht="16.5" customHeight="1" s="17">
      <c r="B4576" s="16" t="n">
        <v>44264</v>
      </c>
      <c r="C4576" s="20" t="inlineStr">
        <is>
          <t>화</t>
        </is>
      </c>
      <c r="E4576" s="20" t="inlineStr">
        <is>
          <t>고체향수</t>
        </is>
      </c>
      <c r="F4576" s="20" t="inlineStr">
        <is>
          <t>카페24</t>
        </is>
      </c>
      <c r="G4576" s="20" t="inlineStr">
        <is>
          <t>솔리드퍼퓸 세트향=커플세트(이그나이트 + 스테이포에버), 세트 선택=1 SET</t>
        </is>
      </c>
      <c r="H4576" s="20" t="n">
        <v>12</v>
      </c>
      <c r="I4576" s="20" t="inlineStr">
        <is>
          <t>이그나이트 + 스테이포에버</t>
        </is>
      </c>
      <c r="J4576" s="20" t="inlineStr">
        <is>
          <t>210207</t>
        </is>
      </c>
      <c r="L4576" s="20" t="n">
        <v>705600</v>
      </c>
      <c r="M4576" s="20" t="n">
        <v>664322.3999999999</v>
      </c>
      <c r="N4576" s="20" t="n">
        <v>64140</v>
      </c>
      <c r="O4576" s="20" t="inlineStr">
        <is>
          <t>카페24고체향수솔리드퍼퓸 세트향=커플세트(이그나이트 + 스테이포에버), 세트 선택=1 SET210207</t>
        </is>
      </c>
    </row>
    <row r="4577" ht="16.5" customHeight="1" s="17">
      <c r="B4577" s="16" t="n">
        <v>44264</v>
      </c>
      <c r="C4577" s="20" t="inlineStr">
        <is>
          <t>화</t>
        </is>
      </c>
      <c r="E4577" s="20" t="inlineStr">
        <is>
          <t>고체향수</t>
        </is>
      </c>
      <c r="F4577" s="20" t="inlineStr">
        <is>
          <t>카페24</t>
        </is>
      </c>
      <c r="G4577" s="20" t="inlineStr">
        <is>
          <t>솔리드퍼퓸 세트향=커플세트(이그나이트 + 스테이포에버), 세트 선택=2 SET (42% 할인)</t>
        </is>
      </c>
      <c r="H4577" s="20" t="n">
        <v>2</v>
      </c>
      <c r="I4577" s="20" t="inlineStr">
        <is>
          <t>이그나이트 + 스테이포에버</t>
        </is>
      </c>
      <c r="J4577" s="20" t="inlineStr">
        <is>
          <t>210207</t>
        </is>
      </c>
      <c r="L4577" s="20" t="n">
        <v>117600</v>
      </c>
      <c r="M4577" s="20" t="n">
        <v>110720.4</v>
      </c>
      <c r="N4577" s="20" t="n">
        <v>10690</v>
      </c>
      <c r="O4577" s="20" t="inlineStr">
        <is>
          <t>카페24고체향수솔리드퍼퓸 세트향=커플세트(이그나이트 + 스테이포에버), 세트 선택=2 SET (42% 할인)210207</t>
        </is>
      </c>
    </row>
    <row r="4578" ht="16.5" customHeight="1" s="17">
      <c r="B4578" s="16" t="n">
        <v>44264</v>
      </c>
      <c r="C4578" s="20" t="inlineStr">
        <is>
          <t>화</t>
        </is>
      </c>
      <c r="E4578" s="20" t="inlineStr">
        <is>
          <t>고체향수</t>
        </is>
      </c>
      <c r="F4578" s="20" t="inlineStr">
        <is>
          <t>카페24</t>
        </is>
      </c>
      <c r="G4578" s="20" t="inlineStr">
        <is>
          <t>솔리드퍼퓸 스테이포에버 002제품선택=스테이포에버 1개</t>
        </is>
      </c>
      <c r="H4578" s="20" t="n">
        <v>161</v>
      </c>
      <c r="I4578" s="20" t="inlineStr">
        <is>
          <t>스테이포에버</t>
        </is>
      </c>
      <c r="J4578" s="20" t="inlineStr">
        <is>
          <t>210207</t>
        </is>
      </c>
      <c r="L4578" s="20" t="n">
        <v>5474000</v>
      </c>
      <c r="M4578" s="20" t="n">
        <v>5153771</v>
      </c>
      <c r="N4578" s="20" t="n">
        <v>417312</v>
      </c>
      <c r="O4578" s="20" t="inlineStr">
        <is>
          <t>카페24고체향수솔리드퍼퓸 스테이포에버 002제품선택=스테이포에버 1개210207</t>
        </is>
      </c>
    </row>
    <row r="4579" ht="16.5" customHeight="1" s="17">
      <c r="B4579" s="16" t="n">
        <v>44264</v>
      </c>
      <c r="C4579" s="20" t="inlineStr">
        <is>
          <t>화</t>
        </is>
      </c>
      <c r="E4579" s="20" t="inlineStr">
        <is>
          <t>고체향수</t>
        </is>
      </c>
      <c r="F4579" s="20" t="inlineStr">
        <is>
          <t>카페24</t>
        </is>
      </c>
      <c r="G4579" s="20" t="inlineStr">
        <is>
          <t>솔리드퍼퓸 스테이포에버 002제품선택=best스테이포에버 2개[28% 할인]</t>
        </is>
      </c>
      <c r="H4579" s="20" t="n">
        <v>86</v>
      </c>
      <c r="I4579" s="20" t="inlineStr">
        <is>
          <t>스테이포에버 2set</t>
        </is>
      </c>
      <c r="J4579" s="20" t="inlineStr">
        <is>
          <t>210207</t>
        </is>
      </c>
      <c r="L4579" s="20" t="n">
        <v>5056800</v>
      </c>
      <c r="M4579" s="20" t="n">
        <v>4760977.2</v>
      </c>
      <c r="N4579" s="20" t="n">
        <v>445824</v>
      </c>
      <c r="O4579" s="20" t="inlineStr">
        <is>
          <t>카페24고체향수솔리드퍼퓸 스테이포에버 002제품선택=best스테이포에버 2개[28% 할인]210207</t>
        </is>
      </c>
    </row>
    <row r="4580" ht="16.5" customHeight="1" s="17">
      <c r="B4580" s="16" t="n">
        <v>44264</v>
      </c>
      <c r="C4580" s="20" t="inlineStr">
        <is>
          <t>화</t>
        </is>
      </c>
      <c r="E4580" s="20" t="inlineStr">
        <is>
          <t>고체향수</t>
        </is>
      </c>
      <c r="F4580" s="20" t="inlineStr">
        <is>
          <t>카페24</t>
        </is>
      </c>
      <c r="G4580" s="20" t="inlineStr">
        <is>
          <t>솔리드퍼퓸 스테이포에버 002제품선택=커플추천스테이포에버 + 이그나이트 세트</t>
        </is>
      </c>
      <c r="H4580" s="20" t="n">
        <v>6</v>
      </c>
      <c r="I4580" s="20" t="inlineStr">
        <is>
          <t>이그나이트 + 스테이포에버</t>
        </is>
      </c>
      <c r="J4580" s="20" t="inlineStr">
        <is>
          <t>210207</t>
        </is>
      </c>
      <c r="L4580" s="20" t="n">
        <v>352800</v>
      </c>
      <c r="M4580" s="20" t="n">
        <v>332161.2</v>
      </c>
      <c r="N4580" s="20" t="n">
        <v>32070</v>
      </c>
      <c r="O4580" s="20" t="inlineStr">
        <is>
          <t>카페24고체향수솔리드퍼퓸 스테이포에버 002제품선택=커플추천스테이포에버 + 이그나이트 세트210207</t>
        </is>
      </c>
    </row>
    <row r="4581" ht="16.5" customHeight="1" s="17">
      <c r="B4581" s="16" t="n">
        <v>44264</v>
      </c>
      <c r="C4581" s="20" t="inlineStr">
        <is>
          <t>화</t>
        </is>
      </c>
      <c r="E4581" s="20" t="inlineStr">
        <is>
          <t>쇼핑백</t>
        </is>
      </c>
      <c r="F4581" s="20" t="inlineStr">
        <is>
          <t>카페24</t>
        </is>
      </c>
      <c r="G4581" s="20" t="inlineStr">
        <is>
          <t>솔리드퍼퓸 스테이포에버 002쇼핑백=선물용 쇼핑백</t>
        </is>
      </c>
      <c r="H4581" s="20" t="n">
        <v>6</v>
      </c>
      <c r="I4581" s="20" t="inlineStr">
        <is>
          <t>쇼핑백</t>
        </is>
      </c>
      <c r="J4581" s="20" t="inlineStr">
        <is>
          <t>210207</t>
        </is>
      </c>
      <c r="L4581" s="20" t="n">
        <v>12000</v>
      </c>
      <c r="M4581" s="20" t="n">
        <v>11298</v>
      </c>
      <c r="N4581" s="20" t="n">
        <v>4980</v>
      </c>
      <c r="O4581" s="20" t="inlineStr">
        <is>
          <t>카페24쇼핑백솔리드퍼퓸 스테이포에버 002쇼핑백=선물용 쇼핑백210207</t>
        </is>
      </c>
    </row>
    <row r="4582" ht="16.5" customHeight="1" s="17">
      <c r="B4582" s="16" t="n">
        <v>44264</v>
      </c>
      <c r="C4582" s="20" t="inlineStr">
        <is>
          <t>화</t>
        </is>
      </c>
      <c r="E4582" s="20" t="inlineStr">
        <is>
          <t>고체향수</t>
        </is>
      </c>
      <c r="F4582" s="20" t="inlineStr">
        <is>
          <t>카페24</t>
        </is>
      </c>
      <c r="G4582" s="20" t="inlineStr">
        <is>
          <t>솔리드퍼퓸 이그나이트 001제품선택=이그나이트 솔리드퍼퓸 - 30ml</t>
        </is>
      </c>
      <c r="H4582" s="20" t="n">
        <v>1</v>
      </c>
      <c r="I4582" s="20" t="inlineStr">
        <is>
          <t>이그나이트</t>
        </is>
      </c>
      <c r="J4582" s="20" t="inlineStr">
        <is>
          <t>210207</t>
        </is>
      </c>
      <c r="L4582" s="20" t="n">
        <v>34000</v>
      </c>
      <c r="M4582" s="20" t="n">
        <v>32011</v>
      </c>
      <c r="N4582" s="20" t="n">
        <v>2753</v>
      </c>
      <c r="O4582" s="20" t="inlineStr">
        <is>
          <t>카페24고체향수솔리드퍼퓸 이그나이트 001제품선택=이그나이트 솔리드퍼퓸 - 30ml210207</t>
        </is>
      </c>
    </row>
    <row r="4583" ht="16.5" customHeight="1" s="17">
      <c r="A4583" s="20" t="inlineStr">
        <is>
          <t>고체향수_전환추적</t>
        </is>
      </c>
      <c r="B4583" s="16" t="n">
        <v>44264</v>
      </c>
      <c r="C4583" s="20" t="inlineStr">
        <is>
          <t>화</t>
        </is>
      </c>
      <c r="D4583" s="20" t="inlineStr">
        <is>
          <t>네이버 배너</t>
        </is>
      </c>
      <c r="E4583" s="20" t="inlineStr">
        <is>
          <t>고체향수</t>
        </is>
      </c>
      <c r="K4583" s="20" t="n">
        <v>30398.18181818182</v>
      </c>
    </row>
    <row r="4584" ht="16.5" customHeight="1" s="17">
      <c r="A4584" s="20" t="inlineStr">
        <is>
          <t>고체향수</t>
        </is>
      </c>
      <c r="B4584" s="16" t="n">
        <v>44264</v>
      </c>
      <c r="C4584" s="20" t="inlineStr">
        <is>
          <t>화</t>
        </is>
      </c>
      <c r="D4584" s="20" t="inlineStr">
        <is>
          <t>네이버 배너</t>
        </is>
      </c>
      <c r="E4584" s="20" t="inlineStr">
        <is>
          <t>고체향수</t>
        </is>
      </c>
      <c r="K4584" s="20" t="n">
        <v>1064410</v>
      </c>
    </row>
    <row r="4585" ht="16.5" customHeight="1" s="17">
      <c r="B4585" s="16" t="n">
        <v>44264</v>
      </c>
      <c r="C4585" s="20" t="inlineStr">
        <is>
          <t>화</t>
        </is>
      </c>
      <c r="D4585" s="20" t="inlineStr">
        <is>
          <t>네이버 배너(대행사)</t>
        </is>
      </c>
      <c r="E4585" s="20" t="inlineStr">
        <is>
          <t>고체향수</t>
        </is>
      </c>
      <c r="K4585" s="20">
        <f>723274/1.1</f>
        <v/>
      </c>
    </row>
    <row r="4586" ht="16.5" customHeight="1" s="17">
      <c r="A4586" s="20" t="inlineStr">
        <is>
          <t>고체향수_승무원 어피_Npay 추적</t>
        </is>
      </c>
      <c r="B4586" s="16" t="n">
        <v>44264</v>
      </c>
      <c r="C4586" s="20" t="inlineStr">
        <is>
          <t>화</t>
        </is>
      </c>
      <c r="D4586" s="20">
        <f>VLOOKUP($A4586,매칭테이블!$B$548:$D$1048576,2,0)</f>
        <v/>
      </c>
      <c r="E4586" s="20" t="inlineStr">
        <is>
          <t>고체향수</t>
        </is>
      </c>
      <c r="K4586" s="20">
        <f>120703/1.1</f>
        <v/>
      </c>
    </row>
    <row r="4587" ht="16.5" customHeight="1" s="17">
      <c r="A4587" s="20" t="inlineStr">
        <is>
          <t>고체향수_Npay 추적</t>
        </is>
      </c>
      <c r="B4587" s="16" t="n">
        <v>44264</v>
      </c>
      <c r="C4587" s="20" t="inlineStr">
        <is>
          <t>화</t>
        </is>
      </c>
      <c r="D4587" s="20">
        <f>VLOOKUP($A4587,매칭테이블!$B$548:$D$1048576,2,0)</f>
        <v/>
      </c>
      <c r="E4587" s="20" t="inlineStr">
        <is>
          <t>고체향수</t>
        </is>
      </c>
      <c r="K4587" s="20">
        <f>866272/1.1</f>
        <v/>
      </c>
    </row>
    <row r="4588" ht="16.5" customHeight="1" s="17">
      <c r="A4588" s="20" t="inlineStr">
        <is>
          <t>고체향수_승무원 어피_Npay 추적</t>
        </is>
      </c>
      <c r="B4588" s="16" t="n">
        <v>44264</v>
      </c>
      <c r="C4588" s="20" t="inlineStr">
        <is>
          <t>화</t>
        </is>
      </c>
      <c r="D4588" s="20" t="inlineStr">
        <is>
          <t>카카오 배너</t>
        </is>
      </c>
      <c r="E4588" s="20" t="inlineStr">
        <is>
          <t>고체향수</t>
        </is>
      </c>
      <c r="K4588" s="20" t="n">
        <v>0</v>
      </c>
    </row>
    <row r="4589" ht="16.5" customHeight="1" s="17">
      <c r="A4589" s="20" t="inlineStr">
        <is>
          <t>고체향수_Npay 추적</t>
        </is>
      </c>
      <c r="B4589" s="16" t="n">
        <v>44264</v>
      </c>
      <c r="C4589" s="20" t="inlineStr">
        <is>
          <t>화</t>
        </is>
      </c>
      <c r="D4589" s="20" t="inlineStr">
        <is>
          <t>카카오 배너</t>
        </is>
      </c>
      <c r="E4589" s="20" t="inlineStr">
        <is>
          <t>고체향수</t>
        </is>
      </c>
      <c r="K4589" s="20" t="n">
        <v>0</v>
      </c>
    </row>
    <row r="4590" ht="16.5" customHeight="1" s="17">
      <c r="A4590" s="20" t="inlineStr">
        <is>
          <t>[성민 TEST]선물세트_이미지</t>
        </is>
      </c>
      <c r="B4590" s="16" t="n">
        <v>44265</v>
      </c>
      <c r="C4590" s="20" t="inlineStr">
        <is>
          <t>수</t>
        </is>
      </c>
      <c r="D4590" s="20">
        <f>VLOOKUP($A4590,매칭테이블!$B$548:$D$1048576,2,0)</f>
        <v/>
      </c>
      <c r="E4590" s="20" t="inlineStr">
        <is>
          <t>고체향수</t>
        </is>
      </c>
      <c r="K4590" s="20" t="n">
        <v>18325</v>
      </c>
    </row>
    <row r="4591" ht="16.5" customHeight="1" s="17">
      <c r="A4591" s="20" t="inlineStr">
        <is>
          <t>[유튜버 수지큐]스테이포에버_영상</t>
        </is>
      </c>
      <c r="B4591" s="16" t="n">
        <v>44265</v>
      </c>
      <c r="C4591" s="20" t="inlineStr">
        <is>
          <t>수</t>
        </is>
      </c>
      <c r="D4591" s="20" t="inlineStr">
        <is>
          <t>페이스북/인스타그램</t>
        </is>
      </c>
      <c r="E4591" s="20" t="inlineStr">
        <is>
          <t>고체향수</t>
        </is>
      </c>
      <c r="K4591" s="20" t="n">
        <v>98897</v>
      </c>
    </row>
    <row r="4592" ht="16.5" customHeight="1" s="17">
      <c r="A4592" s="20" t="inlineStr">
        <is>
          <t>[승무원]수지큐2차활용_스테이포에버_이미지</t>
        </is>
      </c>
      <c r="B4592" s="16" t="n">
        <v>44265</v>
      </c>
      <c r="C4592" s="20" t="inlineStr">
        <is>
          <t>수</t>
        </is>
      </c>
      <c r="D4592" s="20" t="inlineStr">
        <is>
          <t>페이스북/인스타그램</t>
        </is>
      </c>
      <c r="E4592" s="20" t="inlineStr">
        <is>
          <t>고체향수</t>
        </is>
      </c>
      <c r="K4592" s="20" t="n">
        <v>48834</v>
      </c>
    </row>
    <row r="4593" ht="16.5" customHeight="1" s="17">
      <c r="A4593" s="20" t="inlineStr">
        <is>
          <t>[다현 TEST] 스테이포에버_유즈모먼트</t>
        </is>
      </c>
      <c r="B4593" s="16" t="n">
        <v>44265</v>
      </c>
      <c r="C4593" s="20" t="inlineStr">
        <is>
          <t>수</t>
        </is>
      </c>
      <c r="D4593" s="20" t="inlineStr">
        <is>
          <t>페이스북/인스타그램</t>
        </is>
      </c>
      <c r="E4593" s="20" t="inlineStr">
        <is>
          <t>고체향수</t>
        </is>
      </c>
      <c r="K4593" s="20" t="n">
        <v>59122</v>
      </c>
    </row>
    <row r="4594" ht="16.5" customHeight="1" s="17">
      <c r="A4594" s="20" t="inlineStr">
        <is>
          <t>[성민 TEST] 스테이포에버_이미지</t>
        </is>
      </c>
      <c r="B4594" s="16" t="n">
        <v>44265</v>
      </c>
      <c r="C4594" s="20" t="inlineStr">
        <is>
          <t>수</t>
        </is>
      </c>
      <c r="D4594" s="20" t="inlineStr">
        <is>
          <t>페이스북/인스타그램</t>
        </is>
      </c>
      <c r="E4594" s="20" t="inlineStr">
        <is>
          <t>고체향수</t>
        </is>
      </c>
      <c r="K4594" s="20" t="n">
        <v>29275</v>
      </c>
    </row>
    <row r="4595" ht="16.5" customHeight="1" s="17">
      <c r="A4595" s="20" t="inlineStr">
        <is>
          <t>[승은 TEST] 스테이포에버_카드뉴스</t>
        </is>
      </c>
      <c r="B4595" s="16" t="n">
        <v>44265</v>
      </c>
      <c r="C4595" s="20" t="inlineStr">
        <is>
          <t>수</t>
        </is>
      </c>
      <c r="D4595" s="20" t="inlineStr">
        <is>
          <t>페이스북/인스타그램</t>
        </is>
      </c>
      <c r="E4595" s="20" t="inlineStr">
        <is>
          <t>고체향수</t>
        </is>
      </c>
      <c r="K4595" s="20" t="n">
        <v>60592</v>
      </c>
    </row>
    <row r="4596" ht="16.5" customHeight="1" s="17">
      <c r="A4596" s="20" t="inlineStr">
        <is>
          <t>[승무원 2] 스테이포에버_카드뉴스</t>
        </is>
      </c>
      <c r="B4596" s="16" t="n">
        <v>44265</v>
      </c>
      <c r="C4596" s="20" t="inlineStr">
        <is>
          <t>수</t>
        </is>
      </c>
      <c r="D4596" s="20" t="inlineStr">
        <is>
          <t>페이스북/인스타그램</t>
        </is>
      </c>
      <c r="E4596" s="20" t="inlineStr">
        <is>
          <t>고체향수</t>
        </is>
      </c>
      <c r="K4596" s="20" t="n">
        <v>198235</v>
      </c>
    </row>
    <row r="4597" ht="16.5" customHeight="1" s="17">
      <c r="A4597" s="20" t="inlineStr">
        <is>
          <t>[테스트]아줌마</t>
        </is>
      </c>
      <c r="B4597" s="16" t="n">
        <v>44265</v>
      </c>
      <c r="C4597" s="20" t="inlineStr">
        <is>
          <t>수</t>
        </is>
      </c>
      <c r="D4597" s="20" t="inlineStr">
        <is>
          <t>페이스북/인스타그램</t>
        </is>
      </c>
      <c r="E4597" s="20" t="inlineStr">
        <is>
          <t>고체향수</t>
        </is>
      </c>
      <c r="K4597" s="20" t="n">
        <v>153652</v>
      </c>
    </row>
    <row r="4598" ht="16.5" customHeight="1" s="17">
      <c r="A4598" s="20" t="inlineStr">
        <is>
          <t>[키워드 확장 테스트]스테이포에버_이미지</t>
        </is>
      </c>
      <c r="B4598" s="16" t="n">
        <v>44265</v>
      </c>
      <c r="C4598" s="20" t="inlineStr">
        <is>
          <t>수</t>
        </is>
      </c>
      <c r="D4598" s="20" t="inlineStr">
        <is>
          <t>페이스북/인스타그램</t>
        </is>
      </c>
      <c r="E4598" s="20" t="inlineStr">
        <is>
          <t>고체향수</t>
        </is>
      </c>
      <c r="K4598" s="20" t="n">
        <v>179064</v>
      </c>
    </row>
    <row r="4599" ht="16.5" customHeight="1" s="17">
      <c r="A4599" s="20" t="inlineStr">
        <is>
          <t>[재입고]스테이포에버_이미지</t>
        </is>
      </c>
      <c r="B4599" s="16" t="n">
        <v>44265</v>
      </c>
      <c r="C4599" s="20" t="inlineStr">
        <is>
          <t>수</t>
        </is>
      </c>
      <c r="D4599" s="20" t="inlineStr">
        <is>
          <t>페이스북/인스타그램</t>
        </is>
      </c>
      <c r="E4599" s="20" t="inlineStr">
        <is>
          <t>고체향수</t>
        </is>
      </c>
      <c r="K4599" s="20" t="n">
        <v>194974</v>
      </c>
    </row>
    <row r="4600" ht="16.5" customHeight="1" s="17">
      <c r="A4600" s="20" t="inlineStr">
        <is>
          <t>[승무원]숏폼_영상</t>
        </is>
      </c>
      <c r="B4600" s="16" t="n">
        <v>44265</v>
      </c>
      <c r="C4600" s="20" t="inlineStr">
        <is>
          <t>수</t>
        </is>
      </c>
      <c r="D4600" s="20" t="inlineStr">
        <is>
          <t>페이스북/인스타그램</t>
        </is>
      </c>
      <c r="E4600" s="20" t="inlineStr">
        <is>
          <t>고체향수</t>
        </is>
      </c>
      <c r="K4600" s="20" t="n">
        <v>100115</v>
      </c>
    </row>
    <row r="4601" ht="16.5" customHeight="1" s="17">
      <c r="A4601" s="20" t="inlineStr">
        <is>
          <t>[재입고]스테이포에버_영상</t>
        </is>
      </c>
      <c r="B4601" s="16" t="n">
        <v>44265</v>
      </c>
      <c r="C4601" s="20" t="inlineStr">
        <is>
          <t>수</t>
        </is>
      </c>
      <c r="D4601" s="20" t="inlineStr">
        <is>
          <t>페이스북/인스타그램</t>
        </is>
      </c>
      <c r="E4601" s="20" t="inlineStr">
        <is>
          <t>고체향수</t>
        </is>
      </c>
      <c r="K4601" s="20" t="n">
        <v>197334</v>
      </c>
    </row>
    <row r="4602" ht="16.5" customHeight="1" s="17">
      <c r="A4602" s="20" t="inlineStr">
        <is>
          <t>[젊줌마]스테이포에버_영상</t>
        </is>
      </c>
      <c r="B4602" s="16" t="n">
        <v>44265</v>
      </c>
      <c r="C4602" s="20" t="inlineStr">
        <is>
          <t>수</t>
        </is>
      </c>
      <c r="D4602" s="20" t="inlineStr">
        <is>
          <t>페이스북/인스타그램</t>
        </is>
      </c>
      <c r="E4602" s="20" t="inlineStr">
        <is>
          <t>고체향수</t>
        </is>
      </c>
      <c r="K4602" s="20" t="n">
        <v>100020</v>
      </c>
    </row>
    <row r="4603" ht="16.5" customHeight="1" s="17">
      <c r="A4603" s="20" t="inlineStr">
        <is>
          <t>[이성소구]스테이포에버_영상</t>
        </is>
      </c>
      <c r="B4603" s="16" t="n">
        <v>44265</v>
      </c>
      <c r="C4603" s="20" t="inlineStr">
        <is>
          <t>수</t>
        </is>
      </c>
      <c r="D4603" s="20" t="inlineStr">
        <is>
          <t>페이스북/인스타그램</t>
        </is>
      </c>
      <c r="E4603" s="20" t="inlineStr">
        <is>
          <t>고체향수</t>
        </is>
      </c>
      <c r="K4603" s="20" t="n">
        <v>42120</v>
      </c>
    </row>
    <row r="4604" ht="16.5" customHeight="1" s="17">
      <c r="A4604" s="20" t="inlineStr">
        <is>
          <t>[승무원]2019년썰 카드뉴스+ 향묘사_영상</t>
        </is>
      </c>
      <c r="B4604" s="16" t="n">
        <v>44265</v>
      </c>
      <c r="C4604" s="20" t="inlineStr">
        <is>
          <t>수</t>
        </is>
      </c>
      <c r="D4604" s="20" t="inlineStr">
        <is>
          <t>페이스북/인스타그램</t>
        </is>
      </c>
      <c r="E4604" s="20" t="inlineStr">
        <is>
          <t>고체향수</t>
        </is>
      </c>
      <c r="K4604" s="20" t="n">
        <v>70737</v>
      </c>
    </row>
    <row r="4605" ht="16.5" customHeight="1" s="17">
      <c r="A4605" s="20" t="inlineStr">
        <is>
          <t>[승무원어피]스테이포에버_이미지</t>
        </is>
      </c>
      <c r="B4605" s="16" t="n">
        <v>44265</v>
      </c>
      <c r="C4605" s="20" t="inlineStr">
        <is>
          <t>수</t>
        </is>
      </c>
      <c r="D4605" s="20" t="inlineStr">
        <is>
          <t>페이스북/인스타그램</t>
        </is>
      </c>
      <c r="E4605" s="20" t="inlineStr">
        <is>
          <t>고체향수</t>
        </is>
      </c>
      <c r="K4605" s="20" t="n">
        <v>143787</v>
      </c>
    </row>
    <row r="4606" ht="16.5" customHeight="1" s="17">
      <c r="A4606" s="20" t="inlineStr">
        <is>
          <t>[다현]스테이포에버_이미지</t>
        </is>
      </c>
      <c r="B4606" s="16" t="n">
        <v>44265</v>
      </c>
      <c r="C4606" s="20" t="inlineStr">
        <is>
          <t>수</t>
        </is>
      </c>
      <c r="D4606" s="20" t="inlineStr">
        <is>
          <t>페이스북/인스타그램</t>
        </is>
      </c>
      <c r="E4606" s="20" t="inlineStr">
        <is>
          <t>고체향수</t>
        </is>
      </c>
      <c r="K4606" s="20" t="n">
        <v>297066</v>
      </c>
    </row>
    <row r="4607" ht="16.5" customHeight="1" s="17">
      <c r="A4607" s="20" t="inlineStr">
        <is>
          <t>[승무원]스테이포에버_카드뉴스</t>
        </is>
      </c>
      <c r="B4607" s="16" t="n">
        <v>44265</v>
      </c>
      <c r="C4607" s="20" t="inlineStr">
        <is>
          <t>수</t>
        </is>
      </c>
      <c r="D4607" s="20" t="inlineStr">
        <is>
          <t>페이스북/인스타그램</t>
        </is>
      </c>
      <c r="E4607" s="20" t="inlineStr">
        <is>
          <t>고체향수</t>
        </is>
      </c>
      <c r="K4607" s="20" t="n">
        <v>198292</v>
      </c>
    </row>
    <row r="4608" ht="16.5" customHeight="1" s="17">
      <c r="A4608" s="20" t="inlineStr">
        <is>
          <t>[후기타입]스테이포에버_영상</t>
        </is>
      </c>
      <c r="B4608" s="16" t="n">
        <v>44265</v>
      </c>
      <c r="C4608" s="20" t="inlineStr">
        <is>
          <t>수</t>
        </is>
      </c>
      <c r="D4608" s="20" t="inlineStr">
        <is>
          <t>페이스북/인스타그램</t>
        </is>
      </c>
      <c r="E4608" s="20" t="inlineStr">
        <is>
          <t>고체향수</t>
        </is>
      </c>
      <c r="K4608" s="20" t="n">
        <v>150554</v>
      </c>
    </row>
    <row r="4609" ht="16.5" customHeight="1" s="17">
      <c r="A4609" s="20" t="inlineStr">
        <is>
          <t>전환_스테이포에버</t>
        </is>
      </c>
      <c r="B4609" s="16" t="n">
        <v>44265</v>
      </c>
      <c r="C4609" s="20" t="inlineStr">
        <is>
          <t>수</t>
        </is>
      </c>
      <c r="D4609" s="20" t="inlineStr">
        <is>
          <t>페이스북/인스타그램</t>
        </is>
      </c>
      <c r="E4609" s="20" t="inlineStr">
        <is>
          <t>고체향수</t>
        </is>
      </c>
      <c r="K4609" s="20" t="n">
        <v>147495</v>
      </c>
    </row>
    <row r="4610" ht="16.5" customHeight="1" s="17">
      <c r="A4610" s="20" t="inlineStr">
        <is>
          <t>[권태기커플]스테이포에버_영상</t>
        </is>
      </c>
      <c r="B4610" s="16" t="n">
        <v>44265</v>
      </c>
      <c r="C4610" s="20" t="inlineStr">
        <is>
          <t>수</t>
        </is>
      </c>
      <c r="D4610" s="20" t="inlineStr">
        <is>
          <t>페이스북/인스타그램</t>
        </is>
      </c>
      <c r="E4610" s="20" t="inlineStr">
        <is>
          <t>고체향수</t>
        </is>
      </c>
      <c r="K4610" s="20" t="n">
        <v>150875</v>
      </c>
    </row>
    <row r="4611" ht="16.5" customHeight="1" s="17">
      <c r="A4611" s="20" t="inlineStr">
        <is>
          <t>동영상캠페인_승무원_2019년썰(cpa)</t>
        </is>
      </c>
      <c r="B4611" s="16" t="n">
        <v>44265</v>
      </c>
      <c r="C4611" s="20" t="inlineStr">
        <is>
          <t>수</t>
        </is>
      </c>
      <c r="D4611" s="20" t="inlineStr">
        <is>
          <t>유튜브 광고</t>
        </is>
      </c>
      <c r="E4611" s="20" t="inlineStr">
        <is>
          <t>고체향수</t>
        </is>
      </c>
      <c r="K4611" s="20" t="n">
        <v>6500</v>
      </c>
    </row>
    <row r="4612" ht="16.5" customHeight="1" s="17">
      <c r="A4612" s="20" t="inlineStr">
        <is>
          <t>웹사이트 트래픽 서치</t>
        </is>
      </c>
      <c r="B4612" s="16" t="n">
        <v>44265</v>
      </c>
      <c r="C4612" s="20" t="inlineStr">
        <is>
          <t>수</t>
        </is>
      </c>
      <c r="D4612" s="20" t="inlineStr">
        <is>
          <t>유튜브 광고</t>
        </is>
      </c>
      <c r="E4612" s="20" t="inlineStr">
        <is>
          <t>고체향수</t>
        </is>
      </c>
      <c r="K4612" s="20" t="n">
        <v>42216</v>
      </c>
    </row>
    <row r="4613" ht="16.5" customHeight="1" s="17">
      <c r="A4613" s="20" t="inlineStr">
        <is>
          <t>동영상캠페인_승무원_보이는 라디오(cpa)</t>
        </is>
      </c>
      <c r="B4613" s="16" t="n">
        <v>44265</v>
      </c>
      <c r="C4613" s="20" t="inlineStr">
        <is>
          <t>수</t>
        </is>
      </c>
      <c r="D4613" s="20" t="inlineStr">
        <is>
          <t>유튜브 광고</t>
        </is>
      </c>
      <c r="E4613" s="20" t="inlineStr">
        <is>
          <t>고체향수</t>
        </is>
      </c>
      <c r="K4613" s="20" t="n">
        <v>296590</v>
      </c>
    </row>
    <row r="4614" ht="16.5" customHeight="1" s="17">
      <c r="A4614" s="20" t="inlineStr">
        <is>
          <t>디스커버리 배너_승무원,할인_리마케팅</t>
        </is>
      </c>
      <c r="B4614" s="16" t="n">
        <v>44265</v>
      </c>
      <c r="C4614" s="20" t="inlineStr">
        <is>
          <t>수</t>
        </is>
      </c>
      <c r="D4614" s="20" t="inlineStr">
        <is>
          <t>유튜브 광고</t>
        </is>
      </c>
      <c r="E4614" s="20" t="inlineStr">
        <is>
          <t>고체향수</t>
        </is>
      </c>
      <c r="K4614" s="20" t="n">
        <v>463847</v>
      </c>
    </row>
    <row r="4615" ht="16.5" customHeight="1" s="17">
      <c r="A4615" s="20" t="inlineStr">
        <is>
          <t>동영상캠페인_승무원_써니스카이</t>
        </is>
      </c>
      <c r="B4615" s="16" t="n">
        <v>44265</v>
      </c>
      <c r="C4615" s="20" t="inlineStr">
        <is>
          <t>수</t>
        </is>
      </c>
      <c r="D4615" s="20" t="inlineStr">
        <is>
          <t>유튜브 광고</t>
        </is>
      </c>
      <c r="E4615" s="20" t="inlineStr">
        <is>
          <t>고체향수</t>
        </is>
      </c>
      <c r="K4615" s="20" t="n">
        <v>306111</v>
      </c>
    </row>
    <row r="4616" ht="16.5" customHeight="1" s="17">
      <c r="A4616" s="20" t="inlineStr">
        <is>
          <t>동영상캠페인_필라테스_자기관리(타겟 cpa)</t>
        </is>
      </c>
      <c r="B4616" s="16" t="n">
        <v>44265</v>
      </c>
      <c r="C4616" s="20" t="inlineStr">
        <is>
          <t>수</t>
        </is>
      </c>
      <c r="D4616" s="20" t="inlineStr">
        <is>
          <t>유튜브 광고</t>
        </is>
      </c>
      <c r="E4616" s="20" t="inlineStr">
        <is>
          <t>고체향수</t>
        </is>
      </c>
      <c r="K4616" s="20" t="n">
        <v>37148</v>
      </c>
    </row>
    <row r="4617" ht="16.5" customHeight="1" s="17">
      <c r="A4617" s="20" t="inlineStr">
        <is>
          <t>동영상캠페인_승무원_비누향 나는 승무원에게(cpa)</t>
        </is>
      </c>
      <c r="B4617" s="16" t="n">
        <v>44265</v>
      </c>
      <c r="C4617" s="20" t="inlineStr">
        <is>
          <t>수</t>
        </is>
      </c>
      <c r="D4617" s="20" t="inlineStr">
        <is>
          <t>유튜브 광고</t>
        </is>
      </c>
      <c r="E4617" s="20" t="inlineStr">
        <is>
          <t>고체향수</t>
        </is>
      </c>
      <c r="K4617" s="20" t="n">
        <v>129891</v>
      </c>
    </row>
    <row r="4618" ht="16.5" customHeight="1" s="17">
      <c r="A4618" s="20" t="inlineStr">
        <is>
          <t>동영상캠페인_유즈모먼트_2차_30대 여성 회사원(cpa)</t>
        </is>
      </c>
      <c r="B4618" s="16" t="n">
        <v>44265</v>
      </c>
      <c r="C4618" s="20" t="inlineStr">
        <is>
          <t>수</t>
        </is>
      </c>
      <c r="D4618" s="20" t="inlineStr">
        <is>
          <t>유튜브 광고</t>
        </is>
      </c>
      <c r="E4618" s="20" t="inlineStr">
        <is>
          <t>고체향수</t>
        </is>
      </c>
      <c r="K4618" s="20" t="n">
        <v>97350</v>
      </c>
    </row>
    <row r="4619" ht="16.5" customHeight="1" s="17">
      <c r="A4619" s="20" t="inlineStr">
        <is>
          <t>동영상캠페인_유즈모먼트_조향사 친구(cpa)</t>
        </is>
      </c>
      <c r="B4619" s="16" t="n">
        <v>44265</v>
      </c>
      <c r="C4619" s="20" t="inlineStr">
        <is>
          <t>수</t>
        </is>
      </c>
      <c r="D4619" s="20" t="inlineStr">
        <is>
          <t>유튜브 광고</t>
        </is>
      </c>
      <c r="E4619" s="20" t="inlineStr">
        <is>
          <t>고체향수</t>
        </is>
      </c>
      <c r="K4619" s="20" t="n">
        <v>98708</v>
      </c>
    </row>
    <row r="4620" ht="16.5" customHeight="1" s="17">
      <c r="A4620" s="20" t="inlineStr">
        <is>
          <t>동영상캠페인_유즈모먼트_사춘기 딸 2차</t>
        </is>
      </c>
      <c r="B4620" s="16" t="n">
        <v>44265</v>
      </c>
      <c r="C4620" s="20" t="inlineStr">
        <is>
          <t>수</t>
        </is>
      </c>
      <c r="D4620" s="20" t="inlineStr">
        <is>
          <t>유튜브 광고</t>
        </is>
      </c>
      <c r="E4620" s="20" t="inlineStr">
        <is>
          <t>고체향수</t>
        </is>
      </c>
      <c r="K4620" s="20" t="n">
        <v>102015</v>
      </c>
    </row>
    <row r="4621" ht="16.5" customHeight="1" s="17">
      <c r="A4621" s="20" t="inlineStr">
        <is>
          <t>동영상 캠페인_유튜버 수지큐 2차활용</t>
        </is>
      </c>
      <c r="B4621" s="16" t="n">
        <v>44265</v>
      </c>
      <c r="C4621" s="20" t="inlineStr">
        <is>
          <t>수</t>
        </is>
      </c>
      <c r="D4621" s="20" t="inlineStr">
        <is>
          <t>유튜브 광고</t>
        </is>
      </c>
      <c r="E4621" s="20" t="inlineStr">
        <is>
          <t>고체향수</t>
        </is>
      </c>
      <c r="K4621" s="20" t="n">
        <v>101823</v>
      </c>
    </row>
    <row r="4622" ht="16.5" customHeight="1" s="17">
      <c r="A4622" s="20" t="inlineStr">
        <is>
          <t>쇼핑검색_고체향수</t>
        </is>
      </c>
      <c r="B4622" s="16" t="n">
        <v>44265</v>
      </c>
      <c r="C4622" s="20" t="inlineStr">
        <is>
          <t>수</t>
        </is>
      </c>
      <c r="D4622" s="20" t="inlineStr">
        <is>
          <t>네이버 쇼핑검색</t>
        </is>
      </c>
      <c r="E4622" s="20" t="inlineStr">
        <is>
          <t>고체향수</t>
        </is>
      </c>
      <c r="K4622" s="20" t="n">
        <v>1270</v>
      </c>
    </row>
    <row r="4623" ht="16.5" customHeight="1" s="17">
      <c r="A4623" s="20" t="inlineStr">
        <is>
          <t>쇼핑검색_고체향수세부키워드</t>
        </is>
      </c>
      <c r="B4623" s="16" t="n">
        <v>44265</v>
      </c>
      <c r="C4623" s="20" t="inlineStr">
        <is>
          <t>수</t>
        </is>
      </c>
      <c r="D4623" s="20" t="inlineStr">
        <is>
          <t>네이버 쇼핑검색</t>
        </is>
      </c>
      <c r="E4623" s="20" t="inlineStr">
        <is>
          <t>고체향수</t>
        </is>
      </c>
      <c r="K4623" s="20" t="n">
        <v>109490</v>
      </c>
    </row>
    <row r="4624" ht="16.5" customHeight="1" s="17">
      <c r="A4624" s="20" t="inlineStr">
        <is>
          <t>쇼핑검색_고체향수세부키워드2</t>
        </is>
      </c>
      <c r="B4624" s="16" t="n">
        <v>44265</v>
      </c>
      <c r="C4624" s="20" t="inlineStr">
        <is>
          <t>수</t>
        </is>
      </c>
      <c r="D4624" s="20" t="inlineStr">
        <is>
          <t>네이버 쇼핑검색</t>
        </is>
      </c>
      <c r="E4624" s="20" t="inlineStr">
        <is>
          <t>고체향수</t>
        </is>
      </c>
      <c r="K4624" s="20" t="n">
        <v>2540</v>
      </c>
    </row>
    <row r="4625" ht="16.5" customHeight="1" s="17">
      <c r="A4625" s="20" t="inlineStr">
        <is>
          <t>모바일 브검</t>
        </is>
      </c>
      <c r="B4625" s="16" t="n">
        <v>44265</v>
      </c>
      <c r="C4625" s="20" t="inlineStr">
        <is>
          <t>수</t>
        </is>
      </c>
      <c r="D4625" s="20" t="inlineStr">
        <is>
          <t>네이버 브랜드검색</t>
        </is>
      </c>
      <c r="E4625" s="20" t="inlineStr">
        <is>
          <t>브랜드</t>
        </is>
      </c>
      <c r="K4625" s="20" t="n">
        <v>140000</v>
      </c>
    </row>
    <row r="4626" ht="16.5" customHeight="1" s="17">
      <c r="B4626" s="16" t="n">
        <v>44265</v>
      </c>
      <c r="C4626" s="20" t="inlineStr">
        <is>
          <t>수</t>
        </is>
      </c>
      <c r="E4626" s="20" t="inlineStr">
        <is>
          <t>고체향수</t>
        </is>
      </c>
      <c r="F4626" s="20" t="inlineStr">
        <is>
          <t>W컨셉</t>
        </is>
      </c>
      <c r="G4626" s="20" t="inlineStr">
        <is>
          <t>솔리드퍼퓸 이그나이트/스테이포에버 30ml (2종 택1)&lt;옵션1&gt;002 STAY FOREVER</t>
        </is>
      </c>
      <c r="H4626" s="20" t="n">
        <v>7</v>
      </c>
      <c r="I4626" s="20" t="inlineStr">
        <is>
          <t>스테이포에버</t>
        </is>
      </c>
      <c r="J4626" s="20" t="inlineStr">
        <is>
          <t>210207</t>
        </is>
      </c>
      <c r="L4626" s="20" t="n">
        <v>238000</v>
      </c>
      <c r="M4626" s="20" t="n">
        <v>166600</v>
      </c>
      <c r="N4626" s="20" t="n">
        <v>18144</v>
      </c>
      <c r="O4626" s="20" t="inlineStr">
        <is>
          <t>W컨셉고체향수솔리드퍼퓸 이그나이트/스테이포에버 30ml (2종 택1)&lt;옵션1&gt;002 STAY FOREVER210207</t>
        </is>
      </c>
    </row>
    <row r="4627" ht="16.5" customHeight="1" s="17">
      <c r="B4627" s="16" t="n">
        <v>44265</v>
      </c>
      <c r="C4627" s="20" t="inlineStr">
        <is>
          <t>수</t>
        </is>
      </c>
      <c r="E4627" s="20" t="inlineStr">
        <is>
          <t>고체향수</t>
        </is>
      </c>
      <c r="F4627" s="20" t="inlineStr">
        <is>
          <t>W컨셉</t>
        </is>
      </c>
      <c r="G4627" s="20" t="inlineStr">
        <is>
          <t>솔리드퍼퓸 이그나이트/스테이포에버 30ml (2종 택1)&lt;옵션1&gt;IGNITE + STAY FOREVER</t>
        </is>
      </c>
      <c r="H4627" s="20" t="n">
        <v>1</v>
      </c>
      <c r="I4627" s="20" t="inlineStr">
        <is>
          <t>이그나이트 + 스테이포에버</t>
        </is>
      </c>
      <c r="J4627" s="20" t="inlineStr">
        <is>
          <t>210207</t>
        </is>
      </c>
      <c r="L4627" s="20" t="n">
        <v>58800</v>
      </c>
      <c r="M4627" s="20" t="n">
        <v>47040</v>
      </c>
      <c r="N4627" s="20" t="n">
        <v>5345</v>
      </c>
      <c r="O4627" s="20" t="inlineStr">
        <is>
          <t>W컨셉고체향수솔리드퍼퓸 이그나이트/스테이포에버 30ml (2종 택1)&lt;옵션1&gt;IGNITE + STAY FOREVER210207</t>
        </is>
      </c>
    </row>
    <row r="4628" ht="16.5" customHeight="1" s="17">
      <c r="B4628" s="16" t="n">
        <v>44265</v>
      </c>
      <c r="C4628" s="20" t="inlineStr">
        <is>
          <t>수</t>
        </is>
      </c>
      <c r="E4628" s="20" t="inlineStr">
        <is>
          <t>고체향수</t>
        </is>
      </c>
      <c r="F4628" s="20" t="inlineStr">
        <is>
          <t>스마트스토어</t>
        </is>
      </c>
      <c r="G4628" s="20" t="inlineStr">
        <is>
          <t>유즈 고체향수 세트(유즈 스테이포에버, 유즈 이그나이트)고체향수: 스테이포에버 1개</t>
        </is>
      </c>
      <c r="H4628" s="20" t="n">
        <v>1</v>
      </c>
      <c r="I4628" s="20" t="inlineStr">
        <is>
          <t>스테이포에버</t>
        </is>
      </c>
      <c r="J4628" s="20" t="inlineStr">
        <is>
          <t>210207</t>
        </is>
      </c>
      <c r="L4628" s="20" t="n">
        <v>34000</v>
      </c>
      <c r="M4628" s="20" t="n">
        <v>33320</v>
      </c>
      <c r="N4628" s="20" t="n">
        <v>2592</v>
      </c>
      <c r="O4628" s="20" t="inlineStr">
        <is>
          <t>스마트스토어고체향수유즈 고체향수 세트(유즈 스테이포에버, 유즈 이그나이트)고체향수: 스테이포에버 1개210207</t>
        </is>
      </c>
    </row>
    <row r="4629" ht="16.5" customHeight="1" s="17">
      <c r="B4629" s="16" t="n">
        <v>44265</v>
      </c>
      <c r="C4629" s="20" t="inlineStr">
        <is>
          <t>수</t>
        </is>
      </c>
      <c r="E4629" s="20" t="inlineStr">
        <is>
          <t>고체향수</t>
        </is>
      </c>
      <c r="F4629" s="20" t="inlineStr">
        <is>
          <t>스마트스토어</t>
        </is>
      </c>
      <c r="G4629" s="20" t="inlineStr">
        <is>
          <t>유즈 고체향수 세트(유즈 스테이포에버, 유즈 이그나이트)고체향수: 스테이포에버 1개 + 이그나이트 1개</t>
        </is>
      </c>
      <c r="H4629" s="20" t="n">
        <v>1</v>
      </c>
      <c r="I4629" s="20" t="inlineStr">
        <is>
          <t>이그나이트 + 스테이포에버</t>
        </is>
      </c>
      <c r="J4629" s="20" t="inlineStr">
        <is>
          <t>210207</t>
        </is>
      </c>
      <c r="L4629" s="20" t="n">
        <v>58800</v>
      </c>
      <c r="M4629" s="20" t="n">
        <v>55360.2</v>
      </c>
      <c r="N4629" s="20" t="n">
        <v>5345</v>
      </c>
      <c r="O4629" s="20" t="inlineStr">
        <is>
          <t>스마트스토어고체향수유즈 고체향수 세트(유즈 스테이포에버, 유즈 이그나이트)고체향수: 스테이포에버 1개 + 이그나이트 1개210207</t>
        </is>
      </c>
    </row>
    <row r="4630" ht="16.5" customHeight="1" s="17">
      <c r="B4630" s="16" t="n">
        <v>44265</v>
      </c>
      <c r="C4630" s="20" t="inlineStr">
        <is>
          <t>수</t>
        </is>
      </c>
      <c r="E4630" s="20" t="inlineStr">
        <is>
          <t>고체향수</t>
        </is>
      </c>
      <c r="F4630" s="20" t="inlineStr">
        <is>
          <t>스마트스토어</t>
        </is>
      </c>
      <c r="G4630" s="20" t="inlineStr">
        <is>
          <t>유즈 고체향수 세트(유즈 스테이포에버, 유즈 이그나이트)고체향수: 스테이포에버 2개</t>
        </is>
      </c>
      <c r="H4630" s="20" t="n">
        <v>3</v>
      </c>
      <c r="I4630" s="20" t="inlineStr">
        <is>
          <t>스테이포에버 2set</t>
        </is>
      </c>
      <c r="J4630" s="20" t="inlineStr">
        <is>
          <t>210207</t>
        </is>
      </c>
      <c r="L4630" s="20" t="n">
        <v>176400</v>
      </c>
      <c r="M4630" s="20" t="n">
        <v>172872</v>
      </c>
      <c r="N4630" s="20" t="n">
        <v>15552</v>
      </c>
      <c r="O4630" s="20" t="inlineStr">
        <is>
          <t>스마트스토어고체향수유즈 고체향수 세트(유즈 스테이포에버, 유즈 이그나이트)고체향수: 스테이포에버 2개210207</t>
        </is>
      </c>
    </row>
    <row r="4631" ht="16.5" customHeight="1" s="17">
      <c r="B4631" s="16" t="n">
        <v>44265</v>
      </c>
      <c r="C4631" s="20" t="inlineStr">
        <is>
          <t>수</t>
        </is>
      </c>
      <c r="E4631" s="20" t="inlineStr">
        <is>
          <t>고체향수</t>
        </is>
      </c>
      <c r="F4631" s="20" t="inlineStr">
        <is>
          <t>스마트스토어</t>
        </is>
      </c>
      <c r="G4631" s="20" t="inlineStr">
        <is>
          <t>유즈 고체향수 스테이포에버 002고체향수: 스테이포에버 1개</t>
        </is>
      </c>
      <c r="H4631" s="20" t="n">
        <v>17</v>
      </c>
      <c r="I4631" s="20" t="inlineStr">
        <is>
          <t>스테이포에버</t>
        </is>
      </c>
      <c r="J4631" s="20" t="inlineStr">
        <is>
          <t>210207</t>
        </is>
      </c>
      <c r="L4631" s="20" t="n">
        <v>578000</v>
      </c>
      <c r="M4631" s="20" t="n">
        <v>566440</v>
      </c>
      <c r="N4631" s="20" t="n">
        <v>44064</v>
      </c>
      <c r="O4631" s="20" t="inlineStr">
        <is>
          <t>스마트스토어고체향수유즈 고체향수 스테이포에버 002고체향수: 스테이포에버 1개210207</t>
        </is>
      </c>
    </row>
    <row r="4632" ht="16.5" customHeight="1" s="17">
      <c r="B4632" s="16" t="n">
        <v>44265</v>
      </c>
      <c r="C4632" s="20" t="inlineStr">
        <is>
          <t>수</t>
        </is>
      </c>
      <c r="E4632" s="20" t="inlineStr">
        <is>
          <t>고체향수</t>
        </is>
      </c>
      <c r="F4632" s="20" t="inlineStr">
        <is>
          <t>유즈 CS</t>
        </is>
      </c>
      <c r="G4632" s="20" t="inlineStr">
        <is>
          <t>솔리드퍼퓸 스테이포에버 002 30ml</t>
        </is>
      </c>
      <c r="H4632" s="20" t="n">
        <v>4</v>
      </c>
      <c r="I4632" s="20" t="inlineStr">
        <is>
          <t>스테이포에버</t>
        </is>
      </c>
      <c r="J4632" s="20" t="inlineStr">
        <is>
          <t>210207</t>
        </is>
      </c>
      <c r="L4632" s="20" t="n">
        <v>0</v>
      </c>
      <c r="M4632" s="20" t="n">
        <v>0</v>
      </c>
      <c r="N4632" s="20" t="n">
        <v>10368</v>
      </c>
      <c r="O4632" s="20" t="inlineStr">
        <is>
          <t>유즈 CS고체향수솔리드퍼퓸 스테이포에버 002 30ml210207</t>
        </is>
      </c>
    </row>
    <row r="4633" ht="16.5" customHeight="1" s="17">
      <c r="B4633" s="16" t="n">
        <v>44265</v>
      </c>
      <c r="C4633" s="20" t="inlineStr">
        <is>
          <t>수</t>
        </is>
      </c>
      <c r="E4633" s="20" t="inlineStr">
        <is>
          <t>고체향수</t>
        </is>
      </c>
      <c r="F4633" s="20" t="inlineStr">
        <is>
          <t>카페24</t>
        </is>
      </c>
      <c r="G4633" s="20" t="inlineStr">
        <is>
          <t>솔리드퍼퓸 세트향=이그나이트 001 SOLID PERFUME, 세트 선택=1개</t>
        </is>
      </c>
      <c r="H4633" s="20" t="n">
        <v>1</v>
      </c>
      <c r="I4633" s="20" t="inlineStr">
        <is>
          <t>이그나이트</t>
        </is>
      </c>
      <c r="J4633" s="20" t="inlineStr">
        <is>
          <t>210207</t>
        </is>
      </c>
      <c r="L4633" s="20" t="n">
        <v>34000</v>
      </c>
      <c r="M4633" s="20" t="n">
        <v>32011</v>
      </c>
      <c r="N4633" s="20" t="n">
        <v>2753</v>
      </c>
      <c r="O4633" s="20" t="inlineStr">
        <is>
          <t>카페24고체향수솔리드퍼퓸 세트향=이그나이트 001 SOLID PERFUME, 세트 선택=1개210207</t>
        </is>
      </c>
    </row>
    <row r="4634" ht="16.5" customHeight="1" s="17">
      <c r="B4634" s="16" t="n">
        <v>44265</v>
      </c>
      <c r="C4634" s="20" t="inlineStr">
        <is>
          <t>수</t>
        </is>
      </c>
      <c r="E4634" s="20" t="inlineStr">
        <is>
          <t>고체향수</t>
        </is>
      </c>
      <c r="F4634" s="20" t="inlineStr">
        <is>
          <t>카페24</t>
        </is>
      </c>
      <c r="G4634" s="20" t="inlineStr">
        <is>
          <t>솔리드퍼퓸 세트향=스테이포에버 002 SOLID PERFUME, 세트 선택=1개</t>
        </is>
      </c>
      <c r="H4634" s="20" t="n">
        <v>3</v>
      </c>
      <c r="I4634" s="20" t="inlineStr">
        <is>
          <t>스테이포에버</t>
        </is>
      </c>
      <c r="J4634" s="20" t="inlineStr">
        <is>
          <t>210207</t>
        </is>
      </c>
      <c r="L4634" s="20" t="n">
        <v>102000</v>
      </c>
      <c r="M4634" s="20" t="n">
        <v>96033</v>
      </c>
      <c r="N4634" s="20" t="n">
        <v>7776</v>
      </c>
      <c r="O4634" s="20" t="inlineStr">
        <is>
          <t>카페24고체향수솔리드퍼퓸 세트향=스테이포에버 002 SOLID PERFUME, 세트 선택=1개210207</t>
        </is>
      </c>
    </row>
    <row r="4635" ht="16.5" customHeight="1" s="17">
      <c r="B4635" s="16" t="n">
        <v>44265</v>
      </c>
      <c r="C4635" s="20" t="inlineStr">
        <is>
          <t>수</t>
        </is>
      </c>
      <c r="E4635" s="20" t="inlineStr">
        <is>
          <t>고체향수</t>
        </is>
      </c>
      <c r="F4635" s="20" t="inlineStr">
        <is>
          <t>카페24</t>
        </is>
      </c>
      <c r="G4635" s="20" t="inlineStr">
        <is>
          <t>솔리드퍼퓸 세트향=스테이포에버 002 SOLID PERFUME, 세트 선택=best 2개 (28% 할인)</t>
        </is>
      </c>
      <c r="H4635" s="20" t="n">
        <v>7</v>
      </c>
      <c r="I4635" s="20" t="inlineStr">
        <is>
          <t>스테이포에버 2set</t>
        </is>
      </c>
      <c r="J4635" s="20" t="inlineStr">
        <is>
          <t>210207</t>
        </is>
      </c>
      <c r="L4635" s="20" t="n">
        <v>411600</v>
      </c>
      <c r="M4635" s="20" t="n">
        <v>387521.4</v>
      </c>
      <c r="N4635" s="20" t="n">
        <v>36288</v>
      </c>
      <c r="O4635" s="20" t="inlineStr">
        <is>
          <t>카페24고체향수솔리드퍼퓸 세트향=스테이포에버 002 SOLID PERFUME, 세트 선택=best 2개 (28% 할인)210207</t>
        </is>
      </c>
    </row>
    <row r="4636" ht="16.5" customHeight="1" s="17">
      <c r="B4636" s="16" t="n">
        <v>44265</v>
      </c>
      <c r="C4636" s="20" t="inlineStr">
        <is>
          <t>수</t>
        </is>
      </c>
      <c r="E4636" s="20" t="inlineStr">
        <is>
          <t>고체향수</t>
        </is>
      </c>
      <c r="F4636" s="20" t="inlineStr">
        <is>
          <t>카페24</t>
        </is>
      </c>
      <c r="G4636" s="20" t="inlineStr">
        <is>
          <t>솔리드퍼퓸 세트향=커플세트(이그나이트 + 스테이포에버), 세트 선택=1 SET</t>
        </is>
      </c>
      <c r="H4636" s="20" t="n">
        <v>14</v>
      </c>
      <c r="I4636" s="20" t="inlineStr">
        <is>
          <t>이그나이트 + 스테이포에버</t>
        </is>
      </c>
      <c r="J4636" s="20" t="inlineStr">
        <is>
          <t>210207</t>
        </is>
      </c>
      <c r="L4636" s="20" t="n">
        <v>823200</v>
      </c>
      <c r="M4636" s="20" t="n">
        <v>775042.7999999999</v>
      </c>
      <c r="N4636" s="20" t="n">
        <v>74830</v>
      </c>
      <c r="O4636" s="20" t="inlineStr">
        <is>
          <t>카페24고체향수솔리드퍼퓸 세트향=커플세트(이그나이트 + 스테이포에버), 세트 선택=1 SET210207</t>
        </is>
      </c>
    </row>
    <row r="4637" ht="16.5" customHeight="1" s="17">
      <c r="B4637" s="16" t="n">
        <v>44265</v>
      </c>
      <c r="C4637" s="20" t="inlineStr">
        <is>
          <t>수</t>
        </is>
      </c>
      <c r="E4637" s="20" t="inlineStr">
        <is>
          <t>고체향수</t>
        </is>
      </c>
      <c r="F4637" s="20" t="inlineStr">
        <is>
          <t>카페24</t>
        </is>
      </c>
      <c r="G4637" s="20" t="inlineStr">
        <is>
          <t>솔리드퍼퓸 스테이포에버 002제품선택=스테이포에버 1개</t>
        </is>
      </c>
      <c r="H4637" s="20" t="n">
        <v>171</v>
      </c>
      <c r="I4637" s="20" t="inlineStr">
        <is>
          <t>스테이포에버</t>
        </is>
      </c>
      <c r="J4637" s="20" t="inlineStr">
        <is>
          <t>210207</t>
        </is>
      </c>
      <c r="L4637" s="20" t="n">
        <v>5814000</v>
      </c>
      <c r="M4637" s="20" t="n">
        <v>5473881</v>
      </c>
      <c r="N4637" s="20" t="n">
        <v>443232</v>
      </c>
      <c r="O4637" s="20" t="inlineStr">
        <is>
          <t>카페24고체향수솔리드퍼퓸 스테이포에버 002제품선택=스테이포에버 1개210207</t>
        </is>
      </c>
    </row>
    <row r="4638" ht="16.5" customHeight="1" s="17">
      <c r="B4638" s="16" t="n">
        <v>44265</v>
      </c>
      <c r="C4638" s="20" t="inlineStr">
        <is>
          <t>수</t>
        </is>
      </c>
      <c r="E4638" s="20" t="inlineStr">
        <is>
          <t>고체향수</t>
        </is>
      </c>
      <c r="F4638" s="20" t="inlineStr">
        <is>
          <t>카페24</t>
        </is>
      </c>
      <c r="G4638" s="20" t="inlineStr">
        <is>
          <t>솔리드퍼퓸 스테이포에버 002제품선택=best스테이포에버 2개[28% 할인]</t>
        </is>
      </c>
      <c r="H4638" s="20" t="n">
        <v>108</v>
      </c>
      <c r="I4638" s="20" t="inlineStr">
        <is>
          <t>스테이포에버 2set</t>
        </is>
      </c>
      <c r="J4638" s="20" t="inlineStr">
        <is>
          <t>210207</t>
        </is>
      </c>
      <c r="L4638" s="20" t="n">
        <v>6350400</v>
      </c>
      <c r="M4638" s="20" t="n">
        <v>5978901.6</v>
      </c>
      <c r="N4638" s="20" t="n">
        <v>559872</v>
      </c>
      <c r="O4638" s="20" t="inlineStr">
        <is>
          <t>카페24고체향수솔리드퍼퓸 스테이포에버 002제품선택=best스테이포에버 2개[28% 할인]210207</t>
        </is>
      </c>
    </row>
    <row r="4639" ht="16.5" customHeight="1" s="17">
      <c r="B4639" s="16" t="n">
        <v>44265</v>
      </c>
      <c r="C4639" s="20" t="inlineStr">
        <is>
          <t>수</t>
        </is>
      </c>
      <c r="E4639" s="20" t="inlineStr">
        <is>
          <t>고체향수</t>
        </is>
      </c>
      <c r="F4639" s="20" t="inlineStr">
        <is>
          <t>카페24</t>
        </is>
      </c>
      <c r="G4639" s="20" t="inlineStr">
        <is>
          <t>솔리드퍼퓸 스테이포에버 002제품선택=커플추천스테이포에버 + 이그나이트 세트</t>
        </is>
      </c>
      <c r="H4639" s="20" t="n">
        <v>8</v>
      </c>
      <c r="I4639" s="20" t="inlineStr">
        <is>
          <t>이그나이트 + 스테이포에버</t>
        </is>
      </c>
      <c r="J4639" s="20" t="inlineStr">
        <is>
          <t>210207</t>
        </is>
      </c>
      <c r="L4639" s="20" t="n">
        <v>470400</v>
      </c>
      <c r="M4639" s="20" t="n">
        <v>442881.6</v>
      </c>
      <c r="N4639" s="20" t="n">
        <v>42760</v>
      </c>
      <c r="O4639" s="20" t="inlineStr">
        <is>
          <t>카페24고체향수솔리드퍼퓸 스테이포에버 002제품선택=커플추천스테이포에버 + 이그나이트 세트210207</t>
        </is>
      </c>
    </row>
    <row r="4640" ht="16.5" customHeight="1" s="17">
      <c r="B4640" s="16" t="n">
        <v>44265</v>
      </c>
      <c r="C4640" s="20" t="inlineStr">
        <is>
          <t>수</t>
        </is>
      </c>
      <c r="E4640" s="20" t="inlineStr">
        <is>
          <t>쇼핑백</t>
        </is>
      </c>
      <c r="F4640" s="20" t="inlineStr">
        <is>
          <t>카페24</t>
        </is>
      </c>
      <c r="G4640" s="20" t="inlineStr">
        <is>
          <t>솔리드퍼퓸 스테이포에버 002쇼핑백=선물용 쇼핑백</t>
        </is>
      </c>
      <c r="H4640" s="20" t="n">
        <v>8</v>
      </c>
      <c r="I4640" s="20" t="inlineStr">
        <is>
          <t>쇼핑백</t>
        </is>
      </c>
      <c r="J4640" s="20" t="inlineStr">
        <is>
          <t>210207</t>
        </is>
      </c>
      <c r="L4640" s="20" t="n">
        <v>16000</v>
      </c>
      <c r="M4640" s="20" t="n">
        <v>15064</v>
      </c>
      <c r="N4640" s="20" t="n">
        <v>6640</v>
      </c>
      <c r="O4640" s="20" t="inlineStr">
        <is>
          <t>카페24쇼핑백솔리드퍼퓸 스테이포에버 002쇼핑백=선물용 쇼핑백210207</t>
        </is>
      </c>
    </row>
    <row r="4641" ht="16.5" customHeight="1" s="17">
      <c r="B4641" s="16" t="n">
        <v>44265</v>
      </c>
      <c r="C4641" s="20" t="inlineStr">
        <is>
          <t>수</t>
        </is>
      </c>
      <c r="E4641" s="20" t="inlineStr">
        <is>
          <t>고체향수</t>
        </is>
      </c>
      <c r="F4641" s="20" t="inlineStr">
        <is>
          <t>카페24</t>
        </is>
      </c>
      <c r="G4641" s="20" t="inlineStr">
        <is>
          <t>솔리드퍼퓸 이그나이트 001제품선택=이그나이트 솔리드퍼퓸 - 30ml</t>
        </is>
      </c>
      <c r="H4641" s="20" t="n">
        <v>4</v>
      </c>
      <c r="I4641" s="20" t="inlineStr">
        <is>
          <t>이그나이트</t>
        </is>
      </c>
      <c r="J4641" s="20" t="inlineStr">
        <is>
          <t>210207</t>
        </is>
      </c>
      <c r="L4641" s="20" t="n">
        <v>136000</v>
      </c>
      <c r="M4641" s="20" t="n">
        <v>128044</v>
      </c>
      <c r="N4641" s="20" t="n">
        <v>11012</v>
      </c>
      <c r="O4641" s="20" t="inlineStr">
        <is>
          <t>카페24고체향수솔리드퍼퓸 이그나이트 001제품선택=이그나이트 솔리드퍼퓸 - 30ml210207</t>
        </is>
      </c>
    </row>
    <row r="4642" ht="16.5" customHeight="1" s="17">
      <c r="B4642" s="16" t="n">
        <v>44265</v>
      </c>
      <c r="C4642" s="20" t="inlineStr">
        <is>
          <t>수</t>
        </is>
      </c>
      <c r="E4642" s="20" t="inlineStr">
        <is>
          <t>고체향수</t>
        </is>
      </c>
      <c r="F4642" s="20" t="inlineStr">
        <is>
          <t>카페24</t>
        </is>
      </c>
      <c r="G4642" s="20" t="inlineStr">
        <is>
          <t>솔리드퍼퓸 이그나이트 001제품선택=이그나이트 2개 세트</t>
        </is>
      </c>
      <c r="H4642" s="20" t="n">
        <v>2</v>
      </c>
      <c r="I4642" s="20" t="inlineStr">
        <is>
          <t>이그나이트 2set</t>
        </is>
      </c>
      <c r="J4642" s="20" t="inlineStr">
        <is>
          <t>210207</t>
        </is>
      </c>
      <c r="L4642" s="20" t="n">
        <v>117600</v>
      </c>
      <c r="M4642" s="20" t="n">
        <v>110720.4</v>
      </c>
      <c r="N4642" s="20" t="n">
        <v>11012</v>
      </c>
      <c r="O4642" s="20" t="inlineStr">
        <is>
          <t>카페24고체향수솔리드퍼퓸 이그나이트 001제품선택=이그나이트 2개 세트210207</t>
        </is>
      </c>
    </row>
    <row r="4643" ht="16.5" customHeight="1" s="17">
      <c r="A4643" s="20" t="inlineStr">
        <is>
          <t>고체향수_전환추적</t>
        </is>
      </c>
      <c r="B4643" s="16" t="n">
        <v>44265</v>
      </c>
      <c r="C4643" s="20" t="inlineStr">
        <is>
          <t>수</t>
        </is>
      </c>
      <c r="D4643" s="20" t="inlineStr">
        <is>
          <t>네이버 배너</t>
        </is>
      </c>
      <c r="E4643" s="20" t="inlineStr">
        <is>
          <t>고체향수</t>
        </is>
      </c>
      <c r="K4643" s="20" t="n">
        <v>278886.3636363636</v>
      </c>
    </row>
    <row r="4644" ht="16.5" customHeight="1" s="17">
      <c r="A4644" s="20" t="inlineStr">
        <is>
          <t>고체향수</t>
        </is>
      </c>
      <c r="B4644" s="16" t="n">
        <v>44265</v>
      </c>
      <c r="C4644" s="20" t="inlineStr">
        <is>
          <t>수</t>
        </is>
      </c>
      <c r="D4644" s="20" t="inlineStr">
        <is>
          <t>네이버 배너</t>
        </is>
      </c>
      <c r="E4644" s="20" t="inlineStr">
        <is>
          <t>고체향수</t>
        </is>
      </c>
      <c r="K4644" s="20" t="n">
        <v>1190590</v>
      </c>
    </row>
    <row r="4645" ht="16.5" customHeight="1" s="17">
      <c r="A4645" s="20" t="inlineStr">
        <is>
          <t>고체향수_승무원 어피_Npay 추적</t>
        </is>
      </c>
      <c r="B4645" s="16" t="n">
        <v>44265</v>
      </c>
      <c r="C4645" s="20" t="inlineStr">
        <is>
          <t>수</t>
        </is>
      </c>
      <c r="D4645" s="20" t="inlineStr">
        <is>
          <t>카카오 배너</t>
        </is>
      </c>
      <c r="E4645" s="20" t="inlineStr">
        <is>
          <t>고체향수</t>
        </is>
      </c>
      <c r="K4645" s="20" t="n">
        <v>181920</v>
      </c>
    </row>
    <row r="4646" ht="16.5" customHeight="1" s="17">
      <c r="A4646" s="20" t="inlineStr">
        <is>
          <t>고체향수_Npay 추적</t>
        </is>
      </c>
      <c r="B4646" s="16" t="n">
        <v>44265</v>
      </c>
      <c r="C4646" s="20" t="inlineStr">
        <is>
          <t>수</t>
        </is>
      </c>
      <c r="D4646" s="20" t="inlineStr">
        <is>
          <t>카카오 배너</t>
        </is>
      </c>
      <c r="E4646" s="20" t="inlineStr">
        <is>
          <t>고체향수</t>
        </is>
      </c>
      <c r="K4646" s="20" t="n">
        <v>493659.9999999999</v>
      </c>
    </row>
    <row r="4647" ht="16.5" customHeight="1" s="17">
      <c r="B4647" s="16" t="n">
        <v>44265</v>
      </c>
      <c r="C4647" s="20" t="inlineStr">
        <is>
          <t>수</t>
        </is>
      </c>
      <c r="D4647" s="20" t="inlineStr">
        <is>
          <t>네이버 배너(대행사)</t>
        </is>
      </c>
      <c r="E4647" s="20" t="inlineStr">
        <is>
          <t>고체향수</t>
        </is>
      </c>
      <c r="K4647" s="20">
        <f>708861/1.1</f>
        <v/>
      </c>
    </row>
    <row r="4648" ht="16.5" customHeight="1" s="17">
      <c r="A4648" s="20" t="inlineStr">
        <is>
          <t>[유튜버 수지큐]스테이포에버_카드뉴스</t>
        </is>
      </c>
      <c r="B4648" s="16" t="n">
        <v>44266</v>
      </c>
      <c r="C4648" s="20" t="inlineStr">
        <is>
          <t>목</t>
        </is>
      </c>
      <c r="D4648" s="20">
        <f>VLOOKUP($A4648,매칭테이블!$B$548:$D$1048576,2,0)</f>
        <v/>
      </c>
      <c r="E4648" s="20" t="inlineStr">
        <is>
          <t>고체향수</t>
        </is>
      </c>
      <c r="K4648" s="20" t="n">
        <v>11459</v>
      </c>
    </row>
    <row r="4649" ht="16.5" customHeight="1" s="17">
      <c r="A4649" s="20" t="inlineStr">
        <is>
          <t>[성민 TEST] 선물세트_이미지</t>
        </is>
      </c>
      <c r="B4649" s="16" t="n">
        <v>44266</v>
      </c>
      <c r="C4649" s="20" t="inlineStr">
        <is>
          <t>목</t>
        </is>
      </c>
      <c r="D4649" s="20">
        <f>VLOOKUP($A4649,매칭테이블!$B$548:$D$1048576,2,0)</f>
        <v/>
      </c>
      <c r="E4649" s="20" t="inlineStr">
        <is>
          <t>고체향수</t>
        </is>
      </c>
      <c r="K4649" s="20" t="n">
        <v>32854</v>
      </c>
    </row>
    <row r="4650" ht="16.5" customHeight="1" s="17">
      <c r="A4650" s="20" t="inlineStr">
        <is>
          <t>[승무원]수지큐2차활용_스테이포에버_이미지</t>
        </is>
      </c>
      <c r="B4650" s="16" t="n">
        <v>44266</v>
      </c>
      <c r="C4650" s="20" t="inlineStr">
        <is>
          <t>목</t>
        </is>
      </c>
      <c r="D4650" s="20" t="inlineStr">
        <is>
          <t>페이스북/인스타그램</t>
        </is>
      </c>
      <c r="E4650" s="20" t="inlineStr">
        <is>
          <t>고체향수</t>
        </is>
      </c>
      <c r="K4650" s="20" t="n">
        <v>49255</v>
      </c>
    </row>
    <row r="4651" ht="16.5" customHeight="1" s="17">
      <c r="A4651" s="20" t="inlineStr">
        <is>
          <t>[다현 TEST] 스테이포에버_유즈모먼트</t>
        </is>
      </c>
      <c r="B4651" s="16" t="n">
        <v>44266</v>
      </c>
      <c r="C4651" s="20" t="inlineStr">
        <is>
          <t>목</t>
        </is>
      </c>
      <c r="D4651" s="20" t="inlineStr">
        <is>
          <t>페이스북/인스타그램</t>
        </is>
      </c>
      <c r="E4651" s="20" t="inlineStr">
        <is>
          <t>고체향수</t>
        </is>
      </c>
      <c r="K4651" s="20" t="n">
        <v>59477</v>
      </c>
    </row>
    <row r="4652" ht="16.5" customHeight="1" s="17">
      <c r="A4652" s="20" t="inlineStr">
        <is>
          <t>[성민 TEST] 스테이포에버_이미지</t>
        </is>
      </c>
      <c r="B4652" s="16" t="n">
        <v>44266</v>
      </c>
      <c r="C4652" s="20" t="inlineStr">
        <is>
          <t>목</t>
        </is>
      </c>
      <c r="D4652" s="20" t="inlineStr">
        <is>
          <t>페이스북/인스타그램</t>
        </is>
      </c>
      <c r="E4652" s="20" t="inlineStr">
        <is>
          <t>고체향수</t>
        </is>
      </c>
      <c r="K4652" s="20" t="n">
        <v>30146</v>
      </c>
    </row>
    <row r="4653" ht="16.5" customHeight="1" s="17">
      <c r="A4653" s="20" t="inlineStr">
        <is>
          <t>[승은 TEST] 스테이포에버_카드뉴스</t>
        </is>
      </c>
      <c r="B4653" s="16" t="n">
        <v>44266</v>
      </c>
      <c r="C4653" s="20" t="inlineStr">
        <is>
          <t>목</t>
        </is>
      </c>
      <c r="D4653" s="20" t="inlineStr">
        <is>
          <t>페이스북/인스타그램</t>
        </is>
      </c>
      <c r="E4653" s="20" t="inlineStr">
        <is>
          <t>고체향수</t>
        </is>
      </c>
      <c r="K4653" s="20" t="n">
        <v>59833</v>
      </c>
    </row>
    <row r="4654" ht="16.5" customHeight="1" s="17">
      <c r="A4654" s="20" t="inlineStr">
        <is>
          <t>[승무원 2] 스테이포에버_카드뉴스</t>
        </is>
      </c>
      <c r="B4654" s="16" t="n">
        <v>44266</v>
      </c>
      <c r="C4654" s="20" t="inlineStr">
        <is>
          <t>목</t>
        </is>
      </c>
      <c r="D4654" s="20" t="inlineStr">
        <is>
          <t>페이스북/인스타그램</t>
        </is>
      </c>
      <c r="E4654" s="20" t="inlineStr">
        <is>
          <t>고체향수</t>
        </is>
      </c>
      <c r="K4654" s="20" t="n">
        <v>192837</v>
      </c>
    </row>
    <row r="4655" ht="16.5" customHeight="1" s="17">
      <c r="A4655" s="20" t="inlineStr">
        <is>
          <t>[테스트]아줌마</t>
        </is>
      </c>
      <c r="B4655" s="16" t="n">
        <v>44266</v>
      </c>
      <c r="C4655" s="20" t="inlineStr">
        <is>
          <t>목</t>
        </is>
      </c>
      <c r="D4655" s="20" t="inlineStr">
        <is>
          <t>페이스북/인스타그램</t>
        </is>
      </c>
      <c r="E4655" s="20" t="inlineStr">
        <is>
          <t>고체향수</t>
        </is>
      </c>
      <c r="K4655" s="20" t="n">
        <v>156480</v>
      </c>
    </row>
    <row r="4656" ht="16.5" customHeight="1" s="17">
      <c r="A4656" s="20" t="inlineStr">
        <is>
          <t>[키워드 확장 테스트]스테이포에버_이미지</t>
        </is>
      </c>
      <c r="B4656" s="16" t="n">
        <v>44266</v>
      </c>
      <c r="C4656" s="20" t="inlineStr">
        <is>
          <t>목</t>
        </is>
      </c>
      <c r="D4656" s="20" t="inlineStr">
        <is>
          <t>페이스북/인스타그램</t>
        </is>
      </c>
      <c r="E4656" s="20" t="inlineStr">
        <is>
          <t>고체향수</t>
        </is>
      </c>
      <c r="K4656" s="20" t="n">
        <v>177568</v>
      </c>
    </row>
    <row r="4657" ht="16.5" customHeight="1" s="17">
      <c r="A4657" s="20" t="inlineStr">
        <is>
          <t>[재입고]스테이포에버_이미지</t>
        </is>
      </c>
      <c r="B4657" s="16" t="n">
        <v>44266</v>
      </c>
      <c r="C4657" s="20" t="inlineStr">
        <is>
          <t>목</t>
        </is>
      </c>
      <c r="D4657" s="20" t="inlineStr">
        <is>
          <t>페이스북/인스타그램</t>
        </is>
      </c>
      <c r="E4657" s="20" t="inlineStr">
        <is>
          <t>고체향수</t>
        </is>
      </c>
      <c r="K4657" s="20" t="n">
        <v>86695</v>
      </c>
    </row>
    <row r="4658" ht="16.5" customHeight="1" s="17">
      <c r="A4658" s="20" t="inlineStr">
        <is>
          <t>[승무원]숏폼_영상</t>
        </is>
      </c>
      <c r="B4658" s="16" t="n">
        <v>44266</v>
      </c>
      <c r="C4658" s="20" t="inlineStr">
        <is>
          <t>목</t>
        </is>
      </c>
      <c r="D4658" s="20" t="inlineStr">
        <is>
          <t>페이스북/인스타그램</t>
        </is>
      </c>
      <c r="E4658" s="20" t="inlineStr">
        <is>
          <t>고체향수</t>
        </is>
      </c>
      <c r="K4658" s="20" t="n">
        <v>99071</v>
      </c>
    </row>
    <row r="4659" ht="16.5" customHeight="1" s="17">
      <c r="A4659" s="20" t="inlineStr">
        <is>
          <t>[재입고]스테이포에버_영상</t>
        </is>
      </c>
      <c r="B4659" s="16" t="n">
        <v>44266</v>
      </c>
      <c r="C4659" s="20" t="inlineStr">
        <is>
          <t>목</t>
        </is>
      </c>
      <c r="D4659" s="20" t="inlineStr">
        <is>
          <t>페이스북/인스타그램</t>
        </is>
      </c>
      <c r="E4659" s="20" t="inlineStr">
        <is>
          <t>고체향수</t>
        </is>
      </c>
      <c r="K4659" s="20" t="n">
        <v>87292</v>
      </c>
    </row>
    <row r="4660" ht="16.5" customHeight="1" s="17">
      <c r="A4660" s="20" t="inlineStr">
        <is>
          <t>[젊줌마]스테이포에버_영상</t>
        </is>
      </c>
      <c r="B4660" s="16" t="n">
        <v>44266</v>
      </c>
      <c r="C4660" s="20" t="inlineStr">
        <is>
          <t>목</t>
        </is>
      </c>
      <c r="D4660" s="20" t="inlineStr">
        <is>
          <t>페이스북/인스타그램</t>
        </is>
      </c>
      <c r="E4660" s="20" t="inlineStr">
        <is>
          <t>고체향수</t>
        </is>
      </c>
      <c r="K4660" s="20" t="n">
        <v>99579</v>
      </c>
    </row>
    <row r="4661" ht="16.5" customHeight="1" s="17">
      <c r="A4661" s="20" t="inlineStr">
        <is>
          <t>[이성소구]스테이포에버_영상</t>
        </is>
      </c>
      <c r="B4661" s="16" t="n">
        <v>44266</v>
      </c>
      <c r="C4661" s="20" t="inlineStr">
        <is>
          <t>목</t>
        </is>
      </c>
      <c r="D4661" s="20" t="inlineStr">
        <is>
          <t>페이스북/인스타그램</t>
        </is>
      </c>
      <c r="E4661" s="20" t="inlineStr">
        <is>
          <t>고체향수</t>
        </is>
      </c>
      <c r="K4661" s="20" t="n">
        <v>47627</v>
      </c>
    </row>
    <row r="4662" ht="16.5" customHeight="1" s="17">
      <c r="A4662" s="20" t="inlineStr">
        <is>
          <t>[승무원]2019년썰 카드뉴스+ 향묘사_영상</t>
        </is>
      </c>
      <c r="B4662" s="16" t="n">
        <v>44266</v>
      </c>
      <c r="C4662" s="20" t="inlineStr">
        <is>
          <t>목</t>
        </is>
      </c>
      <c r="D4662" s="20" t="inlineStr">
        <is>
          <t>페이스북/인스타그램</t>
        </is>
      </c>
      <c r="E4662" s="20" t="inlineStr">
        <is>
          <t>고체향수</t>
        </is>
      </c>
      <c r="K4662" s="20" t="n">
        <v>69470</v>
      </c>
    </row>
    <row r="4663" ht="16.5" customHeight="1" s="17">
      <c r="A4663" s="20" t="inlineStr">
        <is>
          <t>[승무원어피]스테이포에버_이미지</t>
        </is>
      </c>
      <c r="B4663" s="16" t="n">
        <v>44266</v>
      </c>
      <c r="C4663" s="20" t="inlineStr">
        <is>
          <t>목</t>
        </is>
      </c>
      <c r="D4663" s="20" t="inlineStr">
        <is>
          <t>페이스북/인스타그램</t>
        </is>
      </c>
      <c r="E4663" s="20" t="inlineStr">
        <is>
          <t>고체향수</t>
        </is>
      </c>
      <c r="K4663" s="20" t="n">
        <v>146005</v>
      </c>
    </row>
    <row r="4664" ht="16.5" customHeight="1" s="17">
      <c r="A4664" s="20" t="inlineStr">
        <is>
          <t>[다현]스테이포에버_이미지</t>
        </is>
      </c>
      <c r="B4664" s="16" t="n">
        <v>44266</v>
      </c>
      <c r="C4664" s="20" t="inlineStr">
        <is>
          <t>목</t>
        </is>
      </c>
      <c r="D4664" s="20" t="inlineStr">
        <is>
          <t>페이스북/인스타그램</t>
        </is>
      </c>
      <c r="E4664" s="20" t="inlineStr">
        <is>
          <t>고체향수</t>
        </is>
      </c>
      <c r="K4664" s="20" t="n">
        <v>299468</v>
      </c>
    </row>
    <row r="4665" ht="16.5" customHeight="1" s="17">
      <c r="A4665" s="20" t="inlineStr">
        <is>
          <t>[승무원]스테이포에버_카드뉴스</t>
        </is>
      </c>
      <c r="B4665" s="16" t="n">
        <v>44266</v>
      </c>
      <c r="C4665" s="20" t="inlineStr">
        <is>
          <t>목</t>
        </is>
      </c>
      <c r="D4665" s="20" t="inlineStr">
        <is>
          <t>페이스북/인스타그램</t>
        </is>
      </c>
      <c r="E4665" s="20" t="inlineStr">
        <is>
          <t>고체향수</t>
        </is>
      </c>
      <c r="K4665" s="20" t="n">
        <v>193961</v>
      </c>
    </row>
    <row r="4666" ht="16.5" customHeight="1" s="17">
      <c r="A4666" s="20" t="inlineStr">
        <is>
          <t>[후기타입]스테이포에버_영상</t>
        </is>
      </c>
      <c r="B4666" s="16" t="n">
        <v>44266</v>
      </c>
      <c r="C4666" s="20" t="inlineStr">
        <is>
          <t>목</t>
        </is>
      </c>
      <c r="D4666" s="20" t="inlineStr">
        <is>
          <t>페이스북/인스타그램</t>
        </is>
      </c>
      <c r="E4666" s="20" t="inlineStr">
        <is>
          <t>고체향수</t>
        </is>
      </c>
      <c r="K4666" s="20" t="n">
        <v>149662</v>
      </c>
    </row>
    <row r="4667" ht="16.5" customHeight="1" s="17">
      <c r="A4667" s="20" t="inlineStr">
        <is>
          <t>전환_스테이포에버</t>
        </is>
      </c>
      <c r="B4667" s="16" t="n">
        <v>44266</v>
      </c>
      <c r="C4667" s="20" t="inlineStr">
        <is>
          <t>목</t>
        </is>
      </c>
      <c r="D4667" s="20" t="inlineStr">
        <is>
          <t>페이스북/인스타그램</t>
        </is>
      </c>
      <c r="E4667" s="20" t="inlineStr">
        <is>
          <t>고체향수</t>
        </is>
      </c>
      <c r="K4667" s="20" t="n">
        <v>149920</v>
      </c>
    </row>
    <row r="4668" ht="16.5" customHeight="1" s="17">
      <c r="A4668" s="20" t="inlineStr">
        <is>
          <t>[권태기커플]스테이포에버_영상</t>
        </is>
      </c>
      <c r="B4668" s="16" t="n">
        <v>44266</v>
      </c>
      <c r="C4668" s="20" t="inlineStr">
        <is>
          <t>목</t>
        </is>
      </c>
      <c r="D4668" s="20" t="inlineStr">
        <is>
          <t>페이스북/인스타그램</t>
        </is>
      </c>
      <c r="E4668" s="20" t="inlineStr">
        <is>
          <t>고체향수</t>
        </is>
      </c>
      <c r="K4668" s="20" t="n">
        <v>150388</v>
      </c>
    </row>
    <row r="4669" ht="16.5" customHeight="1" s="17">
      <c r="A4669" s="20" t="inlineStr">
        <is>
          <t>동영상캠페인_승무원_2019년썰(cpa)</t>
        </is>
      </c>
      <c r="B4669" s="16" t="n">
        <v>44266</v>
      </c>
      <c r="C4669" s="20" t="inlineStr">
        <is>
          <t>목</t>
        </is>
      </c>
      <c r="D4669" s="20" t="inlineStr">
        <is>
          <t>유튜브 광고</t>
        </is>
      </c>
      <c r="E4669" s="20" t="inlineStr">
        <is>
          <t>고체향수</t>
        </is>
      </c>
      <c r="K4669" s="20" t="n">
        <v>668</v>
      </c>
    </row>
    <row r="4670" ht="16.5" customHeight="1" s="17">
      <c r="A4670" s="20" t="inlineStr">
        <is>
          <t>웹사이트 트래픽 서치</t>
        </is>
      </c>
      <c r="B4670" s="16" t="n">
        <v>44266</v>
      </c>
      <c r="C4670" s="20" t="inlineStr">
        <is>
          <t>목</t>
        </is>
      </c>
      <c r="D4670" s="20" t="inlineStr">
        <is>
          <t>유튜브 광고</t>
        </is>
      </c>
      <c r="E4670" s="20" t="inlineStr">
        <is>
          <t>고체향수</t>
        </is>
      </c>
      <c r="K4670" s="20" t="n">
        <v>40900</v>
      </c>
    </row>
    <row r="4671" ht="16.5" customHeight="1" s="17">
      <c r="A4671" s="20" t="inlineStr">
        <is>
          <t>동영상캠페인_승무원_보이는 라디오(cpa)</t>
        </is>
      </c>
      <c r="B4671" s="16" t="n">
        <v>44266</v>
      </c>
      <c r="C4671" s="20" t="inlineStr">
        <is>
          <t>목</t>
        </is>
      </c>
      <c r="D4671" s="20" t="inlineStr">
        <is>
          <t>유튜브 광고</t>
        </is>
      </c>
      <c r="E4671" s="20" t="inlineStr">
        <is>
          <t>고체향수</t>
        </is>
      </c>
      <c r="K4671" s="20" t="n">
        <v>146833</v>
      </c>
    </row>
    <row r="4672" ht="16.5" customHeight="1" s="17">
      <c r="A4672" s="20" t="inlineStr">
        <is>
          <t>디스커버리 배너_승무원,할인_리마케팅</t>
        </is>
      </c>
      <c r="B4672" s="16" t="n">
        <v>44266</v>
      </c>
      <c r="C4672" s="20" t="inlineStr">
        <is>
          <t>목</t>
        </is>
      </c>
      <c r="D4672" s="20" t="inlineStr">
        <is>
          <t>유튜브 광고</t>
        </is>
      </c>
      <c r="E4672" s="20" t="inlineStr">
        <is>
          <t>고체향수</t>
        </is>
      </c>
      <c r="K4672" s="20" t="n">
        <v>450223</v>
      </c>
    </row>
    <row r="4673" ht="16.5" customHeight="1" s="17">
      <c r="A4673" s="20" t="inlineStr">
        <is>
          <t>동영상캠페인_승무원_써니스카이</t>
        </is>
      </c>
      <c r="B4673" s="16" t="n">
        <v>44266</v>
      </c>
      <c r="C4673" s="20" t="inlineStr">
        <is>
          <t>목</t>
        </is>
      </c>
      <c r="D4673" s="20" t="inlineStr">
        <is>
          <t>유튜브 광고</t>
        </is>
      </c>
      <c r="E4673" s="20" t="inlineStr">
        <is>
          <t>고체향수</t>
        </is>
      </c>
      <c r="K4673" s="20" t="n">
        <v>305858</v>
      </c>
    </row>
    <row r="4674" ht="16.5" customHeight="1" s="17">
      <c r="A4674" s="20" t="inlineStr">
        <is>
          <t>동영상캠페인_필라테스_자기관리(타겟 cpa)</t>
        </is>
      </c>
      <c r="B4674" s="16" t="n">
        <v>44266</v>
      </c>
      <c r="C4674" s="20" t="inlineStr">
        <is>
          <t>목</t>
        </is>
      </c>
      <c r="D4674" s="20" t="inlineStr">
        <is>
          <t>유튜브 광고</t>
        </is>
      </c>
      <c r="E4674" s="20" t="inlineStr">
        <is>
          <t>고체향수</t>
        </is>
      </c>
      <c r="K4674" s="20" t="n">
        <v>64742</v>
      </c>
    </row>
    <row r="4675" ht="16.5" customHeight="1" s="17">
      <c r="A4675" s="20" t="inlineStr">
        <is>
          <t>동영상캠페인_승무원_비누향 나는 승무원에게(cpa)</t>
        </is>
      </c>
      <c r="B4675" s="16" t="n">
        <v>44266</v>
      </c>
      <c r="C4675" s="20" t="inlineStr">
        <is>
          <t>목</t>
        </is>
      </c>
      <c r="D4675" s="20" t="inlineStr">
        <is>
          <t>유튜브 광고</t>
        </is>
      </c>
      <c r="E4675" s="20" t="inlineStr">
        <is>
          <t>고체향수</t>
        </is>
      </c>
      <c r="K4675" s="20" t="n">
        <v>43628</v>
      </c>
    </row>
    <row r="4676" ht="16.5" customHeight="1" s="17">
      <c r="A4676" s="20" t="inlineStr">
        <is>
          <t>동영상캠페인_유즈모먼트_2차_30대 여성 회사원(cpa)</t>
        </is>
      </c>
      <c r="B4676" s="16" t="n">
        <v>44266</v>
      </c>
      <c r="C4676" s="20" t="inlineStr">
        <is>
          <t>목</t>
        </is>
      </c>
      <c r="D4676" s="20" t="inlineStr">
        <is>
          <t>유튜브 광고</t>
        </is>
      </c>
      <c r="E4676" s="20" t="inlineStr">
        <is>
          <t>고체향수</t>
        </is>
      </c>
      <c r="K4676" s="20" t="n">
        <v>58297</v>
      </c>
    </row>
    <row r="4677" ht="16.5" customHeight="1" s="17">
      <c r="A4677" s="20" t="inlineStr">
        <is>
          <t>동영상캠페인_유즈모먼트_조향사 친구(cpa)</t>
        </is>
      </c>
      <c r="B4677" s="16" t="n">
        <v>44266</v>
      </c>
      <c r="C4677" s="20" t="inlineStr">
        <is>
          <t>목</t>
        </is>
      </c>
      <c r="D4677" s="20" t="inlineStr">
        <is>
          <t>유튜브 광고</t>
        </is>
      </c>
      <c r="E4677" s="20" t="inlineStr">
        <is>
          <t>고체향수</t>
        </is>
      </c>
      <c r="K4677" s="20" t="n">
        <v>104507</v>
      </c>
    </row>
    <row r="4678" ht="16.5" customHeight="1" s="17">
      <c r="A4678" s="20" t="inlineStr">
        <is>
          <t>동영상캠페인_유즈모먼트_사춘기 딸 2차</t>
        </is>
      </c>
      <c r="B4678" s="16" t="n">
        <v>44266</v>
      </c>
      <c r="C4678" s="20" t="inlineStr">
        <is>
          <t>목</t>
        </is>
      </c>
      <c r="D4678" s="20" t="inlineStr">
        <is>
          <t>유튜브 광고</t>
        </is>
      </c>
      <c r="E4678" s="20" t="inlineStr">
        <is>
          <t>고체향수</t>
        </is>
      </c>
      <c r="K4678" s="20" t="n">
        <v>57674</v>
      </c>
    </row>
    <row r="4679" ht="16.5" customHeight="1" s="17">
      <c r="A4679" s="20" t="inlineStr">
        <is>
          <t>동영상 캠페인_유튜버 수지큐 2차활용</t>
        </is>
      </c>
      <c r="B4679" s="16" t="n">
        <v>44266</v>
      </c>
      <c r="C4679" s="20" t="inlineStr">
        <is>
          <t>목</t>
        </is>
      </c>
      <c r="D4679" s="20" t="inlineStr">
        <is>
          <t>유튜브 광고</t>
        </is>
      </c>
      <c r="E4679" s="20" t="inlineStr">
        <is>
          <t>고체향수</t>
        </is>
      </c>
      <c r="K4679" s="20" t="n">
        <v>101744</v>
      </c>
    </row>
    <row r="4680" ht="16.5" customHeight="1" s="17">
      <c r="A4680" s="20" t="inlineStr">
        <is>
          <t>쇼핑검색_고체향수</t>
        </is>
      </c>
      <c r="B4680" s="16" t="n">
        <v>44266</v>
      </c>
      <c r="C4680" s="20" t="inlineStr">
        <is>
          <t>목</t>
        </is>
      </c>
      <c r="D4680" s="20" t="inlineStr">
        <is>
          <t>네이버 쇼핑검색</t>
        </is>
      </c>
      <c r="E4680" s="20" t="inlineStr">
        <is>
          <t>고체향수</t>
        </is>
      </c>
      <c r="K4680" s="20" t="n">
        <v>1780</v>
      </c>
    </row>
    <row r="4681" ht="16.5" customHeight="1" s="17">
      <c r="A4681" s="20" t="inlineStr">
        <is>
          <t>쇼핑검색_고체향수세부키워드</t>
        </is>
      </c>
      <c r="B4681" s="16" t="n">
        <v>44266</v>
      </c>
      <c r="C4681" s="20" t="inlineStr">
        <is>
          <t>목</t>
        </is>
      </c>
      <c r="D4681" s="20" t="inlineStr">
        <is>
          <t>네이버 쇼핑검색</t>
        </is>
      </c>
      <c r="E4681" s="20" t="inlineStr">
        <is>
          <t>고체향수</t>
        </is>
      </c>
      <c r="K4681" s="20" t="n">
        <v>92179.99999999999</v>
      </c>
    </row>
    <row r="4682" ht="16.5" customHeight="1" s="17">
      <c r="A4682" s="20" t="inlineStr">
        <is>
          <t>쇼핑검색_고체향수세부키워드2</t>
        </is>
      </c>
      <c r="B4682" s="16" t="n">
        <v>44266</v>
      </c>
      <c r="C4682" s="20" t="inlineStr">
        <is>
          <t>목</t>
        </is>
      </c>
      <c r="D4682" s="20" t="inlineStr">
        <is>
          <t>네이버 쇼핑검색</t>
        </is>
      </c>
      <c r="E4682" s="20" t="inlineStr">
        <is>
          <t>고체향수</t>
        </is>
      </c>
      <c r="K4682" s="20" t="n">
        <v>700</v>
      </c>
    </row>
    <row r="4683" ht="16.5" customHeight="1" s="17">
      <c r="A4683" s="20" t="inlineStr">
        <is>
          <t>모바일 브검</t>
        </is>
      </c>
      <c r="B4683" s="16" t="n">
        <v>44266</v>
      </c>
      <c r="C4683" s="20" t="inlineStr">
        <is>
          <t>목</t>
        </is>
      </c>
      <c r="D4683" s="20" t="inlineStr">
        <is>
          <t>네이버 브랜드검색</t>
        </is>
      </c>
      <c r="E4683" s="20" t="inlineStr">
        <is>
          <t>브랜드</t>
        </is>
      </c>
      <c r="K4683" s="20" t="n">
        <v>140000</v>
      </c>
    </row>
    <row r="4684" ht="16.5" customHeight="1" s="17">
      <c r="A4684" s="20" t="inlineStr">
        <is>
          <t>고체향수_전환추적</t>
        </is>
      </c>
      <c r="B4684" s="16" t="n">
        <v>44266</v>
      </c>
      <c r="C4684" s="20" t="inlineStr">
        <is>
          <t>목</t>
        </is>
      </c>
      <c r="D4684" s="20" t="inlineStr">
        <is>
          <t>네이버 배너</t>
        </is>
      </c>
      <c r="E4684" s="20" t="inlineStr">
        <is>
          <t>고체향수</t>
        </is>
      </c>
      <c r="K4684" s="20" t="n">
        <v>160217.2727272727</v>
      </c>
    </row>
    <row r="4685" ht="16.5" customHeight="1" s="17">
      <c r="A4685" s="20" t="inlineStr">
        <is>
          <t>고체향수</t>
        </is>
      </c>
      <c r="B4685" s="16" t="n">
        <v>44266</v>
      </c>
      <c r="C4685" s="20" t="inlineStr">
        <is>
          <t>목</t>
        </is>
      </c>
      <c r="D4685" s="20" t="inlineStr">
        <is>
          <t>네이버 배너</t>
        </is>
      </c>
      <c r="E4685" s="20" t="inlineStr">
        <is>
          <t>고체향수</t>
        </is>
      </c>
      <c r="K4685" s="20" t="n">
        <v>828712.7272727272</v>
      </c>
    </row>
    <row r="4686" ht="16.5" customHeight="1" s="17">
      <c r="A4686" s="20" t="inlineStr">
        <is>
          <t>고체향수_승무원 어피_Npay 추적</t>
        </is>
      </c>
      <c r="B4686" s="16" t="n">
        <v>44266</v>
      </c>
      <c r="C4686" s="20" t="inlineStr">
        <is>
          <t>목</t>
        </is>
      </c>
      <c r="D4686" s="20" t="inlineStr">
        <is>
          <t>카카오 배너</t>
        </is>
      </c>
      <c r="E4686" s="20" t="inlineStr">
        <is>
          <t>고체향수</t>
        </is>
      </c>
      <c r="K4686" s="20" t="n">
        <v>273790</v>
      </c>
    </row>
    <row r="4687" ht="16.5" customHeight="1" s="17">
      <c r="A4687" s="20" t="inlineStr">
        <is>
          <t>고체향수_Npay 추적</t>
        </is>
      </c>
      <c r="B4687" s="16" t="n">
        <v>44266</v>
      </c>
      <c r="C4687" s="20" t="inlineStr">
        <is>
          <t>목</t>
        </is>
      </c>
      <c r="D4687" s="20" t="inlineStr">
        <is>
          <t>카카오 배너</t>
        </is>
      </c>
      <c r="E4687" s="20" t="inlineStr">
        <is>
          <t>고체향수</t>
        </is>
      </c>
      <c r="K4687" s="20" t="n">
        <v>500409.9999999999</v>
      </c>
    </row>
    <row r="4688" ht="16.5" customHeight="1" s="17">
      <c r="B4688" s="16" t="n">
        <v>44266</v>
      </c>
      <c r="C4688" s="20" t="inlineStr">
        <is>
          <t>목</t>
        </is>
      </c>
      <c r="E4688" s="20" t="inlineStr">
        <is>
          <t>고체향수</t>
        </is>
      </c>
      <c r="F4688" s="20" t="inlineStr">
        <is>
          <t>W컨셉</t>
        </is>
      </c>
      <c r="G4688" s="20" t="inlineStr">
        <is>
          <t>솔리드퍼퓸 이그나이트/스테이포에버 30ml (2종 택1)&lt;옵션1&gt;002 STAY FOREVER</t>
        </is>
      </c>
      <c r="H4688" s="20" t="n">
        <v>2</v>
      </c>
      <c r="I4688" s="20" t="inlineStr">
        <is>
          <t>스테이포에버</t>
        </is>
      </c>
      <c r="J4688" s="20" t="inlineStr">
        <is>
          <t>210207</t>
        </is>
      </c>
      <c r="L4688" s="20" t="n">
        <v>68000</v>
      </c>
      <c r="M4688" s="20" t="n">
        <v>47600</v>
      </c>
      <c r="N4688" s="20" t="n">
        <v>5184</v>
      </c>
      <c r="O4688" s="20" t="inlineStr">
        <is>
          <t>W컨셉고체향수솔리드퍼퓸 이그나이트/스테이포에버 30ml (2종 택1)&lt;옵션1&gt;002 STAY FOREVER210207</t>
        </is>
      </c>
    </row>
    <row r="4689" ht="16.5" customHeight="1" s="17">
      <c r="B4689" s="16" t="n">
        <v>44266</v>
      </c>
      <c r="C4689" s="20" t="inlineStr">
        <is>
          <t>목</t>
        </is>
      </c>
      <c r="E4689" s="20" t="inlineStr">
        <is>
          <t>고체향수</t>
        </is>
      </c>
      <c r="F4689" s="20" t="inlineStr">
        <is>
          <t>W컨셉</t>
        </is>
      </c>
      <c r="G4689" s="20" t="inlineStr">
        <is>
          <t>솔리드퍼퓸 이그나이트/스테이포에버 30ml (2종 택1)&lt;옵션1&gt;IGNITE + STAY FOREVER</t>
        </is>
      </c>
      <c r="H4689" s="20" t="n">
        <v>1</v>
      </c>
      <c r="I4689" s="20" t="inlineStr">
        <is>
          <t>이그나이트 + 스테이포에버</t>
        </is>
      </c>
      <c r="J4689" s="20" t="inlineStr">
        <is>
          <t>210207</t>
        </is>
      </c>
      <c r="L4689" s="20" t="n">
        <v>58800</v>
      </c>
      <c r="M4689" s="20" t="n">
        <v>47040</v>
      </c>
      <c r="N4689" s="20" t="n">
        <v>5345</v>
      </c>
      <c r="O4689" s="20" t="inlineStr">
        <is>
          <t>W컨셉고체향수솔리드퍼퓸 이그나이트/스테이포에버 30ml (2종 택1)&lt;옵션1&gt;IGNITE + STAY FOREVER210207</t>
        </is>
      </c>
    </row>
    <row r="4690" ht="16.5" customHeight="1" s="17">
      <c r="B4690" s="16" t="n">
        <v>44266</v>
      </c>
      <c r="C4690" s="20" t="inlineStr">
        <is>
          <t>목</t>
        </is>
      </c>
      <c r="E4690" s="20" t="inlineStr">
        <is>
          <t>고체향수</t>
        </is>
      </c>
      <c r="F4690" s="20" t="inlineStr">
        <is>
          <t>스마트스토어</t>
        </is>
      </c>
      <c r="G4690" s="20" t="inlineStr">
        <is>
          <t>유즈 고체향수 세트(유즈 스테이포에버, 유즈 이그나이트)고체향수: 스테이포에버 1개 + 이그나이트 1개</t>
        </is>
      </c>
      <c r="H4690" s="20" t="n">
        <v>1</v>
      </c>
      <c r="I4690" s="20" t="inlineStr">
        <is>
          <t>이그나이트 + 스테이포에버</t>
        </is>
      </c>
      <c r="J4690" s="20" t="inlineStr">
        <is>
          <t>210207</t>
        </is>
      </c>
      <c r="L4690" s="20" t="n">
        <v>58800</v>
      </c>
      <c r="M4690" s="20" t="n">
        <v>55360.2</v>
      </c>
      <c r="N4690" s="20" t="n">
        <v>5345</v>
      </c>
      <c r="O4690" s="20" t="inlineStr">
        <is>
          <t>스마트스토어고체향수유즈 고체향수 세트(유즈 스테이포에버, 유즈 이그나이트)고체향수: 스테이포에버 1개 + 이그나이트 1개210207</t>
        </is>
      </c>
    </row>
    <row r="4691" ht="16.5" customHeight="1" s="17">
      <c r="B4691" s="16" t="n">
        <v>44266</v>
      </c>
      <c r="C4691" s="20" t="inlineStr">
        <is>
          <t>목</t>
        </is>
      </c>
      <c r="E4691" s="20" t="inlineStr">
        <is>
          <t>고체향수</t>
        </is>
      </c>
      <c r="F4691" s="20" t="inlineStr">
        <is>
          <t>스마트스토어</t>
        </is>
      </c>
      <c r="G4691" s="20" t="inlineStr">
        <is>
          <t>유즈 고체향수 세트(유즈 스테이포에버, 유즈 이그나이트)고체향수: 스테이포에버 2개</t>
        </is>
      </c>
      <c r="H4691" s="20" t="n">
        <v>1</v>
      </c>
      <c r="I4691" s="20" t="inlineStr">
        <is>
          <t>스테이포에버 2set</t>
        </is>
      </c>
      <c r="J4691" s="20" t="inlineStr">
        <is>
          <t>210207</t>
        </is>
      </c>
      <c r="L4691" s="20" t="n">
        <v>58800</v>
      </c>
      <c r="M4691" s="20" t="n">
        <v>57624</v>
      </c>
      <c r="N4691" s="20" t="n">
        <v>5184</v>
      </c>
      <c r="O4691" s="20" t="inlineStr">
        <is>
          <t>스마트스토어고체향수유즈 고체향수 세트(유즈 스테이포에버, 유즈 이그나이트)고체향수: 스테이포에버 2개210207</t>
        </is>
      </c>
    </row>
    <row r="4692" ht="16.5" customHeight="1" s="17">
      <c r="B4692" s="16" t="n">
        <v>44266</v>
      </c>
      <c r="C4692" s="20" t="inlineStr">
        <is>
          <t>목</t>
        </is>
      </c>
      <c r="E4692" s="20" t="inlineStr">
        <is>
          <t>고체향수</t>
        </is>
      </c>
      <c r="F4692" s="20" t="inlineStr">
        <is>
          <t>스마트스토어</t>
        </is>
      </c>
      <c r="G4692" s="20" t="inlineStr">
        <is>
          <t>유즈 고체향수 스테이포에버 002고체향수: 스테이포에버 1개</t>
        </is>
      </c>
      <c r="H4692" s="20" t="n">
        <v>20</v>
      </c>
      <c r="I4692" s="20" t="inlineStr">
        <is>
          <t>스테이포에버</t>
        </is>
      </c>
      <c r="J4692" s="20" t="inlineStr">
        <is>
          <t>210207</t>
        </is>
      </c>
      <c r="L4692" s="20" t="n">
        <v>680000</v>
      </c>
      <c r="M4692" s="20" t="n">
        <v>666400</v>
      </c>
      <c r="N4692" s="20" t="n">
        <v>51840</v>
      </c>
      <c r="O4692" s="20" t="inlineStr">
        <is>
          <t>스마트스토어고체향수유즈 고체향수 스테이포에버 002고체향수: 스테이포에버 1개210207</t>
        </is>
      </c>
    </row>
    <row r="4693" ht="16.5" customHeight="1" s="17">
      <c r="B4693" s="16" t="n">
        <v>44266</v>
      </c>
      <c r="C4693" s="20" t="inlineStr">
        <is>
          <t>목</t>
        </is>
      </c>
      <c r="E4693" s="20" t="inlineStr">
        <is>
          <t>고체향수</t>
        </is>
      </c>
      <c r="F4693" s="20" t="inlineStr">
        <is>
          <t>유즈 CS</t>
        </is>
      </c>
      <c r="G4693" s="20" t="inlineStr">
        <is>
          <t>솔리드퍼퓸 스테이포에버 002제품선택=best스테이포에버 2개[28% 할인]</t>
        </is>
      </c>
      <c r="H4693" s="20" t="n">
        <v>1</v>
      </c>
      <c r="I4693" s="20" t="inlineStr">
        <is>
          <t>스테이포에버 2set</t>
        </is>
      </c>
      <c r="J4693" s="20" t="inlineStr">
        <is>
          <t>210207</t>
        </is>
      </c>
      <c r="L4693" s="20">
        <f>VLOOKUP($O4693,매칭테이블!$G:$J,2,0)*H4693</f>
        <v/>
      </c>
      <c r="M4693" s="20">
        <f>L4693-L4693*VLOOKUP($O4693,매칭테이블!$G:$J,3,0)</f>
        <v/>
      </c>
      <c r="N4693" s="20">
        <f>VLOOKUP($O4693,매칭테이블!$G:$J,4,0)*H4693</f>
        <v/>
      </c>
      <c r="O4693" s="20">
        <f>F4693&amp;E4693&amp;G4693&amp;J4693</f>
        <v/>
      </c>
    </row>
    <row r="4694" ht="16.5" customHeight="1" s="17">
      <c r="B4694" s="16" t="n">
        <v>44266</v>
      </c>
      <c r="C4694" s="20" t="inlineStr">
        <is>
          <t>목</t>
        </is>
      </c>
      <c r="E4694" s="20" t="inlineStr">
        <is>
          <t>고체향수</t>
        </is>
      </c>
      <c r="F4694" s="20" t="inlineStr">
        <is>
          <t>카페24</t>
        </is>
      </c>
      <c r="G4694" s="20" t="inlineStr">
        <is>
          <t>솔리드퍼퓸 세트향=이그나이트 001 SOLID PERFUME, 세트 선택=1개</t>
        </is>
      </c>
      <c r="H4694" s="20" t="n">
        <v>1</v>
      </c>
      <c r="I4694" s="20" t="inlineStr">
        <is>
          <t>이그나이트</t>
        </is>
      </c>
      <c r="J4694" s="20" t="inlineStr">
        <is>
          <t>210207</t>
        </is>
      </c>
      <c r="L4694" s="20" t="n">
        <v>34000</v>
      </c>
      <c r="M4694" s="20" t="n">
        <v>32011</v>
      </c>
      <c r="N4694" s="20" t="n">
        <v>2753</v>
      </c>
      <c r="O4694" s="20" t="inlineStr">
        <is>
          <t>카페24고체향수솔리드퍼퓸 세트향=이그나이트 001 SOLID PERFUME, 세트 선택=1개210207</t>
        </is>
      </c>
    </row>
    <row r="4695" ht="16.5" customHeight="1" s="17">
      <c r="B4695" s="16" t="n">
        <v>44266</v>
      </c>
      <c r="C4695" s="20" t="inlineStr">
        <is>
          <t>목</t>
        </is>
      </c>
      <c r="E4695" s="20" t="inlineStr">
        <is>
          <t>고체향수</t>
        </is>
      </c>
      <c r="F4695" s="20" t="inlineStr">
        <is>
          <t>카페24</t>
        </is>
      </c>
      <c r="G4695" s="20" t="inlineStr">
        <is>
          <t>솔리드퍼퓸 세트향=이그나이트 001 SOLID PERFUME, 세트 선택=best 2개 (28% 할인)</t>
        </is>
      </c>
      <c r="H4695" s="20" t="n">
        <v>1</v>
      </c>
      <c r="I4695" s="20" t="inlineStr">
        <is>
          <t>이그나이트 2set</t>
        </is>
      </c>
      <c r="J4695" s="20" t="inlineStr">
        <is>
          <t>210207</t>
        </is>
      </c>
      <c r="L4695" s="20" t="n">
        <v>58800</v>
      </c>
      <c r="M4695" s="20" t="n">
        <v>55360.2</v>
      </c>
      <c r="N4695" s="20" t="n">
        <v>5506</v>
      </c>
      <c r="O4695" s="20" t="inlineStr">
        <is>
          <t>카페24고체향수솔리드퍼퓸 세트향=이그나이트 001 SOLID PERFUME, 세트 선택=best 2개 (28% 할인)210207</t>
        </is>
      </c>
    </row>
    <row r="4696" ht="16.5" customHeight="1" s="17">
      <c r="B4696" s="16" t="n">
        <v>44266</v>
      </c>
      <c r="C4696" s="20" t="inlineStr">
        <is>
          <t>목</t>
        </is>
      </c>
      <c r="E4696" s="20" t="inlineStr">
        <is>
          <t>고체향수</t>
        </is>
      </c>
      <c r="F4696" s="20" t="inlineStr">
        <is>
          <t>카페24</t>
        </is>
      </c>
      <c r="G4696" s="20" t="inlineStr">
        <is>
          <t>솔리드퍼퓸 세트향=스테이포에버 002 SOLID PERFUME, 세트 선택=1개</t>
        </is>
      </c>
      <c r="H4696" s="20" t="n">
        <v>7</v>
      </c>
      <c r="I4696" s="20" t="inlineStr">
        <is>
          <t>스테이포에버</t>
        </is>
      </c>
      <c r="J4696" s="20" t="inlineStr">
        <is>
          <t>210207</t>
        </is>
      </c>
      <c r="L4696" s="20" t="n">
        <v>238000</v>
      </c>
      <c r="M4696" s="20" t="n">
        <v>224077</v>
      </c>
      <c r="N4696" s="20" t="n">
        <v>18144</v>
      </c>
      <c r="O4696" s="20" t="inlineStr">
        <is>
          <t>카페24고체향수솔리드퍼퓸 세트향=스테이포에버 002 SOLID PERFUME, 세트 선택=1개210207</t>
        </is>
      </c>
    </row>
    <row r="4697" ht="16.5" customHeight="1" s="17">
      <c r="B4697" s="16" t="n">
        <v>44266</v>
      </c>
      <c r="C4697" s="20" t="inlineStr">
        <is>
          <t>목</t>
        </is>
      </c>
      <c r="E4697" s="20" t="inlineStr">
        <is>
          <t>고체향수</t>
        </is>
      </c>
      <c r="F4697" s="20" t="inlineStr">
        <is>
          <t>카페24</t>
        </is>
      </c>
      <c r="G4697" s="20" t="inlineStr">
        <is>
          <t>솔리드퍼퓸 세트향=스테이포에버 002 SOLID PERFUME, 세트 선택=best 2개 (28% 할인)</t>
        </is>
      </c>
      <c r="H4697" s="20" t="n">
        <v>8</v>
      </c>
      <c r="I4697" s="20" t="inlineStr">
        <is>
          <t>스테이포에버 2set</t>
        </is>
      </c>
      <c r="J4697" s="20" t="inlineStr">
        <is>
          <t>210207</t>
        </is>
      </c>
      <c r="L4697" s="20" t="n">
        <v>470400</v>
      </c>
      <c r="M4697" s="20" t="n">
        <v>442881.6</v>
      </c>
      <c r="N4697" s="20" t="n">
        <v>41472</v>
      </c>
      <c r="O4697" s="20" t="inlineStr">
        <is>
          <t>카페24고체향수솔리드퍼퓸 세트향=스테이포에버 002 SOLID PERFUME, 세트 선택=best 2개 (28% 할인)210207</t>
        </is>
      </c>
    </row>
    <row r="4698" ht="16.5" customHeight="1" s="17">
      <c r="B4698" s="16" t="n">
        <v>44266</v>
      </c>
      <c r="C4698" s="20" t="inlineStr">
        <is>
          <t>목</t>
        </is>
      </c>
      <c r="E4698" s="20" t="inlineStr">
        <is>
          <t>고체향수</t>
        </is>
      </c>
      <c r="F4698" s="20" t="inlineStr">
        <is>
          <t>카페24</t>
        </is>
      </c>
      <c r="G4698" s="20" t="inlineStr">
        <is>
          <t>솔리드퍼퓸 세트향=커플세트(이그나이트 + 스테이포에버), 세트 선택=1 SET</t>
        </is>
      </c>
      <c r="H4698" s="20" t="n">
        <v>13</v>
      </c>
      <c r="I4698" s="20" t="inlineStr">
        <is>
          <t>이그나이트 + 스테이포에버</t>
        </is>
      </c>
      <c r="J4698" s="20" t="inlineStr">
        <is>
          <t>210207</t>
        </is>
      </c>
      <c r="L4698" s="20" t="n">
        <v>764400</v>
      </c>
      <c r="M4698" s="20" t="n">
        <v>719682.6</v>
      </c>
      <c r="N4698" s="20" t="n">
        <v>69485</v>
      </c>
      <c r="O4698" s="20" t="inlineStr">
        <is>
          <t>카페24고체향수솔리드퍼퓸 세트향=커플세트(이그나이트 + 스테이포에버), 세트 선택=1 SET210207</t>
        </is>
      </c>
    </row>
    <row r="4699" ht="16.5" customHeight="1" s="17">
      <c r="B4699" s="16" t="n">
        <v>44266</v>
      </c>
      <c r="C4699" s="20" t="inlineStr">
        <is>
          <t>목</t>
        </is>
      </c>
      <c r="E4699" s="20" t="inlineStr">
        <is>
          <t>고체향수</t>
        </is>
      </c>
      <c r="F4699" s="20" t="inlineStr">
        <is>
          <t>카페24</t>
        </is>
      </c>
      <c r="G4699" s="20" t="inlineStr">
        <is>
          <t>솔리드퍼퓸 세트향=커플세트(이그나이트 + 스테이포에버), 세트 선택=2 SET (42% 할인)</t>
        </is>
      </c>
      <c r="H4699" s="20" t="n">
        <v>1</v>
      </c>
      <c r="I4699" s="20" t="inlineStr">
        <is>
          <t>이그나이트 + 스테이포에버</t>
        </is>
      </c>
      <c r="J4699" s="20" t="inlineStr">
        <is>
          <t>210207</t>
        </is>
      </c>
      <c r="L4699" s="20" t="n">
        <v>58800</v>
      </c>
      <c r="M4699" s="20" t="n">
        <v>55360.2</v>
      </c>
      <c r="N4699" s="20" t="n">
        <v>5345</v>
      </c>
      <c r="O4699" s="20" t="inlineStr">
        <is>
          <t>카페24고체향수솔리드퍼퓸 세트향=커플세트(이그나이트 + 스테이포에버), 세트 선택=2 SET (42% 할인)210207</t>
        </is>
      </c>
    </row>
    <row r="4700" ht="16.5" customHeight="1" s="17">
      <c r="B4700" s="16" t="n">
        <v>44266</v>
      </c>
      <c r="C4700" s="20" t="inlineStr">
        <is>
          <t>목</t>
        </is>
      </c>
      <c r="E4700" s="20" t="inlineStr">
        <is>
          <t>고체향수</t>
        </is>
      </c>
      <c r="F4700" s="20" t="inlineStr">
        <is>
          <t>카페24</t>
        </is>
      </c>
      <c r="G4700" s="20" t="inlineStr">
        <is>
          <t>솔리드퍼퓸 스테이포에버 002제품선택=스테이포에버 1개</t>
        </is>
      </c>
      <c r="H4700" s="20" t="n">
        <v>163</v>
      </c>
      <c r="I4700" s="20" t="inlineStr">
        <is>
          <t>스테이포에버</t>
        </is>
      </c>
      <c r="J4700" s="20" t="inlineStr">
        <is>
          <t>210207</t>
        </is>
      </c>
      <c r="L4700" s="20" t="n">
        <v>5542000</v>
      </c>
      <c r="M4700" s="20" t="n">
        <v>5217793</v>
      </c>
      <c r="N4700" s="20" t="n">
        <v>422496</v>
      </c>
      <c r="O4700" s="20" t="inlineStr">
        <is>
          <t>카페24고체향수솔리드퍼퓸 스테이포에버 002제품선택=스테이포에버 1개210207</t>
        </is>
      </c>
    </row>
    <row r="4701" ht="16.5" customHeight="1" s="17">
      <c r="B4701" s="16" t="n">
        <v>44266</v>
      </c>
      <c r="C4701" s="20" t="inlineStr">
        <is>
          <t>목</t>
        </is>
      </c>
      <c r="E4701" s="20" t="inlineStr">
        <is>
          <t>고체향수</t>
        </is>
      </c>
      <c r="F4701" s="20" t="inlineStr">
        <is>
          <t>카페24</t>
        </is>
      </c>
      <c r="G4701" s="20" t="inlineStr">
        <is>
          <t>솔리드퍼퓸 스테이포에버 002제품선택=best스테이포에버 2개[28% 할인]</t>
        </is>
      </c>
      <c r="H4701" s="20" t="n">
        <v>78</v>
      </c>
      <c r="I4701" s="20" t="inlineStr">
        <is>
          <t>스테이포에버 2set</t>
        </is>
      </c>
      <c r="J4701" s="20" t="inlineStr">
        <is>
          <t>210207</t>
        </is>
      </c>
      <c r="L4701" s="20" t="n">
        <v>4586400</v>
      </c>
      <c r="M4701" s="20" t="n">
        <v>4318095.6</v>
      </c>
      <c r="N4701" s="20" t="n">
        <v>404352</v>
      </c>
      <c r="O4701" s="20" t="inlineStr">
        <is>
          <t>카페24고체향수솔리드퍼퓸 스테이포에버 002제품선택=best스테이포에버 2개[28% 할인]210207</t>
        </is>
      </c>
    </row>
    <row r="4702" ht="16.5" customHeight="1" s="17">
      <c r="B4702" s="16" t="n">
        <v>44266</v>
      </c>
      <c r="C4702" s="20" t="inlineStr">
        <is>
          <t>목</t>
        </is>
      </c>
      <c r="E4702" s="20" t="inlineStr">
        <is>
          <t>고체향수</t>
        </is>
      </c>
      <c r="F4702" s="20" t="inlineStr">
        <is>
          <t>카페24</t>
        </is>
      </c>
      <c r="G4702" s="20" t="inlineStr">
        <is>
          <t>솔리드퍼퓸 스테이포에버 002제품선택=커플추천스테이포에버 + 이그나이트 세트</t>
        </is>
      </c>
      <c r="H4702" s="20" t="n">
        <v>11</v>
      </c>
      <c r="I4702" s="20" t="inlineStr">
        <is>
          <t>이그나이트 + 스테이포에버</t>
        </is>
      </c>
      <c r="J4702" s="20" t="inlineStr">
        <is>
          <t>210207</t>
        </is>
      </c>
      <c r="L4702" s="20" t="n">
        <v>646800</v>
      </c>
      <c r="M4702" s="20" t="n">
        <v>608962.2</v>
      </c>
      <c r="N4702" s="20" t="n">
        <v>58795</v>
      </c>
      <c r="O4702" s="20" t="inlineStr">
        <is>
          <t>카페24고체향수솔리드퍼퓸 스테이포에버 002제품선택=커플추천스테이포에버 + 이그나이트 세트210207</t>
        </is>
      </c>
    </row>
    <row r="4703" ht="16.5" customHeight="1" s="17">
      <c r="B4703" s="16" t="n">
        <v>44266</v>
      </c>
      <c r="C4703" s="20" t="inlineStr">
        <is>
          <t>목</t>
        </is>
      </c>
      <c r="E4703" s="20" t="inlineStr">
        <is>
          <t>쇼핑백</t>
        </is>
      </c>
      <c r="F4703" s="20" t="inlineStr">
        <is>
          <t>카페24</t>
        </is>
      </c>
      <c r="G4703" s="20" t="inlineStr">
        <is>
          <t>솔리드퍼퓸 스테이포에버 002쇼핑백=선물용 쇼핑백</t>
        </is>
      </c>
      <c r="H4703" s="20" t="n">
        <v>7</v>
      </c>
      <c r="I4703" s="20" t="inlineStr">
        <is>
          <t>쇼핑백</t>
        </is>
      </c>
      <c r="J4703" s="20" t="inlineStr">
        <is>
          <t>210207</t>
        </is>
      </c>
      <c r="L4703" s="20" t="n">
        <v>14000</v>
      </c>
      <c r="M4703" s="20" t="n">
        <v>13181</v>
      </c>
      <c r="N4703" s="20" t="n">
        <v>5810</v>
      </c>
      <c r="O4703" s="20" t="inlineStr">
        <is>
          <t>카페24쇼핑백솔리드퍼퓸 스테이포에버 002쇼핑백=선물용 쇼핑백210207</t>
        </is>
      </c>
    </row>
    <row r="4704" ht="16.5" customHeight="1" s="17">
      <c r="B4704" s="16" t="n">
        <v>44266</v>
      </c>
      <c r="C4704" s="20" t="inlineStr">
        <is>
          <t>목</t>
        </is>
      </c>
      <c r="E4704" s="20" t="inlineStr">
        <is>
          <t>고체향수</t>
        </is>
      </c>
      <c r="F4704" s="20" t="inlineStr">
        <is>
          <t>카페24</t>
        </is>
      </c>
      <c r="G4704" s="20" t="inlineStr">
        <is>
          <t>솔리드퍼퓸 이그나이트 001제품선택=이그나이트 솔리드퍼퓸 - 30ml</t>
        </is>
      </c>
      <c r="H4704" s="20" t="n">
        <v>2</v>
      </c>
      <c r="I4704" s="20" t="inlineStr">
        <is>
          <t>이그나이트</t>
        </is>
      </c>
      <c r="J4704" s="20" t="inlineStr">
        <is>
          <t>210207</t>
        </is>
      </c>
      <c r="L4704" s="20" t="n">
        <v>68000</v>
      </c>
      <c r="M4704" s="20" t="n">
        <v>64022</v>
      </c>
      <c r="N4704" s="20" t="n">
        <v>5506</v>
      </c>
      <c r="O4704" s="20" t="inlineStr">
        <is>
          <t>카페24고체향수솔리드퍼퓸 이그나이트 001제품선택=이그나이트 솔리드퍼퓸 - 30ml210207</t>
        </is>
      </c>
    </row>
    <row r="4705" ht="16.5" customHeight="1" s="17">
      <c r="B4705" s="16" t="n">
        <v>44266</v>
      </c>
      <c r="C4705" s="20" t="inlineStr">
        <is>
          <t>목</t>
        </is>
      </c>
      <c r="D4705" s="20" t="inlineStr">
        <is>
          <t>네이버 배너(대행사)</t>
        </is>
      </c>
      <c r="K4705" s="20">
        <f>499849/1.1</f>
        <v/>
      </c>
    </row>
    <row r="4706" ht="16.5" customHeight="1" s="17"/>
    <row r="4707" ht="16.5" customHeight="1" s="17"/>
    <row r="4708" ht="16.5" customHeight="1" s="17"/>
    <row r="4709" ht="16.5" customHeight="1" s="17"/>
    <row r="4710" ht="16.5" customHeight="1" s="17"/>
    <row r="4711" ht="16.5" customHeight="1" s="17"/>
    <row r="4712" ht="16.5" customHeight="1" s="17"/>
    <row r="4713" ht="16.5" customHeight="1" s="17"/>
    <row r="4714" ht="16.5" customHeight="1" s="17"/>
    <row r="4715" ht="16.5" customHeight="1" s="17"/>
    <row r="4716" ht="16.5" customHeight="1" s="17"/>
    <row r="4717" ht="16.5" customHeight="1" s="17"/>
    <row r="4718" ht="16.5" customHeight="1" s="17"/>
    <row r="4719" ht="16.5" customHeight="1" s="17"/>
    <row r="4720" ht="16.5" customHeight="1" s="17"/>
    <row r="4721" ht="16.5" customHeight="1" s="17"/>
    <row r="4722" ht="16.5" customHeight="1" s="17"/>
    <row r="4723" ht="16.5" customHeight="1" s="17"/>
    <row r="4724" ht="16.5" customHeight="1" s="17"/>
    <row r="4725" ht="16.5" customHeight="1" s="17"/>
    <row r="4743" ht="16.5" customHeight="1" s="17"/>
    <row r="4744" ht="16.5" customHeight="1" s="17"/>
    <row r="4745" ht="16.5" customHeight="1" s="17">
      <c r="A4745" s="20" t="inlineStr">
        <is>
          <t>[유튜버 수지큐]스테이포에버_카드뉴스</t>
        </is>
      </c>
      <c r="B4745" s="16" t="n">
        <v>44270</v>
      </c>
      <c r="C4745" s="20" t="inlineStr">
        <is>
          <t>월</t>
        </is>
      </c>
      <c r="D4745" s="20" t="inlineStr">
        <is>
          <t>페이스북/인스타그램</t>
        </is>
      </c>
      <c r="E4745" s="20" t="inlineStr">
        <is>
          <t>고체향수</t>
        </is>
      </c>
      <c r="K4745" s="20" t="n">
        <v>53722</v>
      </c>
    </row>
    <row r="4746" ht="16.5" customHeight="1" s="17">
      <c r="A4746" s="20" t="inlineStr">
        <is>
          <t>[성민 TEST] 선물세트_이미지</t>
        </is>
      </c>
      <c r="B4746" s="16" t="n">
        <v>44270</v>
      </c>
      <c r="C4746" s="20" t="inlineStr">
        <is>
          <t>월</t>
        </is>
      </c>
      <c r="D4746" s="20" t="inlineStr">
        <is>
          <t>페이스북/인스타그램</t>
        </is>
      </c>
      <c r="E4746" s="20" t="inlineStr">
        <is>
          <t>고체향수</t>
        </is>
      </c>
      <c r="K4746" s="20" t="n">
        <v>11985</v>
      </c>
    </row>
    <row r="4747" ht="16.5" customHeight="1" s="17">
      <c r="A4747" s="20" t="inlineStr">
        <is>
          <t>[승무원]수지큐2차활용_스테이포에버_이미지</t>
        </is>
      </c>
      <c r="B4747" s="16" t="n">
        <v>44270</v>
      </c>
      <c r="C4747" s="20" t="inlineStr">
        <is>
          <t>월</t>
        </is>
      </c>
      <c r="D4747" s="20" t="inlineStr">
        <is>
          <t>페이스북/인스타그램</t>
        </is>
      </c>
      <c r="E4747" s="20" t="inlineStr">
        <is>
          <t>고체향수</t>
        </is>
      </c>
      <c r="K4747" s="20" t="n">
        <v>48717</v>
      </c>
    </row>
    <row r="4748" ht="16.5" customHeight="1" s="17">
      <c r="A4748" s="20" t="inlineStr">
        <is>
          <t>[다현 TEST] 스테이포에버_유즈모먼트</t>
        </is>
      </c>
      <c r="B4748" s="16" t="n">
        <v>44270</v>
      </c>
      <c r="C4748" s="20" t="inlineStr">
        <is>
          <t>월</t>
        </is>
      </c>
      <c r="D4748" s="20" t="inlineStr">
        <is>
          <t>페이스북/인스타그램</t>
        </is>
      </c>
      <c r="E4748" s="20" t="inlineStr">
        <is>
          <t>고체향수</t>
        </is>
      </c>
      <c r="K4748" s="20" t="n">
        <v>56997</v>
      </c>
    </row>
    <row r="4749" ht="16.5" customHeight="1" s="17">
      <c r="A4749" s="20" t="inlineStr">
        <is>
          <t>[성민 TEST] 스테이포에버_이미지</t>
        </is>
      </c>
      <c r="B4749" s="16" t="n">
        <v>44270</v>
      </c>
      <c r="C4749" s="20" t="inlineStr">
        <is>
          <t>월</t>
        </is>
      </c>
      <c r="D4749" s="20" t="inlineStr">
        <is>
          <t>페이스북/인스타그램</t>
        </is>
      </c>
      <c r="E4749" s="20" t="inlineStr">
        <is>
          <t>고체향수</t>
        </is>
      </c>
      <c r="K4749" s="20" t="n">
        <v>37175</v>
      </c>
    </row>
    <row r="4750" ht="16.5" customHeight="1" s="17">
      <c r="A4750" s="20" t="inlineStr">
        <is>
          <t>[승은 TEST] 스테이포에버_카드뉴스</t>
        </is>
      </c>
      <c r="B4750" s="16" t="n">
        <v>44270</v>
      </c>
      <c r="C4750" s="20" t="inlineStr">
        <is>
          <t>월</t>
        </is>
      </c>
      <c r="D4750" s="20" t="inlineStr">
        <is>
          <t>페이스북/인스타그램</t>
        </is>
      </c>
      <c r="E4750" s="20" t="inlineStr">
        <is>
          <t>고체향수</t>
        </is>
      </c>
      <c r="K4750" s="20" t="n">
        <v>57761</v>
      </c>
    </row>
    <row r="4751" ht="16.5" customHeight="1" s="17">
      <c r="A4751" s="20" t="inlineStr">
        <is>
          <t>[승무원 2] 스테이포에버_카드뉴스</t>
        </is>
      </c>
      <c r="B4751" s="16" t="n">
        <v>44270</v>
      </c>
      <c r="C4751" s="20" t="inlineStr">
        <is>
          <t>월</t>
        </is>
      </c>
      <c r="D4751" s="20" t="inlineStr">
        <is>
          <t>페이스북/인스타그램</t>
        </is>
      </c>
      <c r="E4751" s="20" t="inlineStr">
        <is>
          <t>고체향수</t>
        </is>
      </c>
      <c r="K4751" s="20" t="n">
        <v>192967</v>
      </c>
    </row>
    <row r="4752" ht="16.5" customHeight="1" s="17">
      <c r="A4752" s="20" t="inlineStr">
        <is>
          <t>[테스트]아줌마</t>
        </is>
      </c>
      <c r="B4752" s="16" t="n">
        <v>44270</v>
      </c>
      <c r="C4752" s="20" t="inlineStr">
        <is>
          <t>월</t>
        </is>
      </c>
      <c r="D4752" s="20" t="inlineStr">
        <is>
          <t>페이스북/인스타그램</t>
        </is>
      </c>
      <c r="E4752" s="20" t="inlineStr">
        <is>
          <t>고체향수</t>
        </is>
      </c>
      <c r="K4752" s="20" t="n">
        <v>153316</v>
      </c>
    </row>
    <row r="4753" ht="16.5" customHeight="1" s="17">
      <c r="A4753" s="20" t="inlineStr">
        <is>
          <t>[키워드 확장 테스트]스테이포에버_이미지</t>
        </is>
      </c>
      <c r="B4753" s="16" t="n">
        <v>44270</v>
      </c>
      <c r="C4753" s="20" t="inlineStr">
        <is>
          <t>월</t>
        </is>
      </c>
      <c r="D4753" s="20" t="inlineStr">
        <is>
          <t>페이스북/인스타그램</t>
        </is>
      </c>
      <c r="E4753" s="20" t="inlineStr">
        <is>
          <t>고체향수</t>
        </is>
      </c>
      <c r="K4753" s="20" t="n">
        <v>154885</v>
      </c>
    </row>
    <row r="4754" ht="16.5" customHeight="1" s="17">
      <c r="A4754" s="20" t="inlineStr">
        <is>
          <t>[재입고]스테이포에버_이미지</t>
        </is>
      </c>
      <c r="B4754" s="16" t="n">
        <v>44270</v>
      </c>
      <c r="C4754" s="20" t="inlineStr">
        <is>
          <t>월</t>
        </is>
      </c>
      <c r="D4754" s="20" t="inlineStr">
        <is>
          <t>페이스북/인스타그램</t>
        </is>
      </c>
      <c r="E4754" s="20" t="inlineStr">
        <is>
          <t>고체향수</t>
        </is>
      </c>
      <c r="K4754" s="20" t="n">
        <v>48166</v>
      </c>
    </row>
    <row r="4755" ht="16.5" customHeight="1" s="17">
      <c r="A4755" s="20" t="inlineStr">
        <is>
          <t>[승무원]숏폼_영상</t>
        </is>
      </c>
      <c r="B4755" s="16" t="n">
        <v>44270</v>
      </c>
      <c r="C4755" s="20" t="inlineStr">
        <is>
          <t>월</t>
        </is>
      </c>
      <c r="D4755" s="20" t="inlineStr">
        <is>
          <t>페이스북/인스타그램</t>
        </is>
      </c>
      <c r="E4755" s="20" t="inlineStr">
        <is>
          <t>고체향수</t>
        </is>
      </c>
      <c r="K4755" s="20" t="n">
        <v>95429</v>
      </c>
    </row>
    <row r="4756" ht="16.5" customHeight="1" s="17">
      <c r="A4756" s="20" t="inlineStr">
        <is>
          <t>[재입고]스테이포에버_영상</t>
        </is>
      </c>
      <c r="B4756" s="16" t="n">
        <v>44270</v>
      </c>
      <c r="C4756" s="20" t="inlineStr">
        <is>
          <t>월</t>
        </is>
      </c>
      <c r="D4756" s="20" t="inlineStr">
        <is>
          <t>페이스북/인스타그램</t>
        </is>
      </c>
      <c r="E4756" s="20" t="inlineStr">
        <is>
          <t>고체향수</t>
        </is>
      </c>
      <c r="K4756" s="20" t="n">
        <v>48281</v>
      </c>
    </row>
    <row r="4757" ht="16.5" customHeight="1" s="17">
      <c r="A4757" s="20" t="inlineStr">
        <is>
          <t>[젊줌마]스테이포에버_영상</t>
        </is>
      </c>
      <c r="B4757" s="16" t="n">
        <v>44270</v>
      </c>
      <c r="C4757" s="20" t="inlineStr">
        <is>
          <t>월</t>
        </is>
      </c>
      <c r="D4757" s="20" t="inlineStr">
        <is>
          <t>페이스북/인스타그램</t>
        </is>
      </c>
      <c r="E4757" s="20" t="inlineStr">
        <is>
          <t>고체향수</t>
        </is>
      </c>
      <c r="K4757" s="20" t="n">
        <v>96460</v>
      </c>
    </row>
    <row r="4758" ht="16.5" customHeight="1" s="17">
      <c r="A4758" s="20" t="inlineStr">
        <is>
          <t>[이성소구]스테이포에버_영상</t>
        </is>
      </c>
      <c r="B4758" s="16" t="n">
        <v>44270</v>
      </c>
      <c r="C4758" s="20" t="inlineStr">
        <is>
          <t>월</t>
        </is>
      </c>
      <c r="D4758" s="20" t="inlineStr">
        <is>
          <t>페이스북/인스타그램</t>
        </is>
      </c>
      <c r="E4758" s="20" t="inlineStr">
        <is>
          <t>고체향수</t>
        </is>
      </c>
      <c r="K4758" s="20" t="n">
        <v>31345</v>
      </c>
    </row>
    <row r="4759" ht="16.5" customHeight="1" s="17">
      <c r="A4759" s="20" t="inlineStr">
        <is>
          <t>[승무원]2019년썰 카드뉴스+ 향묘사_영상</t>
        </is>
      </c>
      <c r="B4759" s="16" t="n">
        <v>44270</v>
      </c>
      <c r="C4759" s="20" t="inlineStr">
        <is>
          <t>월</t>
        </is>
      </c>
      <c r="D4759" s="20" t="inlineStr">
        <is>
          <t>페이스북/인스타그램</t>
        </is>
      </c>
      <c r="E4759" s="20" t="inlineStr">
        <is>
          <t>고체향수</t>
        </is>
      </c>
      <c r="K4759" s="20" t="n">
        <v>67511</v>
      </c>
    </row>
    <row r="4760" ht="16.5" customHeight="1" s="17">
      <c r="A4760" s="20" t="inlineStr">
        <is>
          <t>[승무원어피]스테이포에버_이미지</t>
        </is>
      </c>
      <c r="B4760" s="16" t="n">
        <v>44270</v>
      </c>
      <c r="C4760" s="20" t="inlineStr">
        <is>
          <t>월</t>
        </is>
      </c>
      <c r="D4760" s="20" t="inlineStr">
        <is>
          <t>페이스북/인스타그램</t>
        </is>
      </c>
      <c r="E4760" s="20" t="inlineStr">
        <is>
          <t>고체향수</t>
        </is>
      </c>
      <c r="K4760" s="20" t="n">
        <v>144557</v>
      </c>
    </row>
    <row r="4761" ht="16.5" customHeight="1" s="17">
      <c r="A4761" s="20" t="inlineStr">
        <is>
          <t>[다현]스테이포에버_이미지</t>
        </is>
      </c>
      <c r="B4761" s="16" t="n">
        <v>44270</v>
      </c>
      <c r="C4761" s="20" t="inlineStr">
        <is>
          <t>월</t>
        </is>
      </c>
      <c r="D4761" s="20" t="inlineStr">
        <is>
          <t>페이스북/인스타그램</t>
        </is>
      </c>
      <c r="E4761" s="20" t="inlineStr">
        <is>
          <t>고체향수</t>
        </is>
      </c>
      <c r="K4761" s="20" t="n">
        <v>192910</v>
      </c>
    </row>
    <row r="4762" ht="16.5" customHeight="1" s="17">
      <c r="A4762" s="20" t="inlineStr">
        <is>
          <t>[승무원]스테이포에버_카드뉴스</t>
        </is>
      </c>
      <c r="B4762" s="16" t="n">
        <v>44270</v>
      </c>
      <c r="C4762" s="20" t="inlineStr">
        <is>
          <t>월</t>
        </is>
      </c>
      <c r="D4762" s="20" t="inlineStr">
        <is>
          <t>페이스북/인스타그램</t>
        </is>
      </c>
      <c r="E4762" s="20" t="inlineStr">
        <is>
          <t>고체향수</t>
        </is>
      </c>
      <c r="K4762" s="20" t="n">
        <v>192346</v>
      </c>
    </row>
    <row r="4763" ht="16.5" customHeight="1" s="17">
      <c r="A4763" s="20" t="inlineStr">
        <is>
          <t>[후기타입]스테이포에버_영상</t>
        </is>
      </c>
      <c r="B4763" s="16" t="n">
        <v>44270</v>
      </c>
      <c r="C4763" s="20" t="inlineStr">
        <is>
          <t>월</t>
        </is>
      </c>
      <c r="D4763" s="20" t="inlineStr">
        <is>
          <t>페이스북/인스타그램</t>
        </is>
      </c>
      <c r="E4763" s="20" t="inlineStr">
        <is>
          <t>고체향수</t>
        </is>
      </c>
      <c r="K4763" s="20" t="n">
        <v>144446</v>
      </c>
    </row>
    <row r="4764" ht="16.5" customHeight="1" s="17">
      <c r="A4764" s="20" t="inlineStr">
        <is>
          <t>전환_스테이포에버</t>
        </is>
      </c>
      <c r="B4764" s="16" t="n">
        <v>44270</v>
      </c>
      <c r="C4764" s="20" t="inlineStr">
        <is>
          <t>월</t>
        </is>
      </c>
      <c r="D4764" s="20" t="inlineStr">
        <is>
          <t>페이스북/인스타그램</t>
        </is>
      </c>
      <c r="E4764" s="20" t="inlineStr">
        <is>
          <t>고체향수</t>
        </is>
      </c>
      <c r="K4764" s="20" t="n">
        <v>93575</v>
      </c>
    </row>
    <row r="4765" ht="16.5" customHeight="1" s="17">
      <c r="A4765" s="20" t="inlineStr">
        <is>
          <t>[권태기커플]스테이포에버_영상</t>
        </is>
      </c>
      <c r="B4765" s="16" t="n">
        <v>44270</v>
      </c>
      <c r="C4765" s="20" t="inlineStr">
        <is>
          <t>월</t>
        </is>
      </c>
      <c r="D4765" s="20" t="inlineStr">
        <is>
          <t>페이스북/인스타그램</t>
        </is>
      </c>
      <c r="E4765" s="20" t="inlineStr">
        <is>
          <t>고체향수</t>
        </is>
      </c>
      <c r="K4765" s="20" t="n">
        <v>144292</v>
      </c>
    </row>
    <row r="4766" ht="16.5" customHeight="1" s="17">
      <c r="A4766" s="20" t="inlineStr">
        <is>
          <t>동영상캠페인_승무원_2019년썰(cpa)</t>
        </is>
      </c>
      <c r="B4766" s="16" t="n">
        <v>44270</v>
      </c>
      <c r="C4766" s="20" t="inlineStr">
        <is>
          <t>월</t>
        </is>
      </c>
      <c r="D4766" s="20" t="inlineStr">
        <is>
          <t>유튜브 광고</t>
        </is>
      </c>
      <c r="E4766" s="20" t="inlineStr">
        <is>
          <t>고체향수</t>
        </is>
      </c>
      <c r="K4766" s="20" t="n">
        <v>1428</v>
      </c>
    </row>
    <row r="4767" ht="16.5" customHeight="1" s="17">
      <c r="A4767" s="20" t="inlineStr">
        <is>
          <t>웹사이트 트래픽 서치</t>
        </is>
      </c>
      <c r="B4767" s="16" t="n">
        <v>44270</v>
      </c>
      <c r="C4767" s="20" t="inlineStr">
        <is>
          <t>월</t>
        </is>
      </c>
      <c r="D4767" s="20" t="inlineStr">
        <is>
          <t>유튜브 광고</t>
        </is>
      </c>
      <c r="E4767" s="20" t="inlineStr">
        <is>
          <t>고체향수</t>
        </is>
      </c>
      <c r="K4767" s="20" t="n">
        <v>31493</v>
      </c>
    </row>
    <row r="4768" ht="16.5" customHeight="1" s="17">
      <c r="A4768" s="20" t="inlineStr">
        <is>
          <t>동영상캠페인_승무원_보이는 라디오(cpa)</t>
        </is>
      </c>
      <c r="B4768" s="16" t="n">
        <v>44270</v>
      </c>
      <c r="C4768" s="20" t="inlineStr">
        <is>
          <t>월</t>
        </is>
      </c>
      <c r="D4768" s="20" t="inlineStr">
        <is>
          <t>유튜브 광고</t>
        </is>
      </c>
      <c r="E4768" s="20" t="inlineStr">
        <is>
          <t>고체향수</t>
        </is>
      </c>
      <c r="K4768" s="20" t="n">
        <v>3212</v>
      </c>
    </row>
    <row r="4769" ht="16.5" customHeight="1" s="17">
      <c r="A4769" s="20" t="inlineStr">
        <is>
          <t>디스커버리 배너_승무원,할인_리마케팅</t>
        </is>
      </c>
      <c r="B4769" s="16" t="n">
        <v>44270</v>
      </c>
      <c r="C4769" s="20" t="inlineStr">
        <is>
          <t>월</t>
        </is>
      </c>
      <c r="D4769" s="20" t="inlineStr">
        <is>
          <t>유튜브 광고</t>
        </is>
      </c>
      <c r="E4769" s="20" t="inlineStr">
        <is>
          <t>고체향수</t>
        </is>
      </c>
      <c r="K4769" s="20" t="n">
        <v>418818</v>
      </c>
    </row>
    <row r="4770" ht="16.5" customHeight="1" s="17">
      <c r="A4770" s="20" t="inlineStr">
        <is>
          <t>동영상캠페인_승무원_써니스카이</t>
        </is>
      </c>
      <c r="B4770" s="16" t="n">
        <v>44270</v>
      </c>
      <c r="C4770" s="20" t="inlineStr">
        <is>
          <t>월</t>
        </is>
      </c>
      <c r="D4770" s="20" t="inlineStr">
        <is>
          <t>유튜브 광고</t>
        </is>
      </c>
      <c r="E4770" s="20" t="inlineStr">
        <is>
          <t>고체향수</t>
        </is>
      </c>
      <c r="K4770" s="20" t="n">
        <v>523248</v>
      </c>
    </row>
    <row r="4771" ht="16.5" customHeight="1" s="17">
      <c r="A4771" s="20" t="inlineStr">
        <is>
          <t>동영상캠페인_필라테스_자기관리(타겟 cpa)</t>
        </is>
      </c>
      <c r="B4771" s="16" t="n">
        <v>44270</v>
      </c>
      <c r="C4771" s="20" t="inlineStr">
        <is>
          <t>월</t>
        </is>
      </c>
      <c r="D4771" s="20" t="inlineStr">
        <is>
          <t>유튜브 광고</t>
        </is>
      </c>
      <c r="E4771" s="20" t="inlineStr">
        <is>
          <t>고체향수</t>
        </is>
      </c>
      <c r="K4771" s="20" t="n">
        <v>364016</v>
      </c>
    </row>
    <row r="4772" ht="16.5" customHeight="1" s="17">
      <c r="A4772" s="20" t="inlineStr">
        <is>
          <t>동영상캠페인_승무원_비누향 나는 승무원에게(cpa)</t>
        </is>
      </c>
      <c r="B4772" s="16" t="n">
        <v>44270</v>
      </c>
      <c r="C4772" s="20" t="inlineStr">
        <is>
          <t>월</t>
        </is>
      </c>
      <c r="D4772" s="20" t="inlineStr">
        <is>
          <t>유튜브 광고</t>
        </is>
      </c>
      <c r="E4772" s="20" t="inlineStr">
        <is>
          <t>고체향수</t>
        </is>
      </c>
      <c r="K4772" s="20" t="n">
        <v>3117</v>
      </c>
    </row>
    <row r="4773" ht="16.5" customHeight="1" s="17">
      <c r="A4773" s="20" t="inlineStr">
        <is>
          <t>동영상캠페인_유즈모먼트_2차_30대 여성 회사원(cpa)</t>
        </is>
      </c>
      <c r="B4773" s="16" t="n">
        <v>44270</v>
      </c>
      <c r="C4773" s="20" t="inlineStr">
        <is>
          <t>월</t>
        </is>
      </c>
      <c r="D4773" s="20" t="inlineStr">
        <is>
          <t>유튜브 광고</t>
        </is>
      </c>
      <c r="E4773" s="20" t="inlineStr">
        <is>
          <t>고체향수</t>
        </is>
      </c>
      <c r="K4773" s="20" t="n">
        <v>291344</v>
      </c>
    </row>
    <row r="4774" ht="16.5" customHeight="1" s="17">
      <c r="A4774" s="20" t="inlineStr">
        <is>
          <t>동영상캠페인_유즈모먼트_조향사 친구(cpa)</t>
        </is>
      </c>
      <c r="B4774" s="16" t="n">
        <v>44270</v>
      </c>
      <c r="C4774" s="20" t="inlineStr">
        <is>
          <t>월</t>
        </is>
      </c>
      <c r="D4774" s="20" t="inlineStr">
        <is>
          <t>유튜브 광고</t>
        </is>
      </c>
      <c r="E4774" s="20" t="inlineStr">
        <is>
          <t>고체향수</t>
        </is>
      </c>
      <c r="K4774" s="20" t="n">
        <v>110231</v>
      </c>
    </row>
    <row r="4775" ht="16.5" customHeight="1" s="17">
      <c r="A4775" s="20" t="inlineStr">
        <is>
          <t>동영상 캠페인_유튜버 수지큐 2차활용</t>
        </is>
      </c>
      <c r="B4775" s="16" t="n">
        <v>44270</v>
      </c>
      <c r="C4775" s="20" t="inlineStr">
        <is>
          <t>월</t>
        </is>
      </c>
      <c r="D4775" s="20" t="inlineStr">
        <is>
          <t>유튜브 광고</t>
        </is>
      </c>
      <c r="E4775" s="20" t="inlineStr">
        <is>
          <t>고체향수</t>
        </is>
      </c>
      <c r="K4775" s="20" t="n">
        <v>104539</v>
      </c>
    </row>
    <row r="4776" ht="16.5" customHeight="1" s="17">
      <c r="A4776" s="20" t="inlineStr">
        <is>
          <t>쇼핑검색_고체향수</t>
        </is>
      </c>
      <c r="B4776" s="16" t="n">
        <v>44270</v>
      </c>
      <c r="C4776" s="20" t="inlineStr">
        <is>
          <t>월</t>
        </is>
      </c>
      <c r="D4776" s="20" t="inlineStr">
        <is>
          <t>네이버 쇼핑검색</t>
        </is>
      </c>
      <c r="E4776" s="20" t="inlineStr">
        <is>
          <t>고체향수</t>
        </is>
      </c>
      <c r="K4776" s="20" t="n">
        <v>2070</v>
      </c>
    </row>
    <row r="4777" ht="16.5" customHeight="1" s="17">
      <c r="A4777" s="20" t="inlineStr">
        <is>
          <t>쇼핑검색_고체향수세부키워드</t>
        </is>
      </c>
      <c r="B4777" s="16" t="n">
        <v>44270</v>
      </c>
      <c r="C4777" s="20" t="inlineStr">
        <is>
          <t>월</t>
        </is>
      </c>
      <c r="D4777" s="20" t="inlineStr">
        <is>
          <t>네이버 쇼핑검색</t>
        </is>
      </c>
      <c r="E4777" s="20" t="inlineStr">
        <is>
          <t>고체향수</t>
        </is>
      </c>
      <c r="K4777" s="20" t="n">
        <v>60889.99999999999</v>
      </c>
    </row>
    <row r="4778" ht="16.5" customHeight="1" s="17">
      <c r="A4778" s="20" t="inlineStr">
        <is>
          <t>쇼핑검색_고체향수세부키워드2</t>
        </is>
      </c>
      <c r="B4778" s="16" t="n">
        <v>44270</v>
      </c>
      <c r="C4778" s="20" t="inlineStr">
        <is>
          <t>월</t>
        </is>
      </c>
      <c r="D4778" s="20" t="inlineStr">
        <is>
          <t>네이버 쇼핑검색</t>
        </is>
      </c>
      <c r="E4778" s="20" t="inlineStr">
        <is>
          <t>고체향수</t>
        </is>
      </c>
      <c r="K4778" s="20" t="n">
        <v>1980</v>
      </c>
    </row>
    <row r="4779" ht="16.5" customHeight="1" s="17">
      <c r="A4779" s="20" t="inlineStr">
        <is>
          <t>모바일 브검</t>
        </is>
      </c>
      <c r="B4779" s="16" t="n">
        <v>44270</v>
      </c>
      <c r="C4779" s="20" t="inlineStr">
        <is>
          <t>월</t>
        </is>
      </c>
      <c r="D4779" s="20" t="inlineStr">
        <is>
          <t>네이버 브랜드검색</t>
        </is>
      </c>
      <c r="E4779" s="20" t="inlineStr">
        <is>
          <t>브랜드</t>
        </is>
      </c>
      <c r="K4779" s="20" t="n">
        <v>156700</v>
      </c>
    </row>
    <row r="4780" ht="16.5" customHeight="1" s="17">
      <c r="B4780" s="16" t="n">
        <v>44270</v>
      </c>
      <c r="C4780" s="20" t="inlineStr">
        <is>
          <t>월</t>
        </is>
      </c>
      <c r="E4780" s="20" t="inlineStr">
        <is>
          <t>고체향수</t>
        </is>
      </c>
      <c r="F4780" s="20" t="inlineStr">
        <is>
          <t>W컨셉</t>
        </is>
      </c>
      <c r="G4780" s="20" t="inlineStr">
        <is>
          <t>솔리드퍼퓸 이그나이트/스테이포에버 30ml (2종 택1)&lt;옵션1&gt;002 STAY FOREVER</t>
        </is>
      </c>
      <c r="H4780" s="20" t="n">
        <v>27</v>
      </c>
      <c r="I4780" s="20" t="inlineStr">
        <is>
          <t>스테이포에버</t>
        </is>
      </c>
      <c r="J4780" s="20" t="inlineStr">
        <is>
          <t>210207</t>
        </is>
      </c>
      <c r="L4780" s="20" t="n">
        <v>918000</v>
      </c>
      <c r="M4780" s="20" t="n">
        <v>642600</v>
      </c>
      <c r="N4780" s="20" t="n">
        <v>69984</v>
      </c>
      <c r="O4780" s="20" t="inlineStr">
        <is>
          <t>W컨셉고체향수솔리드퍼퓸 이그나이트/스테이포에버 30ml (2종 택1)&lt;옵션1&gt;002 STAY FOREVER210207</t>
        </is>
      </c>
    </row>
    <row r="4781" ht="16.5" customHeight="1" s="17">
      <c r="B4781" s="16" t="n">
        <v>44270</v>
      </c>
      <c r="C4781" s="20" t="inlineStr">
        <is>
          <t>월</t>
        </is>
      </c>
      <c r="E4781" s="20" t="inlineStr">
        <is>
          <t>고체향수</t>
        </is>
      </c>
      <c r="F4781" s="20" t="inlineStr">
        <is>
          <t>W컨셉</t>
        </is>
      </c>
      <c r="G4781" s="20" t="inlineStr">
        <is>
          <t>솔리드퍼퓸 이그나이트/스테이포에버 30ml (2종 택1)&lt;옵션1&gt;IGNITE + STAY FOREVER</t>
        </is>
      </c>
      <c r="H4781" s="20" t="n">
        <v>1</v>
      </c>
      <c r="I4781" s="20" t="inlineStr">
        <is>
          <t>이그나이트 + 스테이포에버</t>
        </is>
      </c>
      <c r="J4781" s="20" t="inlineStr">
        <is>
          <t>210207</t>
        </is>
      </c>
      <c r="L4781" s="20" t="n">
        <v>58800</v>
      </c>
      <c r="M4781" s="20" t="n">
        <v>47040</v>
      </c>
      <c r="N4781" s="20" t="n">
        <v>5345</v>
      </c>
      <c r="O4781" s="20" t="inlineStr">
        <is>
          <t>W컨셉고체향수솔리드퍼퓸 이그나이트/스테이포에버 30ml (2종 택1)&lt;옵션1&gt;IGNITE + STAY FOREVER210207</t>
        </is>
      </c>
    </row>
    <row r="4782" ht="16.5" customHeight="1" s="17">
      <c r="B4782" s="16" t="n">
        <v>44270</v>
      </c>
      <c r="C4782" s="20" t="inlineStr">
        <is>
          <t>월</t>
        </is>
      </c>
      <c r="E4782" s="20" t="inlineStr">
        <is>
          <t>고체향수</t>
        </is>
      </c>
      <c r="F4782" s="20" t="inlineStr">
        <is>
          <t>스마트스토어</t>
        </is>
      </c>
      <c r="G4782" s="20" t="inlineStr">
        <is>
          <t>유즈 고체향수 세트(유즈 스테이포에버, 유즈 이그나이트)고체향수: 스테이포에버 1개 + 이그나이트 1개</t>
        </is>
      </c>
      <c r="H4782" s="20" t="n">
        <v>6</v>
      </c>
      <c r="I4782" s="20" t="inlineStr">
        <is>
          <t>이그나이트 + 스테이포에버</t>
        </is>
      </c>
      <c r="J4782" s="20" t="inlineStr">
        <is>
          <t>210207</t>
        </is>
      </c>
      <c r="L4782" s="20" t="n">
        <v>352800</v>
      </c>
      <c r="M4782" s="20" t="n">
        <v>332161.2</v>
      </c>
      <c r="N4782" s="20" t="n">
        <v>32070</v>
      </c>
      <c r="O4782" s="20" t="inlineStr">
        <is>
          <t>스마트스토어고체향수유즈 고체향수 세트(유즈 스테이포에버, 유즈 이그나이트)고체향수: 스테이포에버 1개 + 이그나이트 1개210207</t>
        </is>
      </c>
    </row>
    <row r="4783" ht="16.5" customHeight="1" s="17">
      <c r="B4783" s="16" t="n">
        <v>44270</v>
      </c>
      <c r="C4783" s="20" t="inlineStr">
        <is>
          <t>월</t>
        </is>
      </c>
      <c r="E4783" s="20" t="inlineStr">
        <is>
          <t>고체향수</t>
        </is>
      </c>
      <c r="F4783" s="20" t="inlineStr">
        <is>
          <t>스마트스토어</t>
        </is>
      </c>
      <c r="G4783" s="20" t="inlineStr">
        <is>
          <t>유즈 고체향수 세트(유즈 스테이포에버, 유즈 이그나이트)고체향수: 스테이포에버 2개</t>
        </is>
      </c>
      <c r="H4783" s="20" t="n">
        <v>5</v>
      </c>
      <c r="I4783" s="20" t="inlineStr">
        <is>
          <t>스테이포에버 2set</t>
        </is>
      </c>
      <c r="J4783" s="20" t="inlineStr">
        <is>
          <t>210207</t>
        </is>
      </c>
      <c r="L4783" s="20" t="n">
        <v>294000</v>
      </c>
      <c r="M4783" s="20" t="n">
        <v>288120</v>
      </c>
      <c r="N4783" s="20" t="n">
        <v>25920</v>
      </c>
      <c r="O4783" s="20" t="inlineStr">
        <is>
          <t>스마트스토어고체향수유즈 고체향수 세트(유즈 스테이포에버, 유즈 이그나이트)고체향수: 스테이포에버 2개210207</t>
        </is>
      </c>
    </row>
    <row r="4784" ht="16.5" customHeight="1" s="17">
      <c r="B4784" s="16" t="n">
        <v>44270</v>
      </c>
      <c r="C4784" s="20" t="inlineStr">
        <is>
          <t>월</t>
        </is>
      </c>
      <c r="E4784" s="20" t="inlineStr">
        <is>
          <t>고체향수</t>
        </is>
      </c>
      <c r="F4784" s="20" t="inlineStr">
        <is>
          <t>스마트스토어</t>
        </is>
      </c>
      <c r="G4784" s="20" t="inlineStr">
        <is>
          <t>유즈 고체향수 스테이포에버 002고체향수: 스테이포에버 1개</t>
        </is>
      </c>
      <c r="H4784" s="20" t="n">
        <v>22</v>
      </c>
      <c r="I4784" s="20" t="inlineStr">
        <is>
          <t>스테이포에버</t>
        </is>
      </c>
      <c r="J4784" s="20" t="inlineStr">
        <is>
          <t>210207</t>
        </is>
      </c>
      <c r="L4784" s="20" t="n">
        <v>748000</v>
      </c>
      <c r="M4784" s="20" t="n">
        <v>733040</v>
      </c>
      <c r="N4784" s="20" t="n">
        <v>57024</v>
      </c>
      <c r="O4784" s="20" t="inlineStr">
        <is>
          <t>스마트스토어고체향수유즈 고체향수 스테이포에버 002고체향수: 스테이포에버 1개210207</t>
        </is>
      </c>
    </row>
    <row r="4785" ht="16.5" customHeight="1" s="17">
      <c r="B4785" s="16" t="n">
        <v>44270</v>
      </c>
      <c r="C4785" s="20" t="inlineStr">
        <is>
          <t>월</t>
        </is>
      </c>
      <c r="E4785" s="20" t="inlineStr">
        <is>
          <t>고체향수</t>
        </is>
      </c>
      <c r="F4785" s="20" t="inlineStr">
        <is>
          <t>스마트스토어</t>
        </is>
      </c>
      <c r="G4785" s="20" t="inlineStr">
        <is>
          <t>유즈 고체향수 이그나이트 001고체향수: 이그나이트 1개</t>
        </is>
      </c>
      <c r="H4785" s="20" t="n">
        <v>1</v>
      </c>
      <c r="I4785" s="20" t="inlineStr">
        <is>
          <t>이그나이트</t>
        </is>
      </c>
      <c r="J4785" s="20" t="inlineStr">
        <is>
          <t>210207</t>
        </is>
      </c>
      <c r="L4785" s="20" t="n">
        <v>34000</v>
      </c>
      <c r="M4785" s="20" t="n">
        <v>33320</v>
      </c>
      <c r="N4785" s="20" t="n">
        <v>2753</v>
      </c>
      <c r="O4785" s="20" t="inlineStr">
        <is>
          <t>스마트스토어고체향수유즈 고체향수 이그나이트 001고체향수: 이그나이트 1개210207</t>
        </is>
      </c>
    </row>
    <row r="4786" ht="16.5" customHeight="1" s="17">
      <c r="B4786" s="16" t="n">
        <v>44270</v>
      </c>
      <c r="C4786" s="20" t="inlineStr">
        <is>
          <t>월</t>
        </is>
      </c>
      <c r="E4786" s="20" t="inlineStr">
        <is>
          <t>고체향수</t>
        </is>
      </c>
      <c r="F4786" s="20" t="inlineStr">
        <is>
          <t>유즈 CS</t>
        </is>
      </c>
      <c r="G4786" s="20" t="inlineStr">
        <is>
          <t>솔리드퍼퓸 스테이포에버 002 30ml</t>
        </is>
      </c>
      <c r="H4786" s="20" t="n">
        <v>1</v>
      </c>
      <c r="I4786" s="20" t="inlineStr">
        <is>
          <t>스테이포에버</t>
        </is>
      </c>
      <c r="J4786" s="20" t="inlineStr">
        <is>
          <t>210207</t>
        </is>
      </c>
      <c r="L4786" s="20" t="n">
        <v>0</v>
      </c>
      <c r="M4786" s="20" t="n">
        <v>0</v>
      </c>
      <c r="N4786" s="20" t="n">
        <v>2592</v>
      </c>
      <c r="O4786" s="20" t="inlineStr">
        <is>
          <t>유즈 CS고체향수솔리드퍼퓸 스테이포에버 002 30ml210207</t>
        </is>
      </c>
    </row>
    <row r="4787" ht="16.5" customHeight="1" s="17">
      <c r="B4787" s="16" t="n">
        <v>44270</v>
      </c>
      <c r="C4787" s="20" t="inlineStr">
        <is>
          <t>월</t>
        </is>
      </c>
      <c r="E4787" s="20" t="inlineStr">
        <is>
          <t>고체향수</t>
        </is>
      </c>
      <c r="F4787" s="20" t="inlineStr">
        <is>
          <t>카페24</t>
        </is>
      </c>
      <c r="G4787" s="20" t="inlineStr">
        <is>
          <t>솔리드퍼퓸 세트향=이그나이트 001 SOLID PERFUME, 세트 선택=1개</t>
        </is>
      </c>
      <c r="H4787" s="20" t="n">
        <v>1</v>
      </c>
      <c r="I4787" s="20" t="inlineStr">
        <is>
          <t>이그나이트</t>
        </is>
      </c>
      <c r="J4787" s="20" t="inlineStr">
        <is>
          <t>210207</t>
        </is>
      </c>
      <c r="L4787" s="20" t="n">
        <v>34000</v>
      </c>
      <c r="M4787" s="20" t="n">
        <v>32011</v>
      </c>
      <c r="N4787" s="20" t="n">
        <v>2753</v>
      </c>
      <c r="O4787" s="20" t="inlineStr">
        <is>
          <t>카페24고체향수솔리드퍼퓸 세트향=이그나이트 001 SOLID PERFUME, 세트 선택=1개210207</t>
        </is>
      </c>
    </row>
    <row r="4788" ht="16.5" customHeight="1" s="17">
      <c r="B4788" s="16" t="n">
        <v>44270</v>
      </c>
      <c r="C4788" s="20" t="inlineStr">
        <is>
          <t>월</t>
        </is>
      </c>
      <c r="E4788" s="20" t="inlineStr">
        <is>
          <t>고체향수</t>
        </is>
      </c>
      <c r="F4788" s="20" t="inlineStr">
        <is>
          <t>카페24</t>
        </is>
      </c>
      <c r="G4788" s="20" t="inlineStr">
        <is>
          <t>솔리드퍼퓸 세트향=이그나이트 001 SOLID PERFUME, 세트 선택=best 2개 (28% 할인)</t>
        </is>
      </c>
      <c r="H4788" s="20" t="n">
        <v>1</v>
      </c>
      <c r="I4788" s="20" t="inlineStr">
        <is>
          <t>이그나이트 2set</t>
        </is>
      </c>
      <c r="J4788" s="20" t="inlineStr">
        <is>
          <t>210207</t>
        </is>
      </c>
      <c r="L4788" s="20" t="n">
        <v>58800</v>
      </c>
      <c r="M4788" s="20" t="n">
        <v>55360.2</v>
      </c>
      <c r="N4788" s="20" t="n">
        <v>5506</v>
      </c>
      <c r="O4788" s="20" t="inlineStr">
        <is>
          <t>카페24고체향수솔리드퍼퓸 세트향=이그나이트 001 SOLID PERFUME, 세트 선택=best 2개 (28% 할인)210207</t>
        </is>
      </c>
    </row>
    <row r="4789" ht="16.5" customHeight="1" s="17">
      <c r="B4789" s="16" t="n">
        <v>44270</v>
      </c>
      <c r="C4789" s="20" t="inlineStr">
        <is>
          <t>월</t>
        </is>
      </c>
      <c r="E4789" s="20" t="inlineStr">
        <is>
          <t>고체향수</t>
        </is>
      </c>
      <c r="F4789" s="20" t="inlineStr">
        <is>
          <t>카페24</t>
        </is>
      </c>
      <c r="G4789" s="20" t="inlineStr">
        <is>
          <t>솔리드퍼퓸 세트향=스테이포에버 002 SOLID PERFUME, 세트 선택=1개</t>
        </is>
      </c>
      <c r="H4789" s="20" t="n">
        <v>2</v>
      </c>
      <c r="I4789" s="20" t="inlineStr">
        <is>
          <t>스테이포에버</t>
        </is>
      </c>
      <c r="J4789" s="20" t="inlineStr">
        <is>
          <t>210207</t>
        </is>
      </c>
      <c r="L4789" s="20" t="n">
        <v>68000</v>
      </c>
      <c r="M4789" s="20" t="n">
        <v>64022</v>
      </c>
      <c r="N4789" s="20" t="n">
        <v>5184</v>
      </c>
      <c r="O4789" s="20" t="inlineStr">
        <is>
          <t>카페24고체향수솔리드퍼퓸 세트향=스테이포에버 002 SOLID PERFUME, 세트 선택=1개210207</t>
        </is>
      </c>
    </row>
    <row r="4790" ht="16.5" customHeight="1" s="17">
      <c r="B4790" s="16" t="n">
        <v>44270</v>
      </c>
      <c r="C4790" s="20" t="inlineStr">
        <is>
          <t>월</t>
        </is>
      </c>
      <c r="E4790" s="20" t="inlineStr">
        <is>
          <t>고체향수</t>
        </is>
      </c>
      <c r="F4790" s="20" t="inlineStr">
        <is>
          <t>카페24</t>
        </is>
      </c>
      <c r="G4790" s="20" t="inlineStr">
        <is>
          <t>솔리드퍼퓸 세트향=스테이포에버 002 SOLID PERFUME, 세트 선택=best 2개 (28% 할인)</t>
        </is>
      </c>
      <c r="H4790" s="20" t="n">
        <v>12</v>
      </c>
      <c r="I4790" s="20" t="inlineStr">
        <is>
          <t>스테이포에버 2set</t>
        </is>
      </c>
      <c r="J4790" s="20" t="inlineStr">
        <is>
          <t>210207</t>
        </is>
      </c>
      <c r="L4790" s="20" t="n">
        <v>705600</v>
      </c>
      <c r="M4790" s="20" t="n">
        <v>664322.3999999999</v>
      </c>
      <c r="N4790" s="20" t="n">
        <v>62208</v>
      </c>
      <c r="O4790" s="20" t="inlineStr">
        <is>
          <t>카페24고체향수솔리드퍼퓸 세트향=스테이포에버 002 SOLID PERFUME, 세트 선택=best 2개 (28% 할인)210207</t>
        </is>
      </c>
    </row>
    <row r="4791" ht="16.5" customHeight="1" s="17">
      <c r="B4791" s="16" t="n">
        <v>44270</v>
      </c>
      <c r="C4791" s="20" t="inlineStr">
        <is>
          <t>월</t>
        </is>
      </c>
      <c r="E4791" s="20" t="inlineStr">
        <is>
          <t>고체향수</t>
        </is>
      </c>
      <c r="F4791" s="20" t="inlineStr">
        <is>
          <t>카페24</t>
        </is>
      </c>
      <c r="G4791" s="20" t="inlineStr">
        <is>
          <t>솔리드퍼퓸 세트향=커플세트(이그나이트 + 스테이포에버), 세트 선택=1 SET</t>
        </is>
      </c>
      <c r="H4791" s="20" t="n">
        <v>16</v>
      </c>
      <c r="I4791" s="20" t="inlineStr">
        <is>
          <t>이그나이트 + 스테이포에버</t>
        </is>
      </c>
      <c r="J4791" s="20" t="inlineStr">
        <is>
          <t>210207</t>
        </is>
      </c>
      <c r="L4791" s="20" t="n">
        <v>940800</v>
      </c>
      <c r="M4791" s="20" t="n">
        <v>885763.2</v>
      </c>
      <c r="N4791" s="20" t="n">
        <v>85520</v>
      </c>
      <c r="O4791" s="20" t="inlineStr">
        <is>
          <t>카페24고체향수솔리드퍼퓸 세트향=커플세트(이그나이트 + 스테이포에버), 세트 선택=1 SET210207</t>
        </is>
      </c>
    </row>
    <row r="4792" ht="16.5" customHeight="1" s="17">
      <c r="B4792" s="16" t="n">
        <v>44270</v>
      </c>
      <c r="C4792" s="20" t="inlineStr">
        <is>
          <t>월</t>
        </is>
      </c>
      <c r="E4792" s="20" t="inlineStr">
        <is>
          <t>고체향수</t>
        </is>
      </c>
      <c r="F4792" s="20" t="inlineStr">
        <is>
          <t>카페24</t>
        </is>
      </c>
      <c r="G4792" s="20" t="inlineStr">
        <is>
          <t>솔리드퍼퓸 세트향=커플세트(이그나이트 + 스테이포에버), 세트 선택=2 SET (42% 할인)</t>
        </is>
      </c>
      <c r="H4792" s="20" t="n">
        <v>1</v>
      </c>
      <c r="I4792" s="20" t="inlineStr">
        <is>
          <t>이그나이트 + 스테이포에버</t>
        </is>
      </c>
      <c r="J4792" s="20" t="inlineStr">
        <is>
          <t>210207</t>
        </is>
      </c>
      <c r="L4792" s="20" t="n">
        <v>58800</v>
      </c>
      <c r="M4792" s="20" t="n">
        <v>55360.2</v>
      </c>
      <c r="N4792" s="20" t="n">
        <v>5345</v>
      </c>
      <c r="O4792" s="20" t="inlineStr">
        <is>
          <t>카페24고체향수솔리드퍼퓸 세트향=커플세트(이그나이트 + 스테이포에버), 세트 선택=2 SET (42% 할인)210207</t>
        </is>
      </c>
    </row>
    <row r="4793" ht="16.5" customHeight="1" s="17">
      <c r="B4793" s="16" t="n">
        <v>44270</v>
      </c>
      <c r="C4793" s="20" t="inlineStr">
        <is>
          <t>월</t>
        </is>
      </c>
      <c r="E4793" s="20" t="inlineStr">
        <is>
          <t>고체향수</t>
        </is>
      </c>
      <c r="F4793" s="20" t="inlineStr">
        <is>
          <t>카페24</t>
        </is>
      </c>
      <c r="G4793" s="20" t="inlineStr">
        <is>
          <t>솔리드퍼퓸 스테이포에버 002제품선택=스테이포에버 1개</t>
        </is>
      </c>
      <c r="H4793" s="20" t="n">
        <v>167</v>
      </c>
      <c r="I4793" s="20" t="inlineStr">
        <is>
          <t>스테이포에버</t>
        </is>
      </c>
      <c r="J4793" s="20" t="inlineStr">
        <is>
          <t>210207</t>
        </is>
      </c>
      <c r="L4793" s="20" t="n">
        <v>5678000</v>
      </c>
      <c r="M4793" s="20" t="n">
        <v>5345837</v>
      </c>
      <c r="N4793" s="20" t="n">
        <v>432864</v>
      </c>
      <c r="O4793" s="20" t="inlineStr">
        <is>
          <t>카페24고체향수솔리드퍼퓸 스테이포에버 002제품선택=스테이포에버 1개210207</t>
        </is>
      </c>
    </row>
    <row r="4794" ht="16.5" customHeight="1" s="17">
      <c r="B4794" s="16" t="n">
        <v>44270</v>
      </c>
      <c r="C4794" s="20" t="inlineStr">
        <is>
          <t>월</t>
        </is>
      </c>
      <c r="E4794" s="20" t="inlineStr">
        <is>
          <t>고체향수</t>
        </is>
      </c>
      <c r="F4794" s="20" t="inlineStr">
        <is>
          <t>카페24</t>
        </is>
      </c>
      <c r="G4794" s="20" t="inlineStr">
        <is>
          <t>솔리드퍼퓸 스테이포에버 002제품선택=best스테이포에버 2개[28% 할인]</t>
        </is>
      </c>
      <c r="H4794" s="20" t="n">
        <v>73</v>
      </c>
      <c r="I4794" s="20" t="inlineStr">
        <is>
          <t>스테이포에버 2set</t>
        </is>
      </c>
      <c r="J4794" s="20" t="inlineStr">
        <is>
          <t>210207</t>
        </is>
      </c>
      <c r="L4794" s="20" t="n">
        <v>4292400</v>
      </c>
      <c r="M4794" s="20" t="n">
        <v>4041294.6</v>
      </c>
      <c r="N4794" s="20" t="n">
        <v>378432</v>
      </c>
      <c r="O4794" s="20" t="inlineStr">
        <is>
          <t>카페24고체향수솔리드퍼퓸 스테이포에버 002제품선택=best스테이포에버 2개[28% 할인]210207</t>
        </is>
      </c>
    </row>
    <row r="4795" ht="16.5" customHeight="1" s="17">
      <c r="B4795" s="16" t="n">
        <v>44270</v>
      </c>
      <c r="C4795" s="20" t="inlineStr">
        <is>
          <t>월</t>
        </is>
      </c>
      <c r="E4795" s="20" t="inlineStr">
        <is>
          <t>고체향수</t>
        </is>
      </c>
      <c r="F4795" s="20" t="inlineStr">
        <is>
          <t>카페24</t>
        </is>
      </c>
      <c r="G4795" s="20" t="inlineStr">
        <is>
          <t>솔리드퍼퓸 스테이포에버 002제품선택=커플추천스테이포에버 + 이그나이트 세트</t>
        </is>
      </c>
      <c r="H4795" s="20" t="n">
        <v>6</v>
      </c>
      <c r="I4795" s="20" t="inlineStr">
        <is>
          <t>이그나이트 + 스테이포에버</t>
        </is>
      </c>
      <c r="J4795" s="20" t="inlineStr">
        <is>
          <t>210207</t>
        </is>
      </c>
      <c r="L4795" s="20" t="n">
        <v>352800</v>
      </c>
      <c r="M4795" s="20" t="n">
        <v>332161.2</v>
      </c>
      <c r="N4795" s="20" t="n">
        <v>32070</v>
      </c>
      <c r="O4795" s="20" t="inlineStr">
        <is>
          <t>카페24고체향수솔리드퍼퓸 스테이포에버 002제품선택=커플추천스테이포에버 + 이그나이트 세트210207</t>
        </is>
      </c>
    </row>
    <row r="4796" ht="16.5" customHeight="1" s="17">
      <c r="B4796" s="16" t="n">
        <v>44270</v>
      </c>
      <c r="C4796" s="20" t="inlineStr">
        <is>
          <t>월</t>
        </is>
      </c>
      <c r="E4796" s="20" t="inlineStr">
        <is>
          <t>쇼핑백</t>
        </is>
      </c>
      <c r="F4796" s="20" t="inlineStr">
        <is>
          <t>카페24</t>
        </is>
      </c>
      <c r="G4796" s="20" t="inlineStr">
        <is>
          <t>솔리드퍼퓸 스테이포에버 002쇼핑백=선물용 쇼핑백</t>
        </is>
      </c>
      <c r="H4796" s="20" t="n">
        <v>11</v>
      </c>
      <c r="I4796" s="20" t="inlineStr">
        <is>
          <t>쇼핑백</t>
        </is>
      </c>
      <c r="J4796" s="20" t="inlineStr">
        <is>
          <t>210207</t>
        </is>
      </c>
      <c r="L4796" s="20" t="n">
        <v>22000</v>
      </c>
      <c r="M4796" s="20" t="n">
        <v>20713</v>
      </c>
      <c r="N4796" s="20" t="n">
        <v>9130</v>
      </c>
      <c r="O4796" s="20" t="inlineStr">
        <is>
          <t>카페24쇼핑백솔리드퍼퓸 스테이포에버 002쇼핑백=선물용 쇼핑백210207</t>
        </is>
      </c>
    </row>
    <row r="4797" ht="16.5" customHeight="1" s="17">
      <c r="B4797" s="16" t="n">
        <v>44270</v>
      </c>
      <c r="C4797" s="20" t="inlineStr">
        <is>
          <t>월</t>
        </is>
      </c>
      <c r="E4797" s="20" t="inlineStr">
        <is>
          <t>고체향수</t>
        </is>
      </c>
      <c r="F4797" s="20" t="inlineStr">
        <is>
          <t>카페24</t>
        </is>
      </c>
      <c r="G4797" s="20" t="inlineStr">
        <is>
          <t>솔리드퍼퓸 이그나이트 001제품선택=이그나이트 솔리드퍼퓸 - 30ml</t>
        </is>
      </c>
      <c r="H4797" s="20" t="n">
        <v>3</v>
      </c>
      <c r="I4797" s="20" t="inlineStr">
        <is>
          <t>이그나이트</t>
        </is>
      </c>
      <c r="J4797" s="20" t="inlineStr">
        <is>
          <t>210207</t>
        </is>
      </c>
      <c r="L4797" s="20" t="n">
        <v>102000</v>
      </c>
      <c r="M4797" s="20" t="n">
        <v>96033</v>
      </c>
      <c r="N4797" s="20" t="n">
        <v>8259</v>
      </c>
      <c r="O4797" s="20" t="inlineStr">
        <is>
          <t>카페24고체향수솔리드퍼퓸 이그나이트 001제품선택=이그나이트 솔리드퍼퓸 - 30ml210207</t>
        </is>
      </c>
    </row>
    <row r="4798" ht="16.5" customHeight="1" s="17">
      <c r="B4798" s="16" t="n">
        <v>44270</v>
      </c>
      <c r="C4798" s="20" t="inlineStr">
        <is>
          <t>월</t>
        </is>
      </c>
      <c r="E4798" s="20" t="inlineStr">
        <is>
          <t>고체향수</t>
        </is>
      </c>
      <c r="F4798" s="20" t="inlineStr">
        <is>
          <t>카페24</t>
        </is>
      </c>
      <c r="G4798" s="20" t="inlineStr">
        <is>
          <t>솔리드퍼퓸 이그나이트 001제품선택=이그나이트 2개 세트</t>
        </is>
      </c>
      <c r="H4798" s="20" t="n">
        <v>1</v>
      </c>
      <c r="I4798" s="20" t="inlineStr">
        <is>
          <t>이그나이트 2set</t>
        </is>
      </c>
      <c r="J4798" s="20" t="inlineStr">
        <is>
          <t>210207</t>
        </is>
      </c>
      <c r="L4798" s="20" t="n">
        <v>58800</v>
      </c>
      <c r="M4798" s="20" t="n">
        <v>55360.2</v>
      </c>
      <c r="N4798" s="20" t="n">
        <v>5506</v>
      </c>
      <c r="O4798" s="20" t="inlineStr">
        <is>
          <t>카페24고체향수솔리드퍼퓸 이그나이트 001제품선택=이그나이트 2개 세트210207</t>
        </is>
      </c>
    </row>
    <row r="4799" ht="16.5" customHeight="1" s="17">
      <c r="B4799" s="16" t="n">
        <v>44270</v>
      </c>
      <c r="C4799" s="20" t="inlineStr">
        <is>
          <t>월</t>
        </is>
      </c>
      <c r="E4799" s="20">
        <f>INDEX(매칭테이블!C:C,MATCH(RD!G4799,매칭테이블!D:D,0))</f>
        <v/>
      </c>
      <c r="F4799" s="20" t="inlineStr">
        <is>
          <t>카페24</t>
        </is>
      </c>
      <c r="G4799" s="20" t="inlineStr">
        <is>
          <t>유즈 솔리드퍼퓸 세트향=이그나이트 001 SOLID PERFUME, 세트 선택=1개</t>
        </is>
      </c>
      <c r="H4799" s="20" t="n">
        <v>1</v>
      </c>
      <c r="I4799" s="20">
        <f>VLOOKUP(G4799,매칭테이블!D:E,2,0)</f>
        <v/>
      </c>
      <c r="J4799" s="20" t="inlineStr">
        <is>
          <t>210207</t>
        </is>
      </c>
      <c r="L4799" s="20">
        <f>VLOOKUP($O4799,매칭테이블!$G:$J,2,0)*H4799</f>
        <v/>
      </c>
      <c r="M4799" s="20">
        <f>L4799-L4799*VLOOKUP($O4799,매칭테이블!$G:$J,3,0)</f>
        <v/>
      </c>
      <c r="N4799" s="20">
        <f>VLOOKUP($O4799,매칭테이블!$G:$J,4,0)*H4799</f>
        <v/>
      </c>
      <c r="O4799" s="20">
        <f>F4799&amp;E4799&amp;G4799&amp;J4799</f>
        <v/>
      </c>
    </row>
    <row r="4800" ht="16.5" customHeight="1" s="17">
      <c r="B4800" s="16" t="n">
        <v>44270</v>
      </c>
      <c r="C4800" s="20" t="inlineStr">
        <is>
          <t>월</t>
        </is>
      </c>
      <c r="E4800" s="20">
        <f>INDEX(매칭테이블!C:C,MATCH(RD!G4800,매칭테이블!D:D,0))</f>
        <v/>
      </c>
      <c r="F4800" s="20" t="inlineStr">
        <is>
          <t>카페24</t>
        </is>
      </c>
      <c r="G4800" s="20" t="inlineStr">
        <is>
          <t>유즈 솔리드퍼퓸 세트향=스테이포에버 002 SOLID PERFUME, 세트 선택=1개</t>
        </is>
      </c>
      <c r="H4800" s="20" t="n">
        <v>9</v>
      </c>
      <c r="I4800" s="20">
        <f>VLOOKUP(G4800,매칭테이블!D:E,2,0)</f>
        <v/>
      </c>
      <c r="J4800" s="20" t="inlineStr">
        <is>
          <t>210207</t>
        </is>
      </c>
      <c r="L4800" s="20">
        <f>VLOOKUP($O4800,매칭테이블!$G:$J,2,0)*H4800</f>
        <v/>
      </c>
      <c r="M4800" s="20">
        <f>L4800-L4800*VLOOKUP($O4800,매칭테이블!$G:$J,3,0)</f>
        <v/>
      </c>
      <c r="N4800" s="20">
        <f>VLOOKUP($O4800,매칭테이블!$G:$J,4,0)*H4800</f>
        <v/>
      </c>
      <c r="O4800" s="20">
        <f>F4800&amp;E4800&amp;G4800&amp;J4800</f>
        <v/>
      </c>
    </row>
    <row r="4801" ht="16.5" customHeight="1" s="17">
      <c r="B4801" s="16" t="n">
        <v>44270</v>
      </c>
      <c r="C4801" s="20" t="inlineStr">
        <is>
          <t>월</t>
        </is>
      </c>
      <c r="E4801" s="20">
        <f>INDEX(매칭테이블!C:C,MATCH(RD!G4801,매칭테이블!D:D,0))</f>
        <v/>
      </c>
      <c r="F4801" s="20" t="inlineStr">
        <is>
          <t>카페24</t>
        </is>
      </c>
      <c r="G4801" s="20" t="inlineStr">
        <is>
          <t>유즈 솔리드퍼퓸 세트향=스테이포에버 002 SOLID PERFUME, 세트 선택=best 2개 (28% 할인)</t>
        </is>
      </c>
      <c r="H4801" s="20" t="n">
        <v>6</v>
      </c>
      <c r="I4801" s="20">
        <f>VLOOKUP(G4801,매칭테이블!D:E,2,0)</f>
        <v/>
      </c>
      <c r="J4801" s="20" t="inlineStr">
        <is>
          <t>210207</t>
        </is>
      </c>
      <c r="L4801" s="20">
        <f>VLOOKUP($O4801,매칭테이블!$G:$J,2,0)*H4801</f>
        <v/>
      </c>
      <c r="M4801" s="20">
        <f>L4801-L4801*VLOOKUP($O4801,매칭테이블!$G:$J,3,0)</f>
        <v/>
      </c>
      <c r="N4801" s="20">
        <f>VLOOKUP($O4801,매칭테이블!$G:$J,4,0)*H4801</f>
        <v/>
      </c>
      <c r="O4801" s="20">
        <f>F4801&amp;E4801&amp;G4801&amp;J4801</f>
        <v/>
      </c>
    </row>
    <row r="4802" ht="16.5" customHeight="1" s="17">
      <c r="B4802" s="16" t="n">
        <v>44270</v>
      </c>
      <c r="C4802" s="20" t="inlineStr">
        <is>
          <t>월</t>
        </is>
      </c>
      <c r="E4802" s="20">
        <f>INDEX(매칭테이블!C:C,MATCH(RD!G4802,매칭테이블!D:D,0))</f>
        <v/>
      </c>
      <c r="F4802" s="20" t="inlineStr">
        <is>
          <t>카페24</t>
        </is>
      </c>
      <c r="G4802" s="20" t="inlineStr">
        <is>
          <t>유즈 솔리드퍼퓸 세트향=커플세트(이그나이트 + 스테이포에버), 세트 선택=1 SET</t>
        </is>
      </c>
      <c r="H4802" s="20" t="n">
        <v>4</v>
      </c>
      <c r="I4802" s="20">
        <f>VLOOKUP(G4802,매칭테이블!D:E,2,0)</f>
        <v/>
      </c>
      <c r="J4802" s="20" t="inlineStr">
        <is>
          <t>210207</t>
        </is>
      </c>
      <c r="L4802" s="20">
        <f>VLOOKUP($O4802,매칭테이블!$G:$J,2,0)*H4802</f>
        <v/>
      </c>
      <c r="M4802" s="20">
        <f>L4802-L4802*VLOOKUP($O4802,매칭테이블!$G:$J,3,0)</f>
        <v/>
      </c>
      <c r="N4802" s="20">
        <f>VLOOKUP($O4802,매칭테이블!$G:$J,4,0)*H4802</f>
        <v/>
      </c>
      <c r="O4802" s="20">
        <f>F4802&amp;E4802&amp;G4802&amp;J4802</f>
        <v/>
      </c>
    </row>
    <row r="4803" ht="16.5" customHeight="1" s="17">
      <c r="A4803" s="20" t="inlineStr">
        <is>
          <t>고체향수_전환추적</t>
        </is>
      </c>
      <c r="B4803" s="16" t="n">
        <v>44270</v>
      </c>
      <c r="C4803" s="20" t="inlineStr">
        <is>
          <t>월</t>
        </is>
      </c>
      <c r="D4803" s="20" t="inlineStr">
        <is>
          <t>네이버 배너</t>
        </is>
      </c>
      <c r="E4803" s="20" t="inlineStr">
        <is>
          <t>고체향수</t>
        </is>
      </c>
      <c r="K4803" s="20" t="n">
        <v>230248.1818181818</v>
      </c>
    </row>
    <row r="4804" ht="16.5" customHeight="1" s="17">
      <c r="A4804" s="20" t="inlineStr">
        <is>
          <t>고체향수</t>
        </is>
      </c>
      <c r="B4804" s="16" t="n">
        <v>44270</v>
      </c>
      <c r="C4804" s="20" t="inlineStr">
        <is>
          <t>월</t>
        </is>
      </c>
      <c r="D4804" s="20" t="inlineStr">
        <is>
          <t>네이버 배너</t>
        </is>
      </c>
      <c r="E4804" s="20" t="inlineStr">
        <is>
          <t>고체향수</t>
        </is>
      </c>
      <c r="K4804" s="20" t="n">
        <v>1129157.272727273</v>
      </c>
    </row>
    <row r="4805" ht="16.5" customHeight="1" s="17">
      <c r="A4805" s="20" t="inlineStr">
        <is>
          <t>고체향수_승무원 어피_Npay 추적</t>
        </is>
      </c>
      <c r="B4805" s="16" t="n">
        <v>44270</v>
      </c>
      <c r="C4805" s="20" t="inlineStr">
        <is>
          <t>월</t>
        </is>
      </c>
      <c r="D4805" s="20" t="inlineStr">
        <is>
          <t>카카오 배너</t>
        </is>
      </c>
      <c r="E4805" s="20" t="inlineStr">
        <is>
          <t>고체향수</t>
        </is>
      </c>
      <c r="K4805" s="20" t="n">
        <v>182390</v>
      </c>
    </row>
    <row r="4806" ht="16.5" customHeight="1" s="17">
      <c r="A4806" s="20" t="inlineStr">
        <is>
          <t>고체향수_Npay 추적</t>
        </is>
      </c>
      <c r="B4806" s="16" t="n">
        <v>44270</v>
      </c>
      <c r="C4806" s="20" t="inlineStr">
        <is>
          <t>월</t>
        </is>
      </c>
      <c r="D4806" s="20" t="inlineStr">
        <is>
          <t>카카오 배너</t>
        </is>
      </c>
      <c r="E4806" s="20" t="inlineStr">
        <is>
          <t>고체향수</t>
        </is>
      </c>
      <c r="K4806" s="20" t="n">
        <v>592440</v>
      </c>
    </row>
    <row r="4807" ht="16.5" customHeight="1" s="17">
      <c r="A4807" s="20" t="inlineStr">
        <is>
          <t>[유튜버 수지큐]스테이포에버_카드뉴스</t>
        </is>
      </c>
      <c r="B4807" s="16" t="n">
        <v>44271</v>
      </c>
      <c r="C4807" s="20" t="inlineStr">
        <is>
          <t>화</t>
        </is>
      </c>
      <c r="D4807" s="20" t="inlineStr">
        <is>
          <t>페이스북/인스타그램</t>
        </is>
      </c>
      <c r="E4807" s="20" t="inlineStr">
        <is>
          <t>고체향수</t>
        </is>
      </c>
      <c r="K4807" s="20" t="n">
        <v>31449</v>
      </c>
    </row>
    <row r="4808" ht="16.5" customHeight="1" s="17">
      <c r="A4808" s="20" t="inlineStr">
        <is>
          <t>[유튜버 수지큐]스테이포에버_영상</t>
        </is>
      </c>
      <c r="B4808" s="16" t="n">
        <v>44271</v>
      </c>
      <c r="C4808" s="20" t="inlineStr">
        <is>
          <t>화</t>
        </is>
      </c>
      <c r="D4808" s="20" t="inlineStr">
        <is>
          <t>페이스북/인스타그램</t>
        </is>
      </c>
      <c r="E4808" s="20" t="inlineStr">
        <is>
          <t>고체향수</t>
        </is>
      </c>
      <c r="K4808" s="20" t="n">
        <v>57886</v>
      </c>
    </row>
    <row r="4809" ht="16.5" customHeight="1" s="17">
      <c r="A4809" s="20" t="inlineStr">
        <is>
          <t>[승무원]수지큐2차활용_스테이포에버_이미지</t>
        </is>
      </c>
      <c r="B4809" s="16" t="n">
        <v>44271</v>
      </c>
      <c r="C4809" s="20" t="inlineStr">
        <is>
          <t>화</t>
        </is>
      </c>
      <c r="D4809" s="20" t="inlineStr">
        <is>
          <t>페이스북/인스타그램</t>
        </is>
      </c>
      <c r="E4809" s="20" t="inlineStr">
        <is>
          <t>고체향수</t>
        </is>
      </c>
      <c r="K4809" s="20" t="n">
        <v>49829</v>
      </c>
    </row>
    <row r="4810" ht="16.5" customHeight="1" s="17">
      <c r="A4810" s="20" t="inlineStr">
        <is>
          <t>[다현 TEST] 스테이포에버_유즈모먼트</t>
        </is>
      </c>
      <c r="B4810" s="16" t="n">
        <v>44271</v>
      </c>
      <c r="C4810" s="20" t="inlineStr">
        <is>
          <t>화</t>
        </is>
      </c>
      <c r="D4810" s="20" t="inlineStr">
        <is>
          <t>페이스북/인스타그램</t>
        </is>
      </c>
      <c r="E4810" s="20" t="inlineStr">
        <is>
          <t>고체향수</t>
        </is>
      </c>
      <c r="K4810" s="20" t="n">
        <v>59888</v>
      </c>
    </row>
    <row r="4811" ht="16.5" customHeight="1" s="17">
      <c r="A4811" s="20" t="inlineStr">
        <is>
          <t>[성민 TEST] 스테이포에버_이미지</t>
        </is>
      </c>
      <c r="B4811" s="16" t="n">
        <v>44271</v>
      </c>
      <c r="C4811" s="20" t="inlineStr">
        <is>
          <t>화</t>
        </is>
      </c>
      <c r="D4811" s="20" t="inlineStr">
        <is>
          <t>페이스북/인스타그램</t>
        </is>
      </c>
      <c r="E4811" s="20" t="inlineStr">
        <is>
          <t>고체향수</t>
        </is>
      </c>
      <c r="K4811" s="20" t="n">
        <v>49472</v>
      </c>
    </row>
    <row r="4812" ht="16.5" customHeight="1" s="17">
      <c r="A4812" s="20" t="inlineStr">
        <is>
          <t>[승은 TEST] 스테이포에버_카드뉴스</t>
        </is>
      </c>
      <c r="B4812" s="16" t="n">
        <v>44271</v>
      </c>
      <c r="C4812" s="20" t="inlineStr">
        <is>
          <t>화</t>
        </is>
      </c>
      <c r="D4812" s="20" t="inlineStr">
        <is>
          <t>페이스북/인스타그램</t>
        </is>
      </c>
      <c r="E4812" s="20" t="inlineStr">
        <is>
          <t>고체향수</t>
        </is>
      </c>
      <c r="K4812" s="20" t="n">
        <v>60393</v>
      </c>
    </row>
    <row r="4813" ht="16.5" customHeight="1" s="17">
      <c r="A4813" s="20" t="inlineStr">
        <is>
          <t>[승무원 2] 스테이포에버_카드뉴스</t>
        </is>
      </c>
      <c r="B4813" s="16" t="n">
        <v>44271</v>
      </c>
      <c r="C4813" s="20" t="inlineStr">
        <is>
          <t>화</t>
        </is>
      </c>
      <c r="D4813" s="20" t="inlineStr">
        <is>
          <t>페이스북/인스타그램</t>
        </is>
      </c>
      <c r="E4813" s="20" t="inlineStr">
        <is>
          <t>고체향수</t>
        </is>
      </c>
      <c r="K4813" s="20" t="n">
        <v>201638</v>
      </c>
    </row>
    <row r="4814" ht="16.5" customHeight="1" s="17">
      <c r="A4814" s="20" t="inlineStr">
        <is>
          <t>[테스트]아줌마</t>
        </is>
      </c>
      <c r="B4814" s="16" t="n">
        <v>44271</v>
      </c>
      <c r="C4814" s="20" t="inlineStr">
        <is>
          <t>화</t>
        </is>
      </c>
      <c r="D4814" s="20" t="inlineStr">
        <is>
          <t>페이스북/인스타그램</t>
        </is>
      </c>
      <c r="E4814" s="20" t="inlineStr">
        <is>
          <t>고체향수</t>
        </is>
      </c>
      <c r="K4814" s="20" t="n">
        <v>161801</v>
      </c>
    </row>
    <row r="4815" ht="16.5" customHeight="1" s="17">
      <c r="A4815" s="20" t="inlineStr">
        <is>
          <t>[키워드 확장 테스트]스테이포에버_이미지</t>
        </is>
      </c>
      <c r="B4815" s="16" t="n">
        <v>44271</v>
      </c>
      <c r="C4815" s="20" t="inlineStr">
        <is>
          <t>화</t>
        </is>
      </c>
      <c r="D4815" s="20" t="inlineStr">
        <is>
          <t>페이스북/인스타그램</t>
        </is>
      </c>
      <c r="E4815" s="20" t="inlineStr">
        <is>
          <t>고체향수</t>
        </is>
      </c>
      <c r="K4815" s="20" t="n">
        <v>196192</v>
      </c>
    </row>
    <row r="4816" ht="16.5" customHeight="1" s="17">
      <c r="A4816" s="20" t="inlineStr">
        <is>
          <t>[재입고]스테이포에버_이미지</t>
        </is>
      </c>
      <c r="B4816" s="16" t="n">
        <v>44271</v>
      </c>
      <c r="C4816" s="20" t="inlineStr">
        <is>
          <t>화</t>
        </is>
      </c>
      <c r="D4816" s="20" t="inlineStr">
        <is>
          <t>페이스북/인스타그램</t>
        </is>
      </c>
      <c r="E4816" s="20" t="inlineStr">
        <is>
          <t>고체향수</t>
        </is>
      </c>
      <c r="K4816" s="20" t="n">
        <v>50402</v>
      </c>
    </row>
    <row r="4817" ht="16.5" customHeight="1" s="17">
      <c r="A4817" s="20" t="inlineStr">
        <is>
          <t>[승무원]숏폼_영상</t>
        </is>
      </c>
      <c r="B4817" s="16" t="n">
        <v>44271</v>
      </c>
      <c r="C4817" s="20" t="inlineStr">
        <is>
          <t>화</t>
        </is>
      </c>
      <c r="D4817" s="20" t="inlineStr">
        <is>
          <t>페이스북/인스타그램</t>
        </is>
      </c>
      <c r="E4817" s="20" t="inlineStr">
        <is>
          <t>고체향수</t>
        </is>
      </c>
      <c r="K4817" s="20" t="n">
        <v>100716</v>
      </c>
    </row>
    <row r="4818" ht="16.5" customHeight="1" s="17">
      <c r="A4818" s="20" t="inlineStr">
        <is>
          <t>[재입고]스테이포에버_영상</t>
        </is>
      </c>
      <c r="B4818" s="16" t="n">
        <v>44271</v>
      </c>
      <c r="C4818" s="20" t="inlineStr">
        <is>
          <t>화</t>
        </is>
      </c>
      <c r="D4818" s="20" t="inlineStr">
        <is>
          <t>페이스북/인스타그램</t>
        </is>
      </c>
      <c r="E4818" s="20" t="inlineStr">
        <is>
          <t>고체향수</t>
        </is>
      </c>
      <c r="K4818" s="20" t="n">
        <v>50400</v>
      </c>
    </row>
    <row r="4819" ht="16.5" customHeight="1" s="17">
      <c r="A4819" s="20" t="inlineStr">
        <is>
          <t>[젊줌마]스테이포에버_영상</t>
        </is>
      </c>
      <c r="B4819" s="16" t="n">
        <v>44271</v>
      </c>
      <c r="C4819" s="20" t="inlineStr">
        <is>
          <t>화</t>
        </is>
      </c>
      <c r="D4819" s="20" t="inlineStr">
        <is>
          <t>페이스북/인스타그램</t>
        </is>
      </c>
      <c r="E4819" s="20" t="inlineStr">
        <is>
          <t>고체향수</t>
        </is>
      </c>
      <c r="K4819" s="20" t="n">
        <v>101464</v>
      </c>
    </row>
    <row r="4820" ht="16.5" customHeight="1" s="17">
      <c r="A4820" s="20" t="inlineStr">
        <is>
          <t>[이성소구]스테이포에버_영상</t>
        </is>
      </c>
      <c r="B4820" s="16" t="n">
        <v>44271</v>
      </c>
      <c r="C4820" s="20" t="inlineStr">
        <is>
          <t>화</t>
        </is>
      </c>
      <c r="D4820" s="20" t="inlineStr">
        <is>
          <t>페이스북/인스타그램</t>
        </is>
      </c>
      <c r="E4820" s="20" t="inlineStr">
        <is>
          <t>고체향수</t>
        </is>
      </c>
      <c r="K4820" s="20" t="n">
        <v>9518</v>
      </c>
    </row>
    <row r="4821" ht="16.5" customHeight="1" s="17">
      <c r="A4821" s="20" t="inlineStr">
        <is>
          <t>[승무원]2019년썰 카드뉴스+ 향묘사_영상</t>
        </is>
      </c>
      <c r="B4821" s="16" t="n">
        <v>44271</v>
      </c>
      <c r="C4821" s="20" t="inlineStr">
        <is>
          <t>화</t>
        </is>
      </c>
      <c r="D4821" s="20" t="inlineStr">
        <is>
          <t>페이스북/인스타그램</t>
        </is>
      </c>
      <c r="E4821" s="20" t="inlineStr">
        <is>
          <t>고체향수</t>
        </is>
      </c>
      <c r="K4821" s="20" t="n">
        <v>70557</v>
      </c>
    </row>
    <row r="4822" ht="16.5" customHeight="1" s="17">
      <c r="A4822" s="20" t="inlineStr">
        <is>
          <t>[승무원어피]스테이포에버_이미지</t>
        </is>
      </c>
      <c r="B4822" s="16" t="n">
        <v>44271</v>
      </c>
      <c r="C4822" s="20" t="inlineStr">
        <is>
          <t>화</t>
        </is>
      </c>
      <c r="D4822" s="20" t="inlineStr">
        <is>
          <t>페이스북/인스타그램</t>
        </is>
      </c>
      <c r="E4822" s="20" t="inlineStr">
        <is>
          <t>고체향수</t>
        </is>
      </c>
      <c r="K4822" s="20" t="n">
        <v>152169</v>
      </c>
    </row>
    <row r="4823" ht="16.5" customHeight="1" s="17">
      <c r="A4823" s="20" t="inlineStr">
        <is>
          <t>[다현]스테이포에버_이미지</t>
        </is>
      </c>
      <c r="B4823" s="16" t="n">
        <v>44271</v>
      </c>
      <c r="C4823" s="20" t="inlineStr">
        <is>
          <t>화</t>
        </is>
      </c>
      <c r="D4823" s="20" t="inlineStr">
        <is>
          <t>페이스북/인스타그램</t>
        </is>
      </c>
      <c r="E4823" s="20" t="inlineStr">
        <is>
          <t>고체향수</t>
        </is>
      </c>
      <c r="K4823" s="20" t="n">
        <v>201874</v>
      </c>
    </row>
    <row r="4824" ht="16.5" customHeight="1" s="17">
      <c r="A4824" s="20" t="inlineStr">
        <is>
          <t>[승무원]스테이포에버_카드뉴스</t>
        </is>
      </c>
      <c r="B4824" s="16" t="n">
        <v>44271</v>
      </c>
      <c r="C4824" s="20" t="inlineStr">
        <is>
          <t>화</t>
        </is>
      </c>
      <c r="D4824" s="20" t="inlineStr">
        <is>
          <t>페이스북/인스타그램</t>
        </is>
      </c>
      <c r="E4824" s="20" t="inlineStr">
        <is>
          <t>고체향수</t>
        </is>
      </c>
      <c r="K4824" s="20" t="n">
        <v>201667</v>
      </c>
    </row>
    <row r="4825" ht="16.5" customHeight="1" s="17">
      <c r="A4825" s="20" t="inlineStr">
        <is>
          <t>[후기타입]스테이포에버_영상</t>
        </is>
      </c>
      <c r="B4825" s="16" t="n">
        <v>44271</v>
      </c>
      <c r="C4825" s="20" t="inlineStr">
        <is>
          <t>화</t>
        </is>
      </c>
      <c r="D4825" s="20" t="inlineStr">
        <is>
          <t>페이스북/인스타그램</t>
        </is>
      </c>
      <c r="E4825" s="20" t="inlineStr">
        <is>
          <t>고체향수</t>
        </is>
      </c>
      <c r="K4825" s="20" t="n">
        <v>151185</v>
      </c>
    </row>
    <row r="4826" ht="16.5" customHeight="1" s="17">
      <c r="A4826" s="20" t="inlineStr">
        <is>
          <t>전환_스테이포에버</t>
        </is>
      </c>
      <c r="B4826" s="16" t="n">
        <v>44271</v>
      </c>
      <c r="C4826" s="20" t="inlineStr">
        <is>
          <t>화</t>
        </is>
      </c>
      <c r="D4826" s="20" t="inlineStr">
        <is>
          <t>페이스북/인스타그램</t>
        </is>
      </c>
      <c r="E4826" s="20" t="inlineStr">
        <is>
          <t>고체향수</t>
        </is>
      </c>
      <c r="K4826" s="20" t="n">
        <v>49677</v>
      </c>
    </row>
    <row r="4827" ht="16.5" customHeight="1" s="17">
      <c r="A4827" s="20" t="inlineStr">
        <is>
          <t>[권태기커플]스테이포에버_영상</t>
        </is>
      </c>
      <c r="B4827" s="16" t="n">
        <v>44271</v>
      </c>
      <c r="C4827" s="20" t="inlineStr">
        <is>
          <t>화</t>
        </is>
      </c>
      <c r="D4827" s="20" t="inlineStr">
        <is>
          <t>페이스북/인스타그램</t>
        </is>
      </c>
      <c r="E4827" s="20" t="inlineStr">
        <is>
          <t>고체향수</t>
        </is>
      </c>
      <c r="K4827" s="20" t="n">
        <v>151369</v>
      </c>
    </row>
    <row r="4828" ht="16.5" customHeight="1" s="17">
      <c r="A4828" s="20" t="inlineStr">
        <is>
          <t>동영상캠페인_승무원_2019년썰(cpa)</t>
        </is>
      </c>
      <c r="B4828" s="16" t="n">
        <v>44271</v>
      </c>
      <c r="C4828" s="20" t="inlineStr">
        <is>
          <t>화</t>
        </is>
      </c>
      <c r="D4828" s="20" t="inlineStr">
        <is>
          <t>유튜브 광고</t>
        </is>
      </c>
      <c r="E4828" s="20" t="inlineStr">
        <is>
          <t>고체향수</t>
        </is>
      </c>
      <c r="K4828" s="20" t="n">
        <v>1050</v>
      </c>
    </row>
    <row r="4829" ht="16.5" customHeight="1" s="17">
      <c r="A4829" s="20" t="inlineStr">
        <is>
          <t>웹사이트 트래픽 서치</t>
        </is>
      </c>
      <c r="B4829" s="16" t="n">
        <v>44271</v>
      </c>
      <c r="C4829" s="20" t="inlineStr">
        <is>
          <t>화</t>
        </is>
      </c>
      <c r="D4829" s="20" t="inlineStr">
        <is>
          <t>유튜브 광고</t>
        </is>
      </c>
      <c r="E4829" s="20" t="inlineStr">
        <is>
          <t>고체향수</t>
        </is>
      </c>
      <c r="K4829" s="20" t="n">
        <v>35861</v>
      </c>
    </row>
    <row r="4830" ht="16.5" customHeight="1" s="17">
      <c r="A4830" s="20" t="inlineStr">
        <is>
          <t>동영상캠페인_승무원_보이는 라디오(cpa)</t>
        </is>
      </c>
      <c r="B4830" s="16" t="n">
        <v>44271</v>
      </c>
      <c r="C4830" s="20" t="inlineStr">
        <is>
          <t>화</t>
        </is>
      </c>
      <c r="D4830" s="20" t="inlineStr">
        <is>
          <t>유튜브 광고</t>
        </is>
      </c>
      <c r="E4830" s="20" t="inlineStr">
        <is>
          <t>고체향수</t>
        </is>
      </c>
      <c r="K4830" s="20" t="n">
        <v>3723</v>
      </c>
    </row>
    <row r="4831" ht="16.5" customHeight="1" s="17">
      <c r="A4831" s="20" t="inlineStr">
        <is>
          <t>디스커버리 배너_승무원,할인_리마케팅</t>
        </is>
      </c>
      <c r="B4831" s="16" t="n">
        <v>44271</v>
      </c>
      <c r="C4831" s="20" t="inlineStr">
        <is>
          <t>화</t>
        </is>
      </c>
      <c r="D4831" s="20" t="inlineStr">
        <is>
          <t>유튜브 광고</t>
        </is>
      </c>
      <c r="E4831" s="20" t="inlineStr">
        <is>
          <t>고체향수</t>
        </is>
      </c>
      <c r="K4831" s="20" t="n">
        <v>425472</v>
      </c>
    </row>
    <row r="4832" ht="16.5" customHeight="1" s="17">
      <c r="A4832" s="20" t="inlineStr">
        <is>
          <t>동영상캠페인_승무원_써니스카이</t>
        </is>
      </c>
      <c r="B4832" s="16" t="n">
        <v>44271</v>
      </c>
      <c r="C4832" s="20" t="inlineStr">
        <is>
          <t>화</t>
        </is>
      </c>
      <c r="D4832" s="20" t="inlineStr">
        <is>
          <t>유튜브 광고</t>
        </is>
      </c>
      <c r="E4832" s="20" t="inlineStr">
        <is>
          <t>고체향수</t>
        </is>
      </c>
      <c r="K4832" s="20" t="n">
        <v>508580</v>
      </c>
    </row>
    <row r="4833" ht="16.5" customHeight="1" s="17">
      <c r="A4833" s="20" t="inlineStr">
        <is>
          <t>동영상캠페인_필라테스_자기관리(타겟 cpa)</t>
        </is>
      </c>
      <c r="B4833" s="16" t="n">
        <v>44271</v>
      </c>
      <c r="C4833" s="20" t="inlineStr">
        <is>
          <t>화</t>
        </is>
      </c>
      <c r="D4833" s="20" t="inlineStr">
        <is>
          <t>유튜브 광고</t>
        </is>
      </c>
      <c r="E4833" s="20" t="inlineStr">
        <is>
          <t>고체향수</t>
        </is>
      </c>
      <c r="K4833" s="20" t="n">
        <v>356387</v>
      </c>
    </row>
    <row r="4834" ht="16.5" customHeight="1" s="17">
      <c r="A4834" s="20" t="inlineStr">
        <is>
          <t>동영상캠페인_승무원_비누향 나는 승무원에게(cpa)</t>
        </is>
      </c>
      <c r="B4834" s="16" t="n">
        <v>44271</v>
      </c>
      <c r="C4834" s="20" t="inlineStr">
        <is>
          <t>화</t>
        </is>
      </c>
      <c r="D4834" s="20" t="inlineStr">
        <is>
          <t>유튜브 광고</t>
        </is>
      </c>
      <c r="E4834" s="20" t="inlineStr">
        <is>
          <t>고체향수</t>
        </is>
      </c>
      <c r="K4834" s="20" t="n">
        <v>19028</v>
      </c>
    </row>
    <row r="4835" ht="16.5" customHeight="1" s="17">
      <c r="A4835" s="20" t="inlineStr">
        <is>
          <t>동영상캠페인_유즈모먼트_2차_30대 여성 회사원(cpa)</t>
        </is>
      </c>
      <c r="B4835" s="16" t="n">
        <v>44271</v>
      </c>
      <c r="C4835" s="20" t="inlineStr">
        <is>
          <t>화</t>
        </is>
      </c>
      <c r="D4835" s="20" t="inlineStr">
        <is>
          <t>유튜브 광고</t>
        </is>
      </c>
      <c r="E4835" s="20" t="inlineStr">
        <is>
          <t>고체향수</t>
        </is>
      </c>
      <c r="K4835" s="20" t="n">
        <v>101786</v>
      </c>
    </row>
    <row r="4836" ht="16.5" customHeight="1" s="17">
      <c r="A4836" s="20" t="inlineStr">
        <is>
          <t>동영상캠페인_유즈모먼트_조향사 친구(cpa)</t>
        </is>
      </c>
      <c r="B4836" s="16" t="n">
        <v>44271</v>
      </c>
      <c r="C4836" s="20" t="inlineStr">
        <is>
          <t>화</t>
        </is>
      </c>
      <c r="D4836" s="20" t="inlineStr">
        <is>
          <t>유튜브 광고</t>
        </is>
      </c>
      <c r="E4836" s="20" t="inlineStr">
        <is>
          <t>고체향수</t>
        </is>
      </c>
      <c r="K4836" s="20" t="n">
        <v>106964</v>
      </c>
    </row>
    <row r="4837" ht="16.5" customHeight="1" s="17">
      <c r="A4837" s="20" t="inlineStr">
        <is>
          <t>동영상 캠페인_유튜버 수지큐 2차활용</t>
        </is>
      </c>
      <c r="B4837" s="16" t="n">
        <v>44271</v>
      </c>
      <c r="C4837" s="20" t="inlineStr">
        <is>
          <t>화</t>
        </is>
      </c>
      <c r="D4837" s="20" t="inlineStr">
        <is>
          <t>유튜브 광고</t>
        </is>
      </c>
      <c r="E4837" s="20" t="inlineStr">
        <is>
          <t>고체향수</t>
        </is>
      </c>
      <c r="K4837" s="20" t="n">
        <v>101908</v>
      </c>
    </row>
    <row r="4838" ht="16.5" customHeight="1" s="17">
      <c r="A4838" s="20" t="inlineStr">
        <is>
          <t>쇼핑검색_고체향수</t>
        </is>
      </c>
      <c r="B4838" s="16" t="n">
        <v>44271</v>
      </c>
      <c r="C4838" s="20" t="inlineStr">
        <is>
          <t>화</t>
        </is>
      </c>
      <c r="D4838" s="20" t="inlineStr">
        <is>
          <t>네이버 쇼핑검색</t>
        </is>
      </c>
      <c r="E4838" s="20" t="inlineStr">
        <is>
          <t>고체향수</t>
        </is>
      </c>
      <c r="K4838" s="20" t="n">
        <v>1420</v>
      </c>
    </row>
    <row r="4839" ht="16.5" customHeight="1" s="17">
      <c r="A4839" s="20" t="inlineStr">
        <is>
          <t>쇼핑검색_고체향수세부키워드</t>
        </is>
      </c>
      <c r="B4839" s="16" t="n">
        <v>44271</v>
      </c>
      <c r="C4839" s="20" t="inlineStr">
        <is>
          <t>화</t>
        </is>
      </c>
      <c r="D4839" s="20" t="inlineStr">
        <is>
          <t>네이버 쇼핑검색</t>
        </is>
      </c>
      <c r="E4839" s="20" t="inlineStr">
        <is>
          <t>고체향수</t>
        </is>
      </c>
      <c r="K4839" s="20" t="n">
        <v>52009.99999999999</v>
      </c>
    </row>
    <row r="4840" ht="16.5" customHeight="1" s="17">
      <c r="A4840" s="20" t="inlineStr">
        <is>
          <t>쇼핑검색_고체향수세부키워드2</t>
        </is>
      </c>
      <c r="B4840" s="16" t="n">
        <v>44271</v>
      </c>
      <c r="C4840" s="20" t="inlineStr">
        <is>
          <t>화</t>
        </is>
      </c>
      <c r="D4840" s="20" t="inlineStr">
        <is>
          <t>네이버 쇼핑검색</t>
        </is>
      </c>
      <c r="E4840" s="20" t="inlineStr">
        <is>
          <t>고체향수</t>
        </is>
      </c>
      <c r="K4840" s="20" t="n">
        <v>1950</v>
      </c>
    </row>
    <row r="4841" ht="16.5" customHeight="1" s="17">
      <c r="A4841" s="20" t="inlineStr">
        <is>
          <t>모바일 브검</t>
        </is>
      </c>
      <c r="B4841" s="16" t="n">
        <v>44271</v>
      </c>
      <c r="C4841" s="20" t="inlineStr">
        <is>
          <t>화</t>
        </is>
      </c>
      <c r="D4841" s="20" t="inlineStr">
        <is>
          <t>네이버 브랜드검색</t>
        </is>
      </c>
      <c r="E4841" s="20" t="inlineStr">
        <is>
          <t>브랜드</t>
        </is>
      </c>
      <c r="K4841" s="20" t="n">
        <v>156700</v>
      </c>
    </row>
    <row r="4842" ht="16.5" customHeight="1" s="17">
      <c r="A4842" s="20" t="inlineStr">
        <is>
          <t>PC 브랜드검색</t>
        </is>
      </c>
      <c r="B4842" s="16" t="n">
        <v>44271</v>
      </c>
      <c r="C4842" s="20" t="inlineStr">
        <is>
          <t>화</t>
        </is>
      </c>
      <c r="K4842" s="20" t="n">
        <v>0</v>
      </c>
    </row>
    <row r="4843" ht="16.5" customHeight="1" s="17">
      <c r="B4843" s="16" t="n">
        <v>44271</v>
      </c>
      <c r="C4843" s="20" t="inlineStr">
        <is>
          <t>화</t>
        </is>
      </c>
      <c r="E4843" s="20" t="inlineStr">
        <is>
          <t>고체향수</t>
        </is>
      </c>
      <c r="F4843" s="20" t="inlineStr">
        <is>
          <t>W컨셉</t>
        </is>
      </c>
      <c r="G4843" s="20" t="inlineStr">
        <is>
          <t>솔리드퍼퓸 이그나이트/스테이포에버 30ml (2종 택1)&lt;옵션1&gt;002 STAY FOREVER</t>
        </is>
      </c>
      <c r="H4843" s="20" t="n">
        <v>11</v>
      </c>
      <c r="I4843" s="20" t="inlineStr">
        <is>
          <t>스테이포에버</t>
        </is>
      </c>
      <c r="J4843" s="20" t="inlineStr">
        <is>
          <t>210207</t>
        </is>
      </c>
      <c r="L4843" s="20" t="n">
        <v>374000</v>
      </c>
      <c r="M4843" s="20" t="n">
        <v>261800</v>
      </c>
      <c r="N4843" s="20" t="n">
        <v>28512</v>
      </c>
      <c r="O4843" s="20" t="inlineStr">
        <is>
          <t>W컨셉고체향수솔리드퍼퓸 이그나이트/스테이포에버 30ml (2종 택1)&lt;옵션1&gt;002 STAY FOREVER210207</t>
        </is>
      </c>
    </row>
    <row r="4844" ht="16.5" customHeight="1" s="17">
      <c r="B4844" s="16" t="n">
        <v>44271</v>
      </c>
      <c r="C4844" s="20" t="inlineStr">
        <is>
          <t>화</t>
        </is>
      </c>
      <c r="E4844" s="20" t="inlineStr">
        <is>
          <t>고체향수</t>
        </is>
      </c>
      <c r="F4844" s="20" t="inlineStr">
        <is>
          <t>W컨셉</t>
        </is>
      </c>
      <c r="G4844" s="20" t="inlineStr">
        <is>
          <t>솔리드퍼퓸 이그나이트/스테이포에버 30ml (2종 택1)&lt;옵션1&gt;IGNITE + STAY FOREVER</t>
        </is>
      </c>
      <c r="H4844" s="20" t="n">
        <v>1</v>
      </c>
      <c r="I4844" s="20" t="inlineStr">
        <is>
          <t>이그나이트 + 스테이포에버</t>
        </is>
      </c>
      <c r="J4844" s="20" t="inlineStr">
        <is>
          <t>210207</t>
        </is>
      </c>
      <c r="L4844" s="20" t="n">
        <v>58800</v>
      </c>
      <c r="M4844" s="20" t="n">
        <v>47040</v>
      </c>
      <c r="N4844" s="20" t="n">
        <v>5345</v>
      </c>
      <c r="O4844" s="20" t="inlineStr">
        <is>
          <t>W컨셉고체향수솔리드퍼퓸 이그나이트/스테이포에버 30ml (2종 택1)&lt;옵션1&gt;IGNITE + STAY FOREVER210207</t>
        </is>
      </c>
    </row>
    <row r="4845" ht="16.5" customHeight="1" s="17">
      <c r="B4845" s="16" t="n">
        <v>44271</v>
      </c>
      <c r="C4845" s="20" t="inlineStr">
        <is>
          <t>화</t>
        </is>
      </c>
      <c r="E4845" s="20" t="inlineStr">
        <is>
          <t>고체향수</t>
        </is>
      </c>
      <c r="F4845" s="20" t="inlineStr">
        <is>
          <t>스마트스토어</t>
        </is>
      </c>
      <c r="G4845" s="20" t="inlineStr">
        <is>
          <t>유즈 고체향수 세트(유즈 스테이포에버, 유즈 이그나이트)고체향수: 스테이포에버 1개 + 이그나이트 1개</t>
        </is>
      </c>
      <c r="H4845" s="20" t="n">
        <v>2</v>
      </c>
      <c r="I4845" s="20" t="inlineStr">
        <is>
          <t>이그나이트 + 스테이포에버</t>
        </is>
      </c>
      <c r="J4845" s="20" t="inlineStr">
        <is>
          <t>210207</t>
        </is>
      </c>
      <c r="L4845" s="20" t="n">
        <v>117600</v>
      </c>
      <c r="M4845" s="20" t="n">
        <v>110720.4</v>
      </c>
      <c r="N4845" s="20" t="n">
        <v>10690</v>
      </c>
      <c r="O4845" s="20" t="inlineStr">
        <is>
          <t>스마트스토어고체향수유즈 고체향수 세트(유즈 스테이포에버, 유즈 이그나이트)고체향수: 스테이포에버 1개 + 이그나이트 1개210207</t>
        </is>
      </c>
    </row>
    <row r="4846" ht="16.5" customHeight="1" s="17">
      <c r="B4846" s="16" t="n">
        <v>44271</v>
      </c>
      <c r="C4846" s="20" t="inlineStr">
        <is>
          <t>화</t>
        </is>
      </c>
      <c r="E4846" s="20" t="inlineStr">
        <is>
          <t>고체향수</t>
        </is>
      </c>
      <c r="F4846" s="20" t="inlineStr">
        <is>
          <t>스마트스토어</t>
        </is>
      </c>
      <c r="G4846" s="20" t="inlineStr">
        <is>
          <t>유즈 고체향수 세트(유즈 스테이포에버, 유즈 이그나이트)고체향수: 스테이포에버 2개</t>
        </is>
      </c>
      <c r="H4846" s="20" t="n">
        <v>6</v>
      </c>
      <c r="I4846" s="20" t="inlineStr">
        <is>
          <t>스테이포에버 2set</t>
        </is>
      </c>
      <c r="J4846" s="20" t="inlineStr">
        <is>
          <t>210207</t>
        </is>
      </c>
      <c r="L4846" s="20" t="n">
        <v>352800</v>
      </c>
      <c r="M4846" s="20" t="n">
        <v>345744</v>
      </c>
      <c r="N4846" s="20" t="n">
        <v>31104</v>
      </c>
      <c r="O4846" s="20" t="inlineStr">
        <is>
          <t>스마트스토어고체향수유즈 고체향수 세트(유즈 스테이포에버, 유즈 이그나이트)고체향수: 스테이포에버 2개210207</t>
        </is>
      </c>
    </row>
    <row r="4847" ht="16.5" customHeight="1" s="17">
      <c r="B4847" s="16" t="n">
        <v>44271</v>
      </c>
      <c r="C4847" s="20" t="inlineStr">
        <is>
          <t>화</t>
        </is>
      </c>
      <c r="E4847" s="20" t="inlineStr">
        <is>
          <t>고체향수</t>
        </is>
      </c>
      <c r="F4847" s="20" t="inlineStr">
        <is>
          <t>스마트스토어</t>
        </is>
      </c>
      <c r="G4847" s="20" t="inlineStr">
        <is>
          <t>유즈 고체향수 스테이포에버 002고체향수: 스테이포에버 1개</t>
        </is>
      </c>
      <c r="H4847" s="20" t="n">
        <v>24</v>
      </c>
      <c r="I4847" s="20" t="inlineStr">
        <is>
          <t>스테이포에버</t>
        </is>
      </c>
      <c r="J4847" s="20" t="inlineStr">
        <is>
          <t>210207</t>
        </is>
      </c>
      <c r="L4847" s="20" t="n">
        <v>816000</v>
      </c>
      <c r="M4847" s="20" t="n">
        <v>799680</v>
      </c>
      <c r="N4847" s="20" t="n">
        <v>62208</v>
      </c>
      <c r="O4847" s="20" t="inlineStr">
        <is>
          <t>스마트스토어고체향수유즈 고체향수 스테이포에버 002고체향수: 스테이포에버 1개210207</t>
        </is>
      </c>
    </row>
    <row r="4848" ht="16.5" customHeight="1" s="17">
      <c r="B4848" s="16" t="n">
        <v>44271</v>
      </c>
      <c r="C4848" s="20" t="inlineStr">
        <is>
          <t>화</t>
        </is>
      </c>
      <c r="E4848" s="20" t="inlineStr">
        <is>
          <t>고체향수</t>
        </is>
      </c>
      <c r="F4848" s="20" t="inlineStr">
        <is>
          <t>유즈 CS</t>
        </is>
      </c>
      <c r="G4848" s="20" t="inlineStr">
        <is>
          <t>솔리드퍼퓸 이그나이트 001 30ml</t>
        </is>
      </c>
      <c r="H4848" s="20" t="n">
        <v>1</v>
      </c>
      <c r="I4848" s="20" t="inlineStr">
        <is>
          <t>이그나이트</t>
        </is>
      </c>
      <c r="J4848" s="20" t="inlineStr">
        <is>
          <t>210207</t>
        </is>
      </c>
      <c r="L4848" s="20" t="n">
        <v>0</v>
      </c>
      <c r="M4848" s="20" t="n">
        <v>0</v>
      </c>
      <c r="N4848" s="20" t="n">
        <v>2753</v>
      </c>
      <c r="O4848" s="20" t="inlineStr">
        <is>
          <t>유즈 CS고체향수솔리드퍼퓸 이그나이트 001 30ml210207</t>
        </is>
      </c>
    </row>
    <row r="4849" ht="16.5" customHeight="1" s="17">
      <c r="B4849" s="16" t="n">
        <v>44271</v>
      </c>
      <c r="C4849" s="20" t="inlineStr">
        <is>
          <t>화</t>
        </is>
      </c>
      <c r="E4849" s="20" t="inlineStr">
        <is>
          <t>쇼핑백</t>
        </is>
      </c>
      <c r="F4849" s="20" t="inlineStr">
        <is>
          <t>카페24</t>
        </is>
      </c>
      <c r="G4849" s="20" t="inlineStr">
        <is>
          <t>선물용 쇼핑백</t>
        </is>
      </c>
      <c r="H4849" s="20" t="n">
        <v>2</v>
      </c>
      <c r="I4849" s="20" t="inlineStr">
        <is>
          <t>쇼핑백</t>
        </is>
      </c>
      <c r="J4849" s="20" t="inlineStr">
        <is>
          <t>210207</t>
        </is>
      </c>
      <c r="L4849" s="20" t="n">
        <v>4000</v>
      </c>
      <c r="M4849" s="20" t="n">
        <v>3766</v>
      </c>
      <c r="N4849" s="20" t="n">
        <v>1660</v>
      </c>
      <c r="O4849" s="20" t="inlineStr">
        <is>
          <t>카페24쇼핑백선물용 쇼핑백210207</t>
        </is>
      </c>
    </row>
    <row r="4850" ht="16.5" customHeight="1" s="17">
      <c r="B4850" s="16" t="n">
        <v>44271</v>
      </c>
      <c r="C4850" s="20" t="inlineStr">
        <is>
          <t>화</t>
        </is>
      </c>
      <c r="E4850" s="20" t="inlineStr">
        <is>
          <t>고체향수</t>
        </is>
      </c>
      <c r="F4850" s="20" t="inlineStr">
        <is>
          <t>카페24</t>
        </is>
      </c>
      <c r="G4850" s="20" t="inlineStr">
        <is>
          <t>솔리드퍼퓸 세트향=스테이포에버 002 SOLID PERFUME, 세트 선택=1개</t>
        </is>
      </c>
      <c r="H4850" s="20" t="n">
        <v>3</v>
      </c>
      <c r="I4850" s="20" t="inlineStr">
        <is>
          <t>스테이포에버</t>
        </is>
      </c>
      <c r="J4850" s="20" t="inlineStr">
        <is>
          <t>210207</t>
        </is>
      </c>
      <c r="L4850" s="20" t="n">
        <v>102000</v>
      </c>
      <c r="M4850" s="20" t="n">
        <v>96033</v>
      </c>
      <c r="N4850" s="20" t="n">
        <v>7776</v>
      </c>
      <c r="O4850" s="20" t="inlineStr">
        <is>
          <t>카페24고체향수솔리드퍼퓸 세트향=스테이포에버 002 SOLID PERFUME, 세트 선택=1개210207</t>
        </is>
      </c>
    </row>
    <row r="4851" ht="16.5" customHeight="1" s="17">
      <c r="B4851" s="16" t="n">
        <v>44271</v>
      </c>
      <c r="C4851" s="20" t="inlineStr">
        <is>
          <t>화</t>
        </is>
      </c>
      <c r="E4851" s="20" t="inlineStr">
        <is>
          <t>고체향수</t>
        </is>
      </c>
      <c r="F4851" s="20" t="inlineStr">
        <is>
          <t>카페24</t>
        </is>
      </c>
      <c r="G4851" s="20" t="inlineStr">
        <is>
          <t>솔리드퍼퓸 세트향=스테이포에버 002 SOLID PERFUME, 세트 선택=best 2개 (28% 할인)</t>
        </is>
      </c>
      <c r="H4851" s="20" t="n">
        <v>8</v>
      </c>
      <c r="I4851" s="20" t="inlineStr">
        <is>
          <t>스테이포에버 2set</t>
        </is>
      </c>
      <c r="J4851" s="20" t="inlineStr">
        <is>
          <t>210207</t>
        </is>
      </c>
      <c r="L4851" s="20" t="n">
        <v>470400</v>
      </c>
      <c r="M4851" s="20" t="n">
        <v>442881.6</v>
      </c>
      <c r="N4851" s="20" t="n">
        <v>41472</v>
      </c>
      <c r="O4851" s="20" t="inlineStr">
        <is>
          <t>카페24고체향수솔리드퍼퓸 세트향=스테이포에버 002 SOLID PERFUME, 세트 선택=best 2개 (28% 할인)210207</t>
        </is>
      </c>
    </row>
    <row r="4852" ht="16.5" customHeight="1" s="17">
      <c r="B4852" s="16" t="n">
        <v>44271</v>
      </c>
      <c r="C4852" s="20" t="inlineStr">
        <is>
          <t>화</t>
        </is>
      </c>
      <c r="E4852" s="20" t="inlineStr">
        <is>
          <t>고체향수</t>
        </is>
      </c>
      <c r="F4852" s="20" t="inlineStr">
        <is>
          <t>카페24</t>
        </is>
      </c>
      <c r="G4852" s="20" t="inlineStr">
        <is>
          <t>솔리드퍼퓸 세트향=커플세트(이그나이트 + 스테이포에버), 세트 선택=1 SET</t>
        </is>
      </c>
      <c r="H4852" s="20" t="n">
        <v>19</v>
      </c>
      <c r="I4852" s="20" t="inlineStr">
        <is>
          <t>이그나이트 + 스테이포에버</t>
        </is>
      </c>
      <c r="J4852" s="20" t="inlineStr">
        <is>
          <t>210207</t>
        </is>
      </c>
      <c r="L4852" s="20" t="n">
        <v>1117200</v>
      </c>
      <c r="M4852" s="20" t="n">
        <v>1051843.8</v>
      </c>
      <c r="N4852" s="20" t="n">
        <v>101555</v>
      </c>
      <c r="O4852" s="20" t="inlineStr">
        <is>
          <t>카페24고체향수솔리드퍼퓸 세트향=커플세트(이그나이트 + 스테이포에버), 세트 선택=1 SET210207</t>
        </is>
      </c>
    </row>
    <row r="4853" ht="16.5" customHeight="1" s="17">
      <c r="B4853" s="16" t="n">
        <v>44271</v>
      </c>
      <c r="C4853" s="20" t="inlineStr">
        <is>
          <t>화</t>
        </is>
      </c>
      <c r="E4853" s="20" t="inlineStr">
        <is>
          <t>고체향수</t>
        </is>
      </c>
      <c r="F4853" s="20" t="inlineStr">
        <is>
          <t>카페24</t>
        </is>
      </c>
      <c r="G4853" s="20" t="inlineStr">
        <is>
          <t>솔리드퍼퓸 세트향=커플세트(이그나이트 + 스테이포에버), 세트 선택=2 SET (42% 할인)</t>
        </is>
      </c>
      <c r="H4853" s="20" t="n">
        <v>1</v>
      </c>
      <c r="I4853" s="20" t="inlineStr">
        <is>
          <t>이그나이트 + 스테이포에버</t>
        </is>
      </c>
      <c r="J4853" s="20" t="inlineStr">
        <is>
          <t>210207</t>
        </is>
      </c>
      <c r="L4853" s="20" t="n">
        <v>58800</v>
      </c>
      <c r="M4853" s="20" t="n">
        <v>55360.2</v>
      </c>
      <c r="N4853" s="20" t="n">
        <v>5345</v>
      </c>
      <c r="O4853" s="20" t="inlineStr">
        <is>
          <t>카페24고체향수솔리드퍼퓸 세트향=커플세트(이그나이트 + 스테이포에버), 세트 선택=2 SET (42% 할인)210207</t>
        </is>
      </c>
    </row>
    <row r="4854" ht="16.5" customHeight="1" s="17">
      <c r="B4854" s="16" t="n">
        <v>44271</v>
      </c>
      <c r="C4854" s="20" t="inlineStr">
        <is>
          <t>화</t>
        </is>
      </c>
      <c r="E4854" s="20" t="inlineStr">
        <is>
          <t>고체향수</t>
        </is>
      </c>
      <c r="F4854" s="20" t="inlineStr">
        <is>
          <t>카페24</t>
        </is>
      </c>
      <c r="G4854" s="20" t="inlineStr">
        <is>
          <t>솔리드퍼퓸 스테이포에버 002제품선택=스테이포에버 1개</t>
        </is>
      </c>
      <c r="H4854" s="20" t="n">
        <v>164</v>
      </c>
      <c r="I4854" s="20" t="inlineStr">
        <is>
          <t>스테이포에버</t>
        </is>
      </c>
      <c r="J4854" s="20" t="inlineStr">
        <is>
          <t>210207</t>
        </is>
      </c>
      <c r="L4854" s="20" t="n">
        <v>5576000</v>
      </c>
      <c r="M4854" s="20" t="n">
        <v>5249804</v>
      </c>
      <c r="N4854" s="20" t="n">
        <v>425088</v>
      </c>
      <c r="O4854" s="20" t="inlineStr">
        <is>
          <t>카페24고체향수솔리드퍼퓸 스테이포에버 002제품선택=스테이포에버 1개210207</t>
        </is>
      </c>
    </row>
    <row r="4855" ht="16.5" customHeight="1" s="17">
      <c r="B4855" s="16" t="n">
        <v>44271</v>
      </c>
      <c r="C4855" s="20" t="inlineStr">
        <is>
          <t>화</t>
        </is>
      </c>
      <c r="E4855" s="20" t="inlineStr">
        <is>
          <t>고체향수</t>
        </is>
      </c>
      <c r="F4855" s="20" t="inlineStr">
        <is>
          <t>카페24</t>
        </is>
      </c>
      <c r="G4855" s="20" t="inlineStr">
        <is>
          <t>솔리드퍼퓸 스테이포에버 002제품선택=best스테이포에버 2개[28% 할인]</t>
        </is>
      </c>
      <c r="H4855" s="20" t="n">
        <v>99</v>
      </c>
      <c r="I4855" s="20" t="inlineStr">
        <is>
          <t>스테이포에버 2set</t>
        </is>
      </c>
      <c r="J4855" s="20" t="inlineStr">
        <is>
          <t>210207</t>
        </is>
      </c>
      <c r="L4855" s="20" t="n">
        <v>5821200</v>
      </c>
      <c r="M4855" s="20" t="n">
        <v>5480659.8</v>
      </c>
      <c r="N4855" s="20" t="n">
        <v>513216</v>
      </c>
      <c r="O4855" s="20" t="inlineStr">
        <is>
          <t>카페24고체향수솔리드퍼퓸 스테이포에버 002제품선택=best스테이포에버 2개[28% 할인]210207</t>
        </is>
      </c>
    </row>
    <row r="4856" ht="16.5" customHeight="1" s="17">
      <c r="B4856" s="16" t="n">
        <v>44271</v>
      </c>
      <c r="C4856" s="20" t="inlineStr">
        <is>
          <t>화</t>
        </is>
      </c>
      <c r="E4856" s="20" t="inlineStr">
        <is>
          <t>고체향수</t>
        </is>
      </c>
      <c r="F4856" s="20" t="inlineStr">
        <is>
          <t>카페24</t>
        </is>
      </c>
      <c r="G4856" s="20" t="inlineStr">
        <is>
          <t>솔리드퍼퓸 스테이포에버 002제품선택=커플추천스테이포에버 + 이그나이트 세트</t>
        </is>
      </c>
      <c r="H4856" s="20" t="n">
        <v>13</v>
      </c>
      <c r="I4856" s="20" t="inlineStr">
        <is>
          <t>이그나이트 + 스테이포에버</t>
        </is>
      </c>
      <c r="J4856" s="20" t="inlineStr">
        <is>
          <t>210207</t>
        </is>
      </c>
      <c r="L4856" s="20" t="n">
        <v>764400</v>
      </c>
      <c r="M4856" s="20" t="n">
        <v>719682.6</v>
      </c>
      <c r="N4856" s="20" t="n">
        <v>69485</v>
      </c>
      <c r="O4856" s="20" t="inlineStr">
        <is>
          <t>카페24고체향수솔리드퍼퓸 스테이포에버 002제품선택=커플추천스테이포에버 + 이그나이트 세트210207</t>
        </is>
      </c>
    </row>
    <row r="4857" ht="16.5" customHeight="1" s="17">
      <c r="B4857" s="16" t="n">
        <v>44271</v>
      </c>
      <c r="C4857" s="20" t="inlineStr">
        <is>
          <t>화</t>
        </is>
      </c>
      <c r="E4857" s="20" t="inlineStr">
        <is>
          <t>쇼핑백</t>
        </is>
      </c>
      <c r="F4857" s="20" t="inlineStr">
        <is>
          <t>카페24</t>
        </is>
      </c>
      <c r="G4857" s="20" t="inlineStr">
        <is>
          <t>솔리드퍼퓸 스테이포에버 002쇼핑백=선물용 쇼핑백</t>
        </is>
      </c>
      <c r="H4857" s="20" t="n">
        <v>6</v>
      </c>
      <c r="I4857" s="20" t="inlineStr">
        <is>
          <t>쇼핑백</t>
        </is>
      </c>
      <c r="J4857" s="20" t="inlineStr">
        <is>
          <t>210207</t>
        </is>
      </c>
      <c r="L4857" s="20" t="n">
        <v>12000</v>
      </c>
      <c r="M4857" s="20" t="n">
        <v>11298</v>
      </c>
      <c r="N4857" s="20" t="n">
        <v>4980</v>
      </c>
      <c r="O4857" s="20" t="inlineStr">
        <is>
          <t>카페24쇼핑백솔리드퍼퓸 스테이포에버 002쇼핑백=선물용 쇼핑백210207</t>
        </is>
      </c>
    </row>
    <row r="4858" ht="16.5" customHeight="1" s="17">
      <c r="B4858" s="16" t="n">
        <v>44271</v>
      </c>
      <c r="C4858" s="20" t="inlineStr">
        <is>
          <t>화</t>
        </is>
      </c>
      <c r="E4858" s="20" t="inlineStr">
        <is>
          <t>고체향수</t>
        </is>
      </c>
      <c r="F4858" s="20" t="inlineStr">
        <is>
          <t>카페24</t>
        </is>
      </c>
      <c r="G4858" s="20" t="inlineStr">
        <is>
          <t>솔리드퍼퓸 이그나이트 001제품선택=이그나이트 솔리드퍼퓸 - 30ml</t>
        </is>
      </c>
      <c r="H4858" s="20" t="n">
        <v>2</v>
      </c>
      <c r="I4858" s="20" t="inlineStr">
        <is>
          <t>이그나이트</t>
        </is>
      </c>
      <c r="J4858" s="20" t="inlineStr">
        <is>
          <t>210207</t>
        </is>
      </c>
      <c r="L4858" s="20" t="n">
        <v>68000</v>
      </c>
      <c r="M4858" s="20" t="n">
        <v>64022</v>
      </c>
      <c r="N4858" s="20" t="n">
        <v>5506</v>
      </c>
      <c r="O4858" s="20" t="inlineStr">
        <is>
          <t>카페24고체향수솔리드퍼퓸 이그나이트 001제품선택=이그나이트 솔리드퍼퓸 - 30ml210207</t>
        </is>
      </c>
    </row>
    <row r="4859" ht="16.5" customHeight="1" s="17">
      <c r="B4859" s="16" t="n">
        <v>44271</v>
      </c>
      <c r="C4859" s="20" t="inlineStr">
        <is>
          <t>화</t>
        </is>
      </c>
      <c r="E4859" s="20" t="inlineStr">
        <is>
          <t>고체향수</t>
        </is>
      </c>
      <c r="F4859" s="20" t="inlineStr">
        <is>
          <t>카페24</t>
        </is>
      </c>
      <c r="G4859" s="20" t="inlineStr">
        <is>
          <t>솔리드퍼퓸 이그나이트 001제품선택=이그나이트 2개 세트</t>
        </is>
      </c>
      <c r="H4859" s="20" t="n">
        <v>2</v>
      </c>
      <c r="I4859" s="20" t="inlineStr">
        <is>
          <t>이그나이트 2set</t>
        </is>
      </c>
      <c r="J4859" s="20" t="inlineStr">
        <is>
          <t>210207</t>
        </is>
      </c>
      <c r="L4859" s="20" t="n">
        <v>117600</v>
      </c>
      <c r="M4859" s="20" t="n">
        <v>110720.4</v>
      </c>
      <c r="N4859" s="20" t="n">
        <v>11012</v>
      </c>
      <c r="O4859" s="20" t="inlineStr">
        <is>
          <t>카페24고체향수솔리드퍼퓸 이그나이트 001제품선택=이그나이트 2개 세트210207</t>
        </is>
      </c>
    </row>
    <row r="4860" ht="16.5" customHeight="1" s="17">
      <c r="B4860" s="16" t="n">
        <v>44271</v>
      </c>
      <c r="C4860" s="20" t="inlineStr">
        <is>
          <t>화</t>
        </is>
      </c>
      <c r="E4860" s="20">
        <f>INDEX(매칭테이블!C:C,MATCH(RD!G4860,매칭테이블!D:D,0))</f>
        <v/>
      </c>
      <c r="F4860" s="20" t="inlineStr">
        <is>
          <t>카페24</t>
        </is>
      </c>
      <c r="G4860" s="20" t="inlineStr">
        <is>
          <t>유즈 솔리드퍼퓸 세트향=이그나이트 001 SOLID PERFUME, 세트 선택=1개</t>
        </is>
      </c>
      <c r="H4860" s="20" t="n">
        <v>1</v>
      </c>
      <c r="I4860" s="20">
        <f>VLOOKUP(G4860,매칭테이블!D:E,2,0)</f>
        <v/>
      </c>
      <c r="J4860" s="20" t="inlineStr">
        <is>
          <t>210207</t>
        </is>
      </c>
      <c r="L4860" s="20">
        <f>VLOOKUP($O4860,매칭테이블!$G:$J,2,0)*H4860</f>
        <v/>
      </c>
      <c r="M4860" s="20">
        <f>L4860-L4860*VLOOKUP($O4860,매칭테이블!$G:$J,3,0)</f>
        <v/>
      </c>
      <c r="N4860" s="20">
        <f>VLOOKUP($O4860,매칭테이블!$G:$J,4,0)*H4860</f>
        <v/>
      </c>
      <c r="O4860" s="20">
        <f>F4860&amp;E4860&amp;G4860&amp;J4860</f>
        <v/>
      </c>
    </row>
    <row r="4861" ht="16.5" customHeight="1" s="17">
      <c r="B4861" s="16" t="n">
        <v>44271</v>
      </c>
      <c r="C4861" s="20" t="inlineStr">
        <is>
          <t>화</t>
        </is>
      </c>
      <c r="E4861" s="20">
        <f>INDEX(매칭테이블!C:C,MATCH(RD!G4861,매칭테이블!D:D,0))</f>
        <v/>
      </c>
      <c r="F4861" s="20" t="inlineStr">
        <is>
          <t>카페24</t>
        </is>
      </c>
      <c r="G4861" s="20" t="inlineStr">
        <is>
          <t>유즈 솔리드퍼퓸 세트향=이그나이트 001 SOLID PERFUME, 세트 선택=best 2개 (28% 할인)</t>
        </is>
      </c>
      <c r="H4861" s="20" t="n">
        <v>2</v>
      </c>
      <c r="I4861" s="20">
        <f>VLOOKUP(G4861,매칭테이블!D:E,2,0)</f>
        <v/>
      </c>
      <c r="J4861" s="20" t="inlineStr">
        <is>
          <t>210207</t>
        </is>
      </c>
      <c r="L4861" s="20">
        <f>VLOOKUP($O4861,매칭테이블!$G:$J,2,0)*H4861</f>
        <v/>
      </c>
      <c r="M4861" s="20">
        <f>L4861-L4861*VLOOKUP($O4861,매칭테이블!$G:$J,3,0)</f>
        <v/>
      </c>
      <c r="N4861" s="20">
        <f>VLOOKUP($O4861,매칭테이블!$G:$J,4,0)*H4861</f>
        <v/>
      </c>
      <c r="O4861" s="20">
        <f>F4861&amp;E4861&amp;G4861&amp;J4861</f>
        <v/>
      </c>
    </row>
    <row r="4862" ht="16.5" customHeight="1" s="17">
      <c r="B4862" s="16" t="n">
        <v>44271</v>
      </c>
      <c r="C4862" s="20" t="inlineStr">
        <is>
          <t>화</t>
        </is>
      </c>
      <c r="E4862" s="20">
        <f>INDEX(매칭테이블!C:C,MATCH(RD!G4862,매칭테이블!D:D,0))</f>
        <v/>
      </c>
      <c r="F4862" s="20" t="inlineStr">
        <is>
          <t>카페24</t>
        </is>
      </c>
      <c r="G4862" s="20" t="inlineStr">
        <is>
          <t>유즈 솔리드퍼퓸 세트향=스테이포에버 002 SOLID PERFUME, 세트 선택=1개</t>
        </is>
      </c>
      <c r="H4862" s="20" t="n">
        <v>12</v>
      </c>
      <c r="I4862" s="20">
        <f>VLOOKUP(G4862,매칭테이블!D:E,2,0)</f>
        <v/>
      </c>
      <c r="J4862" s="20" t="inlineStr">
        <is>
          <t>210207</t>
        </is>
      </c>
      <c r="L4862" s="20">
        <f>VLOOKUP($O4862,매칭테이블!$G:$J,2,0)*H4862</f>
        <v/>
      </c>
      <c r="M4862" s="20">
        <f>L4862-L4862*VLOOKUP($O4862,매칭테이블!$G:$J,3,0)</f>
        <v/>
      </c>
      <c r="N4862" s="20">
        <f>VLOOKUP($O4862,매칭테이블!$G:$J,4,0)*H4862</f>
        <v/>
      </c>
      <c r="O4862" s="20">
        <f>F4862&amp;E4862&amp;G4862&amp;J4862</f>
        <v/>
      </c>
    </row>
    <row r="4863" ht="16.5" customHeight="1" s="17">
      <c r="B4863" s="16" t="n">
        <v>44271</v>
      </c>
      <c r="C4863" s="20" t="inlineStr">
        <is>
          <t>화</t>
        </is>
      </c>
      <c r="E4863" s="20">
        <f>INDEX(매칭테이블!C:C,MATCH(RD!G4863,매칭테이블!D:D,0))</f>
        <v/>
      </c>
      <c r="F4863" s="20" t="inlineStr">
        <is>
          <t>카페24</t>
        </is>
      </c>
      <c r="G4863" s="20" t="inlineStr">
        <is>
          <t>유즈 솔리드퍼퓸 세트향=스테이포에버 002 SOLID PERFUME, 세트 선택=best 2개 (28% 할인)</t>
        </is>
      </c>
      <c r="H4863" s="20" t="n">
        <v>13</v>
      </c>
      <c r="I4863" s="20">
        <f>VLOOKUP(G4863,매칭테이블!D:E,2,0)</f>
        <v/>
      </c>
      <c r="J4863" s="20" t="inlineStr">
        <is>
          <t>210207</t>
        </is>
      </c>
      <c r="L4863" s="20">
        <f>VLOOKUP($O4863,매칭테이블!$G:$J,2,0)*H4863</f>
        <v/>
      </c>
      <c r="M4863" s="20">
        <f>L4863-L4863*VLOOKUP($O4863,매칭테이블!$G:$J,3,0)</f>
        <v/>
      </c>
      <c r="N4863" s="20">
        <f>VLOOKUP($O4863,매칭테이블!$G:$J,4,0)*H4863</f>
        <v/>
      </c>
      <c r="O4863" s="20">
        <f>F4863&amp;E4863&amp;G4863&amp;J4863</f>
        <v/>
      </c>
    </row>
    <row r="4864" ht="16.5" customHeight="1" s="17">
      <c r="B4864" s="16" t="n">
        <v>44271</v>
      </c>
      <c r="C4864" s="20" t="inlineStr">
        <is>
          <t>화</t>
        </is>
      </c>
      <c r="E4864" s="20">
        <f>INDEX(매칭테이블!C:C,MATCH(RD!G4864,매칭테이블!D:D,0))</f>
        <v/>
      </c>
      <c r="F4864" s="20" t="inlineStr">
        <is>
          <t>카페24</t>
        </is>
      </c>
      <c r="G4864" s="20" t="inlineStr">
        <is>
          <t>유즈 솔리드퍼퓸 세트향=커플세트(이그나이트 + 스테이포에버), 세트 선택=1 SET</t>
        </is>
      </c>
      <c r="H4864" s="20" t="n">
        <v>13</v>
      </c>
      <c r="I4864" s="20">
        <f>VLOOKUP(G4864,매칭테이블!D:E,2,0)</f>
        <v/>
      </c>
      <c r="J4864" s="20" t="inlineStr">
        <is>
          <t>210207</t>
        </is>
      </c>
      <c r="L4864" s="20">
        <f>VLOOKUP($O4864,매칭테이블!$G:$J,2,0)*H4864</f>
        <v/>
      </c>
      <c r="M4864" s="20">
        <f>L4864-L4864*VLOOKUP($O4864,매칭테이블!$G:$J,3,0)</f>
        <v/>
      </c>
      <c r="N4864" s="20">
        <f>VLOOKUP($O4864,매칭테이블!$G:$J,4,0)*H4864</f>
        <v/>
      </c>
      <c r="O4864" s="20">
        <f>F4864&amp;E4864&amp;G4864&amp;J4864</f>
        <v/>
      </c>
    </row>
    <row r="4865" ht="16.5" customHeight="1" s="17">
      <c r="B4865" s="16" t="n">
        <v>44271</v>
      </c>
      <c r="C4865" s="20" t="inlineStr">
        <is>
          <t>화</t>
        </is>
      </c>
      <c r="E4865" s="20">
        <f>INDEX(매칭테이블!C:C,MATCH(RD!G4865,매칭테이블!D:D,0))</f>
        <v/>
      </c>
      <c r="F4865" s="20" t="inlineStr">
        <is>
          <t>카페24</t>
        </is>
      </c>
      <c r="G4865" s="20" t="inlineStr">
        <is>
          <t>유즈 솔리드퍼퓸 세트향=커플세트(이그나이트 + 스테이포에버), 세트 선택=2 SET (42% 할인)</t>
        </is>
      </c>
      <c r="H4865" s="20" t="n">
        <v>2</v>
      </c>
      <c r="I4865" s="20">
        <f>VLOOKUP(G4865,매칭테이블!D:E,2,0)</f>
        <v/>
      </c>
      <c r="J4865" s="20" t="inlineStr">
        <is>
          <t>210207</t>
        </is>
      </c>
      <c r="L4865" s="20">
        <f>VLOOKUP($O4865,매칭테이블!$G:$J,2,0)*H4865</f>
        <v/>
      </c>
      <c r="M4865" s="20">
        <f>L4865-L4865*VLOOKUP($O4865,매칭테이블!$G:$J,3,0)</f>
        <v/>
      </c>
      <c r="N4865" s="20">
        <f>VLOOKUP($O4865,매칭테이블!$G:$J,4,0)*H4865</f>
        <v/>
      </c>
      <c r="O4865" s="20">
        <f>F4865&amp;E4865&amp;G4865&amp;J4865</f>
        <v/>
      </c>
    </row>
    <row r="4866" ht="16.5" customHeight="1" s="17">
      <c r="A4866" s="20" t="inlineStr">
        <is>
          <t>고체향수_전환추적</t>
        </is>
      </c>
      <c r="B4866" s="16" t="n">
        <v>44271</v>
      </c>
      <c r="C4866" s="20" t="inlineStr">
        <is>
          <t>화</t>
        </is>
      </c>
      <c r="D4866" s="20" t="inlineStr">
        <is>
          <t>네이버 배너</t>
        </is>
      </c>
      <c r="E4866" s="20" t="inlineStr">
        <is>
          <t>고체향수</t>
        </is>
      </c>
      <c r="K4866" s="20" t="n">
        <v>164579.0909090909</v>
      </c>
    </row>
    <row r="4867" ht="16.5" customHeight="1" s="17">
      <c r="A4867" s="20" t="inlineStr">
        <is>
          <t>고체향수</t>
        </is>
      </c>
      <c r="B4867" s="16" t="n">
        <v>44271</v>
      </c>
      <c r="C4867" s="20" t="inlineStr">
        <is>
          <t>화</t>
        </is>
      </c>
      <c r="D4867" s="20" t="inlineStr">
        <is>
          <t>네이버 배너</t>
        </is>
      </c>
      <c r="E4867" s="20" t="inlineStr">
        <is>
          <t>고체향수</t>
        </is>
      </c>
      <c r="K4867" s="20" t="n">
        <v>1104049.090909091</v>
      </c>
    </row>
    <row r="4868" ht="16.5" customHeight="1" s="17">
      <c r="A4868" s="20" t="inlineStr">
        <is>
          <t>고체향수_승무원 어피_Npay 추적</t>
        </is>
      </c>
      <c r="B4868" s="16" t="n">
        <v>44271</v>
      </c>
      <c r="C4868" s="20" t="inlineStr">
        <is>
          <t>화</t>
        </is>
      </c>
      <c r="D4868" s="20" t="inlineStr">
        <is>
          <t>카카오 배너</t>
        </is>
      </c>
      <c r="E4868" s="20" t="inlineStr">
        <is>
          <t>고체향수</t>
        </is>
      </c>
      <c r="K4868" s="20" t="n">
        <v>182320</v>
      </c>
    </row>
    <row r="4869" ht="16.5" customHeight="1" s="17">
      <c r="A4869" s="20" t="inlineStr">
        <is>
          <t>고체향수_Npay 추적</t>
        </is>
      </c>
      <c r="B4869" s="16" t="n">
        <v>44271</v>
      </c>
      <c r="C4869" s="20" t="inlineStr">
        <is>
          <t>화</t>
        </is>
      </c>
      <c r="D4869" s="20" t="inlineStr">
        <is>
          <t>카카오 배너</t>
        </is>
      </c>
      <c r="E4869" s="20" t="inlineStr">
        <is>
          <t>고체향수</t>
        </is>
      </c>
      <c r="K4869" s="20" t="n">
        <v>636740</v>
      </c>
    </row>
    <row r="4870" ht="16.5" customHeight="1" s="17">
      <c r="B4870" s="16" t="n">
        <v>44271</v>
      </c>
      <c r="C4870" s="20" t="inlineStr">
        <is>
          <t>화</t>
        </is>
      </c>
      <c r="D4870" s="20" t="inlineStr">
        <is>
          <t>네이버 배너(대행사)</t>
        </is>
      </c>
      <c r="E4870" s="20" t="inlineStr">
        <is>
          <t>고체향수</t>
        </is>
      </c>
      <c r="K4870" s="20">
        <f>62506/1.1</f>
        <v/>
      </c>
    </row>
    <row r="4871" ht="16.5" customHeight="1" s="17">
      <c r="B4871" s="16" t="n">
        <v>44271</v>
      </c>
      <c r="C4871" s="20" t="inlineStr">
        <is>
          <t>화</t>
        </is>
      </c>
      <c r="D4871" s="20" t="inlineStr">
        <is>
          <t>네이버 쇼핑박스</t>
        </is>
      </c>
      <c r="E4871" s="20" t="inlineStr">
        <is>
          <t>고체향수</t>
        </is>
      </c>
      <c r="K4871" s="20" t="n">
        <v>1129000</v>
      </c>
    </row>
    <row r="4872" ht="16.5" customHeight="1" s="17"/>
    <row r="4873" ht="16.5" customHeight="1" s="17"/>
    <row r="4874" ht="16.5" customHeight="1" s="17">
      <c r="A4874" s="20" t="inlineStr">
        <is>
          <t>[유튜버 수지큐]스테이포에버_카드뉴스</t>
        </is>
      </c>
      <c r="B4874" s="16" t="n">
        <v>44272</v>
      </c>
      <c r="C4874" s="20" t="inlineStr">
        <is>
          <t>수</t>
        </is>
      </c>
      <c r="D4874" s="20" t="inlineStr">
        <is>
          <t>페이스북/인스타그램</t>
        </is>
      </c>
      <c r="E4874" s="20" t="inlineStr">
        <is>
          <t>고체향수</t>
        </is>
      </c>
      <c r="K4874" s="20" t="n">
        <v>40887</v>
      </c>
    </row>
    <row r="4875" ht="16.5" customHeight="1" s="17">
      <c r="A4875" s="20" t="inlineStr">
        <is>
          <t>[유튜버 수지큐]스테이포에버_영상</t>
        </is>
      </c>
      <c r="B4875" s="16" t="n">
        <v>44272</v>
      </c>
      <c r="C4875" s="20" t="inlineStr">
        <is>
          <t>수</t>
        </is>
      </c>
      <c r="D4875" s="20" t="inlineStr">
        <is>
          <t>페이스북/인스타그램</t>
        </is>
      </c>
      <c r="E4875" s="20" t="inlineStr">
        <is>
          <t>고체향수</t>
        </is>
      </c>
      <c r="K4875" s="20" t="n">
        <v>26170</v>
      </c>
    </row>
    <row r="4876" ht="16.5" customHeight="1" s="17">
      <c r="A4876" s="20" t="inlineStr">
        <is>
          <t>[승무원]수지큐2차활용_스테이포에버_이미지</t>
        </is>
      </c>
      <c r="B4876" s="16" t="n">
        <v>44272</v>
      </c>
      <c r="C4876" s="20" t="inlineStr">
        <is>
          <t>수</t>
        </is>
      </c>
      <c r="D4876" s="20" t="inlineStr">
        <is>
          <t>페이스북/인스타그램</t>
        </is>
      </c>
      <c r="E4876" s="20" t="inlineStr">
        <is>
          <t>고체향수</t>
        </is>
      </c>
      <c r="K4876" s="20" t="n">
        <v>32581</v>
      </c>
    </row>
    <row r="4877" ht="16.5" customHeight="1" s="17">
      <c r="A4877" s="20" t="inlineStr">
        <is>
          <t>[다현 TEST] 스테이포에버_유즈모먼트</t>
        </is>
      </c>
      <c r="B4877" s="16" t="n">
        <v>44272</v>
      </c>
      <c r="C4877" s="20" t="inlineStr">
        <is>
          <t>수</t>
        </is>
      </c>
      <c r="D4877" s="20" t="inlineStr">
        <is>
          <t>페이스북/인스타그램</t>
        </is>
      </c>
      <c r="E4877" s="20" t="inlineStr">
        <is>
          <t>고체향수</t>
        </is>
      </c>
      <c r="K4877" s="20" t="n">
        <v>58785</v>
      </c>
    </row>
    <row r="4878" ht="16.5" customHeight="1" s="17">
      <c r="A4878" s="20" t="inlineStr">
        <is>
          <t>[성민 TEST] 스테이포에버_이미지</t>
        </is>
      </c>
      <c r="B4878" s="16" t="n">
        <v>44272</v>
      </c>
      <c r="C4878" s="20" t="inlineStr">
        <is>
          <t>수</t>
        </is>
      </c>
      <c r="D4878" s="20" t="inlineStr">
        <is>
          <t>페이스북/인스타그램</t>
        </is>
      </c>
      <c r="E4878" s="20" t="inlineStr">
        <is>
          <t>고체향수</t>
        </is>
      </c>
      <c r="K4878" s="20" t="n">
        <v>47654</v>
      </c>
    </row>
    <row r="4879" ht="16.5" customHeight="1" s="17">
      <c r="A4879" s="20" t="inlineStr">
        <is>
          <t>[승은 TEST] 스테이포에버_카드뉴스</t>
        </is>
      </c>
      <c r="B4879" s="16" t="n">
        <v>44272</v>
      </c>
      <c r="C4879" s="20" t="inlineStr">
        <is>
          <t>수</t>
        </is>
      </c>
      <c r="D4879" s="20" t="inlineStr">
        <is>
          <t>페이스북/인스타그램</t>
        </is>
      </c>
      <c r="E4879" s="20" t="inlineStr">
        <is>
          <t>고체향수</t>
        </is>
      </c>
      <c r="K4879" s="20" t="n">
        <v>58481</v>
      </c>
    </row>
    <row r="4880" ht="16.5" customHeight="1" s="17">
      <c r="A4880" s="20" t="inlineStr">
        <is>
          <t>[승무원 2] 스테이포에버_카드뉴스</t>
        </is>
      </c>
      <c r="B4880" s="16" t="n">
        <v>44272</v>
      </c>
      <c r="C4880" s="20" t="inlineStr">
        <is>
          <t>수</t>
        </is>
      </c>
      <c r="D4880" s="20" t="inlineStr">
        <is>
          <t>페이스북/인스타그램</t>
        </is>
      </c>
      <c r="E4880" s="20" t="inlineStr">
        <is>
          <t>고체향수</t>
        </is>
      </c>
      <c r="K4880" s="20" t="n">
        <v>195137</v>
      </c>
    </row>
    <row r="4881" ht="16.5" customHeight="1" s="17">
      <c r="A4881" s="20" t="inlineStr">
        <is>
          <t>[테스트]아줌마</t>
        </is>
      </c>
      <c r="B4881" s="16" t="n">
        <v>44272</v>
      </c>
      <c r="C4881" s="20" t="inlineStr">
        <is>
          <t>수</t>
        </is>
      </c>
      <c r="D4881" s="20" t="inlineStr">
        <is>
          <t>페이스북/인스타그램</t>
        </is>
      </c>
      <c r="E4881" s="20" t="inlineStr">
        <is>
          <t>고체향수</t>
        </is>
      </c>
      <c r="K4881" s="20" t="n">
        <v>155385</v>
      </c>
    </row>
    <row r="4882" ht="16.5" customHeight="1" s="17">
      <c r="A4882" s="20" t="inlineStr">
        <is>
          <t>[키워드 확장 테스트]스테이포에버_이미지</t>
        </is>
      </c>
      <c r="B4882" s="16" t="n">
        <v>44272</v>
      </c>
      <c r="C4882" s="20" t="inlineStr">
        <is>
          <t>수</t>
        </is>
      </c>
      <c r="D4882" s="20" t="inlineStr">
        <is>
          <t>페이스북/인스타그램</t>
        </is>
      </c>
      <c r="E4882" s="20" t="inlineStr">
        <is>
          <t>고체향수</t>
        </is>
      </c>
      <c r="K4882" s="20" t="n">
        <v>200313</v>
      </c>
    </row>
    <row r="4883" ht="16.5" customHeight="1" s="17">
      <c r="A4883" s="20" t="inlineStr">
        <is>
          <t>[재입고]스테이포에버_이미지</t>
        </is>
      </c>
      <c r="B4883" s="16" t="n">
        <v>44272</v>
      </c>
      <c r="C4883" s="20" t="inlineStr">
        <is>
          <t>수</t>
        </is>
      </c>
      <c r="D4883" s="20" t="inlineStr">
        <is>
          <t>페이스북/인스타그램</t>
        </is>
      </c>
      <c r="E4883" s="20" t="inlineStr">
        <is>
          <t>고체향수</t>
        </is>
      </c>
      <c r="K4883" s="20" t="n">
        <v>49242</v>
      </c>
    </row>
    <row r="4884" ht="16.5" customHeight="1" s="17">
      <c r="A4884" s="20" t="inlineStr">
        <is>
          <t>[승무원]숏폼_영상</t>
        </is>
      </c>
      <c r="B4884" s="16" t="n">
        <v>44272</v>
      </c>
      <c r="C4884" s="20" t="inlineStr">
        <is>
          <t>수</t>
        </is>
      </c>
      <c r="D4884" s="20" t="inlineStr">
        <is>
          <t>페이스북/인스타그램</t>
        </is>
      </c>
      <c r="E4884" s="20" t="inlineStr">
        <is>
          <t>고체향수</t>
        </is>
      </c>
      <c r="K4884" s="20" t="n">
        <v>99481</v>
      </c>
    </row>
    <row r="4885" ht="16.5" customHeight="1" s="17">
      <c r="A4885" s="20" t="inlineStr">
        <is>
          <t>[재입고]스테이포에버_영상</t>
        </is>
      </c>
      <c r="B4885" s="16" t="n">
        <v>44272</v>
      </c>
      <c r="C4885" s="20" t="inlineStr">
        <is>
          <t>수</t>
        </is>
      </c>
      <c r="D4885" s="20" t="inlineStr">
        <is>
          <t>페이스북/인스타그램</t>
        </is>
      </c>
      <c r="E4885" s="20" t="inlineStr">
        <is>
          <t>고체향수</t>
        </is>
      </c>
      <c r="K4885" s="20" t="n">
        <v>48980</v>
      </c>
    </row>
    <row r="4886" ht="16.5" customHeight="1" s="17">
      <c r="A4886" s="20" t="inlineStr">
        <is>
          <t>[젊줌마]스테이포에버_영상</t>
        </is>
      </c>
      <c r="B4886" s="16" t="n">
        <v>44272</v>
      </c>
      <c r="C4886" s="20" t="inlineStr">
        <is>
          <t>수</t>
        </is>
      </c>
      <c r="D4886" s="20" t="inlineStr">
        <is>
          <t>페이스북/인스타그램</t>
        </is>
      </c>
      <c r="E4886" s="20" t="inlineStr">
        <is>
          <t>고체향수</t>
        </is>
      </c>
      <c r="K4886" s="20" t="n">
        <v>98282</v>
      </c>
    </row>
    <row r="4887" ht="16.5" customHeight="1" s="17">
      <c r="A4887" s="20" t="inlineStr">
        <is>
          <t>[승무원]2019년썰 카드뉴스+ 향묘사_영상</t>
        </is>
      </c>
      <c r="B4887" s="16" t="n">
        <v>44272</v>
      </c>
      <c r="C4887" s="20" t="inlineStr">
        <is>
          <t>수</t>
        </is>
      </c>
      <c r="D4887" s="20" t="inlineStr">
        <is>
          <t>페이스북/인스타그램</t>
        </is>
      </c>
      <c r="E4887" s="20" t="inlineStr">
        <is>
          <t>고체향수</t>
        </is>
      </c>
      <c r="K4887" s="20" t="n">
        <v>68502</v>
      </c>
    </row>
    <row r="4888" ht="16.5" customHeight="1" s="17">
      <c r="A4888" s="20" t="inlineStr">
        <is>
          <t>[승무원어피]스테이포에버_이미지</t>
        </is>
      </c>
      <c r="B4888" s="16" t="n">
        <v>44272</v>
      </c>
      <c r="C4888" s="20" t="inlineStr">
        <is>
          <t>수</t>
        </is>
      </c>
      <c r="D4888" s="20" t="inlineStr">
        <is>
          <t>페이스북/인스타그램</t>
        </is>
      </c>
      <c r="E4888" s="20" t="inlineStr">
        <is>
          <t>고체향수</t>
        </is>
      </c>
      <c r="K4888" s="20" t="n">
        <v>146793</v>
      </c>
    </row>
    <row r="4889" ht="16.5" customHeight="1" s="17">
      <c r="A4889" s="20" t="inlineStr">
        <is>
          <t>[다현]스테이포에버_이미지</t>
        </is>
      </c>
      <c r="B4889" s="16" t="n">
        <v>44272</v>
      </c>
      <c r="C4889" s="20" t="inlineStr">
        <is>
          <t>수</t>
        </is>
      </c>
      <c r="D4889" s="20" t="inlineStr">
        <is>
          <t>페이스북/인스타그램</t>
        </is>
      </c>
      <c r="E4889" s="20" t="inlineStr">
        <is>
          <t>고체향수</t>
        </is>
      </c>
      <c r="K4889" s="20" t="n">
        <v>196052</v>
      </c>
    </row>
    <row r="4890" ht="16.5" customHeight="1" s="17">
      <c r="A4890" s="20" t="inlineStr">
        <is>
          <t>[승무원]스테이포에버_카드뉴스</t>
        </is>
      </c>
      <c r="B4890" s="16" t="n">
        <v>44272</v>
      </c>
      <c r="C4890" s="20" t="inlineStr">
        <is>
          <t>수</t>
        </is>
      </c>
      <c r="D4890" s="20" t="inlineStr">
        <is>
          <t>페이스북/인스타그램</t>
        </is>
      </c>
      <c r="E4890" s="20" t="inlineStr">
        <is>
          <t>고체향수</t>
        </is>
      </c>
      <c r="K4890" s="20" t="n">
        <v>195997</v>
      </c>
    </row>
    <row r="4891" ht="16.5" customHeight="1" s="17">
      <c r="A4891" s="20" t="inlineStr">
        <is>
          <t>[후기타입]스테이포에버_영상</t>
        </is>
      </c>
      <c r="B4891" s="16" t="n">
        <v>44272</v>
      </c>
      <c r="C4891" s="20" t="inlineStr">
        <is>
          <t>수</t>
        </is>
      </c>
      <c r="D4891" s="20" t="inlineStr">
        <is>
          <t>페이스북/인스타그램</t>
        </is>
      </c>
      <c r="E4891" s="20" t="inlineStr">
        <is>
          <t>고체향수</t>
        </is>
      </c>
      <c r="K4891" s="20" t="n">
        <v>147186</v>
      </c>
    </row>
    <row r="4892" ht="16.5" customHeight="1" s="17">
      <c r="A4892" s="20" t="inlineStr">
        <is>
          <t>전환_스테이포에버</t>
        </is>
      </c>
      <c r="B4892" s="16" t="n">
        <v>44272</v>
      </c>
      <c r="C4892" s="20" t="inlineStr">
        <is>
          <t>수</t>
        </is>
      </c>
      <c r="D4892" s="20" t="inlineStr">
        <is>
          <t>페이스북/인스타그램</t>
        </is>
      </c>
      <c r="E4892" s="20" t="inlineStr">
        <is>
          <t>고체향수</t>
        </is>
      </c>
      <c r="K4892" s="20" t="n">
        <v>48639</v>
      </c>
    </row>
    <row r="4893" ht="16.5" customHeight="1" s="17">
      <c r="A4893" s="20" t="inlineStr">
        <is>
          <t>[권태기커플]스테이포에버_영상</t>
        </is>
      </c>
      <c r="B4893" s="16" t="n">
        <v>44272</v>
      </c>
      <c r="C4893" s="20" t="inlineStr">
        <is>
          <t>수</t>
        </is>
      </c>
      <c r="D4893" s="20" t="inlineStr">
        <is>
          <t>페이스북/인스타그램</t>
        </is>
      </c>
      <c r="E4893" s="20" t="inlineStr">
        <is>
          <t>고체향수</t>
        </is>
      </c>
      <c r="K4893" s="20" t="n">
        <v>147719</v>
      </c>
    </row>
    <row r="4894" ht="16.5" customHeight="1" s="17">
      <c r="A4894" s="20" t="inlineStr">
        <is>
          <t>웹사이트 트래픽 서치</t>
        </is>
      </c>
      <c r="B4894" s="16" t="n">
        <v>44272</v>
      </c>
      <c r="C4894" s="20" t="inlineStr">
        <is>
          <t>수</t>
        </is>
      </c>
      <c r="D4894" s="20" t="inlineStr">
        <is>
          <t>유튜브 광고</t>
        </is>
      </c>
      <c r="E4894" s="20" t="inlineStr">
        <is>
          <t>고체향수</t>
        </is>
      </c>
      <c r="K4894" s="20" t="n">
        <v>16915</v>
      </c>
    </row>
    <row r="4895" ht="16.5" customHeight="1" s="17">
      <c r="A4895" s="20" t="inlineStr">
        <is>
          <t>동영상캠페인_승무원_보이는 라디오(cpa)</t>
        </is>
      </c>
      <c r="B4895" s="16" t="n">
        <v>44272</v>
      </c>
      <c r="C4895" s="20" t="inlineStr">
        <is>
          <t>수</t>
        </is>
      </c>
      <c r="D4895" s="20" t="inlineStr">
        <is>
          <t>유튜브 광고</t>
        </is>
      </c>
      <c r="E4895" s="20" t="inlineStr">
        <is>
          <t>고체향수</t>
        </is>
      </c>
      <c r="K4895" s="20" t="n">
        <v>20027</v>
      </c>
    </row>
    <row r="4896" ht="16.5" customHeight="1" s="17">
      <c r="A4896" s="20" t="inlineStr">
        <is>
          <t>디스커버리 배너_승무원,할인_리마케팅</t>
        </is>
      </c>
      <c r="B4896" s="16" t="n">
        <v>44272</v>
      </c>
      <c r="C4896" s="20" t="inlineStr">
        <is>
          <t>수</t>
        </is>
      </c>
      <c r="D4896" s="20" t="inlineStr">
        <is>
          <t>유튜브 광고</t>
        </is>
      </c>
      <c r="E4896" s="20" t="inlineStr">
        <is>
          <t>고체향수</t>
        </is>
      </c>
      <c r="K4896" s="20" t="n">
        <v>424291</v>
      </c>
    </row>
    <row r="4897" ht="16.5" customHeight="1" s="17">
      <c r="A4897" s="20" t="inlineStr">
        <is>
          <t>동영상캠페인_승무원_써니스카이</t>
        </is>
      </c>
      <c r="B4897" s="16" t="n">
        <v>44272</v>
      </c>
      <c r="C4897" s="20" t="inlineStr">
        <is>
          <t>수</t>
        </is>
      </c>
      <c r="D4897" s="20" t="inlineStr">
        <is>
          <t>유튜브 광고</t>
        </is>
      </c>
      <c r="E4897" s="20" t="inlineStr">
        <is>
          <t>고체향수</t>
        </is>
      </c>
      <c r="K4897" s="20" t="n">
        <v>507919</v>
      </c>
    </row>
    <row r="4898" ht="16.5" customHeight="1" s="17">
      <c r="A4898" s="20" t="inlineStr">
        <is>
          <t>동영상캠페인_필라테스_자기관리(타겟 cpa)</t>
        </is>
      </c>
      <c r="B4898" s="16" t="n">
        <v>44272</v>
      </c>
      <c r="C4898" s="20" t="inlineStr">
        <is>
          <t>수</t>
        </is>
      </c>
      <c r="D4898" s="20" t="inlineStr">
        <is>
          <t>유튜브 광고</t>
        </is>
      </c>
      <c r="E4898" s="20" t="inlineStr">
        <is>
          <t>고체향수</t>
        </is>
      </c>
      <c r="K4898" s="20" t="n">
        <v>355925</v>
      </c>
    </row>
    <row r="4899" ht="16.5" customHeight="1" s="17">
      <c r="A4899" s="20" t="inlineStr">
        <is>
          <t>동영상캠페인_승무원_비누향 나는 승무원에게(cpa)</t>
        </is>
      </c>
      <c r="B4899" s="16" t="n">
        <v>44272</v>
      </c>
      <c r="C4899" s="20" t="inlineStr">
        <is>
          <t>수</t>
        </is>
      </c>
      <c r="D4899" s="20" t="inlineStr">
        <is>
          <t>유튜브 광고</t>
        </is>
      </c>
      <c r="E4899" s="20" t="inlineStr">
        <is>
          <t>고체향수</t>
        </is>
      </c>
      <c r="K4899" s="20" t="n">
        <v>9705</v>
      </c>
    </row>
    <row r="4900" ht="16.5" customHeight="1" s="17">
      <c r="A4900" s="20" t="inlineStr">
        <is>
          <t>동영상캠페인_유즈모먼트_2차_30대 여성 회사원(cpa)</t>
        </is>
      </c>
      <c r="B4900" s="16" t="n">
        <v>44272</v>
      </c>
      <c r="C4900" s="20" t="inlineStr">
        <is>
          <t>수</t>
        </is>
      </c>
      <c r="D4900" s="20" t="inlineStr">
        <is>
          <t>유튜브 광고</t>
        </is>
      </c>
      <c r="E4900" s="20" t="inlineStr">
        <is>
          <t>고체향수</t>
        </is>
      </c>
      <c r="K4900" s="20" t="n">
        <v>79192</v>
      </c>
    </row>
    <row r="4901" ht="16.5" customHeight="1" s="17">
      <c r="A4901" s="20" t="inlineStr">
        <is>
          <t>동영상캠페인_유즈모먼트_조향사 친구(cpa)</t>
        </is>
      </c>
      <c r="B4901" s="16" t="n">
        <v>44272</v>
      </c>
      <c r="C4901" s="20" t="inlineStr">
        <is>
          <t>수</t>
        </is>
      </c>
      <c r="D4901" s="20" t="inlineStr">
        <is>
          <t>유튜브 광고</t>
        </is>
      </c>
      <c r="E4901" s="20" t="inlineStr">
        <is>
          <t>고체향수</t>
        </is>
      </c>
      <c r="K4901" s="20" t="n">
        <v>106477</v>
      </c>
    </row>
    <row r="4902" ht="16.5" customHeight="1" s="17">
      <c r="A4902" s="20" t="inlineStr">
        <is>
          <t>동영상 캠페인_유튜버 수지큐 2차활용</t>
        </is>
      </c>
      <c r="B4902" s="16" t="n">
        <v>44272</v>
      </c>
      <c r="C4902" s="20" t="inlineStr">
        <is>
          <t>수</t>
        </is>
      </c>
      <c r="D4902" s="20" t="inlineStr">
        <is>
          <t>유튜브 광고</t>
        </is>
      </c>
      <c r="E4902" s="20" t="inlineStr">
        <is>
          <t>고체향수</t>
        </is>
      </c>
      <c r="K4902" s="20" t="n">
        <v>101483</v>
      </c>
    </row>
    <row r="4903" ht="16.5" customHeight="1" s="17">
      <c r="A4903" s="20" t="inlineStr">
        <is>
          <t>메인키워드</t>
        </is>
      </c>
      <c r="B4903" s="16" t="n">
        <v>44272</v>
      </c>
      <c r="C4903" s="20" t="inlineStr">
        <is>
          <t>수</t>
        </is>
      </c>
      <c r="D4903" s="20">
        <f>VLOOKUP($A4903,매칭테이블!$B$548:$D$1048576,2,0)</f>
        <v/>
      </c>
      <c r="E4903" s="20" t="inlineStr">
        <is>
          <t>고체향수</t>
        </is>
      </c>
      <c r="K4903" s="20" t="n">
        <v>18950</v>
      </c>
    </row>
    <row r="4904" ht="16.5" customHeight="1" s="17">
      <c r="A4904" s="20" t="inlineStr">
        <is>
          <t>세부키워드1</t>
        </is>
      </c>
      <c r="B4904" s="16" t="n">
        <v>44272</v>
      </c>
      <c r="C4904" s="20" t="inlineStr">
        <is>
          <t>수</t>
        </is>
      </c>
      <c r="D4904" s="20">
        <f>VLOOKUP($A4904,매칭테이블!$B$548:$D$1048576,2,0)</f>
        <v/>
      </c>
      <c r="E4904" s="20" t="inlineStr">
        <is>
          <t>고체향수</t>
        </is>
      </c>
      <c r="K4904" s="20" t="n">
        <v>42050</v>
      </c>
    </row>
    <row r="4905" ht="16.5" customHeight="1" s="17">
      <c r="A4905" s="20" t="inlineStr">
        <is>
          <t>세부키워드2</t>
        </is>
      </c>
      <c r="B4905" s="16" t="n">
        <v>44272</v>
      </c>
      <c r="C4905" s="20" t="inlineStr">
        <is>
          <t>수</t>
        </is>
      </c>
      <c r="D4905" s="20">
        <f>VLOOKUP($A4905,매칭테이블!$B$548:$D$1048576,2,0)</f>
        <v/>
      </c>
      <c r="E4905" s="20" t="inlineStr">
        <is>
          <t>고체향수</t>
        </is>
      </c>
      <c r="K4905" s="20" t="n">
        <v>9030</v>
      </c>
    </row>
    <row r="4906" ht="16.5" customHeight="1" s="17">
      <c r="A4906" s="20" t="inlineStr">
        <is>
          <t>세부키워드3</t>
        </is>
      </c>
      <c r="B4906" s="16" t="n">
        <v>44272</v>
      </c>
      <c r="C4906" s="20" t="inlineStr">
        <is>
          <t>수</t>
        </is>
      </c>
      <c r="D4906" s="20">
        <f>VLOOKUP($A4906,매칭테이블!$B$548:$D$1048576,2,0)</f>
        <v/>
      </c>
      <c r="E4906" s="20" t="inlineStr">
        <is>
          <t>고체향수</t>
        </is>
      </c>
      <c r="K4906" s="20" t="n">
        <v>16580</v>
      </c>
    </row>
    <row r="4907" ht="16.5" customHeight="1" s="17">
      <c r="A4907" s="20" t="inlineStr">
        <is>
          <t>모바일 브검</t>
        </is>
      </c>
      <c r="B4907" s="16" t="n">
        <v>44272</v>
      </c>
      <c r="C4907" s="20" t="inlineStr">
        <is>
          <t>수</t>
        </is>
      </c>
      <c r="D4907" s="20" t="inlineStr">
        <is>
          <t>네이버 브랜드검색</t>
        </is>
      </c>
      <c r="E4907" s="20" t="inlineStr">
        <is>
          <t>브랜드</t>
        </is>
      </c>
      <c r="K4907" s="20" t="n">
        <v>156700</v>
      </c>
    </row>
    <row r="4908" ht="16.5" customHeight="1" s="17">
      <c r="A4908" s="20" t="inlineStr">
        <is>
          <t>PC 브랜드검색</t>
        </is>
      </c>
      <c r="B4908" s="16" t="n">
        <v>44272</v>
      </c>
      <c r="C4908" s="20" t="inlineStr">
        <is>
          <t>수</t>
        </is>
      </c>
      <c r="K4908" s="20" t="n">
        <v>0</v>
      </c>
    </row>
    <row r="4909" ht="16.5" customHeight="1" s="17">
      <c r="B4909" s="16" t="n">
        <v>44272</v>
      </c>
      <c r="C4909" s="20" t="inlineStr">
        <is>
          <t>수</t>
        </is>
      </c>
      <c r="E4909" s="20" t="inlineStr">
        <is>
          <t>고체향수</t>
        </is>
      </c>
      <c r="F4909" s="20" t="inlineStr">
        <is>
          <t>W컨셉</t>
        </is>
      </c>
      <c r="G4909" s="20" t="inlineStr">
        <is>
          <t>솔리드퍼퓸 이그나이트/스테이포에버 30ml (2종 택1)&lt;옵션1&gt;002 STAY FOREVER</t>
        </is>
      </c>
      <c r="H4909" s="20" t="n">
        <v>3</v>
      </c>
      <c r="I4909" s="20" t="inlineStr">
        <is>
          <t>스테이포에버</t>
        </is>
      </c>
      <c r="J4909" s="20" t="inlineStr">
        <is>
          <t>210207</t>
        </is>
      </c>
      <c r="L4909" s="20" t="n">
        <v>102000</v>
      </c>
      <c r="M4909" s="20" t="n">
        <v>71400</v>
      </c>
      <c r="N4909" s="20" t="n">
        <v>7776</v>
      </c>
      <c r="O4909" s="20" t="inlineStr">
        <is>
          <t>W컨셉고체향수솔리드퍼퓸 이그나이트/스테이포에버 30ml (2종 택1)&lt;옵션1&gt;002 STAY FOREVER210207</t>
        </is>
      </c>
    </row>
    <row r="4910" ht="16.5" customHeight="1" s="17">
      <c r="B4910" s="16" t="n">
        <v>44272</v>
      </c>
      <c r="C4910" s="20" t="inlineStr">
        <is>
          <t>수</t>
        </is>
      </c>
      <c r="E4910" s="20" t="inlineStr">
        <is>
          <t>고체향수</t>
        </is>
      </c>
      <c r="F4910" s="20" t="inlineStr">
        <is>
          <t>스마트스토어</t>
        </is>
      </c>
      <c r="G4910" s="20" t="inlineStr">
        <is>
          <t>유즈 고체향수 세트(유즈 스테이포에버, 유즈 이그나이트)고체향수: 스테이포에버 1개</t>
        </is>
      </c>
      <c r="H4910" s="20" t="n">
        <v>1</v>
      </c>
      <c r="I4910" s="20" t="inlineStr">
        <is>
          <t>스테이포에버</t>
        </is>
      </c>
      <c r="J4910" s="20" t="inlineStr">
        <is>
          <t>210207</t>
        </is>
      </c>
      <c r="L4910" s="20" t="n">
        <v>34000</v>
      </c>
      <c r="M4910" s="20" t="n">
        <v>33320</v>
      </c>
      <c r="N4910" s="20" t="n">
        <v>2592</v>
      </c>
      <c r="O4910" s="20" t="inlineStr">
        <is>
          <t>스마트스토어고체향수유즈 고체향수 세트(유즈 스테이포에버, 유즈 이그나이트)고체향수: 스테이포에버 1개210207</t>
        </is>
      </c>
    </row>
    <row r="4911" ht="16.5" customHeight="1" s="17">
      <c r="B4911" s="16" t="n">
        <v>44272</v>
      </c>
      <c r="C4911" s="20" t="inlineStr">
        <is>
          <t>수</t>
        </is>
      </c>
      <c r="E4911" s="20" t="inlineStr">
        <is>
          <t>고체향수</t>
        </is>
      </c>
      <c r="F4911" s="20" t="inlineStr">
        <is>
          <t>스마트스토어</t>
        </is>
      </c>
      <c r="G4911" s="20" t="inlineStr">
        <is>
          <t>유즈 고체향수 세트(유즈 스테이포에버, 유즈 이그나이트)고체향수: 스테이포에버 1개 + 이그나이트 1개</t>
        </is>
      </c>
      <c r="H4911" s="20" t="n">
        <v>2</v>
      </c>
      <c r="I4911" s="20" t="inlineStr">
        <is>
          <t>이그나이트 + 스테이포에버</t>
        </is>
      </c>
      <c r="J4911" s="20" t="inlineStr">
        <is>
          <t>210207</t>
        </is>
      </c>
      <c r="L4911" s="20" t="n">
        <v>117600</v>
      </c>
      <c r="M4911" s="20" t="n">
        <v>110720.4</v>
      </c>
      <c r="N4911" s="20" t="n">
        <v>10690</v>
      </c>
      <c r="O4911" s="20" t="inlineStr">
        <is>
          <t>스마트스토어고체향수유즈 고체향수 세트(유즈 스테이포에버, 유즈 이그나이트)고체향수: 스테이포에버 1개 + 이그나이트 1개210207</t>
        </is>
      </c>
    </row>
    <row r="4912" ht="16.5" customHeight="1" s="17">
      <c r="B4912" s="16" t="n">
        <v>44272</v>
      </c>
      <c r="C4912" s="20" t="inlineStr">
        <is>
          <t>수</t>
        </is>
      </c>
      <c r="E4912" s="20" t="inlineStr">
        <is>
          <t>고체향수</t>
        </is>
      </c>
      <c r="F4912" s="20" t="inlineStr">
        <is>
          <t>스마트스토어</t>
        </is>
      </c>
      <c r="G4912" s="20" t="inlineStr">
        <is>
          <t>유즈 고체향수 세트(유즈 스테이포에버, 유즈 이그나이트)고체향수: 스테이포에버 2개</t>
        </is>
      </c>
      <c r="H4912" s="20" t="n">
        <v>3</v>
      </c>
      <c r="I4912" s="20" t="inlineStr">
        <is>
          <t>스테이포에버 2set</t>
        </is>
      </c>
      <c r="J4912" s="20" t="inlineStr">
        <is>
          <t>210207</t>
        </is>
      </c>
      <c r="L4912" s="20" t="n">
        <v>176400</v>
      </c>
      <c r="M4912" s="20" t="n">
        <v>172872</v>
      </c>
      <c r="N4912" s="20" t="n">
        <v>15552</v>
      </c>
      <c r="O4912" s="20" t="inlineStr">
        <is>
          <t>스마트스토어고체향수유즈 고체향수 세트(유즈 스테이포에버, 유즈 이그나이트)고체향수: 스테이포에버 2개210207</t>
        </is>
      </c>
    </row>
    <row r="4913" ht="16.5" customHeight="1" s="17">
      <c r="B4913" s="16" t="n">
        <v>44272</v>
      </c>
      <c r="C4913" s="20" t="inlineStr">
        <is>
          <t>수</t>
        </is>
      </c>
      <c r="E4913" s="20" t="inlineStr">
        <is>
          <t>고체향수</t>
        </is>
      </c>
      <c r="F4913" s="20" t="inlineStr">
        <is>
          <t>스마트스토어</t>
        </is>
      </c>
      <c r="G4913" s="20" t="inlineStr">
        <is>
          <t>유즈 고체향수 스테이포에버 002고체향수: 스테이포에버 1개</t>
        </is>
      </c>
      <c r="H4913" s="20" t="n">
        <v>22</v>
      </c>
      <c r="I4913" s="20" t="inlineStr">
        <is>
          <t>스테이포에버</t>
        </is>
      </c>
      <c r="J4913" s="20" t="inlineStr">
        <is>
          <t>210207</t>
        </is>
      </c>
      <c r="L4913" s="20" t="n">
        <v>748000</v>
      </c>
      <c r="M4913" s="20" t="n">
        <v>733040</v>
      </c>
      <c r="N4913" s="20" t="n">
        <v>57024</v>
      </c>
      <c r="O4913" s="20" t="inlineStr">
        <is>
          <t>스마트스토어고체향수유즈 고체향수 스테이포에버 002고체향수: 스테이포에버 1개210207</t>
        </is>
      </c>
    </row>
    <row r="4914" ht="16.5" customHeight="1" s="17">
      <c r="B4914" s="16" t="n">
        <v>44272</v>
      </c>
      <c r="C4914" s="20" t="inlineStr">
        <is>
          <t>수</t>
        </is>
      </c>
      <c r="E4914" s="20" t="inlineStr">
        <is>
          <t>고체향수</t>
        </is>
      </c>
      <c r="F4914" s="20" t="inlineStr">
        <is>
          <t>카페24</t>
        </is>
      </c>
      <c r="G4914" s="20" t="inlineStr">
        <is>
          <t>솔리드퍼퓸 세트향=이그나이트 001 SOLID PERFUME, 세트 선택=1개</t>
        </is>
      </c>
      <c r="H4914" s="20" t="n">
        <v>1</v>
      </c>
      <c r="I4914" s="20" t="inlineStr">
        <is>
          <t>이그나이트</t>
        </is>
      </c>
      <c r="J4914" s="20" t="inlineStr">
        <is>
          <t>210207</t>
        </is>
      </c>
      <c r="L4914" s="20" t="n">
        <v>34000</v>
      </c>
      <c r="M4914" s="20" t="n">
        <v>32011</v>
      </c>
      <c r="N4914" s="20" t="n">
        <v>2753</v>
      </c>
      <c r="O4914" s="20" t="inlineStr">
        <is>
          <t>카페24고체향수솔리드퍼퓸 세트향=이그나이트 001 SOLID PERFUME, 세트 선택=1개210207</t>
        </is>
      </c>
    </row>
    <row r="4915" ht="16.5" customHeight="1" s="17">
      <c r="B4915" s="16" t="n">
        <v>44272</v>
      </c>
      <c r="C4915" s="20" t="inlineStr">
        <is>
          <t>수</t>
        </is>
      </c>
      <c r="E4915" s="20" t="inlineStr">
        <is>
          <t>고체향수</t>
        </is>
      </c>
      <c r="F4915" s="20" t="inlineStr">
        <is>
          <t>카페24</t>
        </is>
      </c>
      <c r="G4915" s="20" t="inlineStr">
        <is>
          <t>솔리드퍼퓸 세트향=스테이포에버 002 SOLID PERFUME, 세트 선택=1개</t>
        </is>
      </c>
      <c r="H4915" s="20" t="n">
        <v>5</v>
      </c>
      <c r="I4915" s="20" t="inlineStr">
        <is>
          <t>스테이포에버</t>
        </is>
      </c>
      <c r="J4915" s="20" t="inlineStr">
        <is>
          <t>210207</t>
        </is>
      </c>
      <c r="L4915" s="20" t="n">
        <v>170000</v>
      </c>
      <c r="M4915" s="20" t="n">
        <v>160055</v>
      </c>
      <c r="N4915" s="20" t="n">
        <v>12960</v>
      </c>
      <c r="O4915" s="20" t="inlineStr">
        <is>
          <t>카페24고체향수솔리드퍼퓸 세트향=스테이포에버 002 SOLID PERFUME, 세트 선택=1개210207</t>
        </is>
      </c>
    </row>
    <row r="4916" ht="16.5" customHeight="1" s="17">
      <c r="B4916" s="16" t="n">
        <v>44272</v>
      </c>
      <c r="C4916" s="20" t="inlineStr">
        <is>
          <t>수</t>
        </is>
      </c>
      <c r="E4916" s="20" t="inlineStr">
        <is>
          <t>고체향수</t>
        </is>
      </c>
      <c r="F4916" s="20" t="inlineStr">
        <is>
          <t>카페24</t>
        </is>
      </c>
      <c r="G4916" s="20" t="inlineStr">
        <is>
          <t>솔리드퍼퓸 세트향=스테이포에버 002 SOLID PERFUME, 세트 선택=best 2개 (28% 할인)</t>
        </is>
      </c>
      <c r="H4916" s="20" t="n">
        <v>3</v>
      </c>
      <c r="I4916" s="20" t="inlineStr">
        <is>
          <t>스테이포에버 2set</t>
        </is>
      </c>
      <c r="J4916" s="20" t="inlineStr">
        <is>
          <t>210207</t>
        </is>
      </c>
      <c r="L4916" s="20" t="n">
        <v>176400</v>
      </c>
      <c r="M4916" s="20" t="n">
        <v>166080.6</v>
      </c>
      <c r="N4916" s="20" t="n">
        <v>15552</v>
      </c>
      <c r="O4916" s="20" t="inlineStr">
        <is>
          <t>카페24고체향수솔리드퍼퓸 세트향=스테이포에버 002 SOLID PERFUME, 세트 선택=best 2개 (28% 할인)210207</t>
        </is>
      </c>
    </row>
    <row r="4917" ht="16.5" customHeight="1" s="17">
      <c r="B4917" s="16" t="n">
        <v>44272</v>
      </c>
      <c r="C4917" s="20" t="inlineStr">
        <is>
          <t>수</t>
        </is>
      </c>
      <c r="E4917" s="20" t="inlineStr">
        <is>
          <t>고체향수</t>
        </is>
      </c>
      <c r="F4917" s="20" t="inlineStr">
        <is>
          <t>카페24</t>
        </is>
      </c>
      <c r="G4917" s="20" t="inlineStr">
        <is>
          <t>솔리드퍼퓸 세트향=커플세트(이그나이트 + 스테이포에버), 세트 선택=1 SET</t>
        </is>
      </c>
      <c r="H4917" s="20" t="n">
        <v>15</v>
      </c>
      <c r="I4917" s="20" t="inlineStr">
        <is>
          <t>이그나이트 + 스테이포에버</t>
        </is>
      </c>
      <c r="J4917" s="20" t="inlineStr">
        <is>
          <t>210207</t>
        </is>
      </c>
      <c r="L4917" s="20" t="n">
        <v>882000</v>
      </c>
      <c r="M4917" s="20" t="n">
        <v>830403</v>
      </c>
      <c r="N4917" s="20" t="n">
        <v>80175</v>
      </c>
      <c r="O4917" s="20" t="inlineStr">
        <is>
          <t>카페24고체향수솔리드퍼퓸 세트향=커플세트(이그나이트 + 스테이포에버), 세트 선택=1 SET210207</t>
        </is>
      </c>
    </row>
    <row r="4918" ht="16.5" customHeight="1" s="17">
      <c r="B4918" s="16" t="n">
        <v>44272</v>
      </c>
      <c r="C4918" s="20" t="inlineStr">
        <is>
          <t>수</t>
        </is>
      </c>
      <c r="E4918" s="20" t="inlineStr">
        <is>
          <t>고체향수</t>
        </is>
      </c>
      <c r="F4918" s="20" t="inlineStr">
        <is>
          <t>카페24</t>
        </is>
      </c>
      <c r="G4918" s="20" t="inlineStr">
        <is>
          <t>솔리드퍼퓸 세트향=커플세트(이그나이트 + 스테이포에버), 세트 선택=2 SET (42% 할인)</t>
        </is>
      </c>
      <c r="H4918" s="20" t="n">
        <v>1</v>
      </c>
      <c r="I4918" s="20" t="inlineStr">
        <is>
          <t>이그나이트 + 스테이포에버</t>
        </is>
      </c>
      <c r="J4918" s="20" t="inlineStr">
        <is>
          <t>210207</t>
        </is>
      </c>
      <c r="L4918" s="20" t="n">
        <v>58800</v>
      </c>
      <c r="M4918" s="20" t="n">
        <v>55360.2</v>
      </c>
      <c r="N4918" s="20" t="n">
        <v>5345</v>
      </c>
      <c r="O4918" s="20" t="inlineStr">
        <is>
          <t>카페24고체향수솔리드퍼퓸 세트향=커플세트(이그나이트 + 스테이포에버), 세트 선택=2 SET (42% 할인)210207</t>
        </is>
      </c>
    </row>
    <row r="4919" ht="16.5" customHeight="1" s="17">
      <c r="B4919" s="16" t="n">
        <v>44272</v>
      </c>
      <c r="C4919" s="20" t="inlineStr">
        <is>
          <t>수</t>
        </is>
      </c>
      <c r="E4919" s="20" t="inlineStr">
        <is>
          <t>고체향수</t>
        </is>
      </c>
      <c r="F4919" s="20" t="inlineStr">
        <is>
          <t>카페24</t>
        </is>
      </c>
      <c r="G4919" s="20" t="inlineStr">
        <is>
          <t>솔리드퍼퓸 스테이포에버 002제품선택=스테이포에버 1개</t>
        </is>
      </c>
      <c r="H4919" s="20" t="n">
        <v>176</v>
      </c>
      <c r="I4919" s="20" t="inlineStr">
        <is>
          <t>스테이포에버</t>
        </is>
      </c>
      <c r="J4919" s="20" t="inlineStr">
        <is>
          <t>210207</t>
        </is>
      </c>
      <c r="L4919" s="20" t="n">
        <v>5984000</v>
      </c>
      <c r="M4919" s="20" t="n">
        <v>5633936</v>
      </c>
      <c r="N4919" s="20" t="n">
        <v>456192</v>
      </c>
      <c r="O4919" s="20" t="inlineStr">
        <is>
          <t>카페24고체향수솔리드퍼퓸 스테이포에버 002제품선택=스테이포에버 1개210207</t>
        </is>
      </c>
    </row>
    <row r="4920" ht="16.5" customHeight="1" s="17">
      <c r="B4920" s="16" t="n">
        <v>44272</v>
      </c>
      <c r="C4920" s="20" t="inlineStr">
        <is>
          <t>수</t>
        </is>
      </c>
      <c r="E4920" s="20" t="inlineStr">
        <is>
          <t>고체향수</t>
        </is>
      </c>
      <c r="F4920" s="20" t="inlineStr">
        <is>
          <t>카페24</t>
        </is>
      </c>
      <c r="G4920" s="20" t="inlineStr">
        <is>
          <t>솔리드퍼퓸 스테이포에버 002제품선택=best스테이포에버 2개[28% 할인]</t>
        </is>
      </c>
      <c r="H4920" s="20" t="n">
        <v>83</v>
      </c>
      <c r="I4920" s="20" t="inlineStr">
        <is>
          <t>스테이포에버 2set</t>
        </is>
      </c>
      <c r="J4920" s="20" t="inlineStr">
        <is>
          <t>210207</t>
        </is>
      </c>
      <c r="L4920" s="20" t="n">
        <v>4880400</v>
      </c>
      <c r="M4920" s="20" t="n">
        <v>4594896.6</v>
      </c>
      <c r="N4920" s="20" t="n">
        <v>430272</v>
      </c>
      <c r="O4920" s="20" t="inlineStr">
        <is>
          <t>카페24고체향수솔리드퍼퓸 스테이포에버 002제품선택=best스테이포에버 2개[28% 할인]210207</t>
        </is>
      </c>
    </row>
    <row r="4921" ht="16.5" customHeight="1" s="17">
      <c r="B4921" s="16" t="n">
        <v>44272</v>
      </c>
      <c r="C4921" s="20" t="inlineStr">
        <is>
          <t>수</t>
        </is>
      </c>
      <c r="E4921" s="20" t="inlineStr">
        <is>
          <t>고체향수</t>
        </is>
      </c>
      <c r="F4921" s="20" t="inlineStr">
        <is>
          <t>카페24</t>
        </is>
      </c>
      <c r="G4921" s="20" t="inlineStr">
        <is>
          <t>솔리드퍼퓸 스테이포에버 002제품선택=커플추천스테이포에버 + 이그나이트 세트</t>
        </is>
      </c>
      <c r="H4921" s="20" t="n">
        <v>13</v>
      </c>
      <c r="I4921" s="20" t="inlineStr">
        <is>
          <t>이그나이트 + 스테이포에버</t>
        </is>
      </c>
      <c r="J4921" s="20" t="inlineStr">
        <is>
          <t>210207</t>
        </is>
      </c>
      <c r="L4921" s="20" t="n">
        <v>764400</v>
      </c>
      <c r="M4921" s="20" t="n">
        <v>719682.6</v>
      </c>
      <c r="N4921" s="20" t="n">
        <v>69485</v>
      </c>
      <c r="O4921" s="20" t="inlineStr">
        <is>
          <t>카페24고체향수솔리드퍼퓸 스테이포에버 002제품선택=커플추천스테이포에버 + 이그나이트 세트210207</t>
        </is>
      </c>
    </row>
    <row r="4922" ht="16.5" customHeight="1" s="17">
      <c r="B4922" s="16" t="n">
        <v>44272</v>
      </c>
      <c r="C4922" s="20" t="inlineStr">
        <is>
          <t>수</t>
        </is>
      </c>
      <c r="E4922" s="20" t="inlineStr">
        <is>
          <t>쇼핑백</t>
        </is>
      </c>
      <c r="F4922" s="20" t="inlineStr">
        <is>
          <t>카페24</t>
        </is>
      </c>
      <c r="G4922" s="20" t="inlineStr">
        <is>
          <t>솔리드퍼퓸 스테이포에버 002쇼핑백=선물용 쇼핑백</t>
        </is>
      </c>
      <c r="H4922" s="20" t="n">
        <v>4</v>
      </c>
      <c r="I4922" s="20" t="inlineStr">
        <is>
          <t>쇼핑백</t>
        </is>
      </c>
      <c r="J4922" s="20" t="inlineStr">
        <is>
          <t>210207</t>
        </is>
      </c>
      <c r="L4922" s="20" t="n">
        <v>8000</v>
      </c>
      <c r="M4922" s="20" t="n">
        <v>7532</v>
      </c>
      <c r="N4922" s="20" t="n">
        <v>3320</v>
      </c>
      <c r="O4922" s="20" t="inlineStr">
        <is>
          <t>카페24쇼핑백솔리드퍼퓸 스테이포에버 002쇼핑백=선물용 쇼핑백210207</t>
        </is>
      </c>
    </row>
    <row r="4923" ht="16.5" customHeight="1" s="17">
      <c r="B4923" s="16" t="n">
        <v>44272</v>
      </c>
      <c r="C4923" s="20" t="inlineStr">
        <is>
          <t>수</t>
        </is>
      </c>
      <c r="E4923" s="20" t="inlineStr">
        <is>
          <t>고체향수</t>
        </is>
      </c>
      <c r="F4923" s="20" t="inlineStr">
        <is>
          <t>카페24</t>
        </is>
      </c>
      <c r="G4923" s="20" t="inlineStr">
        <is>
          <t>솔리드퍼퓸 이그나이트 001제품선택=이그나이트 솔리드퍼퓸 - 30ml</t>
        </is>
      </c>
      <c r="H4923" s="20" t="n">
        <v>5</v>
      </c>
      <c r="I4923" s="20" t="inlineStr">
        <is>
          <t>이그나이트</t>
        </is>
      </c>
      <c r="J4923" s="20" t="inlineStr">
        <is>
          <t>210207</t>
        </is>
      </c>
      <c r="L4923" s="20" t="n">
        <v>170000</v>
      </c>
      <c r="M4923" s="20" t="n">
        <v>160055</v>
      </c>
      <c r="N4923" s="20" t="n">
        <v>13765</v>
      </c>
      <c r="O4923" s="20" t="inlineStr">
        <is>
          <t>카페24고체향수솔리드퍼퓸 이그나이트 001제품선택=이그나이트 솔리드퍼퓸 - 30ml210207</t>
        </is>
      </c>
    </row>
    <row r="4924" ht="16.5" customHeight="1" s="17">
      <c r="B4924" s="16" t="n">
        <v>44272</v>
      </c>
      <c r="C4924" s="20" t="inlineStr">
        <is>
          <t>수</t>
        </is>
      </c>
      <c r="E4924" s="20">
        <f>INDEX(매칭테이블!C:C,MATCH(RD!G4924,매칭테이블!D:D,0))</f>
        <v/>
      </c>
      <c r="F4924" s="20" t="inlineStr">
        <is>
          <t>카페24</t>
        </is>
      </c>
      <c r="G4924" s="20" t="inlineStr">
        <is>
          <t>유즈 솔리드퍼퓸 세트향=이그나이트 001 SOLID PERFUME, 세트 선택=1개</t>
        </is>
      </c>
      <c r="H4924" s="20" t="n">
        <v>4</v>
      </c>
      <c r="I4924" s="20">
        <f>VLOOKUP(G4924,매칭테이블!D:E,2,0)</f>
        <v/>
      </c>
      <c r="J4924" s="20" t="inlineStr">
        <is>
          <t>210207</t>
        </is>
      </c>
      <c r="L4924" s="20">
        <f>VLOOKUP($O4924,매칭테이블!$G:$J,2,0)*H4924</f>
        <v/>
      </c>
      <c r="M4924" s="20">
        <f>L4924-L4924*VLOOKUP($O4924,매칭테이블!$G:$J,3,0)</f>
        <v/>
      </c>
      <c r="N4924" s="20">
        <f>VLOOKUP($O4924,매칭테이블!$G:$J,4,0)*H4924</f>
        <v/>
      </c>
      <c r="O4924" s="20">
        <f>F4924&amp;E4924&amp;G4924&amp;J4924</f>
        <v/>
      </c>
    </row>
    <row r="4925" ht="16.5" customHeight="1" s="17">
      <c r="B4925" s="16" t="n">
        <v>44272</v>
      </c>
      <c r="C4925" s="20" t="inlineStr">
        <is>
          <t>수</t>
        </is>
      </c>
      <c r="E4925" s="20">
        <f>INDEX(매칭테이블!C:C,MATCH(RD!G4925,매칭테이블!D:D,0))</f>
        <v/>
      </c>
      <c r="F4925" s="20" t="inlineStr">
        <is>
          <t>카페24</t>
        </is>
      </c>
      <c r="G4925" s="20" t="inlineStr">
        <is>
          <t>유즈 솔리드퍼퓸 세트향=이그나이트 001 SOLID PERFUME, 세트 선택=best 2개 (28% 할인)</t>
        </is>
      </c>
      <c r="H4925" s="20" t="n">
        <v>1</v>
      </c>
      <c r="I4925" s="20">
        <f>VLOOKUP(G4925,매칭테이블!D:E,2,0)</f>
        <v/>
      </c>
      <c r="J4925" s="20" t="inlineStr">
        <is>
          <t>210207</t>
        </is>
      </c>
      <c r="L4925" s="20">
        <f>VLOOKUP($O4925,매칭테이블!$G:$J,2,0)*H4925</f>
        <v/>
      </c>
      <c r="M4925" s="20">
        <f>L4925-L4925*VLOOKUP($O4925,매칭테이블!$G:$J,3,0)</f>
        <v/>
      </c>
      <c r="N4925" s="20">
        <f>VLOOKUP($O4925,매칭테이블!$G:$J,4,0)*H4925</f>
        <v/>
      </c>
      <c r="O4925" s="20">
        <f>F4925&amp;E4925&amp;G4925&amp;J4925</f>
        <v/>
      </c>
    </row>
    <row r="4926" ht="16.5" customHeight="1" s="17">
      <c r="B4926" s="16" t="n">
        <v>44272</v>
      </c>
      <c r="C4926" s="20" t="inlineStr">
        <is>
          <t>수</t>
        </is>
      </c>
      <c r="E4926" s="20">
        <f>INDEX(매칭테이블!C:C,MATCH(RD!G4926,매칭테이블!D:D,0))</f>
        <v/>
      </c>
      <c r="F4926" s="20" t="inlineStr">
        <is>
          <t>카페24</t>
        </is>
      </c>
      <c r="G4926" s="20" t="inlineStr">
        <is>
          <t>유즈 솔리드퍼퓸 세트향=스테이포에버 002 SOLID PERFUME, 세트 선택=1개</t>
        </is>
      </c>
      <c r="H4926" s="20" t="n">
        <v>20</v>
      </c>
      <c r="I4926" s="20">
        <f>VLOOKUP(G4926,매칭테이블!D:E,2,0)</f>
        <v/>
      </c>
      <c r="J4926" s="20" t="inlineStr">
        <is>
          <t>210207</t>
        </is>
      </c>
      <c r="L4926" s="20">
        <f>VLOOKUP($O4926,매칭테이블!$G:$J,2,0)*H4926</f>
        <v/>
      </c>
      <c r="M4926" s="20">
        <f>L4926-L4926*VLOOKUP($O4926,매칭테이블!$G:$J,3,0)</f>
        <v/>
      </c>
      <c r="N4926" s="20">
        <f>VLOOKUP($O4926,매칭테이블!$G:$J,4,0)*H4926</f>
        <v/>
      </c>
      <c r="O4926" s="20">
        <f>F4926&amp;E4926&amp;G4926&amp;J4926</f>
        <v/>
      </c>
    </row>
    <row r="4927" ht="16.5" customHeight="1" s="17">
      <c r="B4927" s="16" t="n">
        <v>44272</v>
      </c>
      <c r="C4927" s="20" t="inlineStr">
        <is>
          <t>수</t>
        </is>
      </c>
      <c r="E4927" s="20">
        <f>INDEX(매칭테이블!C:C,MATCH(RD!G4927,매칭테이블!D:D,0))</f>
        <v/>
      </c>
      <c r="F4927" s="20" t="inlineStr">
        <is>
          <t>카페24</t>
        </is>
      </c>
      <c r="G4927" s="20" t="inlineStr">
        <is>
          <t>유즈 솔리드퍼퓸 세트향=스테이포에버 002 SOLID PERFUME, 세트 선택=best 2개 (28% 할인)</t>
        </is>
      </c>
      <c r="H4927" s="20" t="n">
        <v>18</v>
      </c>
      <c r="I4927" s="20">
        <f>VLOOKUP(G4927,매칭테이블!D:E,2,0)</f>
        <v/>
      </c>
      <c r="J4927" s="20" t="inlineStr">
        <is>
          <t>210207</t>
        </is>
      </c>
      <c r="L4927" s="20">
        <f>VLOOKUP($O4927,매칭테이블!$G:$J,2,0)*H4927</f>
        <v/>
      </c>
      <c r="M4927" s="20">
        <f>L4927-L4927*VLOOKUP($O4927,매칭테이블!$G:$J,3,0)</f>
        <v/>
      </c>
      <c r="N4927" s="20">
        <f>VLOOKUP($O4927,매칭테이블!$G:$J,4,0)*H4927</f>
        <v/>
      </c>
      <c r="O4927" s="20">
        <f>F4927&amp;E4927&amp;G4927&amp;J4927</f>
        <v/>
      </c>
    </row>
    <row r="4928" ht="16.5" customHeight="1" s="17">
      <c r="B4928" s="16" t="n">
        <v>44272</v>
      </c>
      <c r="C4928" s="20" t="inlineStr">
        <is>
          <t>수</t>
        </is>
      </c>
      <c r="E4928" s="20">
        <f>INDEX(매칭테이블!C:C,MATCH(RD!G4928,매칭테이블!D:D,0))</f>
        <v/>
      </c>
      <c r="F4928" s="20" t="inlineStr">
        <is>
          <t>카페24</t>
        </is>
      </c>
      <c r="G4928" s="20" t="inlineStr">
        <is>
          <t>유즈 솔리드퍼퓸 세트향=커플세트(이그나이트 + 스테이포에버), 세트 선택=1 SET</t>
        </is>
      </c>
      <c r="H4928" s="20" t="n">
        <v>17</v>
      </c>
      <c r="I4928" s="20">
        <f>VLOOKUP(G4928,매칭테이블!D:E,2,0)</f>
        <v/>
      </c>
      <c r="J4928" s="20" t="inlineStr">
        <is>
          <t>210207</t>
        </is>
      </c>
      <c r="L4928" s="20">
        <f>VLOOKUP($O4928,매칭테이블!$G:$J,2,0)*H4928</f>
        <v/>
      </c>
      <c r="M4928" s="20">
        <f>L4928-L4928*VLOOKUP($O4928,매칭테이블!$G:$J,3,0)</f>
        <v/>
      </c>
      <c r="N4928" s="20">
        <f>VLOOKUP($O4928,매칭테이블!$G:$J,4,0)*H4928</f>
        <v/>
      </c>
      <c r="O4928" s="20">
        <f>F4928&amp;E4928&amp;G4928&amp;J4928</f>
        <v/>
      </c>
    </row>
    <row r="4929" ht="16.5" customHeight="1" s="17">
      <c r="B4929" s="16" t="n">
        <v>44272</v>
      </c>
      <c r="C4929" s="20" t="inlineStr">
        <is>
          <t>수</t>
        </is>
      </c>
      <c r="E4929" s="20">
        <f>INDEX(매칭테이블!C:C,MATCH(RD!G4929,매칭테이블!D:D,0))</f>
        <v/>
      </c>
      <c r="F4929" s="20" t="inlineStr">
        <is>
          <t>카페24</t>
        </is>
      </c>
      <c r="G4929" s="20" t="inlineStr">
        <is>
          <t>유즈 솔리드퍼퓸 세트향=커플세트(이그나이트 + 스테이포에버), 세트 선택=2 SET (42% 할인)</t>
        </is>
      </c>
      <c r="H4929" s="20" t="n">
        <v>4</v>
      </c>
      <c r="I4929" s="20">
        <f>VLOOKUP(G4929,매칭테이블!D:E,2,0)</f>
        <v/>
      </c>
      <c r="J4929" s="20" t="inlineStr">
        <is>
          <t>210207</t>
        </is>
      </c>
      <c r="L4929" s="20">
        <f>VLOOKUP($O4929,매칭테이블!$G:$J,2,0)*H4929</f>
        <v/>
      </c>
      <c r="M4929" s="20">
        <f>L4929-L4929*VLOOKUP($O4929,매칭테이블!$G:$J,3,0)</f>
        <v/>
      </c>
      <c r="N4929" s="20">
        <f>VLOOKUP($O4929,매칭테이블!$G:$J,4,0)*H4929</f>
        <v/>
      </c>
      <c r="O4929" s="20">
        <f>F4929&amp;E4929&amp;G4929&amp;J4929</f>
        <v/>
      </c>
    </row>
    <row r="4930" ht="16.5" customHeight="1" s="17">
      <c r="A4930" s="20" t="inlineStr">
        <is>
          <t>고체향수_전환추적</t>
        </is>
      </c>
      <c r="B4930" s="16" t="n">
        <v>44272</v>
      </c>
      <c r="C4930" s="20" t="inlineStr">
        <is>
          <t>수</t>
        </is>
      </c>
      <c r="D4930" s="20" t="inlineStr">
        <is>
          <t>네이버 배너</t>
        </is>
      </c>
      <c r="E4930" s="20" t="inlineStr">
        <is>
          <t>고체향수</t>
        </is>
      </c>
      <c r="K4930" s="20" t="n">
        <v>221441.8181818182</v>
      </c>
    </row>
    <row r="4931" ht="16.5" customHeight="1" s="17">
      <c r="A4931" s="20" t="inlineStr">
        <is>
          <t>고체향수</t>
        </is>
      </c>
      <c r="B4931" s="16" t="n">
        <v>44272</v>
      </c>
      <c r="C4931" s="20" t="inlineStr">
        <is>
          <t>수</t>
        </is>
      </c>
      <c r="D4931" s="20" t="inlineStr">
        <is>
          <t>네이버 배너</t>
        </is>
      </c>
      <c r="E4931" s="20" t="inlineStr">
        <is>
          <t>고체향수</t>
        </is>
      </c>
      <c r="K4931" s="20" t="n">
        <v>935346.3636363635</v>
      </c>
    </row>
    <row r="4932" ht="16.5" customHeight="1" s="17">
      <c r="B4932" s="16" t="n">
        <v>44272</v>
      </c>
      <c r="C4932" s="20" t="inlineStr">
        <is>
          <t>수</t>
        </is>
      </c>
      <c r="D4932" s="20" t="inlineStr">
        <is>
          <t>네이버 배너(대행사)</t>
        </is>
      </c>
      <c r="E4932" s="20" t="inlineStr">
        <is>
          <t>고체향수</t>
        </is>
      </c>
      <c r="K4932" s="20">
        <f>218483/1.1</f>
        <v/>
      </c>
    </row>
    <row r="4933" ht="16.5" customHeight="1" s="17">
      <c r="B4933" s="16" t="n">
        <v>44272</v>
      </c>
      <c r="C4933" s="20" t="inlineStr">
        <is>
          <t>수</t>
        </is>
      </c>
      <c r="D4933" s="20" t="inlineStr">
        <is>
          <t>카카오 배너</t>
        </is>
      </c>
      <c r="E4933" s="20" t="inlineStr">
        <is>
          <t>고체향수</t>
        </is>
      </c>
      <c r="K4933" s="20">
        <f>902814/1.1</f>
        <v/>
      </c>
    </row>
    <row r="4934" ht="16.5" customHeight="1" s="17">
      <c r="B4934" s="16" t="n">
        <v>44272</v>
      </c>
      <c r="C4934" s="20" t="inlineStr">
        <is>
          <t>수</t>
        </is>
      </c>
      <c r="D4934" s="20" t="inlineStr">
        <is>
          <t>네이버 쇼핑박스</t>
        </is>
      </c>
      <c r="E4934" s="20" t="inlineStr">
        <is>
          <t>고체향수</t>
        </is>
      </c>
      <c r="K4934" s="20" t="n">
        <v>1129000</v>
      </c>
    </row>
    <row r="4935" ht="16.5" customHeight="1" s="17"/>
    <row r="4936" ht="16.5" customHeight="1" s="17">
      <c r="A4936" s="20" t="inlineStr">
        <is>
          <t>[유튜버 수지큐]스테이포에버_카드뉴스</t>
        </is>
      </c>
      <c r="B4936" s="16" t="n">
        <v>44272</v>
      </c>
      <c r="C4936" s="20" t="inlineStr">
        <is>
          <t>수</t>
        </is>
      </c>
      <c r="D4936" s="20" t="inlineStr">
        <is>
          <t>페이스북/인스타그램</t>
        </is>
      </c>
      <c r="E4936" s="20" t="inlineStr">
        <is>
          <t>고체향수</t>
        </is>
      </c>
      <c r="K4936" s="20" t="n">
        <v>40928</v>
      </c>
    </row>
    <row r="4937" ht="16.5" customHeight="1" s="17">
      <c r="A4937" s="20" t="inlineStr">
        <is>
          <t>[유튜버 수지큐]스테이포에버_영상</t>
        </is>
      </c>
      <c r="B4937" s="16" t="n">
        <v>44272</v>
      </c>
      <c r="C4937" s="20" t="inlineStr">
        <is>
          <t>수</t>
        </is>
      </c>
      <c r="D4937" s="20" t="inlineStr">
        <is>
          <t>페이스북/인스타그램</t>
        </is>
      </c>
      <c r="E4937" s="20" t="inlineStr">
        <is>
          <t>고체향수</t>
        </is>
      </c>
      <c r="K4937" s="20" t="n">
        <v>26170</v>
      </c>
    </row>
    <row r="4938" ht="16.5" customHeight="1" s="17">
      <c r="A4938" s="20" t="inlineStr">
        <is>
          <t>[승무원]수지큐2차활용_스테이포에버_이미지</t>
        </is>
      </c>
      <c r="B4938" s="16" t="n">
        <v>44272</v>
      </c>
      <c r="C4938" s="20" t="inlineStr">
        <is>
          <t>수</t>
        </is>
      </c>
      <c r="D4938" s="20" t="inlineStr">
        <is>
          <t>페이스북/인스타그램</t>
        </is>
      </c>
      <c r="E4938" s="20" t="inlineStr">
        <is>
          <t>고체향수</t>
        </is>
      </c>
      <c r="K4938" s="20" t="n">
        <v>32581</v>
      </c>
    </row>
    <row r="4939" ht="16.5" customHeight="1" s="17">
      <c r="A4939" s="20" t="inlineStr">
        <is>
          <t>[다현 TEST] 스테이포에버_유즈모먼트</t>
        </is>
      </c>
      <c r="B4939" s="16" t="n">
        <v>44272</v>
      </c>
      <c r="C4939" s="20" t="inlineStr">
        <is>
          <t>수</t>
        </is>
      </c>
      <c r="D4939" s="20" t="inlineStr">
        <is>
          <t>페이스북/인스타그램</t>
        </is>
      </c>
      <c r="E4939" s="20" t="inlineStr">
        <is>
          <t>고체향수</t>
        </is>
      </c>
      <c r="K4939" s="20" t="n">
        <v>59074</v>
      </c>
    </row>
    <row r="4940" ht="16.5" customHeight="1" s="17">
      <c r="A4940" s="20" t="inlineStr">
        <is>
          <t>[성민 TEST] 스테이포에버_이미지</t>
        </is>
      </c>
      <c r="B4940" s="16" t="n">
        <v>44272</v>
      </c>
      <c r="C4940" s="20" t="inlineStr">
        <is>
          <t>수</t>
        </is>
      </c>
      <c r="D4940" s="20" t="inlineStr">
        <is>
          <t>페이스북/인스타그램</t>
        </is>
      </c>
      <c r="E4940" s="20" t="inlineStr">
        <is>
          <t>고체향수</t>
        </is>
      </c>
      <c r="K4940" s="20" t="n">
        <v>47674</v>
      </c>
    </row>
    <row r="4941" ht="16.5" customHeight="1" s="17">
      <c r="A4941" s="20" t="inlineStr">
        <is>
          <t>[승은 TEST] 스테이포에버_카드뉴스</t>
        </is>
      </c>
      <c r="B4941" s="16" t="n">
        <v>44272</v>
      </c>
      <c r="C4941" s="20" t="inlineStr">
        <is>
          <t>수</t>
        </is>
      </c>
      <c r="D4941" s="20" t="inlineStr">
        <is>
          <t>페이스북/인스타그램</t>
        </is>
      </c>
      <c r="E4941" s="20" t="inlineStr">
        <is>
          <t>고체향수</t>
        </is>
      </c>
      <c r="K4941" s="20" t="n">
        <v>58519</v>
      </c>
    </row>
    <row r="4942" ht="16.5" customHeight="1" s="17">
      <c r="A4942" s="20" t="inlineStr">
        <is>
          <t>[승무원 2] 스테이포에버_카드뉴스</t>
        </is>
      </c>
      <c r="B4942" s="16" t="n">
        <v>44272</v>
      </c>
      <c r="C4942" s="20" t="inlineStr">
        <is>
          <t>수</t>
        </is>
      </c>
      <c r="D4942" s="20" t="inlineStr">
        <is>
          <t>페이스북/인스타그램</t>
        </is>
      </c>
      <c r="E4942" s="20" t="inlineStr">
        <is>
          <t>고체향수</t>
        </is>
      </c>
      <c r="K4942" s="20" t="n">
        <v>195137</v>
      </c>
    </row>
    <row r="4943" ht="16.5" customHeight="1" s="17">
      <c r="A4943" s="20" t="inlineStr">
        <is>
          <t>[테스트]아줌마</t>
        </is>
      </c>
      <c r="B4943" s="16" t="n">
        <v>44272</v>
      </c>
      <c r="C4943" s="20" t="inlineStr">
        <is>
          <t>수</t>
        </is>
      </c>
      <c r="D4943" s="20" t="inlineStr">
        <is>
          <t>페이스북/인스타그램</t>
        </is>
      </c>
      <c r="E4943" s="20" t="inlineStr">
        <is>
          <t>고체향수</t>
        </is>
      </c>
      <c r="K4943" s="20" t="n">
        <v>155566</v>
      </c>
    </row>
    <row r="4944" ht="16.5" customHeight="1" s="17">
      <c r="A4944" s="20" t="inlineStr">
        <is>
          <t>[키워드 확장 테스트]스테이포에버_이미지</t>
        </is>
      </c>
      <c r="B4944" s="16" t="n">
        <v>44272</v>
      </c>
      <c r="C4944" s="20" t="inlineStr">
        <is>
          <t>수</t>
        </is>
      </c>
      <c r="D4944" s="20" t="inlineStr">
        <is>
          <t>페이스북/인스타그램</t>
        </is>
      </c>
      <c r="E4944" s="20" t="inlineStr">
        <is>
          <t>고체향수</t>
        </is>
      </c>
      <c r="K4944" s="20" t="n">
        <v>200467</v>
      </c>
    </row>
    <row r="4945" ht="16.5" customHeight="1" s="17">
      <c r="A4945" s="20" t="inlineStr">
        <is>
          <t>[재입고]스테이포에버_이미지</t>
        </is>
      </c>
      <c r="B4945" s="16" t="n">
        <v>44272</v>
      </c>
      <c r="C4945" s="20" t="inlineStr">
        <is>
          <t>수</t>
        </is>
      </c>
      <c r="D4945" s="20" t="inlineStr">
        <is>
          <t>페이스북/인스타그램</t>
        </is>
      </c>
      <c r="E4945" s="20" t="inlineStr">
        <is>
          <t>고체향수</t>
        </is>
      </c>
      <c r="K4945" s="20" t="n">
        <v>49243</v>
      </c>
    </row>
    <row r="4946" ht="16.5" customHeight="1" s="17">
      <c r="A4946" s="20" t="inlineStr">
        <is>
          <t>[승무원]숏폼_영상</t>
        </is>
      </c>
      <c r="B4946" s="16" t="n">
        <v>44272</v>
      </c>
      <c r="C4946" s="20" t="inlineStr">
        <is>
          <t>수</t>
        </is>
      </c>
      <c r="D4946" s="20" t="inlineStr">
        <is>
          <t>페이스북/인스타그램</t>
        </is>
      </c>
      <c r="E4946" s="20" t="inlineStr">
        <is>
          <t>고체향수</t>
        </is>
      </c>
      <c r="K4946" s="20" t="n">
        <v>99534</v>
      </c>
    </row>
    <row r="4947" ht="16.5" customHeight="1" s="17">
      <c r="A4947" s="20" t="inlineStr">
        <is>
          <t>[재입고]스테이포에버_영상</t>
        </is>
      </c>
      <c r="B4947" s="16" t="n">
        <v>44272</v>
      </c>
      <c r="C4947" s="20" t="inlineStr">
        <is>
          <t>수</t>
        </is>
      </c>
      <c r="D4947" s="20" t="inlineStr">
        <is>
          <t>페이스북/인스타그램</t>
        </is>
      </c>
      <c r="E4947" s="20" t="inlineStr">
        <is>
          <t>고체향수</t>
        </is>
      </c>
      <c r="K4947" s="20" t="n">
        <v>48980</v>
      </c>
    </row>
    <row r="4948" ht="16.5" customHeight="1" s="17">
      <c r="A4948" s="20" t="inlineStr">
        <is>
          <t>[젊줌마]스테이포에버_영상</t>
        </is>
      </c>
      <c r="B4948" s="16" t="n">
        <v>44272</v>
      </c>
      <c r="C4948" s="20" t="inlineStr">
        <is>
          <t>수</t>
        </is>
      </c>
      <c r="D4948" s="20" t="inlineStr">
        <is>
          <t>페이스북/인스타그램</t>
        </is>
      </c>
      <c r="E4948" s="20" t="inlineStr">
        <is>
          <t>고체향수</t>
        </is>
      </c>
      <c r="K4948" s="20" t="n">
        <v>98282</v>
      </c>
    </row>
    <row r="4949" ht="16.5" customHeight="1" s="17">
      <c r="A4949" s="20" t="inlineStr">
        <is>
          <t>[승무원]2019년썰 카드뉴스+ 향묘사_영상</t>
        </is>
      </c>
      <c r="B4949" s="16" t="n">
        <v>44272</v>
      </c>
      <c r="C4949" s="20" t="inlineStr">
        <is>
          <t>수</t>
        </is>
      </c>
      <c r="D4949" s="20" t="inlineStr">
        <is>
          <t>페이스북/인스타그램</t>
        </is>
      </c>
      <c r="E4949" s="20" t="inlineStr">
        <is>
          <t>고체향수</t>
        </is>
      </c>
      <c r="K4949" s="20" t="n">
        <v>68531</v>
      </c>
    </row>
    <row r="4950" ht="16.5" customHeight="1" s="17">
      <c r="A4950" s="20" t="inlineStr">
        <is>
          <t>[승무원어피]스테이포에버_이미지</t>
        </is>
      </c>
      <c r="B4950" s="16" t="n">
        <v>44272</v>
      </c>
      <c r="C4950" s="20" t="inlineStr">
        <is>
          <t>수</t>
        </is>
      </c>
      <c r="D4950" s="20" t="inlineStr">
        <is>
          <t>페이스북/인스타그램</t>
        </is>
      </c>
      <c r="E4950" s="20" t="inlineStr">
        <is>
          <t>고체향수</t>
        </is>
      </c>
      <c r="K4950" s="20" t="n">
        <v>147453</v>
      </c>
    </row>
    <row r="4951" ht="16.5" customHeight="1" s="17">
      <c r="A4951" s="20" t="inlineStr">
        <is>
          <t>[다현]스테이포에버_이미지</t>
        </is>
      </c>
      <c r="B4951" s="16" t="n">
        <v>44272</v>
      </c>
      <c r="C4951" s="20" t="inlineStr">
        <is>
          <t>수</t>
        </is>
      </c>
      <c r="D4951" s="20" t="inlineStr">
        <is>
          <t>페이스북/인스타그램</t>
        </is>
      </c>
      <c r="E4951" s="20" t="inlineStr">
        <is>
          <t>고체향수</t>
        </is>
      </c>
      <c r="K4951" s="20" t="n">
        <v>196121</v>
      </c>
    </row>
    <row r="4952" ht="16.5" customHeight="1" s="17">
      <c r="A4952" s="20" t="inlineStr">
        <is>
          <t>[승무원]스테이포에버_카드뉴스</t>
        </is>
      </c>
      <c r="B4952" s="16" t="n">
        <v>44272</v>
      </c>
      <c r="C4952" s="20" t="inlineStr">
        <is>
          <t>수</t>
        </is>
      </c>
      <c r="D4952" s="20" t="inlineStr">
        <is>
          <t>페이스북/인스타그램</t>
        </is>
      </c>
      <c r="E4952" s="20" t="inlineStr">
        <is>
          <t>고체향수</t>
        </is>
      </c>
      <c r="K4952" s="20" t="n">
        <v>195998</v>
      </c>
    </row>
    <row r="4953" ht="16.5" customHeight="1" s="17">
      <c r="A4953" s="20" t="inlineStr">
        <is>
          <t>[후기타입]스테이포에버_영상</t>
        </is>
      </c>
      <c r="B4953" s="16" t="n">
        <v>44272</v>
      </c>
      <c r="C4953" s="20" t="inlineStr">
        <is>
          <t>수</t>
        </is>
      </c>
      <c r="D4953" s="20" t="inlineStr">
        <is>
          <t>페이스북/인스타그램</t>
        </is>
      </c>
      <c r="E4953" s="20" t="inlineStr">
        <is>
          <t>고체향수</t>
        </is>
      </c>
      <c r="K4953" s="20" t="n">
        <v>147191</v>
      </c>
    </row>
    <row r="4954" ht="16.5" customHeight="1" s="17">
      <c r="A4954" s="20" t="inlineStr">
        <is>
          <t>전환_스테이포에버</t>
        </is>
      </c>
      <c r="B4954" s="16" t="n">
        <v>44272</v>
      </c>
      <c r="C4954" s="20" t="inlineStr">
        <is>
          <t>수</t>
        </is>
      </c>
      <c r="D4954" s="20" t="inlineStr">
        <is>
          <t>페이스북/인스타그램</t>
        </is>
      </c>
      <c r="E4954" s="20" t="inlineStr">
        <is>
          <t>고체향수</t>
        </is>
      </c>
      <c r="K4954" s="20" t="n">
        <v>48648</v>
      </c>
    </row>
    <row r="4955" ht="16.5" customHeight="1" s="17">
      <c r="A4955" s="20" t="inlineStr">
        <is>
          <t>[권태기커플]스테이포에버_영상</t>
        </is>
      </c>
      <c r="B4955" s="16" t="n">
        <v>44272</v>
      </c>
      <c r="C4955" s="20" t="inlineStr">
        <is>
          <t>수</t>
        </is>
      </c>
      <c r="D4955" s="20" t="inlineStr">
        <is>
          <t>페이스북/인스타그램</t>
        </is>
      </c>
      <c r="E4955" s="20" t="inlineStr">
        <is>
          <t>고체향수</t>
        </is>
      </c>
      <c r="K4955" s="20" t="n">
        <v>147722</v>
      </c>
    </row>
    <row r="4956" ht="16.5" customHeight="1" s="17">
      <c r="A4956" s="20" t="inlineStr">
        <is>
          <t>웹사이트 트래픽 서치</t>
        </is>
      </c>
      <c r="B4956" s="16" t="n">
        <v>44272</v>
      </c>
      <c r="C4956" s="20" t="inlineStr">
        <is>
          <t>수</t>
        </is>
      </c>
      <c r="D4956" s="20" t="inlineStr">
        <is>
          <t>유튜브 광고</t>
        </is>
      </c>
      <c r="E4956" s="20" t="inlineStr">
        <is>
          <t>고체향수</t>
        </is>
      </c>
      <c r="K4956" s="20" t="n">
        <v>16915</v>
      </c>
    </row>
    <row r="4957" ht="16.5" customHeight="1" s="17">
      <c r="A4957" s="20" t="inlineStr">
        <is>
          <t>동영상캠페인_승무원_보이는 라디오(cpa)</t>
        </is>
      </c>
      <c r="B4957" s="16" t="n">
        <v>44272</v>
      </c>
      <c r="C4957" s="20" t="inlineStr">
        <is>
          <t>수</t>
        </is>
      </c>
      <c r="D4957" s="20" t="inlineStr">
        <is>
          <t>유튜브 광고</t>
        </is>
      </c>
      <c r="E4957" s="20" t="inlineStr">
        <is>
          <t>고체향수</t>
        </is>
      </c>
      <c r="K4957" s="20" t="n">
        <v>20027</v>
      </c>
    </row>
    <row r="4958" ht="16.5" customHeight="1" s="17">
      <c r="A4958" s="20" t="inlineStr">
        <is>
          <t>디스커버리 배너_승무원,할인_리마케팅</t>
        </is>
      </c>
      <c r="B4958" s="16" t="n">
        <v>44272</v>
      </c>
      <c r="C4958" s="20" t="inlineStr">
        <is>
          <t>수</t>
        </is>
      </c>
      <c r="D4958" s="20" t="inlineStr">
        <is>
          <t>유튜브 광고</t>
        </is>
      </c>
      <c r="E4958" s="20" t="inlineStr">
        <is>
          <t>고체향수</t>
        </is>
      </c>
      <c r="K4958" s="20" t="n">
        <v>424291</v>
      </c>
    </row>
    <row r="4959" ht="16.5" customHeight="1" s="17">
      <c r="A4959" s="20" t="inlineStr">
        <is>
          <t>동영상캠페인_승무원_써니스카이</t>
        </is>
      </c>
      <c r="B4959" s="16" t="n">
        <v>44272</v>
      </c>
      <c r="C4959" s="20" t="inlineStr">
        <is>
          <t>수</t>
        </is>
      </c>
      <c r="D4959" s="20" t="inlineStr">
        <is>
          <t>유튜브 광고</t>
        </is>
      </c>
      <c r="E4959" s="20" t="inlineStr">
        <is>
          <t>고체향수</t>
        </is>
      </c>
      <c r="K4959" s="20" t="n">
        <v>507919</v>
      </c>
    </row>
    <row r="4960" ht="16.5" customHeight="1" s="17">
      <c r="A4960" s="20" t="inlineStr">
        <is>
          <t>동영상캠페인_필라테스_자기관리(타겟 cpa)</t>
        </is>
      </c>
      <c r="B4960" s="16" t="n">
        <v>44272</v>
      </c>
      <c r="C4960" s="20" t="inlineStr">
        <is>
          <t>수</t>
        </is>
      </c>
      <c r="D4960" s="20" t="inlineStr">
        <is>
          <t>유튜브 광고</t>
        </is>
      </c>
      <c r="E4960" s="20" t="inlineStr">
        <is>
          <t>고체향수</t>
        </is>
      </c>
      <c r="K4960" s="20" t="n">
        <v>355925</v>
      </c>
    </row>
    <row r="4961" ht="16.5" customHeight="1" s="17">
      <c r="A4961" s="20" t="inlineStr">
        <is>
          <t>동영상캠페인_승무원_비누향 나는 승무원에게(cpa)</t>
        </is>
      </c>
      <c r="B4961" s="16" t="n">
        <v>44272</v>
      </c>
      <c r="C4961" s="20" t="inlineStr">
        <is>
          <t>수</t>
        </is>
      </c>
      <c r="D4961" s="20" t="inlineStr">
        <is>
          <t>유튜브 광고</t>
        </is>
      </c>
      <c r="E4961" s="20" t="inlineStr">
        <is>
          <t>고체향수</t>
        </is>
      </c>
      <c r="K4961" s="20" t="n">
        <v>9705</v>
      </c>
    </row>
    <row r="4962" ht="16.5" customHeight="1" s="17">
      <c r="A4962" s="20" t="inlineStr">
        <is>
          <t>동영상캠페인_유즈모먼트_2차_30대 여성 회사원(cpa)</t>
        </is>
      </c>
      <c r="B4962" s="16" t="n">
        <v>44272</v>
      </c>
      <c r="C4962" s="20" t="inlineStr">
        <is>
          <t>수</t>
        </is>
      </c>
      <c r="D4962" s="20" t="inlineStr">
        <is>
          <t>유튜브 광고</t>
        </is>
      </c>
      <c r="E4962" s="20" t="inlineStr">
        <is>
          <t>고체향수</t>
        </is>
      </c>
      <c r="K4962" s="20" t="n">
        <v>79192</v>
      </c>
    </row>
    <row r="4963" ht="16.5" customHeight="1" s="17">
      <c r="A4963" s="20" t="inlineStr">
        <is>
          <t>동영상캠페인_유즈모먼트_조향사 친구(cpa)</t>
        </is>
      </c>
      <c r="B4963" s="16" t="n">
        <v>44272</v>
      </c>
      <c r="C4963" s="20" t="inlineStr">
        <is>
          <t>수</t>
        </is>
      </c>
      <c r="D4963" s="20" t="inlineStr">
        <is>
          <t>유튜브 광고</t>
        </is>
      </c>
      <c r="E4963" s="20" t="inlineStr">
        <is>
          <t>고체향수</t>
        </is>
      </c>
      <c r="K4963" s="20" t="n">
        <v>106477</v>
      </c>
    </row>
    <row r="4964" ht="16.5" customHeight="1" s="17">
      <c r="A4964" s="20" t="inlineStr">
        <is>
          <t>동영상 캠페인_유튜버 수지큐 2차활용</t>
        </is>
      </c>
      <c r="B4964" s="16" t="n">
        <v>44272</v>
      </c>
      <c r="C4964" s="20" t="inlineStr">
        <is>
          <t>수</t>
        </is>
      </c>
      <c r="D4964" s="20" t="inlineStr">
        <is>
          <t>유튜브 광고</t>
        </is>
      </c>
      <c r="E4964" s="20" t="inlineStr">
        <is>
          <t>고체향수</t>
        </is>
      </c>
      <c r="K4964" s="20" t="n">
        <v>101483</v>
      </c>
    </row>
    <row r="4965" ht="16.5" customHeight="1" s="17">
      <c r="A4965" s="20" t="inlineStr">
        <is>
          <t>메인키워드</t>
        </is>
      </c>
      <c r="B4965" s="16" t="n">
        <v>44272</v>
      </c>
      <c r="C4965" s="20" t="inlineStr">
        <is>
          <t>수</t>
        </is>
      </c>
      <c r="D4965" s="20" t="inlineStr">
        <is>
          <t>네이버 쇼핑검색</t>
        </is>
      </c>
      <c r="E4965" s="20" t="inlineStr">
        <is>
          <t>고체향수</t>
        </is>
      </c>
      <c r="K4965" s="20" t="n">
        <v>18950</v>
      </c>
    </row>
    <row r="4966" ht="16.5" customHeight="1" s="17">
      <c r="A4966" s="20" t="inlineStr">
        <is>
          <t>세부키워드1</t>
        </is>
      </c>
      <c r="B4966" s="16" t="n">
        <v>44272</v>
      </c>
      <c r="C4966" s="20" t="inlineStr">
        <is>
          <t>수</t>
        </is>
      </c>
      <c r="D4966" s="20" t="inlineStr">
        <is>
          <t>네이버 쇼핑검색</t>
        </is>
      </c>
      <c r="E4966" s="20" t="inlineStr">
        <is>
          <t>고체향수</t>
        </is>
      </c>
      <c r="K4966" s="20" t="n">
        <v>42050</v>
      </c>
    </row>
    <row r="4967" ht="16.5" customHeight="1" s="17">
      <c r="A4967" s="20" t="inlineStr">
        <is>
          <t>세부키워드2</t>
        </is>
      </c>
      <c r="B4967" s="16" t="n">
        <v>44272</v>
      </c>
      <c r="C4967" s="20" t="inlineStr">
        <is>
          <t>수</t>
        </is>
      </c>
      <c r="D4967" s="20" t="inlineStr">
        <is>
          <t>네이버 쇼핑검색</t>
        </is>
      </c>
      <c r="E4967" s="20" t="inlineStr">
        <is>
          <t>고체향수</t>
        </is>
      </c>
      <c r="K4967" s="20" t="n">
        <v>9030</v>
      </c>
    </row>
    <row r="4968" ht="16.5" customHeight="1" s="17">
      <c r="A4968" s="20" t="inlineStr">
        <is>
          <t>세부키워드3</t>
        </is>
      </c>
      <c r="B4968" s="16" t="n">
        <v>44272</v>
      </c>
      <c r="C4968" s="20" t="inlineStr">
        <is>
          <t>수</t>
        </is>
      </c>
      <c r="D4968" s="20" t="inlineStr">
        <is>
          <t>네이버 쇼핑검색</t>
        </is>
      </c>
      <c r="E4968" s="20" t="inlineStr">
        <is>
          <t>고체향수</t>
        </is>
      </c>
      <c r="K4968" s="20" t="n">
        <v>16580</v>
      </c>
    </row>
    <row r="4969" ht="16.5" customHeight="1" s="17">
      <c r="A4969" s="20" t="inlineStr">
        <is>
          <t>모바일 브검</t>
        </is>
      </c>
      <c r="B4969" s="16" t="n">
        <v>44272</v>
      </c>
      <c r="C4969" s="20" t="inlineStr">
        <is>
          <t>수</t>
        </is>
      </c>
      <c r="D4969" s="20" t="inlineStr">
        <is>
          <t>네이버 브랜드검색</t>
        </is>
      </c>
      <c r="E4969" s="20" t="inlineStr">
        <is>
          <t>브랜드</t>
        </is>
      </c>
      <c r="K4969" s="20" t="n">
        <v>0</v>
      </c>
    </row>
    <row r="4970" ht="16.5" customHeight="1" s="17">
      <c r="A4970" s="20" t="inlineStr">
        <is>
          <t>PC 브랜드검색</t>
        </is>
      </c>
      <c r="B4970" s="16" t="n">
        <v>44272</v>
      </c>
      <c r="C4970" s="20" t="inlineStr">
        <is>
          <t>수</t>
        </is>
      </c>
      <c r="K4970" s="20" t="n">
        <v>0</v>
      </c>
    </row>
    <row r="4971" ht="16.5" customHeight="1" s="17">
      <c r="B4971" s="16" t="n">
        <v>44272</v>
      </c>
      <c r="C4971" s="20" t="inlineStr">
        <is>
          <t>수</t>
        </is>
      </c>
      <c r="E4971" s="20" t="inlineStr">
        <is>
          <t>고체향수</t>
        </is>
      </c>
      <c r="F4971" s="20" t="inlineStr">
        <is>
          <t>W컨셉</t>
        </is>
      </c>
      <c r="G4971" s="20" t="inlineStr">
        <is>
          <t>솔리드퍼퓸 이그나이트/스테이포에버 30ml (2종 택1)&lt;옵션1&gt;002 STAY FOREVER</t>
        </is>
      </c>
      <c r="H4971" s="20" t="n">
        <v>3</v>
      </c>
      <c r="I4971" s="20" t="inlineStr">
        <is>
          <t>스테이포에버</t>
        </is>
      </c>
      <c r="J4971" s="20" t="inlineStr">
        <is>
          <t>210207</t>
        </is>
      </c>
      <c r="L4971" s="20" t="n">
        <v>102000</v>
      </c>
      <c r="M4971" s="20" t="n">
        <v>71400</v>
      </c>
      <c r="N4971" s="20" t="n">
        <v>7776</v>
      </c>
      <c r="O4971" s="20" t="inlineStr">
        <is>
          <t>W컨셉고체향수솔리드퍼퓸 이그나이트/스테이포에버 30ml (2종 택1)&lt;옵션1&gt;002 STAY FOREVER210207</t>
        </is>
      </c>
    </row>
    <row r="4972" ht="16.5" customHeight="1" s="17">
      <c r="B4972" s="16" t="n">
        <v>44272</v>
      </c>
      <c r="C4972" s="20" t="inlineStr">
        <is>
          <t>수</t>
        </is>
      </c>
      <c r="E4972" s="20" t="inlineStr">
        <is>
          <t>고체향수</t>
        </is>
      </c>
      <c r="F4972" s="20" t="inlineStr">
        <is>
          <t>스마트스토어</t>
        </is>
      </c>
      <c r="G4972" s="20" t="inlineStr">
        <is>
          <t>유즈 고체향수 세트(유즈 스테이포에버, 유즈 이그나이트)고체향수: 스테이포에버 1개</t>
        </is>
      </c>
      <c r="H4972" s="20" t="n">
        <v>1</v>
      </c>
      <c r="I4972" s="20" t="inlineStr">
        <is>
          <t>스테이포에버</t>
        </is>
      </c>
      <c r="J4972" s="20" t="inlineStr">
        <is>
          <t>210207</t>
        </is>
      </c>
      <c r="L4972" s="20" t="n">
        <v>34000</v>
      </c>
      <c r="M4972" s="20" t="n">
        <v>33320</v>
      </c>
      <c r="N4972" s="20" t="n">
        <v>2592</v>
      </c>
      <c r="O4972" s="20" t="inlineStr">
        <is>
          <t>스마트스토어고체향수유즈 고체향수 세트(유즈 스테이포에버, 유즈 이그나이트)고체향수: 스테이포에버 1개210207</t>
        </is>
      </c>
    </row>
    <row r="4973" ht="16.5" customHeight="1" s="17">
      <c r="B4973" s="16" t="n">
        <v>44272</v>
      </c>
      <c r="C4973" s="20" t="inlineStr">
        <is>
          <t>수</t>
        </is>
      </c>
      <c r="E4973" s="20" t="inlineStr">
        <is>
          <t>고체향수</t>
        </is>
      </c>
      <c r="F4973" s="20" t="inlineStr">
        <is>
          <t>스마트스토어</t>
        </is>
      </c>
      <c r="G4973" s="20" t="inlineStr">
        <is>
          <t>유즈 고체향수 세트(유즈 스테이포에버, 유즈 이그나이트)고체향수: 스테이포에버 1개 + 이그나이트 1개</t>
        </is>
      </c>
      <c r="H4973" s="20" t="n">
        <v>2</v>
      </c>
      <c r="I4973" s="20" t="inlineStr">
        <is>
          <t>이그나이트 + 스테이포에버</t>
        </is>
      </c>
      <c r="J4973" s="20" t="inlineStr">
        <is>
          <t>210207</t>
        </is>
      </c>
      <c r="L4973" s="20" t="n">
        <v>117600</v>
      </c>
      <c r="M4973" s="20" t="n">
        <v>110720.4</v>
      </c>
      <c r="N4973" s="20" t="n">
        <v>10690</v>
      </c>
      <c r="O4973" s="20" t="inlineStr">
        <is>
          <t>스마트스토어고체향수유즈 고체향수 세트(유즈 스테이포에버, 유즈 이그나이트)고체향수: 스테이포에버 1개 + 이그나이트 1개210207</t>
        </is>
      </c>
    </row>
    <row r="4974" ht="16.5" customHeight="1" s="17">
      <c r="B4974" s="16" t="n">
        <v>44272</v>
      </c>
      <c r="C4974" s="20" t="inlineStr">
        <is>
          <t>수</t>
        </is>
      </c>
      <c r="E4974" s="20" t="inlineStr">
        <is>
          <t>고체향수</t>
        </is>
      </c>
      <c r="F4974" s="20" t="inlineStr">
        <is>
          <t>스마트스토어</t>
        </is>
      </c>
      <c r="G4974" s="20" t="inlineStr">
        <is>
          <t>유즈 고체향수 세트(유즈 스테이포에버, 유즈 이그나이트)고체향수: 스테이포에버 2개</t>
        </is>
      </c>
      <c r="H4974" s="20" t="n">
        <v>3</v>
      </c>
      <c r="I4974" s="20" t="inlineStr">
        <is>
          <t>스테이포에버 2set</t>
        </is>
      </c>
      <c r="J4974" s="20" t="inlineStr">
        <is>
          <t>210207</t>
        </is>
      </c>
      <c r="L4974" s="20" t="n">
        <v>176400</v>
      </c>
      <c r="M4974" s="20" t="n">
        <v>172872</v>
      </c>
      <c r="N4974" s="20" t="n">
        <v>15552</v>
      </c>
      <c r="O4974" s="20" t="inlineStr">
        <is>
          <t>스마트스토어고체향수유즈 고체향수 세트(유즈 스테이포에버, 유즈 이그나이트)고체향수: 스테이포에버 2개210207</t>
        </is>
      </c>
    </row>
    <row r="4975" ht="16.5" customHeight="1" s="17">
      <c r="B4975" s="16" t="n">
        <v>44272</v>
      </c>
      <c r="C4975" s="20" t="inlineStr">
        <is>
          <t>수</t>
        </is>
      </c>
      <c r="E4975" s="20" t="inlineStr">
        <is>
          <t>고체향수</t>
        </is>
      </c>
      <c r="F4975" s="20" t="inlineStr">
        <is>
          <t>스마트스토어</t>
        </is>
      </c>
      <c r="G4975" s="20" t="inlineStr">
        <is>
          <t>유즈 고체향수 스테이포에버 002고체향수: 스테이포에버 1개</t>
        </is>
      </c>
      <c r="H4975" s="20" t="n">
        <v>22</v>
      </c>
      <c r="I4975" s="20" t="inlineStr">
        <is>
          <t>스테이포에버</t>
        </is>
      </c>
      <c r="J4975" s="20" t="inlineStr">
        <is>
          <t>210207</t>
        </is>
      </c>
      <c r="L4975" s="20" t="n">
        <v>748000</v>
      </c>
      <c r="M4975" s="20" t="n">
        <v>733040</v>
      </c>
      <c r="N4975" s="20" t="n">
        <v>57024</v>
      </c>
      <c r="O4975" s="20" t="inlineStr">
        <is>
          <t>스마트스토어고체향수유즈 고체향수 스테이포에버 002고체향수: 스테이포에버 1개210207</t>
        </is>
      </c>
    </row>
    <row r="4976" ht="16.5" customHeight="1" s="17">
      <c r="B4976" s="16" t="n">
        <v>44272</v>
      </c>
      <c r="C4976" s="20" t="inlineStr">
        <is>
          <t>수</t>
        </is>
      </c>
      <c r="E4976" s="20" t="inlineStr">
        <is>
          <t>고체향수</t>
        </is>
      </c>
      <c r="F4976" s="20" t="inlineStr">
        <is>
          <t>카페24</t>
        </is>
      </c>
      <c r="G4976" s="20" t="inlineStr">
        <is>
          <t>솔리드퍼퓸 세트향=이그나이트 001 SOLID PERFUME, 세트 선택=1개</t>
        </is>
      </c>
      <c r="H4976" s="20" t="n">
        <v>1</v>
      </c>
      <c r="I4976" s="20" t="inlineStr">
        <is>
          <t>이그나이트</t>
        </is>
      </c>
      <c r="J4976" s="20" t="inlineStr">
        <is>
          <t>210207</t>
        </is>
      </c>
      <c r="L4976" s="20" t="n">
        <v>34000</v>
      </c>
      <c r="M4976" s="20" t="n">
        <v>32011</v>
      </c>
      <c r="N4976" s="20" t="n">
        <v>2753</v>
      </c>
      <c r="O4976" s="20" t="inlineStr">
        <is>
          <t>카페24고체향수솔리드퍼퓸 세트향=이그나이트 001 SOLID PERFUME, 세트 선택=1개210207</t>
        </is>
      </c>
    </row>
    <row r="4977" ht="16.5" customHeight="1" s="17">
      <c r="B4977" s="16" t="n">
        <v>44272</v>
      </c>
      <c r="C4977" s="20" t="inlineStr">
        <is>
          <t>수</t>
        </is>
      </c>
      <c r="E4977" s="20" t="inlineStr">
        <is>
          <t>고체향수</t>
        </is>
      </c>
      <c r="F4977" s="20" t="inlineStr">
        <is>
          <t>카페24</t>
        </is>
      </c>
      <c r="G4977" s="20" t="inlineStr">
        <is>
          <t>솔리드퍼퓸 세트향=스테이포에버 002 SOLID PERFUME, 세트 선택=1개</t>
        </is>
      </c>
      <c r="H4977" s="20" t="n">
        <v>5</v>
      </c>
      <c r="I4977" s="20" t="inlineStr">
        <is>
          <t>스테이포에버</t>
        </is>
      </c>
      <c r="J4977" s="20" t="inlineStr">
        <is>
          <t>210207</t>
        </is>
      </c>
      <c r="L4977" s="20" t="n">
        <v>170000</v>
      </c>
      <c r="M4977" s="20" t="n">
        <v>160055</v>
      </c>
      <c r="N4977" s="20" t="n">
        <v>12960</v>
      </c>
      <c r="O4977" s="20" t="inlineStr">
        <is>
          <t>카페24고체향수솔리드퍼퓸 세트향=스테이포에버 002 SOLID PERFUME, 세트 선택=1개210207</t>
        </is>
      </c>
    </row>
    <row r="4978" ht="16.5" customHeight="1" s="17">
      <c r="B4978" s="16" t="n">
        <v>44272</v>
      </c>
      <c r="C4978" s="20" t="inlineStr">
        <is>
          <t>수</t>
        </is>
      </c>
      <c r="E4978" s="20" t="inlineStr">
        <is>
          <t>고체향수</t>
        </is>
      </c>
      <c r="F4978" s="20" t="inlineStr">
        <is>
          <t>카페24</t>
        </is>
      </c>
      <c r="G4978" s="20" t="inlineStr">
        <is>
          <t>솔리드퍼퓸 세트향=스테이포에버 002 SOLID PERFUME, 세트 선택=best 2개 (28% 할인)</t>
        </is>
      </c>
      <c r="H4978" s="20" t="n">
        <v>3</v>
      </c>
      <c r="I4978" s="20" t="inlineStr">
        <is>
          <t>스테이포에버 2set</t>
        </is>
      </c>
      <c r="J4978" s="20" t="inlineStr">
        <is>
          <t>210207</t>
        </is>
      </c>
      <c r="L4978" s="20" t="n">
        <v>176400</v>
      </c>
      <c r="M4978" s="20" t="n">
        <v>166080.6</v>
      </c>
      <c r="N4978" s="20" t="n">
        <v>15552</v>
      </c>
      <c r="O4978" s="20" t="inlineStr">
        <is>
          <t>카페24고체향수솔리드퍼퓸 세트향=스테이포에버 002 SOLID PERFUME, 세트 선택=best 2개 (28% 할인)210207</t>
        </is>
      </c>
    </row>
    <row r="4979" ht="16.5" customHeight="1" s="17">
      <c r="B4979" s="16" t="n">
        <v>44272</v>
      </c>
      <c r="C4979" s="20" t="inlineStr">
        <is>
          <t>수</t>
        </is>
      </c>
      <c r="E4979" s="20" t="inlineStr">
        <is>
          <t>고체향수</t>
        </is>
      </c>
      <c r="F4979" s="20" t="inlineStr">
        <is>
          <t>카페24</t>
        </is>
      </c>
      <c r="G4979" s="20" t="inlineStr">
        <is>
          <t>솔리드퍼퓸 세트향=커플세트(이그나이트 + 스테이포에버), 세트 선택=1 SET</t>
        </is>
      </c>
      <c r="H4979" s="20" t="n">
        <v>15</v>
      </c>
      <c r="I4979" s="20" t="inlineStr">
        <is>
          <t>이그나이트 + 스테이포에버</t>
        </is>
      </c>
      <c r="J4979" s="20" t="inlineStr">
        <is>
          <t>210207</t>
        </is>
      </c>
      <c r="L4979" s="20" t="n">
        <v>882000</v>
      </c>
      <c r="M4979" s="20" t="n">
        <v>830403</v>
      </c>
      <c r="N4979" s="20" t="n">
        <v>80175</v>
      </c>
      <c r="O4979" s="20" t="inlineStr">
        <is>
          <t>카페24고체향수솔리드퍼퓸 세트향=커플세트(이그나이트 + 스테이포에버), 세트 선택=1 SET210207</t>
        </is>
      </c>
    </row>
    <row r="4980" ht="16.5" customHeight="1" s="17">
      <c r="B4980" s="16" t="n">
        <v>44272</v>
      </c>
      <c r="C4980" s="20" t="inlineStr">
        <is>
          <t>수</t>
        </is>
      </c>
      <c r="E4980" s="20" t="inlineStr">
        <is>
          <t>고체향수</t>
        </is>
      </c>
      <c r="F4980" s="20" t="inlineStr">
        <is>
          <t>카페24</t>
        </is>
      </c>
      <c r="G4980" s="20" t="inlineStr">
        <is>
          <t>솔리드퍼퓸 세트향=커플세트(이그나이트 + 스테이포에버), 세트 선택=2 SET (42% 할인)</t>
        </is>
      </c>
      <c r="H4980" s="20" t="n">
        <v>1</v>
      </c>
      <c r="I4980" s="20" t="inlineStr">
        <is>
          <t>이그나이트 + 스테이포에버</t>
        </is>
      </c>
      <c r="J4980" s="20" t="inlineStr">
        <is>
          <t>210207</t>
        </is>
      </c>
      <c r="L4980" s="20" t="n">
        <v>58800</v>
      </c>
      <c r="M4980" s="20" t="n">
        <v>55360.2</v>
      </c>
      <c r="N4980" s="20" t="n">
        <v>5345</v>
      </c>
      <c r="O4980" s="20" t="inlineStr">
        <is>
          <t>카페24고체향수솔리드퍼퓸 세트향=커플세트(이그나이트 + 스테이포에버), 세트 선택=2 SET (42% 할인)210207</t>
        </is>
      </c>
    </row>
    <row r="4981" ht="16.5" customHeight="1" s="17">
      <c r="B4981" s="16" t="n">
        <v>44272</v>
      </c>
      <c r="C4981" s="20" t="inlineStr">
        <is>
          <t>수</t>
        </is>
      </c>
      <c r="E4981" s="20" t="inlineStr">
        <is>
          <t>고체향수</t>
        </is>
      </c>
      <c r="F4981" s="20" t="inlineStr">
        <is>
          <t>카페24</t>
        </is>
      </c>
      <c r="G4981" s="20" t="inlineStr">
        <is>
          <t>솔리드퍼퓸 스테이포에버 002제품선택=스테이포에버 1개</t>
        </is>
      </c>
      <c r="H4981" s="20" t="n">
        <v>176</v>
      </c>
      <c r="I4981" s="20" t="inlineStr">
        <is>
          <t>스테이포에버</t>
        </is>
      </c>
      <c r="J4981" s="20" t="inlineStr">
        <is>
          <t>210207</t>
        </is>
      </c>
      <c r="L4981" s="20" t="n">
        <v>5984000</v>
      </c>
      <c r="M4981" s="20" t="n">
        <v>5633936</v>
      </c>
      <c r="N4981" s="20" t="n">
        <v>456192</v>
      </c>
      <c r="O4981" s="20" t="inlineStr">
        <is>
          <t>카페24고체향수솔리드퍼퓸 스테이포에버 002제품선택=스테이포에버 1개210207</t>
        </is>
      </c>
    </row>
    <row r="4982" ht="16.5" customHeight="1" s="17">
      <c r="B4982" s="16" t="n">
        <v>44272</v>
      </c>
      <c r="C4982" s="20" t="inlineStr">
        <is>
          <t>수</t>
        </is>
      </c>
      <c r="E4982" s="20" t="inlineStr">
        <is>
          <t>고체향수</t>
        </is>
      </c>
      <c r="F4982" s="20" t="inlineStr">
        <is>
          <t>카페24</t>
        </is>
      </c>
      <c r="G4982" s="20" t="inlineStr">
        <is>
          <t>솔리드퍼퓸 스테이포에버 002제품선택=best스테이포에버 2개[28% 할인]</t>
        </is>
      </c>
      <c r="H4982" s="20" t="n">
        <v>83</v>
      </c>
      <c r="I4982" s="20" t="inlineStr">
        <is>
          <t>스테이포에버 2set</t>
        </is>
      </c>
      <c r="J4982" s="20" t="inlineStr">
        <is>
          <t>210207</t>
        </is>
      </c>
      <c r="L4982" s="20" t="n">
        <v>4880400</v>
      </c>
      <c r="M4982" s="20" t="n">
        <v>4594896.6</v>
      </c>
      <c r="N4982" s="20" t="n">
        <v>430272</v>
      </c>
      <c r="O4982" s="20" t="inlineStr">
        <is>
          <t>카페24고체향수솔리드퍼퓸 스테이포에버 002제품선택=best스테이포에버 2개[28% 할인]210207</t>
        </is>
      </c>
    </row>
    <row r="4983" ht="16.5" customHeight="1" s="17">
      <c r="B4983" s="16" t="n">
        <v>44272</v>
      </c>
      <c r="C4983" s="20" t="inlineStr">
        <is>
          <t>수</t>
        </is>
      </c>
      <c r="E4983" s="20" t="inlineStr">
        <is>
          <t>고체향수</t>
        </is>
      </c>
      <c r="F4983" s="20" t="inlineStr">
        <is>
          <t>카페24</t>
        </is>
      </c>
      <c r="G4983" s="20" t="inlineStr">
        <is>
          <t>솔리드퍼퓸 스테이포에버 002제품선택=커플추천스테이포에버 + 이그나이트 세트</t>
        </is>
      </c>
      <c r="H4983" s="20" t="n">
        <v>13</v>
      </c>
      <c r="I4983" s="20" t="inlineStr">
        <is>
          <t>이그나이트 + 스테이포에버</t>
        </is>
      </c>
      <c r="J4983" s="20" t="inlineStr">
        <is>
          <t>210207</t>
        </is>
      </c>
      <c r="L4983" s="20" t="n">
        <v>764400</v>
      </c>
      <c r="M4983" s="20" t="n">
        <v>719682.6</v>
      </c>
      <c r="N4983" s="20" t="n">
        <v>69485</v>
      </c>
      <c r="O4983" s="20" t="inlineStr">
        <is>
          <t>카페24고체향수솔리드퍼퓸 스테이포에버 002제품선택=커플추천스테이포에버 + 이그나이트 세트210207</t>
        </is>
      </c>
    </row>
    <row r="4984" ht="16.5" customHeight="1" s="17">
      <c r="B4984" s="16" t="n">
        <v>44272</v>
      </c>
      <c r="C4984" s="20" t="inlineStr">
        <is>
          <t>수</t>
        </is>
      </c>
      <c r="E4984" s="20" t="inlineStr">
        <is>
          <t>쇼핑백</t>
        </is>
      </c>
      <c r="F4984" s="20" t="inlineStr">
        <is>
          <t>카페24</t>
        </is>
      </c>
      <c r="G4984" s="20" t="inlineStr">
        <is>
          <t>솔리드퍼퓸 스테이포에버 002쇼핑백=선물용 쇼핑백</t>
        </is>
      </c>
      <c r="H4984" s="20" t="n">
        <v>4</v>
      </c>
      <c r="I4984" s="20" t="inlineStr">
        <is>
          <t>쇼핑백</t>
        </is>
      </c>
      <c r="J4984" s="20" t="inlineStr">
        <is>
          <t>210207</t>
        </is>
      </c>
      <c r="L4984" s="20" t="n">
        <v>8000</v>
      </c>
      <c r="M4984" s="20" t="n">
        <v>7532</v>
      </c>
      <c r="N4984" s="20" t="n">
        <v>3320</v>
      </c>
      <c r="O4984" s="20" t="inlineStr">
        <is>
          <t>카페24쇼핑백솔리드퍼퓸 스테이포에버 002쇼핑백=선물용 쇼핑백210207</t>
        </is>
      </c>
    </row>
    <row r="4985" ht="16.5" customHeight="1" s="17">
      <c r="B4985" s="16" t="n">
        <v>44272</v>
      </c>
      <c r="C4985" s="20" t="inlineStr">
        <is>
          <t>수</t>
        </is>
      </c>
      <c r="E4985" s="20" t="inlineStr">
        <is>
          <t>고체향수</t>
        </is>
      </c>
      <c r="F4985" s="20" t="inlineStr">
        <is>
          <t>카페24</t>
        </is>
      </c>
      <c r="G4985" s="20" t="inlineStr">
        <is>
          <t>솔리드퍼퓸 이그나이트 001제품선택=이그나이트 솔리드퍼퓸 - 30ml</t>
        </is>
      </c>
      <c r="H4985" s="20" t="n">
        <v>5</v>
      </c>
      <c r="I4985" s="20" t="inlineStr">
        <is>
          <t>이그나이트</t>
        </is>
      </c>
      <c r="J4985" s="20" t="inlineStr">
        <is>
          <t>210207</t>
        </is>
      </c>
      <c r="L4985" s="20" t="n">
        <v>170000</v>
      </c>
      <c r="M4985" s="20" t="n">
        <v>160055</v>
      </c>
      <c r="N4985" s="20" t="n">
        <v>13765</v>
      </c>
      <c r="O4985" s="20" t="inlineStr">
        <is>
          <t>카페24고체향수솔리드퍼퓸 이그나이트 001제품선택=이그나이트 솔리드퍼퓸 - 30ml210207</t>
        </is>
      </c>
    </row>
    <row r="4986" ht="16.5" customHeight="1" s="17">
      <c r="B4986" s="16" t="n">
        <v>44272</v>
      </c>
      <c r="C4986" s="20" t="inlineStr">
        <is>
          <t>수</t>
        </is>
      </c>
      <c r="E4986" s="20" t="inlineStr">
        <is>
          <t>고체향수</t>
        </is>
      </c>
      <c r="F4986" s="20" t="inlineStr">
        <is>
          <t>카페24</t>
        </is>
      </c>
      <c r="G4986" s="20" t="inlineStr">
        <is>
          <t>유즈 솔리드퍼퓸 세트향=이그나이트 001 SOLID PERFUME, 세트 선택=1개</t>
        </is>
      </c>
      <c r="H4986" s="20" t="n">
        <v>4</v>
      </c>
      <c r="I4986" s="20" t="inlineStr">
        <is>
          <t>이그나이트</t>
        </is>
      </c>
      <c r="J4986" s="20" t="inlineStr">
        <is>
          <t>210207</t>
        </is>
      </c>
      <c r="L4986" s="20" t="n">
        <v>136000</v>
      </c>
      <c r="M4986" s="20" t="n">
        <v>128044</v>
      </c>
      <c r="N4986" s="20" t="n">
        <v>11012</v>
      </c>
      <c r="O4986" s="20" t="inlineStr">
        <is>
          <t>카페24고체향수유즈 솔리드퍼퓸 세트향=이그나이트 001 SOLID PERFUME, 세트 선택=1개210207</t>
        </is>
      </c>
    </row>
    <row r="4987" ht="16.5" customHeight="1" s="17">
      <c r="B4987" s="16" t="n">
        <v>44272</v>
      </c>
      <c r="C4987" s="20" t="inlineStr">
        <is>
          <t>수</t>
        </is>
      </c>
      <c r="E4987" s="20" t="inlineStr">
        <is>
          <t>고체향수</t>
        </is>
      </c>
      <c r="F4987" s="20" t="inlineStr">
        <is>
          <t>카페24</t>
        </is>
      </c>
      <c r="G4987" s="20" t="inlineStr">
        <is>
          <t>유즈 솔리드퍼퓸 세트향=이그나이트 001 SOLID PERFUME, 세트 선택=best 2개 (28% 할인)</t>
        </is>
      </c>
      <c r="H4987" s="20" t="n">
        <v>1</v>
      </c>
      <c r="I4987" s="20" t="inlineStr">
        <is>
          <t>이그나이트 2set</t>
        </is>
      </c>
      <c r="J4987" s="20" t="inlineStr">
        <is>
          <t>210207</t>
        </is>
      </c>
      <c r="L4987" s="20" t="n">
        <v>58800</v>
      </c>
      <c r="M4987" s="20" t="n">
        <v>55360.2</v>
      </c>
      <c r="N4987" s="20" t="n">
        <v>5506</v>
      </c>
      <c r="O4987" s="20" t="inlineStr">
        <is>
          <t>카페24고체향수유즈 솔리드퍼퓸 세트향=이그나이트 001 SOLID PERFUME, 세트 선택=best 2개 (28% 할인)210207</t>
        </is>
      </c>
    </row>
    <row r="4988" ht="16.5" customHeight="1" s="17">
      <c r="B4988" s="16" t="n">
        <v>44272</v>
      </c>
      <c r="C4988" s="20" t="inlineStr">
        <is>
          <t>수</t>
        </is>
      </c>
      <c r="E4988" s="20" t="inlineStr">
        <is>
          <t>고체향수</t>
        </is>
      </c>
      <c r="F4988" s="20" t="inlineStr">
        <is>
          <t>카페24</t>
        </is>
      </c>
      <c r="G4988" s="20" t="inlineStr">
        <is>
          <t>유즈 솔리드퍼퓸 세트향=스테이포에버 002 SOLID PERFUME, 세트 선택=1개</t>
        </is>
      </c>
      <c r="H4988" s="20" t="n">
        <v>20</v>
      </c>
      <c r="I4988" s="20" t="inlineStr">
        <is>
          <t>스테이포에버</t>
        </is>
      </c>
      <c r="J4988" s="20" t="inlineStr">
        <is>
          <t>210207</t>
        </is>
      </c>
      <c r="L4988" s="20" t="n">
        <v>680000</v>
      </c>
      <c r="M4988" s="20" t="n">
        <v>640220</v>
      </c>
      <c r="N4988" s="20" t="n">
        <v>51840</v>
      </c>
      <c r="O4988" s="20" t="inlineStr">
        <is>
          <t>카페24고체향수유즈 솔리드퍼퓸 세트향=스테이포에버 002 SOLID PERFUME, 세트 선택=1개210207</t>
        </is>
      </c>
    </row>
    <row r="4989" ht="16.5" customHeight="1" s="17">
      <c r="B4989" s="16" t="n">
        <v>44272</v>
      </c>
      <c r="C4989" s="20" t="inlineStr">
        <is>
          <t>수</t>
        </is>
      </c>
      <c r="E4989" s="20" t="inlineStr">
        <is>
          <t>고체향수</t>
        </is>
      </c>
      <c r="F4989" s="20" t="inlineStr">
        <is>
          <t>카페24</t>
        </is>
      </c>
      <c r="G4989" s="20" t="inlineStr">
        <is>
          <t>유즈 솔리드퍼퓸 세트향=스테이포에버 002 SOLID PERFUME, 세트 선택=best 2개 (28% 할인)</t>
        </is>
      </c>
      <c r="H4989" s="20" t="n">
        <v>18</v>
      </c>
      <c r="I4989" s="20" t="inlineStr">
        <is>
          <t>스테이포에버 2set</t>
        </is>
      </c>
      <c r="J4989" s="20" t="inlineStr">
        <is>
          <t>210207</t>
        </is>
      </c>
      <c r="L4989" s="20" t="n">
        <v>1058400</v>
      </c>
      <c r="M4989" s="20" t="n">
        <v>996483.6</v>
      </c>
      <c r="N4989" s="20" t="n">
        <v>93312</v>
      </c>
      <c r="O4989" s="20" t="inlineStr">
        <is>
          <t>카페24고체향수유즈 솔리드퍼퓸 세트향=스테이포에버 002 SOLID PERFUME, 세트 선택=best 2개 (28% 할인)210207</t>
        </is>
      </c>
    </row>
    <row r="4990" ht="16.5" customHeight="1" s="17">
      <c r="B4990" s="16" t="n">
        <v>44272</v>
      </c>
      <c r="C4990" s="20" t="inlineStr">
        <is>
          <t>수</t>
        </is>
      </c>
      <c r="E4990" s="20" t="inlineStr">
        <is>
          <t>고체향수</t>
        </is>
      </c>
      <c r="F4990" s="20" t="inlineStr">
        <is>
          <t>카페24</t>
        </is>
      </c>
      <c r="G4990" s="20" t="inlineStr">
        <is>
          <t>유즈 솔리드퍼퓸 세트향=커플세트(이그나이트 + 스테이포에버), 세트 선택=1 SET</t>
        </is>
      </c>
      <c r="H4990" s="20" t="n">
        <v>17</v>
      </c>
      <c r="I4990" s="20" t="inlineStr">
        <is>
          <t>이그나이트 + 스테이포에버</t>
        </is>
      </c>
      <c r="J4990" s="20" t="inlineStr">
        <is>
          <t>210207</t>
        </is>
      </c>
      <c r="L4990" s="20" t="n">
        <v>999600</v>
      </c>
      <c r="M4990" s="20" t="n">
        <v>941123.3999999999</v>
      </c>
      <c r="N4990" s="20" t="n">
        <v>90865</v>
      </c>
      <c r="O4990" s="20" t="inlineStr">
        <is>
          <t>카페24고체향수유즈 솔리드퍼퓸 세트향=커플세트(이그나이트 + 스테이포에버), 세트 선택=1 SET210207</t>
        </is>
      </c>
    </row>
    <row r="4991" ht="16.5" customHeight="1" s="17">
      <c r="B4991" s="16" t="n">
        <v>44272</v>
      </c>
      <c r="C4991" s="20" t="inlineStr">
        <is>
          <t>수</t>
        </is>
      </c>
      <c r="E4991" s="20" t="inlineStr">
        <is>
          <t>고체향수</t>
        </is>
      </c>
      <c r="F4991" s="20" t="inlineStr">
        <is>
          <t>카페24</t>
        </is>
      </c>
      <c r="G4991" s="20" t="inlineStr">
        <is>
          <t>유즈 솔리드퍼퓸 세트향=커플세트(이그나이트 + 스테이포에버), 세트 선택=2 SET (42% 할인)</t>
        </is>
      </c>
      <c r="H4991" s="20" t="n">
        <v>4</v>
      </c>
      <c r="I4991" s="20" t="inlineStr">
        <is>
          <t>이그나이트 + 스테이포에버 2set</t>
        </is>
      </c>
      <c r="J4991" s="20" t="inlineStr">
        <is>
          <t>210207</t>
        </is>
      </c>
      <c r="L4991" s="20" t="n">
        <v>379200</v>
      </c>
      <c r="M4991" s="20" t="n">
        <v>357016.8</v>
      </c>
      <c r="N4991" s="20" t="n">
        <v>42760</v>
      </c>
      <c r="O4991" s="20" t="inlineStr">
        <is>
          <t>카페24고체향수유즈 솔리드퍼퓸 세트향=커플세트(이그나이트 + 스테이포에버), 세트 선택=2 SET (42% 할인)210207</t>
        </is>
      </c>
    </row>
    <row r="4992" ht="16.5" customHeight="1" s="17">
      <c r="A4992" s="20" t="inlineStr">
        <is>
          <t>고체향수_전환추적</t>
        </is>
      </c>
      <c r="B4992" s="16" t="n">
        <v>44272</v>
      </c>
      <c r="C4992" s="20" t="inlineStr">
        <is>
          <t>수</t>
        </is>
      </c>
      <c r="D4992" s="20" t="inlineStr">
        <is>
          <t>네이버 배너</t>
        </is>
      </c>
      <c r="E4992" s="20" t="inlineStr">
        <is>
          <t>고체향수</t>
        </is>
      </c>
      <c r="K4992" s="20" t="n">
        <v>221441.8181818182</v>
      </c>
    </row>
    <row r="4993" ht="16.5" customHeight="1" s="17">
      <c r="A4993" s="20" t="inlineStr">
        <is>
          <t>고체향수</t>
        </is>
      </c>
      <c r="B4993" s="16" t="n">
        <v>44272</v>
      </c>
      <c r="C4993" s="20" t="inlineStr">
        <is>
          <t>수</t>
        </is>
      </c>
      <c r="D4993" s="20" t="inlineStr">
        <is>
          <t>네이버 배너</t>
        </is>
      </c>
      <c r="E4993" s="20" t="inlineStr">
        <is>
          <t>고체향수</t>
        </is>
      </c>
      <c r="K4993" s="20" t="n">
        <v>935346.3636363635</v>
      </c>
    </row>
    <row r="4994" ht="16.5" customHeight="1" s="17">
      <c r="A4994" s="20" t="inlineStr">
        <is>
          <t>[유튜버 수지큐]스테이포에버_카드뉴스</t>
        </is>
      </c>
      <c r="B4994" s="16" t="n">
        <v>44273</v>
      </c>
      <c r="C4994" s="20" t="inlineStr">
        <is>
          <t>목</t>
        </is>
      </c>
      <c r="D4994" s="20" t="inlineStr">
        <is>
          <t>페이스북/인스타그램</t>
        </is>
      </c>
      <c r="E4994" s="20" t="inlineStr">
        <is>
          <t>고체향수</t>
        </is>
      </c>
      <c r="K4994" s="20" t="n">
        <v>47104</v>
      </c>
    </row>
    <row r="4995" ht="16.5" customHeight="1" s="17">
      <c r="A4995" s="20" t="inlineStr">
        <is>
          <t>[유튜버 수지큐]스테이포에버_영상</t>
        </is>
      </c>
      <c r="B4995" s="16" t="n">
        <v>44273</v>
      </c>
      <c r="C4995" s="20" t="inlineStr">
        <is>
          <t>목</t>
        </is>
      </c>
      <c r="D4995" s="20" t="inlineStr">
        <is>
          <t>페이스북/인스타그램</t>
        </is>
      </c>
      <c r="E4995" s="20" t="inlineStr">
        <is>
          <t>고체향수</t>
        </is>
      </c>
      <c r="K4995" s="20" t="n">
        <v>22197</v>
      </c>
    </row>
    <row r="4996" ht="16.5" customHeight="1" s="17">
      <c r="A4996" s="20" t="inlineStr">
        <is>
          <t>[승무원]수지큐2차활용_스테이포에버_이미지</t>
        </is>
      </c>
      <c r="B4996" s="16" t="n">
        <v>44273</v>
      </c>
      <c r="C4996" s="20" t="inlineStr">
        <is>
          <t>목</t>
        </is>
      </c>
      <c r="D4996" s="20" t="inlineStr">
        <is>
          <t>페이스북/인스타그램</t>
        </is>
      </c>
      <c r="E4996" s="20" t="inlineStr">
        <is>
          <t>고체향수</t>
        </is>
      </c>
      <c r="K4996" s="20" t="n">
        <v>28590</v>
      </c>
    </row>
    <row r="4997" ht="16.5" customHeight="1" s="17">
      <c r="A4997" s="20" t="inlineStr">
        <is>
          <t>[다현 TEST] 스테이포에버_유즈모먼트</t>
        </is>
      </c>
      <c r="B4997" s="16" t="n">
        <v>44273</v>
      </c>
      <c r="C4997" s="20" t="inlineStr">
        <is>
          <t>목</t>
        </is>
      </c>
      <c r="D4997" s="20" t="inlineStr">
        <is>
          <t>페이스북/인스타그램</t>
        </is>
      </c>
      <c r="E4997" s="20" t="inlineStr">
        <is>
          <t>고체향수</t>
        </is>
      </c>
      <c r="K4997" s="20" t="n">
        <v>60175</v>
      </c>
    </row>
    <row r="4998" ht="16.5" customHeight="1" s="17">
      <c r="A4998" s="20" t="inlineStr">
        <is>
          <t>[성민 TEST] 스테이포에버_이미지</t>
        </is>
      </c>
      <c r="B4998" s="16" t="n">
        <v>44273</v>
      </c>
      <c r="C4998" s="20" t="inlineStr">
        <is>
          <t>목</t>
        </is>
      </c>
      <c r="D4998" s="20" t="inlineStr">
        <is>
          <t>페이스북/인스타그램</t>
        </is>
      </c>
      <c r="E4998" s="20" t="inlineStr">
        <is>
          <t>고체향수</t>
        </is>
      </c>
      <c r="K4998" s="20" t="n">
        <v>48789</v>
      </c>
    </row>
    <row r="4999" ht="16.5" customHeight="1" s="17">
      <c r="A4999" s="20" t="inlineStr">
        <is>
          <t>[승은 TEST] 스테이포에버_카드뉴스</t>
        </is>
      </c>
      <c r="B4999" s="16" t="n">
        <v>44273</v>
      </c>
      <c r="C4999" s="20" t="inlineStr">
        <is>
          <t>목</t>
        </is>
      </c>
      <c r="D4999" s="20" t="inlineStr">
        <is>
          <t>페이스북/인스타그램</t>
        </is>
      </c>
      <c r="E4999" s="20" t="inlineStr">
        <is>
          <t>고체향수</t>
        </is>
      </c>
      <c r="K4999" s="20" t="n">
        <v>59882</v>
      </c>
    </row>
    <row r="5000" ht="16.5" customHeight="1" s="17">
      <c r="A5000" s="20" t="inlineStr">
        <is>
          <t>[승무원 2] 스테이포에버_카드뉴스</t>
        </is>
      </c>
      <c r="B5000" s="16" t="n">
        <v>44273</v>
      </c>
      <c r="C5000" s="20" t="inlineStr">
        <is>
          <t>목</t>
        </is>
      </c>
      <c r="D5000" s="20" t="inlineStr">
        <is>
          <t>페이스북/인스타그램</t>
        </is>
      </c>
      <c r="E5000" s="20" t="inlineStr">
        <is>
          <t>고체향수</t>
        </is>
      </c>
      <c r="K5000" s="20" t="n">
        <v>154983</v>
      </c>
    </row>
    <row r="5001" ht="16.5" customHeight="1" s="17">
      <c r="A5001" s="20" t="inlineStr">
        <is>
          <t>[테스트]아줌마</t>
        </is>
      </c>
      <c r="B5001" s="16" t="n">
        <v>44273</v>
      </c>
      <c r="C5001" s="20" t="inlineStr">
        <is>
          <t>목</t>
        </is>
      </c>
      <c r="D5001" s="20" t="inlineStr">
        <is>
          <t>페이스북/인스타그램</t>
        </is>
      </c>
      <c r="E5001" s="20" t="inlineStr">
        <is>
          <t>고체향수</t>
        </is>
      </c>
      <c r="K5001" s="20" t="n">
        <v>159417</v>
      </c>
    </row>
    <row r="5002" ht="16.5" customHeight="1" s="17">
      <c r="A5002" s="20" t="inlineStr">
        <is>
          <t>[키워드 확장 테스트]스테이포에버_이미지</t>
        </is>
      </c>
      <c r="B5002" s="16" t="n">
        <v>44273</v>
      </c>
      <c r="C5002" s="20" t="inlineStr">
        <is>
          <t>목</t>
        </is>
      </c>
      <c r="D5002" s="20" t="inlineStr">
        <is>
          <t>페이스북/인스타그램</t>
        </is>
      </c>
      <c r="E5002" s="20" t="inlineStr">
        <is>
          <t>고체향수</t>
        </is>
      </c>
      <c r="K5002" s="20" t="n">
        <v>206853</v>
      </c>
    </row>
    <row r="5003" ht="16.5" customHeight="1" s="17">
      <c r="A5003" s="20" t="inlineStr">
        <is>
          <t>[재입고]스테이포에버_이미지</t>
        </is>
      </c>
      <c r="B5003" s="16" t="n">
        <v>44273</v>
      </c>
      <c r="C5003" s="20" t="inlineStr">
        <is>
          <t>목</t>
        </is>
      </c>
      <c r="D5003" s="20" t="inlineStr">
        <is>
          <t>페이스북/인스타그램</t>
        </is>
      </c>
      <c r="E5003" s="20" t="inlineStr">
        <is>
          <t>고체향수</t>
        </is>
      </c>
      <c r="K5003" s="20" t="n">
        <v>50115</v>
      </c>
    </row>
    <row r="5004" ht="16.5" customHeight="1" s="17">
      <c r="A5004" s="20" t="inlineStr">
        <is>
          <t>[승무원]숏폼_영상</t>
        </is>
      </c>
      <c r="B5004" s="16" t="n">
        <v>44273</v>
      </c>
      <c r="C5004" s="20" t="inlineStr">
        <is>
          <t>목</t>
        </is>
      </c>
      <c r="D5004" s="20" t="inlineStr">
        <is>
          <t>페이스북/인스타그램</t>
        </is>
      </c>
      <c r="E5004" s="20" t="inlineStr">
        <is>
          <t>고체향수</t>
        </is>
      </c>
      <c r="K5004" s="20" t="n">
        <v>99710</v>
      </c>
    </row>
    <row r="5005" ht="16.5" customHeight="1" s="17">
      <c r="A5005" s="20" t="inlineStr">
        <is>
          <t>[재입고]스테이포에버_영상</t>
        </is>
      </c>
      <c r="B5005" s="16" t="n">
        <v>44273</v>
      </c>
      <c r="C5005" s="20" t="inlineStr">
        <is>
          <t>목</t>
        </is>
      </c>
      <c r="D5005" s="20" t="inlineStr">
        <is>
          <t>페이스북/인스타그램</t>
        </is>
      </c>
      <c r="E5005" s="20" t="inlineStr">
        <is>
          <t>고체향수</t>
        </is>
      </c>
      <c r="K5005" s="20" t="n">
        <v>50644</v>
      </c>
    </row>
    <row r="5006" ht="16.5" customHeight="1" s="17">
      <c r="A5006" s="20" t="inlineStr">
        <is>
          <t>[젊줌마]스테이포에버_영상</t>
        </is>
      </c>
      <c r="B5006" s="16" t="n">
        <v>44273</v>
      </c>
      <c r="C5006" s="20" t="inlineStr">
        <is>
          <t>목</t>
        </is>
      </c>
      <c r="D5006" s="20" t="inlineStr">
        <is>
          <t>페이스북/인스타그램</t>
        </is>
      </c>
      <c r="E5006" s="20" t="inlineStr">
        <is>
          <t>고체향수</t>
        </is>
      </c>
      <c r="K5006" s="20" t="n">
        <v>101127</v>
      </c>
    </row>
    <row r="5007" ht="16.5" customHeight="1" s="17">
      <c r="A5007" s="20" t="inlineStr">
        <is>
          <t>[승무원]2019년썰 카드뉴스+ 향묘사_영상</t>
        </is>
      </c>
      <c r="B5007" s="16" t="n">
        <v>44273</v>
      </c>
      <c r="C5007" s="20" t="inlineStr">
        <is>
          <t>목</t>
        </is>
      </c>
      <c r="D5007" s="20" t="inlineStr">
        <is>
          <t>페이스북/인스타그램</t>
        </is>
      </c>
      <c r="E5007" s="20" t="inlineStr">
        <is>
          <t>고체향수</t>
        </is>
      </c>
      <c r="K5007" s="20" t="n">
        <v>70281</v>
      </c>
    </row>
    <row r="5008" ht="16.5" customHeight="1" s="17">
      <c r="A5008" s="20" t="inlineStr">
        <is>
          <t>[승무원어피]스테이포에버_이미지</t>
        </is>
      </c>
      <c r="B5008" s="16" t="n">
        <v>44273</v>
      </c>
      <c r="C5008" s="20" t="inlineStr">
        <is>
          <t>목</t>
        </is>
      </c>
      <c r="D5008" s="20" t="inlineStr">
        <is>
          <t>페이스북/인스타그램</t>
        </is>
      </c>
      <c r="E5008" s="20" t="inlineStr">
        <is>
          <t>고체향수</t>
        </is>
      </c>
      <c r="K5008" s="20" t="n">
        <v>150694</v>
      </c>
    </row>
    <row r="5009" ht="16.5" customHeight="1" s="17">
      <c r="A5009" s="20" t="inlineStr">
        <is>
          <t>[다현]스테이포에버_이미지</t>
        </is>
      </c>
      <c r="B5009" s="16" t="n">
        <v>44273</v>
      </c>
      <c r="C5009" s="20" t="inlineStr">
        <is>
          <t>목</t>
        </is>
      </c>
      <c r="D5009" s="20" t="inlineStr">
        <is>
          <t>페이스북/인스타그램</t>
        </is>
      </c>
      <c r="E5009" s="20" t="inlineStr">
        <is>
          <t>고체향수</t>
        </is>
      </c>
      <c r="K5009" s="20" t="n">
        <v>199853</v>
      </c>
    </row>
    <row r="5010" ht="16.5" customHeight="1" s="17">
      <c r="A5010" s="20" t="inlineStr">
        <is>
          <t>[승무원]스테이포에버_카드뉴스</t>
        </is>
      </c>
      <c r="B5010" s="16" t="n">
        <v>44273</v>
      </c>
      <c r="C5010" s="20" t="inlineStr">
        <is>
          <t>목</t>
        </is>
      </c>
      <c r="D5010" s="20" t="inlineStr">
        <is>
          <t>페이스북/인스타그램</t>
        </is>
      </c>
      <c r="E5010" s="20" t="inlineStr">
        <is>
          <t>고체향수</t>
        </is>
      </c>
      <c r="K5010" s="20" t="n">
        <v>201656</v>
      </c>
    </row>
    <row r="5011" ht="16.5" customHeight="1" s="17">
      <c r="A5011" s="20" t="inlineStr">
        <is>
          <t>[후기타입]스테이포에버_영상</t>
        </is>
      </c>
      <c r="B5011" s="16" t="n">
        <v>44273</v>
      </c>
      <c r="C5011" s="20" t="inlineStr">
        <is>
          <t>목</t>
        </is>
      </c>
      <c r="D5011" s="20" t="inlineStr">
        <is>
          <t>페이스북/인스타그램</t>
        </is>
      </c>
      <c r="E5011" s="20" t="inlineStr">
        <is>
          <t>고체향수</t>
        </is>
      </c>
      <c r="K5011" s="20" t="n">
        <v>151943</v>
      </c>
    </row>
    <row r="5012" ht="16.5" customHeight="1" s="17">
      <c r="A5012" s="20" t="inlineStr">
        <is>
          <t>전환_스테이포에버</t>
        </is>
      </c>
      <c r="B5012" s="16" t="n">
        <v>44273</v>
      </c>
      <c r="C5012" s="20" t="inlineStr">
        <is>
          <t>목</t>
        </is>
      </c>
      <c r="D5012" s="20" t="inlineStr">
        <is>
          <t>페이스북/인스타그램</t>
        </is>
      </c>
      <c r="E5012" s="20" t="inlineStr">
        <is>
          <t>고체향수</t>
        </is>
      </c>
      <c r="K5012" s="20" t="n">
        <v>49896</v>
      </c>
    </row>
    <row r="5013" ht="16.5" customHeight="1" s="17">
      <c r="A5013" s="20" t="inlineStr">
        <is>
          <t>[권태기커플]스테이포에버_영상</t>
        </is>
      </c>
      <c r="B5013" s="16" t="n">
        <v>44273</v>
      </c>
      <c r="C5013" s="20" t="inlineStr">
        <is>
          <t>목</t>
        </is>
      </c>
      <c r="D5013" s="20" t="inlineStr">
        <is>
          <t>페이스북/인스타그램</t>
        </is>
      </c>
      <c r="E5013" s="20" t="inlineStr">
        <is>
          <t>고체향수</t>
        </is>
      </c>
      <c r="K5013" s="20" t="n">
        <v>152156</v>
      </c>
    </row>
    <row r="5014" ht="16.5" customHeight="1" s="17">
      <c r="A5014" s="20" t="inlineStr">
        <is>
          <t>웹사이트 트래픽 서치</t>
        </is>
      </c>
      <c r="B5014" s="16" t="n">
        <v>44273</v>
      </c>
      <c r="C5014" s="20" t="inlineStr">
        <is>
          <t>목</t>
        </is>
      </c>
      <c r="D5014" s="20" t="inlineStr">
        <is>
          <t>유튜브 광고</t>
        </is>
      </c>
      <c r="E5014" s="20" t="inlineStr">
        <is>
          <t>고체향수</t>
        </is>
      </c>
      <c r="K5014" s="20" t="n">
        <v>41744</v>
      </c>
    </row>
    <row r="5015" ht="16.5" customHeight="1" s="17">
      <c r="A5015" s="20" t="inlineStr">
        <is>
          <t>동영상캠페인_승무원_보이는 라디오(cpa)</t>
        </is>
      </c>
      <c r="B5015" s="16" t="n">
        <v>44273</v>
      </c>
      <c r="C5015" s="20" t="inlineStr">
        <is>
          <t>목</t>
        </is>
      </c>
      <c r="D5015" s="20" t="inlineStr">
        <is>
          <t>유튜브 광고</t>
        </is>
      </c>
      <c r="E5015" s="20" t="inlineStr">
        <is>
          <t>고체향수</t>
        </is>
      </c>
      <c r="K5015" s="20" t="n">
        <v>149897</v>
      </c>
    </row>
    <row r="5016" ht="16.5" customHeight="1" s="17">
      <c r="A5016" s="20" t="inlineStr">
        <is>
          <t>디스커버리 배너_승무원,할인_리마케팅</t>
        </is>
      </c>
      <c r="B5016" s="16" t="n">
        <v>44273</v>
      </c>
      <c r="C5016" s="20" t="inlineStr">
        <is>
          <t>목</t>
        </is>
      </c>
      <c r="D5016" s="20" t="inlineStr">
        <is>
          <t>유튜브 광고</t>
        </is>
      </c>
      <c r="E5016" s="20" t="inlineStr">
        <is>
          <t>고체향수</t>
        </is>
      </c>
      <c r="K5016" s="20" t="n">
        <v>425080</v>
      </c>
    </row>
    <row r="5017" ht="16.5" customHeight="1" s="17">
      <c r="A5017" s="20" t="inlineStr">
        <is>
          <t>동영상캠페인_승무원_써니스카이</t>
        </is>
      </c>
      <c r="B5017" s="16" t="n">
        <v>44273</v>
      </c>
      <c r="C5017" s="20" t="inlineStr">
        <is>
          <t>목</t>
        </is>
      </c>
      <c r="D5017" s="20" t="inlineStr">
        <is>
          <t>유튜브 광고</t>
        </is>
      </c>
      <c r="E5017" s="20" t="inlineStr">
        <is>
          <t>고체향수</t>
        </is>
      </c>
      <c r="K5017" s="20" t="n">
        <v>509749</v>
      </c>
    </row>
    <row r="5018" ht="16.5" customHeight="1" s="17">
      <c r="A5018" s="20" t="inlineStr">
        <is>
          <t>동영상캠페인_필라테스_자기관리(타겟 cpa)</t>
        </is>
      </c>
      <c r="B5018" s="16" t="n">
        <v>44273</v>
      </c>
      <c r="C5018" s="20" t="inlineStr">
        <is>
          <t>목</t>
        </is>
      </c>
      <c r="D5018" s="20" t="inlineStr">
        <is>
          <t>유튜브 광고</t>
        </is>
      </c>
      <c r="E5018" s="20" t="inlineStr">
        <is>
          <t>고체향수</t>
        </is>
      </c>
      <c r="K5018" s="20" t="n">
        <v>354912</v>
      </c>
    </row>
    <row r="5019" ht="16.5" customHeight="1" s="17">
      <c r="A5019" s="20" t="inlineStr">
        <is>
          <t>동영상캠페인_승무원_비누향 나는 승무원에게(cpa)</t>
        </is>
      </c>
      <c r="B5019" s="16" t="n">
        <v>44273</v>
      </c>
      <c r="C5019" s="20" t="inlineStr">
        <is>
          <t>목</t>
        </is>
      </c>
      <c r="D5019" s="20" t="inlineStr">
        <is>
          <t>유튜브 광고</t>
        </is>
      </c>
      <c r="E5019" s="20" t="inlineStr">
        <is>
          <t>고체향수</t>
        </is>
      </c>
      <c r="K5019" s="20" t="n">
        <v>7035</v>
      </c>
    </row>
    <row r="5020" ht="16.5" customHeight="1" s="17">
      <c r="A5020" s="20" t="inlineStr">
        <is>
          <t>동영상캠페인_유즈모먼트_2차_30대 여성 회사원(cpa)</t>
        </is>
      </c>
      <c r="B5020" s="16" t="n">
        <v>44273</v>
      </c>
      <c r="C5020" s="20" t="inlineStr">
        <is>
          <t>목</t>
        </is>
      </c>
      <c r="D5020" s="20" t="inlineStr">
        <is>
          <t>유튜브 광고</t>
        </is>
      </c>
      <c r="E5020" s="20" t="inlineStr">
        <is>
          <t>고체향수</t>
        </is>
      </c>
      <c r="K5020" s="20" t="n">
        <v>40313</v>
      </c>
    </row>
    <row r="5021" ht="16.5" customHeight="1" s="17">
      <c r="A5021" s="20" t="inlineStr">
        <is>
          <t>동영상캠페인_유즈모먼트_조향사 친구(cpa)</t>
        </is>
      </c>
      <c r="B5021" s="16" t="n">
        <v>44273</v>
      </c>
      <c r="C5021" s="20" t="inlineStr">
        <is>
          <t>목</t>
        </is>
      </c>
      <c r="D5021" s="20" t="inlineStr">
        <is>
          <t>유튜브 광고</t>
        </is>
      </c>
      <c r="E5021" s="20" t="inlineStr">
        <is>
          <t>고체향수</t>
        </is>
      </c>
      <c r="K5021" s="20" t="n">
        <v>105897</v>
      </c>
    </row>
    <row r="5022" ht="16.5" customHeight="1" s="17">
      <c r="A5022" s="20" t="inlineStr">
        <is>
          <t>동영상 캠페인_유튜버 수지큐 2차활용</t>
        </is>
      </c>
      <c r="B5022" s="16" t="n">
        <v>44273</v>
      </c>
      <c r="C5022" s="20" t="inlineStr">
        <is>
          <t>목</t>
        </is>
      </c>
      <c r="D5022" s="20" t="inlineStr">
        <is>
          <t>유튜브 광고</t>
        </is>
      </c>
      <c r="E5022" s="20" t="inlineStr">
        <is>
          <t>고체향수</t>
        </is>
      </c>
      <c r="K5022" s="20" t="n">
        <v>101841</v>
      </c>
    </row>
    <row r="5023" ht="16.5" customHeight="1" s="17">
      <c r="A5023" s="20" t="inlineStr">
        <is>
          <t>메인키워드</t>
        </is>
      </c>
      <c r="B5023" s="16" t="n">
        <v>44273</v>
      </c>
      <c r="C5023" s="20" t="inlineStr">
        <is>
          <t>목</t>
        </is>
      </c>
      <c r="D5023" s="20" t="inlineStr">
        <is>
          <t>네이버 쇼핑검색</t>
        </is>
      </c>
      <c r="E5023" s="20" t="inlineStr">
        <is>
          <t>고체향수</t>
        </is>
      </c>
      <c r="K5023" s="20" t="n">
        <v>44000</v>
      </c>
    </row>
    <row r="5024" ht="16.5" customHeight="1" s="17">
      <c r="A5024" s="20" t="inlineStr">
        <is>
          <t>세부키워드1</t>
        </is>
      </c>
      <c r="B5024" s="16" t="n">
        <v>44273</v>
      </c>
      <c r="C5024" s="20" t="inlineStr">
        <is>
          <t>목</t>
        </is>
      </c>
      <c r="D5024" s="20" t="inlineStr">
        <is>
          <t>네이버 쇼핑검색</t>
        </is>
      </c>
      <c r="E5024" s="20" t="inlineStr">
        <is>
          <t>고체향수</t>
        </is>
      </c>
      <c r="K5024" s="20" t="n">
        <v>38320</v>
      </c>
    </row>
    <row r="5025" ht="16.5" customHeight="1" s="17">
      <c r="A5025" s="20" t="inlineStr">
        <is>
          <t>세부키워드2</t>
        </is>
      </c>
      <c r="B5025" s="16" t="n">
        <v>44273</v>
      </c>
      <c r="C5025" s="20" t="inlineStr">
        <is>
          <t>목</t>
        </is>
      </c>
      <c r="D5025" s="20" t="inlineStr">
        <is>
          <t>네이버 쇼핑검색</t>
        </is>
      </c>
      <c r="E5025" s="20" t="inlineStr">
        <is>
          <t>고체향수</t>
        </is>
      </c>
      <c r="K5025" s="20" t="n">
        <v>24120</v>
      </c>
    </row>
    <row r="5026" ht="16.5" customHeight="1" s="17">
      <c r="A5026" s="20" t="inlineStr">
        <is>
          <t>세부키워드3</t>
        </is>
      </c>
      <c r="B5026" s="16" t="n">
        <v>44273</v>
      </c>
      <c r="C5026" s="20" t="inlineStr">
        <is>
          <t>목</t>
        </is>
      </c>
      <c r="D5026" s="20" t="inlineStr">
        <is>
          <t>네이버 쇼핑검색</t>
        </is>
      </c>
      <c r="E5026" s="20" t="inlineStr">
        <is>
          <t>고체향수</t>
        </is>
      </c>
      <c r="K5026" s="20" t="n">
        <v>29310</v>
      </c>
    </row>
    <row r="5027" ht="16.5" customHeight="1" s="17">
      <c r="A5027" s="20" t="inlineStr">
        <is>
          <t>모바일 브검</t>
        </is>
      </c>
      <c r="B5027" s="16" t="n">
        <v>44273</v>
      </c>
      <c r="C5027" s="20" t="inlineStr">
        <is>
          <t>목</t>
        </is>
      </c>
      <c r="D5027" s="20" t="inlineStr">
        <is>
          <t>네이버 브랜드검색</t>
        </is>
      </c>
      <c r="E5027" s="20" t="inlineStr">
        <is>
          <t>브랜드</t>
        </is>
      </c>
      <c r="K5027" s="20" t="n">
        <v>140000</v>
      </c>
    </row>
    <row r="5028" ht="16.5" customHeight="1" s="17">
      <c r="A5028" s="20" t="inlineStr">
        <is>
          <t>PC 브랜드검색</t>
        </is>
      </c>
      <c r="B5028" s="16" t="n">
        <v>44273</v>
      </c>
      <c r="C5028" s="20" t="inlineStr">
        <is>
          <t>목</t>
        </is>
      </c>
      <c r="D5028" s="20">
        <f>VLOOKUP($A5028,매칭테이블!$B$548:$D$1048576,2,0)</f>
        <v/>
      </c>
      <c r="E5028" s="20" t="inlineStr">
        <is>
          <t>브랜드</t>
        </is>
      </c>
      <c r="K5028" s="20" t="n">
        <v>16700</v>
      </c>
    </row>
    <row r="5029" ht="16.5" customHeight="1" s="17">
      <c r="B5029" s="16" t="n">
        <v>44273</v>
      </c>
      <c r="C5029" s="20" t="inlineStr">
        <is>
          <t>목</t>
        </is>
      </c>
      <c r="E5029" s="20" t="inlineStr">
        <is>
          <t>고체향수</t>
        </is>
      </c>
      <c r="F5029" s="20" t="inlineStr">
        <is>
          <t>W컨셉</t>
        </is>
      </c>
      <c r="G5029" s="20" t="inlineStr">
        <is>
          <t>솔리드퍼퓸 이그나이트/스테이포에버 30ml (2종 택1)&lt;옵션1&gt;002 STAY FOREVER</t>
        </is>
      </c>
      <c r="H5029" s="20" t="n">
        <v>9</v>
      </c>
      <c r="I5029" s="20" t="inlineStr">
        <is>
          <t>스테이포에버</t>
        </is>
      </c>
      <c r="J5029" s="20" t="inlineStr">
        <is>
          <t>210207</t>
        </is>
      </c>
      <c r="L5029" s="20" t="n">
        <v>306000</v>
      </c>
      <c r="M5029" s="20" t="n">
        <v>214200</v>
      </c>
      <c r="N5029" s="20" t="n">
        <v>23328</v>
      </c>
      <c r="O5029" s="20" t="inlineStr">
        <is>
          <t>W컨셉고체향수솔리드퍼퓸 이그나이트/스테이포에버 30ml (2종 택1)&lt;옵션1&gt;002 STAY FOREVER210207</t>
        </is>
      </c>
    </row>
    <row r="5030" ht="16.5" customHeight="1" s="17">
      <c r="B5030" s="16" t="n">
        <v>44273</v>
      </c>
      <c r="C5030" s="20" t="inlineStr">
        <is>
          <t>목</t>
        </is>
      </c>
      <c r="E5030" s="20" t="inlineStr">
        <is>
          <t>고체향수</t>
        </is>
      </c>
      <c r="F5030" s="20" t="inlineStr">
        <is>
          <t>스마트스토어</t>
        </is>
      </c>
      <c r="G5030" s="20" t="inlineStr">
        <is>
          <t>유즈 고체향수 세트(유즈 스테이포에버, 유즈 이그나이트)고체향수: 스테이포에버 1개 + 이그나이트 1개</t>
        </is>
      </c>
      <c r="H5030" s="20" t="n">
        <v>1</v>
      </c>
      <c r="I5030" s="20" t="inlineStr">
        <is>
          <t>이그나이트 + 스테이포에버</t>
        </is>
      </c>
      <c r="J5030" s="20" t="inlineStr">
        <is>
          <t>210207</t>
        </is>
      </c>
      <c r="L5030" s="20" t="n">
        <v>58800</v>
      </c>
      <c r="M5030" s="20" t="n">
        <v>55360.2</v>
      </c>
      <c r="N5030" s="20" t="n">
        <v>5345</v>
      </c>
      <c r="O5030" s="20" t="inlineStr">
        <is>
          <t>스마트스토어고체향수유즈 고체향수 세트(유즈 스테이포에버, 유즈 이그나이트)고체향수: 스테이포에버 1개 + 이그나이트 1개210207</t>
        </is>
      </c>
    </row>
    <row r="5031" ht="16.5" customHeight="1" s="17">
      <c r="B5031" s="16" t="n">
        <v>44273</v>
      </c>
      <c r="C5031" s="20" t="inlineStr">
        <is>
          <t>목</t>
        </is>
      </c>
      <c r="E5031" s="20" t="inlineStr">
        <is>
          <t>고체향수</t>
        </is>
      </c>
      <c r="F5031" s="20" t="inlineStr">
        <is>
          <t>스마트스토어</t>
        </is>
      </c>
      <c r="G5031" s="20" t="inlineStr">
        <is>
          <t>유즈 고체향수 세트(유즈 스테이포에버, 유즈 이그나이트)고체향수: 스테이포에버 2개</t>
        </is>
      </c>
      <c r="H5031" s="20" t="n">
        <v>7</v>
      </c>
      <c r="I5031" s="20" t="inlineStr">
        <is>
          <t>스테이포에버 2set</t>
        </is>
      </c>
      <c r="J5031" s="20" t="inlineStr">
        <is>
          <t>210207</t>
        </is>
      </c>
      <c r="L5031" s="20" t="n">
        <v>411600</v>
      </c>
      <c r="M5031" s="20" t="n">
        <v>403368</v>
      </c>
      <c r="N5031" s="20" t="n">
        <v>36288</v>
      </c>
      <c r="O5031" s="20" t="inlineStr">
        <is>
          <t>스마트스토어고체향수유즈 고체향수 세트(유즈 스테이포에버, 유즈 이그나이트)고체향수: 스테이포에버 2개210207</t>
        </is>
      </c>
    </row>
    <row r="5032" ht="16.5" customHeight="1" s="17">
      <c r="B5032" s="16" t="n">
        <v>44273</v>
      </c>
      <c r="C5032" s="20" t="inlineStr">
        <is>
          <t>목</t>
        </is>
      </c>
      <c r="E5032" s="20" t="inlineStr">
        <is>
          <t>고체향수</t>
        </is>
      </c>
      <c r="F5032" s="20" t="inlineStr">
        <is>
          <t>스마트스토어</t>
        </is>
      </c>
      <c r="G5032" s="20" t="inlineStr">
        <is>
          <t>유즈 고체향수 스테이포에버 002고체향수: 스테이포에버 1개</t>
        </is>
      </c>
      <c r="H5032" s="20" t="n">
        <v>22</v>
      </c>
      <c r="I5032" s="20" t="inlineStr">
        <is>
          <t>스테이포에버</t>
        </is>
      </c>
      <c r="J5032" s="20" t="inlineStr">
        <is>
          <t>210207</t>
        </is>
      </c>
      <c r="L5032" s="20" t="n">
        <v>748000</v>
      </c>
      <c r="M5032" s="20" t="n">
        <v>733040</v>
      </c>
      <c r="N5032" s="20" t="n">
        <v>57024</v>
      </c>
      <c r="O5032" s="20" t="inlineStr">
        <is>
          <t>스마트스토어고체향수유즈 고체향수 스테이포에버 002고체향수: 스테이포에버 1개210207</t>
        </is>
      </c>
    </row>
    <row r="5033" ht="16.5" customHeight="1" s="17">
      <c r="B5033" s="16" t="n">
        <v>44273</v>
      </c>
      <c r="C5033" s="20" t="inlineStr">
        <is>
          <t>목</t>
        </is>
      </c>
      <c r="E5033" s="20" t="inlineStr">
        <is>
          <t>고체향수</t>
        </is>
      </c>
      <c r="F5033" s="20" t="inlineStr">
        <is>
          <t>스마트스토어</t>
        </is>
      </c>
      <c r="G5033" s="20" t="inlineStr">
        <is>
          <t>유즈 고체향수 이그나이트 001고체향수: 이그나이트 1개</t>
        </is>
      </c>
      <c r="H5033" s="20" t="n">
        <v>1</v>
      </c>
      <c r="I5033" s="20" t="inlineStr">
        <is>
          <t>이그나이트</t>
        </is>
      </c>
      <c r="J5033" s="20" t="inlineStr">
        <is>
          <t>210207</t>
        </is>
      </c>
      <c r="L5033" s="20" t="n">
        <v>34000</v>
      </c>
      <c r="M5033" s="20" t="n">
        <v>33320</v>
      </c>
      <c r="N5033" s="20" t="n">
        <v>2753</v>
      </c>
      <c r="O5033" s="20" t="inlineStr">
        <is>
          <t>스마트스토어고체향수유즈 고체향수 이그나이트 001고체향수: 이그나이트 1개210207</t>
        </is>
      </c>
    </row>
    <row r="5034" ht="16.5" customHeight="1" s="17">
      <c r="B5034" s="16" t="n">
        <v>44273</v>
      </c>
      <c r="C5034" s="20" t="inlineStr">
        <is>
          <t>목</t>
        </is>
      </c>
      <c r="E5034" s="20" t="inlineStr">
        <is>
          <t>고체향수</t>
        </is>
      </c>
      <c r="F5034" s="20" t="inlineStr">
        <is>
          <t>카페24</t>
        </is>
      </c>
      <c r="G5034" s="20" t="inlineStr">
        <is>
          <t>솔리드퍼퓸 세트향=이그나이트 001 SOLID PERFUME, 세트 선택=1개</t>
        </is>
      </c>
      <c r="H5034" s="20" t="n">
        <v>1</v>
      </c>
      <c r="I5034" s="20" t="inlineStr">
        <is>
          <t>이그나이트</t>
        </is>
      </c>
      <c r="J5034" s="20" t="inlineStr">
        <is>
          <t>210207</t>
        </is>
      </c>
      <c r="L5034" s="20" t="n">
        <v>34000</v>
      </c>
      <c r="M5034" s="20" t="n">
        <v>32011</v>
      </c>
      <c r="N5034" s="20" t="n">
        <v>2753</v>
      </c>
      <c r="O5034" s="20" t="inlineStr">
        <is>
          <t>카페24고체향수솔리드퍼퓸 세트향=이그나이트 001 SOLID PERFUME, 세트 선택=1개210207</t>
        </is>
      </c>
    </row>
    <row r="5035" ht="16.5" customHeight="1" s="17">
      <c r="B5035" s="16" t="n">
        <v>44273</v>
      </c>
      <c r="C5035" s="20" t="inlineStr">
        <is>
          <t>목</t>
        </is>
      </c>
      <c r="E5035" s="20" t="inlineStr">
        <is>
          <t>고체향수</t>
        </is>
      </c>
      <c r="F5035" s="20" t="inlineStr">
        <is>
          <t>카페24</t>
        </is>
      </c>
      <c r="G5035" s="20" t="inlineStr">
        <is>
          <t>솔리드퍼퓸 세트향=스테이포에버 002 SOLID PERFUME, 세트 선택=1개</t>
        </is>
      </c>
      <c r="H5035" s="20" t="n">
        <v>4</v>
      </c>
      <c r="I5035" s="20" t="inlineStr">
        <is>
          <t>스테이포에버</t>
        </is>
      </c>
      <c r="J5035" s="20" t="inlineStr">
        <is>
          <t>210207</t>
        </is>
      </c>
      <c r="L5035" s="20" t="n">
        <v>136000</v>
      </c>
      <c r="M5035" s="20" t="n">
        <v>128044</v>
      </c>
      <c r="N5035" s="20" t="n">
        <v>10368</v>
      </c>
      <c r="O5035" s="20" t="inlineStr">
        <is>
          <t>카페24고체향수솔리드퍼퓸 세트향=스테이포에버 002 SOLID PERFUME, 세트 선택=1개210207</t>
        </is>
      </c>
    </row>
    <row r="5036" ht="16.5" customHeight="1" s="17">
      <c r="B5036" s="16" t="n">
        <v>44273</v>
      </c>
      <c r="C5036" s="20" t="inlineStr">
        <is>
          <t>목</t>
        </is>
      </c>
      <c r="E5036" s="20" t="inlineStr">
        <is>
          <t>고체향수</t>
        </is>
      </c>
      <c r="F5036" s="20" t="inlineStr">
        <is>
          <t>카페24</t>
        </is>
      </c>
      <c r="G5036" s="20" t="inlineStr">
        <is>
          <t>솔리드퍼퓸 세트향=스테이포에버 002 SOLID PERFUME, 세트 선택=best 2개 (28% 할인)</t>
        </is>
      </c>
      <c r="H5036" s="20" t="n">
        <v>16</v>
      </c>
      <c r="I5036" s="20" t="inlineStr">
        <is>
          <t>스테이포에버 2set</t>
        </is>
      </c>
      <c r="J5036" s="20" t="inlineStr">
        <is>
          <t>210207</t>
        </is>
      </c>
      <c r="L5036" s="20" t="n">
        <v>940800</v>
      </c>
      <c r="M5036" s="20" t="n">
        <v>885763.2</v>
      </c>
      <c r="N5036" s="20" t="n">
        <v>82944</v>
      </c>
      <c r="O5036" s="20" t="inlineStr">
        <is>
          <t>카페24고체향수솔리드퍼퓸 세트향=스테이포에버 002 SOLID PERFUME, 세트 선택=best 2개 (28% 할인)210207</t>
        </is>
      </c>
    </row>
    <row r="5037" ht="16.5" customHeight="1" s="17">
      <c r="B5037" s="16" t="n">
        <v>44273</v>
      </c>
      <c r="C5037" s="20" t="inlineStr">
        <is>
          <t>목</t>
        </is>
      </c>
      <c r="E5037" s="20" t="inlineStr">
        <is>
          <t>고체향수</t>
        </is>
      </c>
      <c r="F5037" s="20" t="inlineStr">
        <is>
          <t>카페24</t>
        </is>
      </c>
      <c r="G5037" s="20" t="inlineStr">
        <is>
          <t>솔리드퍼퓸 세트향=커플세트(이그나이트 + 스테이포에버), 세트 선택=1 SET</t>
        </is>
      </c>
      <c r="H5037" s="20" t="n">
        <v>19</v>
      </c>
      <c r="I5037" s="20" t="inlineStr">
        <is>
          <t>이그나이트 + 스테이포에버</t>
        </is>
      </c>
      <c r="J5037" s="20" t="inlineStr">
        <is>
          <t>210207</t>
        </is>
      </c>
      <c r="L5037" s="20" t="n">
        <v>1117200</v>
      </c>
      <c r="M5037" s="20" t="n">
        <v>1051843.8</v>
      </c>
      <c r="N5037" s="20" t="n">
        <v>101555</v>
      </c>
      <c r="O5037" s="20" t="inlineStr">
        <is>
          <t>카페24고체향수솔리드퍼퓸 세트향=커플세트(이그나이트 + 스테이포에버), 세트 선택=1 SET210207</t>
        </is>
      </c>
    </row>
    <row r="5038" ht="16.5" customHeight="1" s="17">
      <c r="B5038" s="16" t="n">
        <v>44273</v>
      </c>
      <c r="C5038" s="20" t="inlineStr">
        <is>
          <t>목</t>
        </is>
      </c>
      <c r="E5038" s="20" t="inlineStr">
        <is>
          <t>고체향수</t>
        </is>
      </c>
      <c r="F5038" s="20" t="inlineStr">
        <is>
          <t>카페24</t>
        </is>
      </c>
      <c r="G5038" s="20" t="inlineStr">
        <is>
          <t>솔리드퍼퓸 세트향=커플세트(이그나이트 + 스테이포에버), 세트 선택=2 SET (42% 할인)</t>
        </is>
      </c>
      <c r="H5038" s="20" t="n">
        <v>4</v>
      </c>
      <c r="I5038" s="20" t="inlineStr">
        <is>
          <t>이그나이트 + 스테이포에버</t>
        </is>
      </c>
      <c r="J5038" s="20" t="inlineStr">
        <is>
          <t>210207</t>
        </is>
      </c>
      <c r="L5038" s="20" t="n">
        <v>235200</v>
      </c>
      <c r="M5038" s="20" t="n">
        <v>221440.8</v>
      </c>
      <c r="N5038" s="20" t="n">
        <v>21380</v>
      </c>
      <c r="O5038" s="20" t="inlineStr">
        <is>
          <t>카페24고체향수솔리드퍼퓸 세트향=커플세트(이그나이트 + 스테이포에버), 세트 선택=2 SET (42% 할인)210207</t>
        </is>
      </c>
    </row>
    <row r="5039" ht="16.5" customHeight="1" s="17">
      <c r="B5039" s="16" t="n">
        <v>44273</v>
      </c>
      <c r="C5039" s="20" t="inlineStr">
        <is>
          <t>목</t>
        </is>
      </c>
      <c r="E5039" s="20" t="inlineStr">
        <is>
          <t>고체향수</t>
        </is>
      </c>
      <c r="F5039" s="20" t="inlineStr">
        <is>
          <t>카페24</t>
        </is>
      </c>
      <c r="G5039" s="20" t="inlineStr">
        <is>
          <t>솔리드퍼퓸 스테이포에버 002제품선택=스테이포에버 1개</t>
        </is>
      </c>
      <c r="H5039" s="20" t="n">
        <v>161</v>
      </c>
      <c r="I5039" s="20" t="inlineStr">
        <is>
          <t>스테이포에버</t>
        </is>
      </c>
      <c r="J5039" s="20" t="inlineStr">
        <is>
          <t>210207</t>
        </is>
      </c>
      <c r="L5039" s="20" t="n">
        <v>5474000</v>
      </c>
      <c r="M5039" s="20" t="n">
        <v>5153771</v>
      </c>
      <c r="N5039" s="20" t="n">
        <v>417312</v>
      </c>
      <c r="O5039" s="20" t="inlineStr">
        <is>
          <t>카페24고체향수솔리드퍼퓸 스테이포에버 002제품선택=스테이포에버 1개210207</t>
        </is>
      </c>
    </row>
    <row r="5040" ht="16.5" customHeight="1" s="17">
      <c r="B5040" s="16" t="n">
        <v>44273</v>
      </c>
      <c r="C5040" s="20" t="inlineStr">
        <is>
          <t>목</t>
        </is>
      </c>
      <c r="E5040" s="20" t="inlineStr">
        <is>
          <t>고체향수</t>
        </is>
      </c>
      <c r="F5040" s="20" t="inlineStr">
        <is>
          <t>카페24</t>
        </is>
      </c>
      <c r="G5040" s="20" t="inlineStr">
        <is>
          <t>솔리드퍼퓸 스테이포에버 002제품선택=best스테이포에버 2개[28% 할인]</t>
        </is>
      </c>
      <c r="H5040" s="20" t="n">
        <v>87</v>
      </c>
      <c r="I5040" s="20" t="inlineStr">
        <is>
          <t>스테이포에버 2set</t>
        </is>
      </c>
      <c r="J5040" s="20" t="inlineStr">
        <is>
          <t>210207</t>
        </is>
      </c>
      <c r="L5040" s="20" t="n">
        <v>5115600</v>
      </c>
      <c r="M5040" s="20" t="n">
        <v>4816337.399999999</v>
      </c>
      <c r="N5040" s="20" t="n">
        <v>451008</v>
      </c>
      <c r="O5040" s="20" t="inlineStr">
        <is>
          <t>카페24고체향수솔리드퍼퓸 스테이포에버 002제품선택=best스테이포에버 2개[28% 할인]210207</t>
        </is>
      </c>
    </row>
    <row r="5041" ht="16.5" customHeight="1" s="17">
      <c r="B5041" s="16" t="n">
        <v>44273</v>
      </c>
      <c r="C5041" s="20" t="inlineStr">
        <is>
          <t>목</t>
        </is>
      </c>
      <c r="E5041" s="20" t="inlineStr">
        <is>
          <t>고체향수</t>
        </is>
      </c>
      <c r="F5041" s="20" t="inlineStr">
        <is>
          <t>카페24</t>
        </is>
      </c>
      <c r="G5041" s="20" t="inlineStr">
        <is>
          <t>솔리드퍼퓸 스테이포에버 002제품선택=커플추천스테이포에버 + 이그나이트 세트</t>
        </is>
      </c>
      <c r="H5041" s="20" t="n">
        <v>17</v>
      </c>
      <c r="I5041" s="20" t="inlineStr">
        <is>
          <t>이그나이트 + 스테이포에버</t>
        </is>
      </c>
      <c r="J5041" s="20" t="inlineStr">
        <is>
          <t>210207</t>
        </is>
      </c>
      <c r="L5041" s="20" t="n">
        <v>999600</v>
      </c>
      <c r="M5041" s="20" t="n">
        <v>941123.3999999999</v>
      </c>
      <c r="N5041" s="20" t="n">
        <v>90865</v>
      </c>
      <c r="O5041" s="20" t="inlineStr">
        <is>
          <t>카페24고체향수솔리드퍼퓸 스테이포에버 002제품선택=커플추천스테이포에버 + 이그나이트 세트210207</t>
        </is>
      </c>
    </row>
    <row r="5042" ht="16.5" customHeight="1" s="17">
      <c r="B5042" s="16" t="n">
        <v>44273</v>
      </c>
      <c r="C5042" s="20" t="inlineStr">
        <is>
          <t>목</t>
        </is>
      </c>
      <c r="E5042" s="20" t="inlineStr">
        <is>
          <t>쇼핑백</t>
        </is>
      </c>
      <c r="F5042" s="20" t="inlineStr">
        <is>
          <t>카페24</t>
        </is>
      </c>
      <c r="G5042" s="20" t="inlineStr">
        <is>
          <t>솔리드퍼퓸 스테이포에버 002쇼핑백=선물용 쇼핑백</t>
        </is>
      </c>
      <c r="H5042" s="20" t="n">
        <v>8</v>
      </c>
      <c r="I5042" s="20" t="inlineStr">
        <is>
          <t>쇼핑백</t>
        </is>
      </c>
      <c r="J5042" s="20" t="inlineStr">
        <is>
          <t>210207</t>
        </is>
      </c>
      <c r="L5042" s="20" t="n">
        <v>16000</v>
      </c>
      <c r="M5042" s="20" t="n">
        <v>15064</v>
      </c>
      <c r="N5042" s="20" t="n">
        <v>6640</v>
      </c>
      <c r="O5042" s="20" t="inlineStr">
        <is>
          <t>카페24쇼핑백솔리드퍼퓸 스테이포에버 002쇼핑백=선물용 쇼핑백210207</t>
        </is>
      </c>
    </row>
    <row r="5043" ht="16.5" customHeight="1" s="17">
      <c r="B5043" s="16" t="n">
        <v>44273</v>
      </c>
      <c r="C5043" s="20" t="inlineStr">
        <is>
          <t>목</t>
        </is>
      </c>
      <c r="E5043" s="20" t="inlineStr">
        <is>
          <t>고체향수</t>
        </is>
      </c>
      <c r="F5043" s="20" t="inlineStr">
        <is>
          <t>카페24</t>
        </is>
      </c>
      <c r="G5043" s="20" t="inlineStr">
        <is>
          <t>솔리드퍼퓸 이그나이트 001제품선택=이그나이트 솔리드퍼퓸 - 30ml</t>
        </is>
      </c>
      <c r="H5043" s="20" t="n">
        <v>2</v>
      </c>
      <c r="I5043" s="20" t="inlineStr">
        <is>
          <t>이그나이트</t>
        </is>
      </c>
      <c r="J5043" s="20" t="inlineStr">
        <is>
          <t>210207</t>
        </is>
      </c>
      <c r="L5043" s="20" t="n">
        <v>68000</v>
      </c>
      <c r="M5043" s="20" t="n">
        <v>64022</v>
      </c>
      <c r="N5043" s="20" t="n">
        <v>5506</v>
      </c>
      <c r="O5043" s="20" t="inlineStr">
        <is>
          <t>카페24고체향수솔리드퍼퓸 이그나이트 001제품선택=이그나이트 솔리드퍼퓸 - 30ml210207</t>
        </is>
      </c>
    </row>
    <row r="5044" ht="16.5" customHeight="1" s="17">
      <c r="B5044" s="16" t="n">
        <v>44273</v>
      </c>
      <c r="C5044" s="20" t="inlineStr">
        <is>
          <t>목</t>
        </is>
      </c>
      <c r="E5044" s="20" t="inlineStr">
        <is>
          <t>고체향수</t>
        </is>
      </c>
      <c r="F5044" s="20" t="inlineStr">
        <is>
          <t>카페24</t>
        </is>
      </c>
      <c r="G5044" s="20" t="inlineStr">
        <is>
          <t>솔리드퍼퓸 이그나이트 001제품선택=이그나이트 2개 세트</t>
        </is>
      </c>
      <c r="H5044" s="20" t="n">
        <v>1</v>
      </c>
      <c r="I5044" s="20" t="inlineStr">
        <is>
          <t>이그나이트 2set</t>
        </is>
      </c>
      <c r="J5044" s="20" t="inlineStr">
        <is>
          <t>210207</t>
        </is>
      </c>
      <c r="L5044" s="20" t="n">
        <v>58800</v>
      </c>
      <c r="M5044" s="20" t="n">
        <v>55360.2</v>
      </c>
      <c r="N5044" s="20" t="n">
        <v>5506</v>
      </c>
      <c r="O5044" s="20" t="inlineStr">
        <is>
          <t>카페24고체향수솔리드퍼퓸 이그나이트 001제품선택=이그나이트 2개 세트210207</t>
        </is>
      </c>
    </row>
    <row r="5045" ht="16.5" customHeight="1" s="17">
      <c r="B5045" s="16" t="n">
        <v>44273</v>
      </c>
      <c r="C5045" s="20" t="inlineStr">
        <is>
          <t>목</t>
        </is>
      </c>
      <c r="E5045" s="20" t="inlineStr">
        <is>
          <t>고체향수</t>
        </is>
      </c>
      <c r="F5045" s="20" t="inlineStr">
        <is>
          <t>카페24</t>
        </is>
      </c>
      <c r="G5045" s="20" t="inlineStr">
        <is>
          <t>유즈 솔리드퍼퓸 세트향=이그나이트 001 SOLID PERFUME, 세트 선택=1개</t>
        </is>
      </c>
      <c r="H5045" s="20" t="n">
        <v>2</v>
      </c>
      <c r="I5045" s="20" t="inlineStr">
        <is>
          <t>이그나이트</t>
        </is>
      </c>
      <c r="J5045" s="20" t="inlineStr">
        <is>
          <t>210207</t>
        </is>
      </c>
      <c r="L5045" s="20" t="n">
        <v>68000</v>
      </c>
      <c r="M5045" s="20" t="n">
        <v>64022</v>
      </c>
      <c r="N5045" s="20" t="n">
        <v>5506</v>
      </c>
      <c r="O5045" s="20" t="inlineStr">
        <is>
          <t>카페24고체향수유즈 솔리드퍼퓸 세트향=이그나이트 001 SOLID PERFUME, 세트 선택=1개210207</t>
        </is>
      </c>
    </row>
    <row r="5046" ht="16.5" customHeight="1" s="17">
      <c r="B5046" s="16" t="n">
        <v>44273</v>
      </c>
      <c r="C5046" s="20" t="inlineStr">
        <is>
          <t>목</t>
        </is>
      </c>
      <c r="E5046" s="20" t="inlineStr">
        <is>
          <t>고체향수</t>
        </is>
      </c>
      <c r="F5046" s="20" t="inlineStr">
        <is>
          <t>카페24</t>
        </is>
      </c>
      <c r="G5046" s="20" t="inlineStr">
        <is>
          <t>유즈 솔리드퍼퓸 세트향=이그나이트 001 SOLID PERFUME, 세트 선택=best 2개 (28% 할인)</t>
        </is>
      </c>
      <c r="H5046" s="20" t="n">
        <v>2</v>
      </c>
      <c r="I5046" s="20" t="inlineStr">
        <is>
          <t>이그나이트 2set</t>
        </is>
      </c>
      <c r="J5046" s="20" t="inlineStr">
        <is>
          <t>210207</t>
        </is>
      </c>
      <c r="L5046" s="20" t="n">
        <v>117600</v>
      </c>
      <c r="M5046" s="20" t="n">
        <v>110720.4</v>
      </c>
      <c r="N5046" s="20" t="n">
        <v>11012</v>
      </c>
      <c r="O5046" s="20" t="inlineStr">
        <is>
          <t>카페24고체향수유즈 솔리드퍼퓸 세트향=이그나이트 001 SOLID PERFUME, 세트 선택=best 2개 (28% 할인)210207</t>
        </is>
      </c>
    </row>
    <row r="5047" ht="16.5" customHeight="1" s="17">
      <c r="B5047" s="16" t="n">
        <v>44273</v>
      </c>
      <c r="C5047" s="20" t="inlineStr">
        <is>
          <t>목</t>
        </is>
      </c>
      <c r="E5047" s="20" t="inlineStr">
        <is>
          <t>고체향수</t>
        </is>
      </c>
      <c r="F5047" s="20" t="inlineStr">
        <is>
          <t>카페24</t>
        </is>
      </c>
      <c r="G5047" s="20" t="inlineStr">
        <is>
          <t>유즈 솔리드퍼퓸 세트향=스테이포에버 002 SOLID PERFUME, 세트 선택=1개</t>
        </is>
      </c>
      <c r="H5047" s="20" t="n">
        <v>15</v>
      </c>
      <c r="I5047" s="20" t="inlineStr">
        <is>
          <t>스테이포에버</t>
        </is>
      </c>
      <c r="J5047" s="20" t="inlineStr">
        <is>
          <t>210207</t>
        </is>
      </c>
      <c r="L5047" s="20" t="n">
        <v>510000</v>
      </c>
      <c r="M5047" s="20" t="n">
        <v>480165</v>
      </c>
      <c r="N5047" s="20" t="n">
        <v>38880</v>
      </c>
      <c r="O5047" s="20" t="inlineStr">
        <is>
          <t>카페24고체향수유즈 솔리드퍼퓸 세트향=스테이포에버 002 SOLID PERFUME, 세트 선택=1개210207</t>
        </is>
      </c>
    </row>
    <row r="5048" ht="16.5" customHeight="1" s="17">
      <c r="B5048" s="16" t="n">
        <v>44273</v>
      </c>
      <c r="C5048" s="20" t="inlineStr">
        <is>
          <t>목</t>
        </is>
      </c>
      <c r="E5048" s="20" t="inlineStr">
        <is>
          <t>고체향수</t>
        </is>
      </c>
      <c r="F5048" s="20" t="inlineStr">
        <is>
          <t>카페24</t>
        </is>
      </c>
      <c r="G5048" s="20" t="inlineStr">
        <is>
          <t>유즈 솔리드퍼퓸 세트향=스테이포에버 002 SOLID PERFUME, 세트 선택=best 2개 (28% 할인)</t>
        </is>
      </c>
      <c r="H5048" s="20" t="n">
        <v>8</v>
      </c>
      <c r="I5048" s="20" t="inlineStr">
        <is>
          <t>스테이포에버 2set</t>
        </is>
      </c>
      <c r="J5048" s="20" t="inlineStr">
        <is>
          <t>210207</t>
        </is>
      </c>
      <c r="L5048" s="20" t="n">
        <v>470400</v>
      </c>
      <c r="M5048" s="20" t="n">
        <v>442881.6</v>
      </c>
      <c r="N5048" s="20" t="n">
        <v>41472</v>
      </c>
      <c r="O5048" s="20" t="inlineStr">
        <is>
          <t>카페24고체향수유즈 솔리드퍼퓸 세트향=스테이포에버 002 SOLID PERFUME, 세트 선택=best 2개 (28% 할인)210207</t>
        </is>
      </c>
    </row>
    <row r="5049" ht="16.5" customHeight="1" s="17">
      <c r="B5049" s="16" t="n">
        <v>44273</v>
      </c>
      <c r="C5049" s="20" t="inlineStr">
        <is>
          <t>목</t>
        </is>
      </c>
      <c r="E5049" s="20" t="inlineStr">
        <is>
          <t>고체향수</t>
        </is>
      </c>
      <c r="F5049" s="20" t="inlineStr">
        <is>
          <t>카페24</t>
        </is>
      </c>
      <c r="G5049" s="20" t="inlineStr">
        <is>
          <t>유즈 솔리드퍼퓸 세트향=커플세트(이그나이트 + 스테이포에버), 세트 선택=1 SET</t>
        </is>
      </c>
      <c r="H5049" s="20" t="n">
        <v>11</v>
      </c>
      <c r="I5049" s="20" t="inlineStr">
        <is>
          <t>이그나이트 + 스테이포에버</t>
        </is>
      </c>
      <c r="J5049" s="20" t="inlineStr">
        <is>
          <t>210207</t>
        </is>
      </c>
      <c r="L5049" s="20" t="n">
        <v>646800</v>
      </c>
      <c r="M5049" s="20" t="n">
        <v>608962.2</v>
      </c>
      <c r="N5049" s="20" t="n">
        <v>58795</v>
      </c>
      <c r="O5049" s="20" t="inlineStr">
        <is>
          <t>카페24고체향수유즈 솔리드퍼퓸 세트향=커플세트(이그나이트 + 스테이포에버), 세트 선택=1 SET210207</t>
        </is>
      </c>
    </row>
    <row r="5050" ht="16.5" customHeight="1" s="17">
      <c r="B5050" s="16" t="n">
        <v>44273</v>
      </c>
      <c r="C5050" s="20" t="inlineStr">
        <is>
          <t>목</t>
        </is>
      </c>
      <c r="E5050" s="20" t="inlineStr">
        <is>
          <t>고체향수</t>
        </is>
      </c>
      <c r="F5050" s="20" t="inlineStr">
        <is>
          <t>카페24</t>
        </is>
      </c>
      <c r="G5050" s="20" t="inlineStr">
        <is>
          <t>유즈 솔리드퍼퓸 세트향=커플세트(이그나이트 + 스테이포에버), 세트 선택=2 SET (42% 할인)</t>
        </is>
      </c>
      <c r="H5050" s="20" t="n">
        <v>1</v>
      </c>
      <c r="I5050" s="20" t="inlineStr">
        <is>
          <t>이그나이트 + 스테이포에버 2set</t>
        </is>
      </c>
      <c r="J5050" s="20" t="inlineStr">
        <is>
          <t>210207</t>
        </is>
      </c>
      <c r="L5050" s="20" t="n">
        <v>94800</v>
      </c>
      <c r="M5050" s="20" t="n">
        <v>89254.2</v>
      </c>
      <c r="N5050" s="20" t="n">
        <v>10690</v>
      </c>
      <c r="O5050" s="20" t="inlineStr">
        <is>
          <t>카페24고체향수유즈 솔리드퍼퓸 세트향=커플세트(이그나이트 + 스테이포에버), 세트 선택=2 SET (42% 할인)210207</t>
        </is>
      </c>
    </row>
    <row r="5051" ht="16.5" customHeight="1" s="17">
      <c r="A5051" s="20" t="inlineStr">
        <is>
          <t>고체향수_전환추적</t>
        </is>
      </c>
      <c r="B5051" s="16" t="n">
        <v>44273</v>
      </c>
      <c r="C5051" s="20" t="inlineStr">
        <is>
          <t>목</t>
        </is>
      </c>
      <c r="D5051" s="20" t="inlineStr">
        <is>
          <t>네이버 배너</t>
        </is>
      </c>
      <c r="E5051" s="20" t="inlineStr">
        <is>
          <t>고체향수</t>
        </is>
      </c>
      <c r="K5051" s="20" t="n">
        <v>266440</v>
      </c>
    </row>
    <row r="5052" ht="16.5" customHeight="1" s="17">
      <c r="A5052" s="20" t="inlineStr">
        <is>
          <t>고체향수</t>
        </is>
      </c>
      <c r="B5052" s="16" t="n">
        <v>44273</v>
      </c>
      <c r="C5052" s="20" t="inlineStr">
        <is>
          <t>목</t>
        </is>
      </c>
      <c r="D5052" s="20" t="inlineStr">
        <is>
          <t>네이버 배너</t>
        </is>
      </c>
      <c r="E5052" s="20" t="inlineStr">
        <is>
          <t>고체향수</t>
        </is>
      </c>
      <c r="K5052" s="20" t="n">
        <v>841968.1818181818</v>
      </c>
    </row>
    <row r="5053" ht="16.5" customHeight="1" s="17">
      <c r="A5053" s="20" t="inlineStr">
        <is>
          <t>고체향수_승무원 어피_Npay 추적</t>
        </is>
      </c>
      <c r="B5053" s="16" t="n">
        <v>44273</v>
      </c>
      <c r="C5053" s="20" t="inlineStr">
        <is>
          <t>목</t>
        </is>
      </c>
      <c r="D5053" s="20" t="inlineStr">
        <is>
          <t>카카오 배너</t>
        </is>
      </c>
      <c r="E5053" s="20" t="inlineStr">
        <is>
          <t>고체향수</t>
        </is>
      </c>
      <c r="K5053" s="20" t="n">
        <v>182020</v>
      </c>
    </row>
    <row r="5054" ht="16.5" customHeight="1" s="17">
      <c r="A5054" s="20" t="inlineStr">
        <is>
          <t>고체향수_Npay 추적</t>
        </is>
      </c>
      <c r="B5054" s="16" t="n">
        <v>44273</v>
      </c>
      <c r="C5054" s="20" t="inlineStr">
        <is>
          <t>목</t>
        </is>
      </c>
      <c r="D5054" s="20" t="inlineStr">
        <is>
          <t>카카오 배너</t>
        </is>
      </c>
      <c r="E5054" s="20" t="inlineStr">
        <is>
          <t>고체향수</t>
        </is>
      </c>
      <c r="K5054" s="20" t="n">
        <v>853829.9999999999</v>
      </c>
    </row>
    <row r="5055" ht="16.5" customHeight="1" s="17">
      <c r="B5055" s="16" t="n">
        <v>44273</v>
      </c>
      <c r="C5055" s="20" t="inlineStr">
        <is>
          <t>목</t>
        </is>
      </c>
      <c r="D5055" s="20" t="inlineStr">
        <is>
          <t>네이버 배너(대행사)</t>
        </is>
      </c>
      <c r="E5055" s="20" t="inlineStr">
        <is>
          <t>고체향수</t>
        </is>
      </c>
      <c r="K5055" s="20">
        <f>342405/1.1</f>
        <v/>
      </c>
    </row>
    <row r="5056" ht="16.5" customHeight="1" s="17">
      <c r="B5056" s="16" t="n">
        <v>44273</v>
      </c>
      <c r="C5056" s="20" t="inlineStr">
        <is>
          <t>목</t>
        </is>
      </c>
      <c r="D5056" s="20" t="inlineStr">
        <is>
          <t>네이버 쇼핑박스</t>
        </is>
      </c>
      <c r="E5056" s="20" t="inlineStr">
        <is>
          <t>고체향수</t>
        </is>
      </c>
      <c r="K5056" s="20" t="n">
        <v>1129000</v>
      </c>
    </row>
    <row r="5057" ht="16.5" customHeight="1" s="17">
      <c r="A5057" s="20" t="inlineStr">
        <is>
          <t>[유튜버 수지큐]스테이포에버_카드뉴스</t>
        </is>
      </c>
      <c r="B5057" s="16" t="n">
        <v>44274</v>
      </c>
      <c r="C5057" s="20" t="inlineStr">
        <is>
          <t>금</t>
        </is>
      </c>
      <c r="D5057" s="20" t="inlineStr">
        <is>
          <t>페이스북/인스타그램</t>
        </is>
      </c>
      <c r="E5057" s="20" t="inlineStr">
        <is>
          <t>고체향수</t>
        </is>
      </c>
      <c r="K5057" s="20" t="n">
        <v>34941</v>
      </c>
    </row>
    <row r="5058" ht="16.5" customHeight="1" s="17">
      <c r="A5058" s="20" t="inlineStr">
        <is>
          <t>[유튜버 수지큐]스테이포에버_영상</t>
        </is>
      </c>
      <c r="B5058" s="16" t="n">
        <v>44274</v>
      </c>
      <c r="C5058" s="20" t="inlineStr">
        <is>
          <t>금</t>
        </is>
      </c>
      <c r="D5058" s="20" t="inlineStr">
        <is>
          <t>페이스북/인스타그램</t>
        </is>
      </c>
      <c r="E5058" s="20" t="inlineStr">
        <is>
          <t>고체향수</t>
        </is>
      </c>
      <c r="K5058" s="20" t="n">
        <v>47348</v>
      </c>
    </row>
    <row r="5059" ht="16.5" customHeight="1" s="17">
      <c r="A5059" s="20" t="inlineStr">
        <is>
          <t>[승무원]수지큐2차활용_스테이포에버_이미지</t>
        </is>
      </c>
      <c r="B5059" s="16" t="n">
        <v>44274</v>
      </c>
      <c r="C5059" s="20" t="inlineStr">
        <is>
          <t>금</t>
        </is>
      </c>
      <c r="D5059" s="20" t="inlineStr">
        <is>
          <t>페이스북/인스타그램</t>
        </is>
      </c>
      <c r="E5059" s="20" t="inlineStr">
        <is>
          <t>고체향수</t>
        </is>
      </c>
      <c r="K5059" s="20" t="n">
        <v>28146</v>
      </c>
    </row>
    <row r="5060" ht="16.5" customHeight="1" s="17">
      <c r="A5060" s="20" t="inlineStr">
        <is>
          <t>[다현 TEST] 스테이포에버_유즈모먼트</t>
        </is>
      </c>
      <c r="B5060" s="16" t="n">
        <v>44274</v>
      </c>
      <c r="C5060" s="20" t="inlineStr">
        <is>
          <t>금</t>
        </is>
      </c>
      <c r="D5060" s="20" t="inlineStr">
        <is>
          <t>페이스북/인스타그램</t>
        </is>
      </c>
      <c r="E5060" s="20" t="inlineStr">
        <is>
          <t>고체향수</t>
        </is>
      </c>
      <c r="K5060" s="20" t="n">
        <v>59182</v>
      </c>
    </row>
    <row r="5061" ht="16.5" customHeight="1" s="17">
      <c r="A5061" s="20" t="inlineStr">
        <is>
          <t>[성민 TEST] 스테이포에버_이미지</t>
        </is>
      </c>
      <c r="B5061" s="16" t="n">
        <v>44274</v>
      </c>
      <c r="C5061" s="20" t="inlineStr">
        <is>
          <t>금</t>
        </is>
      </c>
      <c r="D5061" s="20" t="inlineStr">
        <is>
          <t>페이스북/인스타그램</t>
        </is>
      </c>
      <c r="E5061" s="20" t="inlineStr">
        <is>
          <t>고체향수</t>
        </is>
      </c>
      <c r="K5061" s="20" t="n">
        <v>70899</v>
      </c>
    </row>
    <row r="5062" ht="16.5" customHeight="1" s="17">
      <c r="A5062" s="20" t="inlineStr">
        <is>
          <t>[승은 TEST] 스테이포에버_카드뉴스</t>
        </is>
      </c>
      <c r="B5062" s="16" t="n">
        <v>44274</v>
      </c>
      <c r="C5062" s="20" t="inlineStr">
        <is>
          <t>금</t>
        </is>
      </c>
      <c r="D5062" s="20" t="inlineStr">
        <is>
          <t>페이스북/인스타그램</t>
        </is>
      </c>
      <c r="E5062" s="20" t="inlineStr">
        <is>
          <t>고체향수</t>
        </is>
      </c>
      <c r="K5062" s="20" t="n">
        <v>60081</v>
      </c>
    </row>
    <row r="5063" ht="16.5" customHeight="1" s="17">
      <c r="A5063" s="20" t="inlineStr">
        <is>
          <t>[승무원 2] 스테이포에버_카드뉴스</t>
        </is>
      </c>
      <c r="B5063" s="16" t="n">
        <v>44274</v>
      </c>
      <c r="C5063" s="20" t="inlineStr">
        <is>
          <t>금</t>
        </is>
      </c>
      <c r="D5063" s="20" t="inlineStr">
        <is>
          <t>페이스북/인스타그램</t>
        </is>
      </c>
      <c r="E5063" s="20" t="inlineStr">
        <is>
          <t>고체향수</t>
        </is>
      </c>
      <c r="K5063" s="20" t="n">
        <v>96262</v>
      </c>
    </row>
    <row r="5064" ht="16.5" customHeight="1" s="17">
      <c r="A5064" s="20" t="inlineStr">
        <is>
          <t>[테스트]아줌마</t>
        </is>
      </c>
      <c r="B5064" s="16" t="n">
        <v>44274</v>
      </c>
      <c r="C5064" s="20" t="inlineStr">
        <is>
          <t>금</t>
        </is>
      </c>
      <c r="D5064" s="20" t="inlineStr">
        <is>
          <t>페이스북/인스타그램</t>
        </is>
      </c>
      <c r="E5064" s="20" t="inlineStr">
        <is>
          <t>고체향수</t>
        </is>
      </c>
      <c r="K5064" s="20" t="n">
        <v>157968</v>
      </c>
    </row>
    <row r="5065" ht="16.5" customHeight="1" s="17">
      <c r="A5065" s="20" t="inlineStr">
        <is>
          <t>[키워드 확장 테스트]스테이포에버_이미지</t>
        </is>
      </c>
      <c r="B5065" s="16" t="n">
        <v>44274</v>
      </c>
      <c r="C5065" s="20" t="inlineStr">
        <is>
          <t>금</t>
        </is>
      </c>
      <c r="D5065" s="20" t="inlineStr">
        <is>
          <t>페이스북/인스타그램</t>
        </is>
      </c>
      <c r="E5065" s="20" t="inlineStr">
        <is>
          <t>고체향수</t>
        </is>
      </c>
      <c r="K5065" s="20" t="n">
        <v>204570</v>
      </c>
    </row>
    <row r="5066" ht="16.5" customHeight="1" s="17">
      <c r="A5066" s="20" t="inlineStr">
        <is>
          <t>[재입고]스테이포에버_이미지</t>
        </is>
      </c>
      <c r="B5066" s="16" t="n">
        <v>44274</v>
      </c>
      <c r="C5066" s="20" t="inlineStr">
        <is>
          <t>금</t>
        </is>
      </c>
      <c r="D5066" s="20" t="inlineStr">
        <is>
          <t>페이스북/인스타그램</t>
        </is>
      </c>
      <c r="E5066" s="20" t="inlineStr">
        <is>
          <t>고체향수</t>
        </is>
      </c>
      <c r="K5066" s="20" t="n">
        <v>49499</v>
      </c>
    </row>
    <row r="5067" ht="16.5" customHeight="1" s="17">
      <c r="A5067" s="20" t="inlineStr">
        <is>
          <t>[승무원]숏폼_영상</t>
        </is>
      </c>
      <c r="B5067" s="16" t="n">
        <v>44274</v>
      </c>
      <c r="C5067" s="20" t="inlineStr">
        <is>
          <t>금</t>
        </is>
      </c>
      <c r="D5067" s="20" t="inlineStr">
        <is>
          <t>페이스북/인스타그램</t>
        </is>
      </c>
      <c r="E5067" s="20" t="inlineStr">
        <is>
          <t>고체향수</t>
        </is>
      </c>
      <c r="K5067" s="20" t="n">
        <v>98822</v>
      </c>
    </row>
    <row r="5068" ht="16.5" customHeight="1" s="17">
      <c r="A5068" s="20" t="inlineStr">
        <is>
          <t>[재입고]스테이포에버_영상</t>
        </is>
      </c>
      <c r="B5068" s="16" t="n">
        <v>44274</v>
      </c>
      <c r="C5068" s="20" t="inlineStr">
        <is>
          <t>금</t>
        </is>
      </c>
      <c r="D5068" s="20" t="inlineStr">
        <is>
          <t>페이스북/인스타그램</t>
        </is>
      </c>
      <c r="E5068" s="20" t="inlineStr">
        <is>
          <t>고체향수</t>
        </is>
      </c>
      <c r="K5068" s="20" t="n">
        <v>49055</v>
      </c>
    </row>
    <row r="5069" ht="16.5" customHeight="1" s="17">
      <c r="A5069" s="20" t="inlineStr">
        <is>
          <t>[젊줌마]스테이포에버_영상</t>
        </is>
      </c>
      <c r="B5069" s="16" t="n">
        <v>44274</v>
      </c>
      <c r="C5069" s="20" t="inlineStr">
        <is>
          <t>금</t>
        </is>
      </c>
      <c r="D5069" s="20" t="inlineStr">
        <is>
          <t>페이스북/인스타그램</t>
        </is>
      </c>
      <c r="E5069" s="20" t="inlineStr">
        <is>
          <t>고체향수</t>
        </is>
      </c>
      <c r="K5069" s="20" t="n">
        <v>98507</v>
      </c>
    </row>
    <row r="5070" ht="16.5" customHeight="1" s="17">
      <c r="A5070" s="20" t="inlineStr">
        <is>
          <t>[승무원]2019년썰 카드뉴스+ 향묘사_영상</t>
        </is>
      </c>
      <c r="B5070" s="16" t="n">
        <v>44274</v>
      </c>
      <c r="C5070" s="20" t="inlineStr">
        <is>
          <t>금</t>
        </is>
      </c>
      <c r="D5070" s="20" t="inlineStr">
        <is>
          <t>페이스북/인스타그램</t>
        </is>
      </c>
      <c r="E5070" s="20" t="inlineStr">
        <is>
          <t>고체향수</t>
        </is>
      </c>
      <c r="K5070" s="20" t="n">
        <v>69738</v>
      </c>
    </row>
    <row r="5071" ht="16.5" customHeight="1" s="17">
      <c r="A5071" s="20" t="inlineStr">
        <is>
          <t>[승무원어피]스테이포에버_이미지</t>
        </is>
      </c>
      <c r="B5071" s="16" t="n">
        <v>44274</v>
      </c>
      <c r="C5071" s="20" t="inlineStr">
        <is>
          <t>금</t>
        </is>
      </c>
      <c r="D5071" s="20" t="inlineStr">
        <is>
          <t>페이스북/인스타그램</t>
        </is>
      </c>
      <c r="E5071" s="20" t="inlineStr">
        <is>
          <t>고체향수</t>
        </is>
      </c>
      <c r="K5071" s="20" t="n">
        <v>147843</v>
      </c>
    </row>
    <row r="5072" ht="16.5" customHeight="1" s="17">
      <c r="A5072" s="20" t="inlineStr">
        <is>
          <t>[다현]스테이포에버_이미지</t>
        </is>
      </c>
      <c r="B5072" s="16" t="n">
        <v>44274</v>
      </c>
      <c r="C5072" s="20" t="inlineStr">
        <is>
          <t>금</t>
        </is>
      </c>
      <c r="D5072" s="20" t="inlineStr">
        <is>
          <t>페이스북/인스타그램</t>
        </is>
      </c>
      <c r="E5072" s="20" t="inlineStr">
        <is>
          <t>고체향수</t>
        </is>
      </c>
      <c r="K5072" s="20" t="n">
        <v>197819</v>
      </c>
    </row>
    <row r="5073" ht="16.5" customHeight="1" s="17">
      <c r="A5073" s="20" t="inlineStr">
        <is>
          <t>[승무원]스테이포에버_카드뉴스</t>
        </is>
      </c>
      <c r="B5073" s="16" t="n">
        <v>44274</v>
      </c>
      <c r="C5073" s="20" t="inlineStr">
        <is>
          <t>금</t>
        </is>
      </c>
      <c r="D5073" s="20" t="inlineStr">
        <is>
          <t>페이스북/인스타그램</t>
        </is>
      </c>
      <c r="E5073" s="20" t="inlineStr">
        <is>
          <t>고체향수</t>
        </is>
      </c>
      <c r="K5073" s="20" t="n">
        <v>199775</v>
      </c>
    </row>
    <row r="5074" ht="16.5" customHeight="1" s="17">
      <c r="A5074" s="20" t="inlineStr">
        <is>
          <t>[후기타입]스테이포에버_영상</t>
        </is>
      </c>
      <c r="B5074" s="16" t="n">
        <v>44274</v>
      </c>
      <c r="C5074" s="20" t="inlineStr">
        <is>
          <t>금</t>
        </is>
      </c>
      <c r="D5074" s="20" t="inlineStr">
        <is>
          <t>페이스북/인스타그램</t>
        </is>
      </c>
      <c r="E5074" s="20" t="inlineStr">
        <is>
          <t>고체향수</t>
        </is>
      </c>
      <c r="K5074" s="20" t="n">
        <v>148161</v>
      </c>
    </row>
    <row r="5075" ht="16.5" customHeight="1" s="17">
      <c r="A5075" s="20" t="inlineStr">
        <is>
          <t>전환_스테이포에버</t>
        </is>
      </c>
      <c r="B5075" s="16" t="n">
        <v>44274</v>
      </c>
      <c r="C5075" s="20" t="inlineStr">
        <is>
          <t>금</t>
        </is>
      </c>
      <c r="D5075" s="20" t="inlineStr">
        <is>
          <t>페이스북/인스타그램</t>
        </is>
      </c>
      <c r="E5075" s="20" t="inlineStr">
        <is>
          <t>고체향수</t>
        </is>
      </c>
      <c r="K5075" s="20" t="n">
        <v>49862</v>
      </c>
    </row>
    <row r="5076" ht="16.5" customHeight="1" s="17">
      <c r="A5076" s="20" t="inlineStr">
        <is>
          <t>[권태기커플]스테이포에버_영상</t>
        </is>
      </c>
      <c r="B5076" s="16" t="n">
        <v>44274</v>
      </c>
      <c r="C5076" s="20" t="inlineStr">
        <is>
          <t>금</t>
        </is>
      </c>
      <c r="D5076" s="20" t="inlineStr">
        <is>
          <t>페이스북/인스타그램</t>
        </is>
      </c>
      <c r="E5076" s="20" t="inlineStr">
        <is>
          <t>고체향수</t>
        </is>
      </c>
      <c r="K5076" s="20" t="n">
        <v>148251</v>
      </c>
    </row>
    <row r="5077" ht="16.5" customHeight="1" s="17">
      <c r="A5077" s="20" t="inlineStr">
        <is>
          <t>[유튜버 수지큐]스테이포에버_카드뉴스</t>
        </is>
      </c>
      <c r="B5077" s="16" t="n">
        <v>44275</v>
      </c>
      <c r="C5077" s="20" t="inlineStr">
        <is>
          <t>토</t>
        </is>
      </c>
      <c r="D5077" s="20" t="inlineStr">
        <is>
          <t>페이스북/인스타그램</t>
        </is>
      </c>
      <c r="E5077" s="20" t="inlineStr">
        <is>
          <t>고체향수</t>
        </is>
      </c>
      <c r="K5077" s="20" t="n">
        <v>27254</v>
      </c>
    </row>
    <row r="5078" ht="16.5" customHeight="1" s="17">
      <c r="A5078" s="20" t="inlineStr">
        <is>
          <t>[유튜버 수지큐]스테이포에버_영상</t>
        </is>
      </c>
      <c r="B5078" s="16" t="n">
        <v>44275</v>
      </c>
      <c r="C5078" s="20" t="inlineStr">
        <is>
          <t>토</t>
        </is>
      </c>
      <c r="D5078" s="20" t="inlineStr">
        <is>
          <t>페이스북/인스타그램</t>
        </is>
      </c>
      <c r="E5078" s="20" t="inlineStr">
        <is>
          <t>고체향수</t>
        </is>
      </c>
      <c r="K5078" s="20" t="n">
        <v>12327</v>
      </c>
    </row>
    <row r="5079" ht="16.5" customHeight="1" s="17">
      <c r="A5079" s="20" t="inlineStr">
        <is>
          <t>[승무원]수지큐2차활용_스테이포에버_이미지</t>
        </is>
      </c>
      <c r="B5079" s="16" t="n">
        <v>44275</v>
      </c>
      <c r="C5079" s="20" t="inlineStr">
        <is>
          <t>토</t>
        </is>
      </c>
      <c r="D5079" s="20" t="inlineStr">
        <is>
          <t>페이스북/인스타그램</t>
        </is>
      </c>
      <c r="E5079" s="20" t="inlineStr">
        <is>
          <t>고체향수</t>
        </is>
      </c>
      <c r="K5079" s="20" t="n">
        <v>30743</v>
      </c>
    </row>
    <row r="5080" ht="16.5" customHeight="1" s="17">
      <c r="A5080" s="20" t="inlineStr">
        <is>
          <t>[다현 TEST] 스테이포에버_유즈모먼트</t>
        </is>
      </c>
      <c r="B5080" s="16" t="n">
        <v>44275</v>
      </c>
      <c r="C5080" s="20" t="inlineStr">
        <is>
          <t>토</t>
        </is>
      </c>
      <c r="D5080" s="20" t="inlineStr">
        <is>
          <t>페이스북/인스타그램</t>
        </is>
      </c>
      <c r="E5080" s="20" t="inlineStr">
        <is>
          <t>고체향수</t>
        </is>
      </c>
      <c r="K5080" s="20" t="n">
        <v>63626</v>
      </c>
    </row>
    <row r="5081" ht="16.5" customHeight="1" s="17">
      <c r="A5081" s="20" t="inlineStr">
        <is>
          <t>[성민 TEST] 스테이포에버_이미지</t>
        </is>
      </c>
      <c r="B5081" s="16" t="n">
        <v>44275</v>
      </c>
      <c r="C5081" s="20" t="inlineStr">
        <is>
          <t>토</t>
        </is>
      </c>
      <c r="D5081" s="20" t="inlineStr">
        <is>
          <t>페이스북/인스타그램</t>
        </is>
      </c>
      <c r="E5081" s="20" t="inlineStr">
        <is>
          <t>고체향수</t>
        </is>
      </c>
      <c r="K5081" s="20" t="n">
        <v>82518</v>
      </c>
    </row>
    <row r="5082" ht="16.5" customHeight="1" s="17">
      <c r="A5082" s="20" t="inlineStr">
        <is>
          <t>[승은 TEST] 스테이포에버_카드뉴스</t>
        </is>
      </c>
      <c r="B5082" s="16" t="n">
        <v>44275</v>
      </c>
      <c r="C5082" s="20" t="inlineStr">
        <is>
          <t>토</t>
        </is>
      </c>
      <c r="D5082" s="20" t="inlineStr">
        <is>
          <t>페이스북/인스타그램</t>
        </is>
      </c>
      <c r="E5082" s="20" t="inlineStr">
        <is>
          <t>고체향수</t>
        </is>
      </c>
      <c r="K5082" s="20" t="n">
        <v>62417</v>
      </c>
    </row>
    <row r="5083" ht="16.5" customHeight="1" s="17">
      <c r="A5083" s="20" t="inlineStr">
        <is>
          <t>[승무원 2] 스테이포에버_카드뉴스</t>
        </is>
      </c>
      <c r="B5083" s="16" t="n">
        <v>44275</v>
      </c>
      <c r="C5083" s="20" t="inlineStr">
        <is>
          <t>토</t>
        </is>
      </c>
      <c r="D5083" s="20" t="inlineStr">
        <is>
          <t>페이스북/인스타그램</t>
        </is>
      </c>
      <c r="E5083" s="20" t="inlineStr">
        <is>
          <t>고체향수</t>
        </is>
      </c>
      <c r="K5083" s="20" t="n">
        <v>100066</v>
      </c>
    </row>
    <row r="5084" ht="16.5" customHeight="1" s="17">
      <c r="A5084" s="20" t="inlineStr">
        <is>
          <t>[테스트]아줌마</t>
        </is>
      </c>
      <c r="B5084" s="16" t="n">
        <v>44275</v>
      </c>
      <c r="C5084" s="20" t="inlineStr">
        <is>
          <t>토</t>
        </is>
      </c>
      <c r="D5084" s="20" t="inlineStr">
        <is>
          <t>페이스북/인스타그램</t>
        </is>
      </c>
      <c r="E5084" s="20" t="inlineStr">
        <is>
          <t>고체향수</t>
        </is>
      </c>
      <c r="K5084" s="20" t="n">
        <v>168657</v>
      </c>
    </row>
    <row r="5085" ht="16.5" customHeight="1" s="17">
      <c r="A5085" s="20" t="inlineStr">
        <is>
          <t>[키워드 확장 테스트]스테이포에버_이미지</t>
        </is>
      </c>
      <c r="B5085" s="16" t="n">
        <v>44275</v>
      </c>
      <c r="C5085" s="20" t="inlineStr">
        <is>
          <t>토</t>
        </is>
      </c>
      <c r="D5085" s="20" t="inlineStr">
        <is>
          <t>페이스북/인스타그램</t>
        </is>
      </c>
      <c r="E5085" s="20" t="inlineStr">
        <is>
          <t>고체향수</t>
        </is>
      </c>
      <c r="K5085" s="20" t="n">
        <v>215812</v>
      </c>
    </row>
    <row r="5086" ht="16.5" customHeight="1" s="17">
      <c r="A5086" s="20" t="inlineStr">
        <is>
          <t>[재입고]스테이포에버_이미지</t>
        </is>
      </c>
      <c r="B5086" s="16" t="n">
        <v>44275</v>
      </c>
      <c r="C5086" s="20" t="inlineStr">
        <is>
          <t>토</t>
        </is>
      </c>
      <c r="D5086" s="20" t="inlineStr">
        <is>
          <t>페이스북/인스타그램</t>
        </is>
      </c>
      <c r="E5086" s="20" t="inlineStr">
        <is>
          <t>고체향수</t>
        </is>
      </c>
      <c r="K5086" s="20" t="n">
        <v>52163</v>
      </c>
    </row>
    <row r="5087" ht="16.5" customHeight="1" s="17">
      <c r="A5087" s="20" t="inlineStr">
        <is>
          <t>[승무원]숏폼_영상</t>
        </is>
      </c>
      <c r="B5087" s="16" t="n">
        <v>44275</v>
      </c>
      <c r="C5087" s="20" t="inlineStr">
        <is>
          <t>토</t>
        </is>
      </c>
      <c r="D5087" s="20" t="inlineStr">
        <is>
          <t>페이스북/인스타그램</t>
        </is>
      </c>
      <c r="E5087" s="20" t="inlineStr">
        <is>
          <t>고체향수</t>
        </is>
      </c>
      <c r="K5087" s="20" t="n">
        <v>105291</v>
      </c>
    </row>
    <row r="5088" ht="16.5" customHeight="1" s="17">
      <c r="A5088" s="20" t="inlineStr">
        <is>
          <t>[재입고]스테이포에버_영상</t>
        </is>
      </c>
      <c r="B5088" s="16" t="n">
        <v>44275</v>
      </c>
      <c r="C5088" s="20" t="inlineStr">
        <is>
          <t>토</t>
        </is>
      </c>
      <c r="D5088" s="20" t="inlineStr">
        <is>
          <t>페이스북/인스타그램</t>
        </is>
      </c>
      <c r="E5088" s="20" t="inlineStr">
        <is>
          <t>고체향수</t>
        </is>
      </c>
      <c r="K5088" s="20" t="n">
        <v>52191</v>
      </c>
    </row>
    <row r="5089" ht="16.5" customHeight="1" s="17">
      <c r="A5089" s="20" t="inlineStr">
        <is>
          <t>[젊줌마]스테이포에버_영상</t>
        </is>
      </c>
      <c r="B5089" s="16" t="n">
        <v>44275</v>
      </c>
      <c r="C5089" s="20" t="inlineStr">
        <is>
          <t>토</t>
        </is>
      </c>
      <c r="D5089" s="20" t="inlineStr">
        <is>
          <t>페이스북/인스타그램</t>
        </is>
      </c>
      <c r="E5089" s="20" t="inlineStr">
        <is>
          <t>고체향수</t>
        </is>
      </c>
      <c r="K5089" s="20" t="n">
        <v>103158</v>
      </c>
    </row>
    <row r="5090" ht="16.5" customHeight="1" s="17">
      <c r="A5090" s="20" t="inlineStr">
        <is>
          <t>[승무원]2019년썰 카드뉴스+ 향묘사_영상</t>
        </is>
      </c>
      <c r="B5090" s="16" t="n">
        <v>44275</v>
      </c>
      <c r="C5090" s="20" t="inlineStr">
        <is>
          <t>토</t>
        </is>
      </c>
      <c r="D5090" s="20" t="inlineStr">
        <is>
          <t>페이스북/인스타그램</t>
        </is>
      </c>
      <c r="E5090" s="20" t="inlineStr">
        <is>
          <t>고체향수</t>
        </is>
      </c>
      <c r="K5090" s="20" t="n">
        <v>73275</v>
      </c>
    </row>
    <row r="5091" ht="16.5" customHeight="1" s="17">
      <c r="A5091" s="20" t="inlineStr">
        <is>
          <t>[승무원어피]스테이포에버_이미지</t>
        </is>
      </c>
      <c r="B5091" s="16" t="n">
        <v>44275</v>
      </c>
      <c r="C5091" s="20" t="inlineStr">
        <is>
          <t>토</t>
        </is>
      </c>
      <c r="D5091" s="20" t="inlineStr">
        <is>
          <t>페이스북/인스타그램</t>
        </is>
      </c>
      <c r="E5091" s="20" t="inlineStr">
        <is>
          <t>고체향수</t>
        </is>
      </c>
      <c r="K5091" s="20" t="n">
        <v>155602</v>
      </c>
    </row>
    <row r="5092" ht="16.5" customHeight="1" s="17">
      <c r="A5092" s="20" t="inlineStr">
        <is>
          <t>[다현]스테이포에버_이미지</t>
        </is>
      </c>
      <c r="B5092" s="16" t="n">
        <v>44275</v>
      </c>
      <c r="C5092" s="20" t="inlineStr">
        <is>
          <t>토</t>
        </is>
      </c>
      <c r="D5092" s="20" t="inlineStr">
        <is>
          <t>페이스북/인스타그램</t>
        </is>
      </c>
      <c r="E5092" s="20" t="inlineStr">
        <is>
          <t>고체향수</t>
        </is>
      </c>
      <c r="K5092" s="20" t="n">
        <v>210080</v>
      </c>
    </row>
    <row r="5093" ht="16.5" customHeight="1" s="17">
      <c r="A5093" s="20" t="inlineStr">
        <is>
          <t>[승무원]스테이포에버_카드뉴스</t>
        </is>
      </c>
      <c r="B5093" s="16" t="n">
        <v>44275</v>
      </c>
      <c r="C5093" s="20" t="inlineStr">
        <is>
          <t>토</t>
        </is>
      </c>
      <c r="D5093" s="20" t="inlineStr">
        <is>
          <t>페이스북/인스타그램</t>
        </is>
      </c>
      <c r="E5093" s="20" t="inlineStr">
        <is>
          <t>고체향수</t>
        </is>
      </c>
      <c r="K5093" s="20" t="n">
        <v>208110</v>
      </c>
    </row>
    <row r="5094" ht="16.5" customHeight="1" s="17">
      <c r="A5094" s="20" t="inlineStr">
        <is>
          <t>[후기타입]스테이포에버_영상</t>
        </is>
      </c>
      <c r="B5094" s="16" t="n">
        <v>44275</v>
      </c>
      <c r="C5094" s="20" t="inlineStr">
        <is>
          <t>토</t>
        </is>
      </c>
      <c r="D5094" s="20" t="inlineStr">
        <is>
          <t>페이스북/인스타그램</t>
        </is>
      </c>
      <c r="E5094" s="20" t="inlineStr">
        <is>
          <t>고체향수</t>
        </is>
      </c>
      <c r="K5094" s="20" t="n">
        <v>156114</v>
      </c>
    </row>
    <row r="5095" ht="16.5" customHeight="1" s="17">
      <c r="A5095" s="20" t="inlineStr">
        <is>
          <t>전환_스테이포에버</t>
        </is>
      </c>
      <c r="B5095" s="16" t="n">
        <v>44275</v>
      </c>
      <c r="C5095" s="20" t="inlineStr">
        <is>
          <t>토</t>
        </is>
      </c>
      <c r="D5095" s="20" t="inlineStr">
        <is>
          <t>페이스북/인스타그램</t>
        </is>
      </c>
      <c r="E5095" s="20" t="inlineStr">
        <is>
          <t>고체향수</t>
        </is>
      </c>
      <c r="K5095" s="20" t="n">
        <v>49625</v>
      </c>
    </row>
    <row r="5096" ht="16.5" customHeight="1" s="17">
      <c r="A5096" s="20" t="inlineStr">
        <is>
          <t>[권태기커플]스테이포에버_영상</t>
        </is>
      </c>
      <c r="B5096" s="16" t="n">
        <v>44275</v>
      </c>
      <c r="C5096" s="20" t="inlineStr">
        <is>
          <t>토</t>
        </is>
      </c>
      <c r="D5096" s="20" t="inlineStr">
        <is>
          <t>페이스북/인스타그램</t>
        </is>
      </c>
      <c r="E5096" s="20" t="inlineStr">
        <is>
          <t>고체향수</t>
        </is>
      </c>
      <c r="K5096" s="20" t="n">
        <v>155518</v>
      </c>
    </row>
    <row r="5097" ht="16.5" customHeight="1" s="17">
      <c r="A5097" s="20" t="inlineStr">
        <is>
          <t>[유튜버 수지큐]스테이포에버_카드뉴스</t>
        </is>
      </c>
      <c r="B5097" s="16" t="n">
        <v>44276</v>
      </c>
      <c r="C5097" s="20" t="inlineStr">
        <is>
          <t>일</t>
        </is>
      </c>
      <c r="D5097" s="20" t="inlineStr">
        <is>
          <t>페이스북/인스타그램</t>
        </is>
      </c>
      <c r="E5097" s="20" t="inlineStr">
        <is>
          <t>고체향수</t>
        </is>
      </c>
      <c r="K5097" s="20" t="n">
        <v>31981</v>
      </c>
    </row>
    <row r="5098" ht="16.5" customHeight="1" s="17">
      <c r="A5098" s="20" t="inlineStr">
        <is>
          <t>[승무원]수지큐2차활용_스테이포에버_이미지</t>
        </is>
      </c>
      <c r="B5098" s="16" t="n">
        <v>44276</v>
      </c>
      <c r="C5098" s="20" t="inlineStr">
        <is>
          <t>일</t>
        </is>
      </c>
      <c r="D5098" s="20" t="inlineStr">
        <is>
          <t>페이스북/인스타그램</t>
        </is>
      </c>
      <c r="E5098" s="20" t="inlineStr">
        <is>
          <t>고체향수</t>
        </is>
      </c>
      <c r="K5098" s="20" t="n">
        <v>30228</v>
      </c>
    </row>
    <row r="5099" ht="16.5" customHeight="1" s="17">
      <c r="A5099" s="20" t="inlineStr">
        <is>
          <t>[다현 TEST] 스테이포에버_유즈모먼트</t>
        </is>
      </c>
      <c r="B5099" s="16" t="n">
        <v>44276</v>
      </c>
      <c r="C5099" s="20" t="inlineStr">
        <is>
          <t>일</t>
        </is>
      </c>
      <c r="D5099" s="20" t="inlineStr">
        <is>
          <t>페이스북/인스타그램</t>
        </is>
      </c>
      <c r="E5099" s="20" t="inlineStr">
        <is>
          <t>고체향수</t>
        </is>
      </c>
      <c r="K5099" s="20" t="n">
        <v>60379</v>
      </c>
    </row>
    <row r="5100" ht="16.5" customHeight="1" s="17">
      <c r="A5100" s="20" t="inlineStr">
        <is>
          <t>[성민 TEST] 스테이포에버_이미지</t>
        </is>
      </c>
      <c r="B5100" s="16" t="n">
        <v>44276</v>
      </c>
      <c r="C5100" s="20" t="inlineStr">
        <is>
          <t>일</t>
        </is>
      </c>
      <c r="D5100" s="20" t="inlineStr">
        <is>
          <t>페이스북/인스타그램</t>
        </is>
      </c>
      <c r="E5100" s="20" t="inlineStr">
        <is>
          <t>고체향수</t>
        </is>
      </c>
      <c r="K5100" s="20" t="n">
        <v>91629</v>
      </c>
    </row>
    <row r="5101" ht="16.5" customHeight="1" s="17">
      <c r="A5101" s="20" t="inlineStr">
        <is>
          <t>[승은 TEST] 스테이포에버_카드뉴스</t>
        </is>
      </c>
      <c r="B5101" s="16" t="n">
        <v>44276</v>
      </c>
      <c r="C5101" s="20" t="inlineStr">
        <is>
          <t>일</t>
        </is>
      </c>
      <c r="D5101" s="20" t="inlineStr">
        <is>
          <t>페이스북/인스타그램</t>
        </is>
      </c>
      <c r="E5101" s="20" t="inlineStr">
        <is>
          <t>고체향수</t>
        </is>
      </c>
      <c r="K5101" s="20" t="n">
        <v>60319</v>
      </c>
    </row>
    <row r="5102" ht="16.5" customHeight="1" s="17">
      <c r="A5102" s="20" t="inlineStr">
        <is>
          <t>[승무원 2] 스테이포에버_카드뉴스</t>
        </is>
      </c>
      <c r="B5102" s="16" t="n">
        <v>44276</v>
      </c>
      <c r="C5102" s="20" t="inlineStr">
        <is>
          <t>일</t>
        </is>
      </c>
      <c r="D5102" s="20" t="inlineStr">
        <is>
          <t>페이스북/인스타그램</t>
        </is>
      </c>
      <c r="E5102" s="20" t="inlineStr">
        <is>
          <t>고체향수</t>
        </is>
      </c>
      <c r="K5102" s="20" t="n">
        <v>100382</v>
      </c>
    </row>
    <row r="5103" ht="16.5" customHeight="1" s="17">
      <c r="A5103" s="20" t="inlineStr">
        <is>
          <t>[테스트]아줌마</t>
        </is>
      </c>
      <c r="B5103" s="16" t="n">
        <v>44276</v>
      </c>
      <c r="C5103" s="20" t="inlineStr">
        <is>
          <t>일</t>
        </is>
      </c>
      <c r="D5103" s="20" t="inlineStr">
        <is>
          <t>페이스북/인스타그램</t>
        </is>
      </c>
      <c r="E5103" s="20" t="inlineStr">
        <is>
          <t>고체향수</t>
        </is>
      </c>
      <c r="K5103" s="20" t="n">
        <v>162107</v>
      </c>
    </row>
    <row r="5104" ht="16.5" customHeight="1" s="17">
      <c r="A5104" s="20" t="inlineStr">
        <is>
          <t>[키워드 확장 테스트]스테이포에버_이미지</t>
        </is>
      </c>
      <c r="B5104" s="16" t="n">
        <v>44276</v>
      </c>
      <c r="C5104" s="20" t="inlineStr">
        <is>
          <t>일</t>
        </is>
      </c>
      <c r="D5104" s="20" t="inlineStr">
        <is>
          <t>페이스북/인스타그램</t>
        </is>
      </c>
      <c r="E5104" s="20" t="inlineStr">
        <is>
          <t>고체향수</t>
        </is>
      </c>
      <c r="K5104" s="20" t="n">
        <v>232194</v>
      </c>
    </row>
    <row r="5105" ht="16.5" customHeight="1" s="17">
      <c r="A5105" s="20" t="inlineStr">
        <is>
          <t>[재입고]스테이포에버_이미지</t>
        </is>
      </c>
      <c r="B5105" s="16" t="n">
        <v>44276</v>
      </c>
      <c r="C5105" s="20" t="inlineStr">
        <is>
          <t>일</t>
        </is>
      </c>
      <c r="D5105" s="20" t="inlineStr">
        <is>
          <t>페이스북/인스타그램</t>
        </is>
      </c>
      <c r="E5105" s="20" t="inlineStr">
        <is>
          <t>고체향수</t>
        </is>
      </c>
      <c r="K5105" s="20" t="n">
        <v>50094</v>
      </c>
    </row>
    <row r="5106" ht="16.5" customHeight="1" s="17">
      <c r="A5106" s="20" t="inlineStr">
        <is>
          <t>[승무원]숏폼_영상</t>
        </is>
      </c>
      <c r="B5106" s="16" t="n">
        <v>44276</v>
      </c>
      <c r="C5106" s="20" t="inlineStr">
        <is>
          <t>일</t>
        </is>
      </c>
      <c r="D5106" s="20" t="inlineStr">
        <is>
          <t>페이스북/인스타그램</t>
        </is>
      </c>
      <c r="E5106" s="20" t="inlineStr">
        <is>
          <t>고체향수</t>
        </is>
      </c>
      <c r="K5106" s="20" t="n">
        <v>100472</v>
      </c>
    </row>
    <row r="5107" ht="16.5" customHeight="1" s="17">
      <c r="A5107" s="20" t="inlineStr">
        <is>
          <t>[재입고]스테이포에버_영상</t>
        </is>
      </c>
      <c r="B5107" s="16" t="n">
        <v>44276</v>
      </c>
      <c r="C5107" s="20" t="inlineStr">
        <is>
          <t>일</t>
        </is>
      </c>
      <c r="D5107" s="20" t="inlineStr">
        <is>
          <t>페이스북/인스타그램</t>
        </is>
      </c>
      <c r="E5107" s="20" t="inlineStr">
        <is>
          <t>고체향수</t>
        </is>
      </c>
      <c r="K5107" s="20" t="n">
        <v>50345</v>
      </c>
    </row>
    <row r="5108" ht="16.5" customHeight="1" s="17">
      <c r="A5108" s="20" t="inlineStr">
        <is>
          <t>[젊줌마]스테이포에버_영상</t>
        </is>
      </c>
      <c r="B5108" s="16" t="n">
        <v>44276</v>
      </c>
      <c r="C5108" s="20" t="inlineStr">
        <is>
          <t>일</t>
        </is>
      </c>
      <c r="D5108" s="20" t="inlineStr">
        <is>
          <t>페이스북/인스타그램</t>
        </is>
      </c>
      <c r="E5108" s="20" t="inlineStr">
        <is>
          <t>고체향수</t>
        </is>
      </c>
      <c r="K5108" s="20" t="n">
        <v>100252</v>
      </c>
    </row>
    <row r="5109" ht="16.5" customHeight="1" s="17">
      <c r="A5109" s="20" t="inlineStr">
        <is>
          <t>[승무원]2019년썰 카드뉴스+ 향묘사_영상</t>
        </is>
      </c>
      <c r="B5109" s="16" t="n">
        <v>44276</v>
      </c>
      <c r="C5109" s="20" t="inlineStr">
        <is>
          <t>일</t>
        </is>
      </c>
      <c r="D5109" s="20" t="inlineStr">
        <is>
          <t>페이스북/인스타그램</t>
        </is>
      </c>
      <c r="E5109" s="20" t="inlineStr">
        <is>
          <t>고체향수</t>
        </is>
      </c>
      <c r="K5109" s="20" t="n">
        <v>70253</v>
      </c>
    </row>
    <row r="5110" ht="16.5" customHeight="1" s="17">
      <c r="A5110" s="20" t="inlineStr">
        <is>
          <t>[승무원어피]스테이포에버_이미지</t>
        </is>
      </c>
      <c r="B5110" s="16" t="n">
        <v>44276</v>
      </c>
      <c r="C5110" s="20" t="inlineStr">
        <is>
          <t>일</t>
        </is>
      </c>
      <c r="D5110" s="20" t="inlineStr">
        <is>
          <t>페이스북/인스타그램</t>
        </is>
      </c>
      <c r="E5110" s="20" t="inlineStr">
        <is>
          <t>고체향수</t>
        </is>
      </c>
      <c r="K5110" s="20" t="n">
        <v>150492</v>
      </c>
    </row>
    <row r="5111" ht="16.5" customHeight="1" s="17">
      <c r="A5111" s="20" t="inlineStr">
        <is>
          <t>[다현]스테이포에버_이미지</t>
        </is>
      </c>
      <c r="B5111" s="16" t="n">
        <v>44276</v>
      </c>
      <c r="C5111" s="20" t="inlineStr">
        <is>
          <t>일</t>
        </is>
      </c>
      <c r="D5111" s="20" t="inlineStr">
        <is>
          <t>페이스북/인스타그램</t>
        </is>
      </c>
      <c r="E5111" s="20" t="inlineStr">
        <is>
          <t>고체향수</t>
        </is>
      </c>
      <c r="K5111" s="20" t="n">
        <v>202513</v>
      </c>
    </row>
    <row r="5112" ht="16.5" customHeight="1" s="17">
      <c r="A5112" s="20" t="inlineStr">
        <is>
          <t>[승무원]스테이포에버_카드뉴스</t>
        </is>
      </c>
      <c r="B5112" s="16" t="n">
        <v>44276</v>
      </c>
      <c r="C5112" s="20" t="inlineStr">
        <is>
          <t>일</t>
        </is>
      </c>
      <c r="D5112" s="20" t="inlineStr">
        <is>
          <t>페이스북/인스타그램</t>
        </is>
      </c>
      <c r="E5112" s="20" t="inlineStr">
        <is>
          <t>고체향수</t>
        </is>
      </c>
      <c r="K5112" s="20" t="n">
        <v>200532</v>
      </c>
    </row>
    <row r="5113" ht="16.5" customHeight="1" s="17">
      <c r="A5113" s="20" t="inlineStr">
        <is>
          <t>[후기타입]스테이포에버_영상</t>
        </is>
      </c>
      <c r="B5113" s="16" t="n">
        <v>44276</v>
      </c>
      <c r="C5113" s="20" t="inlineStr">
        <is>
          <t>일</t>
        </is>
      </c>
      <c r="D5113" s="20" t="inlineStr">
        <is>
          <t>페이스북/인스타그램</t>
        </is>
      </c>
      <c r="E5113" s="20" t="inlineStr">
        <is>
          <t>고체향수</t>
        </is>
      </c>
      <c r="K5113" s="20" t="n">
        <v>150370</v>
      </c>
    </row>
    <row r="5114" ht="16.5" customHeight="1" s="17">
      <c r="A5114" s="20" t="inlineStr">
        <is>
          <t>전환_스테이포에버</t>
        </is>
      </c>
      <c r="B5114" s="16" t="n">
        <v>44276</v>
      </c>
      <c r="C5114" s="20" t="inlineStr">
        <is>
          <t>일</t>
        </is>
      </c>
      <c r="D5114" s="20" t="inlineStr">
        <is>
          <t>페이스북/인스타그램</t>
        </is>
      </c>
      <c r="E5114" s="20" t="inlineStr">
        <is>
          <t>고체향수</t>
        </is>
      </c>
      <c r="K5114" s="20" t="n">
        <v>50127</v>
      </c>
    </row>
    <row r="5115" ht="16.5" customHeight="1" s="17">
      <c r="A5115" s="20" t="inlineStr">
        <is>
          <t>[권태기커플]스테이포에버_영상</t>
        </is>
      </c>
      <c r="B5115" s="16" t="n">
        <v>44276</v>
      </c>
      <c r="C5115" s="20" t="inlineStr">
        <is>
          <t>일</t>
        </is>
      </c>
      <c r="D5115" s="20" t="inlineStr">
        <is>
          <t>페이스북/인스타그램</t>
        </is>
      </c>
      <c r="E5115" s="20" t="inlineStr">
        <is>
          <t>고체향수</t>
        </is>
      </c>
      <c r="K5115" s="20" t="n">
        <v>150299</v>
      </c>
    </row>
    <row r="5116" ht="16.5" customHeight="1" s="17">
      <c r="A5116" s="20" t="inlineStr">
        <is>
          <t>웹사이트 트래픽 서치</t>
        </is>
      </c>
      <c r="B5116" s="16" t="n">
        <v>44274</v>
      </c>
      <c r="C5116" s="20" t="inlineStr">
        <is>
          <t>금</t>
        </is>
      </c>
      <c r="D5116" s="20" t="inlineStr">
        <is>
          <t>유튜브 광고</t>
        </is>
      </c>
      <c r="E5116" s="20" t="inlineStr">
        <is>
          <t>고체향수</t>
        </is>
      </c>
      <c r="K5116" s="20" t="n">
        <v>33492</v>
      </c>
    </row>
    <row r="5117" ht="16.5" customHeight="1" s="17">
      <c r="A5117" s="20" t="inlineStr">
        <is>
          <t>동영상캠페인_승무원_보이는 라디오(cpa)</t>
        </is>
      </c>
      <c r="B5117" s="16" t="n">
        <v>44274</v>
      </c>
      <c r="C5117" s="20" t="inlineStr">
        <is>
          <t>금</t>
        </is>
      </c>
      <c r="D5117" s="20" t="inlineStr">
        <is>
          <t>유튜브 광고</t>
        </is>
      </c>
      <c r="E5117" s="20" t="inlineStr">
        <is>
          <t>고체향수</t>
        </is>
      </c>
      <c r="K5117" s="20" t="n">
        <v>98715</v>
      </c>
    </row>
    <row r="5118" ht="16.5" customHeight="1" s="17">
      <c r="A5118" s="20" t="inlineStr">
        <is>
          <t>디스커버리 배너_승무원,할인_리마케팅</t>
        </is>
      </c>
      <c r="B5118" s="16" t="n">
        <v>44274</v>
      </c>
      <c r="C5118" s="20" t="inlineStr">
        <is>
          <t>금</t>
        </is>
      </c>
      <c r="D5118" s="20" t="inlineStr">
        <is>
          <t>유튜브 광고</t>
        </is>
      </c>
      <c r="E5118" s="20" t="inlineStr">
        <is>
          <t>고체향수</t>
        </is>
      </c>
      <c r="K5118" s="20" t="n">
        <v>413386</v>
      </c>
    </row>
    <row r="5119" ht="16.5" customHeight="1" s="17">
      <c r="A5119" s="20" t="inlineStr">
        <is>
          <t>동영상캠페인_승무원_써니스카이</t>
        </is>
      </c>
      <c r="B5119" s="16" t="n">
        <v>44274</v>
      </c>
      <c r="C5119" s="20" t="inlineStr">
        <is>
          <t>금</t>
        </is>
      </c>
      <c r="D5119" s="20" t="inlineStr">
        <is>
          <t>유튜브 광고</t>
        </is>
      </c>
      <c r="E5119" s="20" t="inlineStr">
        <is>
          <t>고체향수</t>
        </is>
      </c>
      <c r="K5119" s="20" t="n">
        <v>498207</v>
      </c>
    </row>
    <row r="5120" ht="16.5" customHeight="1" s="17">
      <c r="A5120" s="20" t="inlineStr">
        <is>
          <t>동영상캠페인_필라테스_자기관리(타겟 cpa)</t>
        </is>
      </c>
      <c r="B5120" s="16" t="n">
        <v>44274</v>
      </c>
      <c r="C5120" s="20" t="inlineStr">
        <is>
          <t>금</t>
        </is>
      </c>
      <c r="D5120" s="20" t="inlineStr">
        <is>
          <t>유튜브 광고</t>
        </is>
      </c>
      <c r="E5120" s="20" t="inlineStr">
        <is>
          <t>고체향수</t>
        </is>
      </c>
      <c r="K5120" s="20" t="n">
        <v>348523</v>
      </c>
    </row>
    <row r="5121" ht="16.5" customHeight="1" s="17">
      <c r="A5121" s="20" t="inlineStr">
        <is>
          <t>동영상캠페인_승무원_비누향 나는 승무원에게(cpa)</t>
        </is>
      </c>
      <c r="B5121" s="16" t="n">
        <v>44274</v>
      </c>
      <c r="C5121" s="20" t="inlineStr">
        <is>
          <t>금</t>
        </is>
      </c>
      <c r="D5121" s="20" t="inlineStr">
        <is>
          <t>유튜브 광고</t>
        </is>
      </c>
      <c r="E5121" s="20" t="inlineStr">
        <is>
          <t>고체향수</t>
        </is>
      </c>
      <c r="K5121" s="20" t="n">
        <v>24317</v>
      </c>
    </row>
    <row r="5122" ht="16.5" customHeight="1" s="17">
      <c r="A5122" s="20" t="inlineStr">
        <is>
          <t>동영상캠페인_유즈모먼트_2차_30대 여성 회사원(cpa)</t>
        </is>
      </c>
      <c r="B5122" s="16" t="n">
        <v>44274</v>
      </c>
      <c r="C5122" s="20" t="inlineStr">
        <is>
          <t>금</t>
        </is>
      </c>
      <c r="D5122" s="20" t="inlineStr">
        <is>
          <t>유튜브 광고</t>
        </is>
      </c>
      <c r="E5122" s="20" t="inlineStr">
        <is>
          <t>고체향수</t>
        </is>
      </c>
      <c r="K5122" s="20" t="n">
        <v>14196</v>
      </c>
    </row>
    <row r="5123" ht="16.5" customHeight="1" s="17">
      <c r="A5123" s="20" t="inlineStr">
        <is>
          <t>동영상캠페인_유즈모먼트_조향사 친구(cpa)</t>
        </is>
      </c>
      <c r="B5123" s="16" t="n">
        <v>44274</v>
      </c>
      <c r="C5123" s="20" t="inlineStr">
        <is>
          <t>금</t>
        </is>
      </c>
      <c r="D5123" s="20" t="inlineStr">
        <is>
          <t>유튜브 광고</t>
        </is>
      </c>
      <c r="E5123" s="20" t="inlineStr">
        <is>
          <t>고체향수</t>
        </is>
      </c>
      <c r="K5123" s="20" t="n">
        <v>102538</v>
      </c>
    </row>
    <row r="5124" ht="16.5" customHeight="1" s="17">
      <c r="A5124" s="20" t="inlineStr">
        <is>
          <t>동영상 캠페인_유튜버 수지큐 2차활용</t>
        </is>
      </c>
      <c r="B5124" s="16" t="n">
        <v>44274</v>
      </c>
      <c r="C5124" s="20" t="inlineStr">
        <is>
          <t>금</t>
        </is>
      </c>
      <c r="D5124" s="20" t="inlineStr">
        <is>
          <t>유튜브 광고</t>
        </is>
      </c>
      <c r="E5124" s="20" t="inlineStr">
        <is>
          <t>고체향수</t>
        </is>
      </c>
      <c r="K5124" s="20" t="n">
        <v>99203</v>
      </c>
    </row>
    <row r="5125" ht="16.5" customHeight="1" s="17">
      <c r="A5125" s="20" t="inlineStr">
        <is>
          <t>웹사이트 트래픽 서치</t>
        </is>
      </c>
      <c r="B5125" s="16" t="n">
        <v>44275</v>
      </c>
      <c r="C5125" s="20" t="inlineStr">
        <is>
          <t>토</t>
        </is>
      </c>
      <c r="D5125" s="20" t="inlineStr">
        <is>
          <t>유튜브 광고</t>
        </is>
      </c>
      <c r="E5125" s="20" t="inlineStr">
        <is>
          <t>고체향수</t>
        </is>
      </c>
      <c r="K5125" s="20" t="n">
        <v>27756</v>
      </c>
    </row>
    <row r="5126" ht="16.5" customHeight="1" s="17">
      <c r="A5126" s="20" t="inlineStr">
        <is>
          <t>동영상캠페인_승무원_보이는 라디오(cpa)</t>
        </is>
      </c>
      <c r="B5126" s="16" t="n">
        <v>44275</v>
      </c>
      <c r="C5126" s="20" t="inlineStr">
        <is>
          <t>토</t>
        </is>
      </c>
      <c r="D5126" s="20" t="inlineStr">
        <is>
          <t>유튜브 광고</t>
        </is>
      </c>
      <c r="E5126" s="20" t="inlineStr">
        <is>
          <t>고체향수</t>
        </is>
      </c>
      <c r="K5126" s="20" t="n">
        <v>299084</v>
      </c>
    </row>
    <row r="5127" ht="16.5" customHeight="1" s="17">
      <c r="A5127" s="20" t="inlineStr">
        <is>
          <t>디스커버리 배너_승무원,할인_리마케팅</t>
        </is>
      </c>
      <c r="B5127" s="16" t="n">
        <v>44275</v>
      </c>
      <c r="C5127" s="20" t="inlineStr">
        <is>
          <t>토</t>
        </is>
      </c>
      <c r="D5127" s="20" t="inlineStr">
        <is>
          <t>유튜브 광고</t>
        </is>
      </c>
      <c r="E5127" s="20" t="inlineStr">
        <is>
          <t>고체향수</t>
        </is>
      </c>
      <c r="K5127" s="20" t="n">
        <v>413551</v>
      </c>
    </row>
    <row r="5128" ht="16.5" customHeight="1" s="17">
      <c r="A5128" s="20" t="inlineStr">
        <is>
          <t>동영상캠페인_승무원_써니스카이</t>
        </is>
      </c>
      <c r="B5128" s="16" t="n">
        <v>44275</v>
      </c>
      <c r="C5128" s="20" t="inlineStr">
        <is>
          <t>토</t>
        </is>
      </c>
      <c r="D5128" s="20" t="inlineStr">
        <is>
          <t>유튜브 광고</t>
        </is>
      </c>
      <c r="E5128" s="20" t="inlineStr">
        <is>
          <t>고체향수</t>
        </is>
      </c>
      <c r="K5128" s="20" t="n">
        <v>498039</v>
      </c>
    </row>
    <row r="5129" ht="16.5" customHeight="1" s="17">
      <c r="A5129" s="20" t="inlineStr">
        <is>
          <t>동영상캠페인_필라테스_자기관리(타겟 cpa)</t>
        </is>
      </c>
      <c r="B5129" s="16" t="n">
        <v>44275</v>
      </c>
      <c r="C5129" s="20" t="inlineStr">
        <is>
          <t>토</t>
        </is>
      </c>
      <c r="D5129" s="20" t="inlineStr">
        <is>
          <t>유튜브 광고</t>
        </is>
      </c>
      <c r="E5129" s="20" t="inlineStr">
        <is>
          <t>고체향수</t>
        </is>
      </c>
      <c r="K5129" s="20" t="n">
        <v>347971</v>
      </c>
    </row>
    <row r="5130" ht="16.5" customHeight="1" s="17">
      <c r="A5130" s="20" t="inlineStr">
        <is>
          <t>동영상캠페인_승무원_비누향 나는 승무원에게(cpa)</t>
        </is>
      </c>
      <c r="B5130" s="16" t="n">
        <v>44275</v>
      </c>
      <c r="C5130" s="20" t="inlineStr">
        <is>
          <t>토</t>
        </is>
      </c>
      <c r="D5130" s="20" t="inlineStr">
        <is>
          <t>유튜브 광고</t>
        </is>
      </c>
      <c r="E5130" s="20" t="inlineStr">
        <is>
          <t>고체향수</t>
        </is>
      </c>
      <c r="K5130" s="20" t="n">
        <v>190784</v>
      </c>
    </row>
    <row r="5131" ht="16.5" customHeight="1" s="17">
      <c r="A5131" s="20" t="inlineStr">
        <is>
          <t>동영상캠페인_유즈모먼트_2차_30대 여성 회사원(cpa)</t>
        </is>
      </c>
      <c r="B5131" s="16" t="n">
        <v>44275</v>
      </c>
      <c r="C5131" s="20" t="inlineStr">
        <is>
          <t>토</t>
        </is>
      </c>
      <c r="D5131" s="20" t="inlineStr">
        <is>
          <t>유튜브 광고</t>
        </is>
      </c>
      <c r="E5131" s="20" t="inlineStr">
        <is>
          <t>고체향수</t>
        </is>
      </c>
      <c r="K5131" s="20" t="n">
        <v>22284</v>
      </c>
    </row>
    <row r="5132" ht="16.5" customHeight="1" s="17">
      <c r="A5132" s="20" t="inlineStr">
        <is>
          <t>동영상캠페인_유즈모먼트_조향사 친구(cpa)</t>
        </is>
      </c>
      <c r="B5132" s="16" t="n">
        <v>44275</v>
      </c>
      <c r="C5132" s="20" t="inlineStr">
        <is>
          <t>토</t>
        </is>
      </c>
      <c r="D5132" s="20" t="inlineStr">
        <is>
          <t>유튜브 광고</t>
        </is>
      </c>
      <c r="E5132" s="20" t="inlineStr">
        <is>
          <t>고체향수</t>
        </is>
      </c>
      <c r="K5132" s="20" t="n">
        <v>102166</v>
      </c>
    </row>
    <row r="5133" ht="16.5" customHeight="1" s="17">
      <c r="A5133" s="20" t="inlineStr">
        <is>
          <t>동영상 캠페인_유튜버 수지큐 2차활용</t>
        </is>
      </c>
      <c r="B5133" s="16" t="n">
        <v>44275</v>
      </c>
      <c r="C5133" s="20" t="inlineStr">
        <is>
          <t>토</t>
        </is>
      </c>
      <c r="D5133" s="20" t="inlineStr">
        <is>
          <t>유튜브 광고</t>
        </is>
      </c>
      <c r="E5133" s="20" t="inlineStr">
        <is>
          <t>고체향수</t>
        </is>
      </c>
      <c r="K5133" s="20" t="n">
        <v>99298</v>
      </c>
    </row>
    <row r="5134" ht="16.5" customHeight="1" s="17">
      <c r="A5134" s="20" t="inlineStr">
        <is>
          <t>웹사이트 트래픽 서치</t>
        </is>
      </c>
      <c r="B5134" s="16" t="n">
        <v>44276</v>
      </c>
      <c r="C5134" s="20" t="inlineStr">
        <is>
          <t>일</t>
        </is>
      </c>
      <c r="D5134" s="20" t="inlineStr">
        <is>
          <t>유튜브 광고</t>
        </is>
      </c>
      <c r="E5134" s="20" t="inlineStr">
        <is>
          <t>고체향수</t>
        </is>
      </c>
      <c r="K5134" s="20" t="n">
        <v>28014</v>
      </c>
    </row>
    <row r="5135" ht="16.5" customHeight="1" s="17">
      <c r="A5135" s="20" t="inlineStr">
        <is>
          <t>동영상캠페인_승무원_보이는 라디오(cpa)</t>
        </is>
      </c>
      <c r="B5135" s="16" t="n">
        <v>44276</v>
      </c>
      <c r="C5135" s="20" t="inlineStr">
        <is>
          <t>일</t>
        </is>
      </c>
      <c r="D5135" s="20" t="inlineStr">
        <is>
          <t>유튜브 광고</t>
        </is>
      </c>
      <c r="E5135" s="20" t="inlineStr">
        <is>
          <t>고체향수</t>
        </is>
      </c>
      <c r="K5135" s="20" t="n">
        <v>201693</v>
      </c>
    </row>
    <row r="5136" ht="16.5" customHeight="1" s="17">
      <c r="A5136" s="20" t="inlineStr">
        <is>
          <t>디스커버리 배너_승무원,할인_리마케팅</t>
        </is>
      </c>
      <c r="B5136" s="16" t="n">
        <v>44276</v>
      </c>
      <c r="C5136" s="20" t="inlineStr">
        <is>
          <t>일</t>
        </is>
      </c>
      <c r="D5136" s="20" t="inlineStr">
        <is>
          <t>유튜브 광고</t>
        </is>
      </c>
      <c r="E5136" s="20" t="inlineStr">
        <is>
          <t>고체향수</t>
        </is>
      </c>
      <c r="K5136" s="20" t="n">
        <v>354171</v>
      </c>
    </row>
    <row r="5137" ht="16.5" customHeight="1" s="17">
      <c r="A5137" s="20" t="inlineStr">
        <is>
          <t>동영상캠페인_승무원_써니스카이</t>
        </is>
      </c>
      <c r="B5137" s="16" t="n">
        <v>44276</v>
      </c>
      <c r="C5137" s="20" t="inlineStr">
        <is>
          <t>일</t>
        </is>
      </c>
      <c r="D5137" s="20" t="inlineStr">
        <is>
          <t>유튜브 광고</t>
        </is>
      </c>
      <c r="E5137" s="20" t="inlineStr">
        <is>
          <t>고체향수</t>
        </is>
      </c>
      <c r="K5137" s="20" t="n">
        <v>497868</v>
      </c>
    </row>
    <row r="5138" ht="16.5" customHeight="1" s="17">
      <c r="A5138" s="20" t="inlineStr">
        <is>
          <t>동영상캠페인_필라테스_자기관리(타겟 cpa)</t>
        </is>
      </c>
      <c r="B5138" s="16" t="n">
        <v>44276</v>
      </c>
      <c r="C5138" s="20" t="inlineStr">
        <is>
          <t>일</t>
        </is>
      </c>
      <c r="D5138" s="20" t="inlineStr">
        <is>
          <t>유튜브 광고</t>
        </is>
      </c>
      <c r="E5138" s="20" t="inlineStr">
        <is>
          <t>고체향수</t>
        </is>
      </c>
      <c r="K5138" s="20" t="n">
        <v>349956</v>
      </c>
    </row>
    <row r="5139" ht="16.5" customHeight="1" s="17">
      <c r="A5139" s="20" t="inlineStr">
        <is>
          <t>동영상캠페인_승무원_비누향 나는 승무원에게(cpa)</t>
        </is>
      </c>
      <c r="B5139" s="16" t="n">
        <v>44276</v>
      </c>
      <c r="C5139" s="20" t="inlineStr">
        <is>
          <t>일</t>
        </is>
      </c>
      <c r="D5139" s="20" t="inlineStr">
        <is>
          <t>유튜브 광고</t>
        </is>
      </c>
      <c r="E5139" s="20" t="inlineStr">
        <is>
          <t>고체향수</t>
        </is>
      </c>
      <c r="K5139" s="20" t="n">
        <v>199617</v>
      </c>
    </row>
    <row r="5140" ht="16.5" customHeight="1" s="17">
      <c r="A5140" s="20" t="inlineStr">
        <is>
          <t>동영상캠페인_유즈모먼트_2차_30대 여성 회사원(cpa)</t>
        </is>
      </c>
      <c r="B5140" s="16" t="n">
        <v>44276</v>
      </c>
      <c r="C5140" s="20" t="inlineStr">
        <is>
          <t>일</t>
        </is>
      </c>
      <c r="D5140" s="20" t="inlineStr">
        <is>
          <t>유튜브 광고</t>
        </is>
      </c>
      <c r="E5140" s="20" t="inlineStr">
        <is>
          <t>고체향수</t>
        </is>
      </c>
      <c r="K5140" s="20" t="n">
        <v>19705</v>
      </c>
    </row>
    <row r="5141" ht="16.5" customHeight="1" s="17">
      <c r="A5141" s="20" t="inlineStr">
        <is>
          <t>동영상캠페인_유즈모먼트_조향사 친구(cpa)</t>
        </is>
      </c>
      <c r="B5141" s="16" t="n">
        <v>44276</v>
      </c>
      <c r="C5141" s="20" t="inlineStr">
        <is>
          <t>일</t>
        </is>
      </c>
      <c r="D5141" s="20" t="inlineStr">
        <is>
          <t>유튜브 광고</t>
        </is>
      </c>
      <c r="E5141" s="20" t="inlineStr">
        <is>
          <t>고체향수</t>
        </is>
      </c>
      <c r="K5141" s="20" t="n">
        <v>99526</v>
      </c>
    </row>
    <row r="5142" ht="16.5" customHeight="1" s="17">
      <c r="A5142" s="20" t="inlineStr">
        <is>
          <t>동영상 캠페인_유튜버 수지큐 2차활용</t>
        </is>
      </c>
      <c r="B5142" s="16" t="n">
        <v>44276</v>
      </c>
      <c r="C5142" s="20" t="inlineStr">
        <is>
          <t>일</t>
        </is>
      </c>
      <c r="D5142" s="20" t="inlineStr">
        <is>
          <t>유튜브 광고</t>
        </is>
      </c>
      <c r="E5142" s="20" t="inlineStr">
        <is>
          <t>고체향수</t>
        </is>
      </c>
      <c r="K5142" s="20" t="n">
        <v>99479</v>
      </c>
    </row>
    <row r="5143" ht="16.5" customHeight="1" s="17">
      <c r="A5143" s="20" t="inlineStr">
        <is>
          <t>메인키워드</t>
        </is>
      </c>
      <c r="B5143" s="16" t="n">
        <v>44276</v>
      </c>
      <c r="C5143" s="20" t="inlineStr">
        <is>
          <t>일</t>
        </is>
      </c>
      <c r="D5143" s="20" t="inlineStr">
        <is>
          <t>네이버 쇼핑검색</t>
        </is>
      </c>
      <c r="E5143" s="20" t="inlineStr">
        <is>
          <t>고체향수</t>
        </is>
      </c>
      <c r="K5143" s="20" t="n">
        <v>44040</v>
      </c>
    </row>
    <row r="5144" ht="16.5" customHeight="1" s="17">
      <c r="A5144" s="20" t="inlineStr">
        <is>
          <t>세부키워드1</t>
        </is>
      </c>
      <c r="B5144" s="16" t="n">
        <v>44276</v>
      </c>
      <c r="C5144" s="20" t="inlineStr">
        <is>
          <t>일</t>
        </is>
      </c>
      <c r="D5144" s="20" t="inlineStr">
        <is>
          <t>네이버 쇼핑검색</t>
        </is>
      </c>
      <c r="E5144" s="20" t="inlineStr">
        <is>
          <t>고체향수</t>
        </is>
      </c>
      <c r="K5144" s="20" t="n">
        <v>42130</v>
      </c>
    </row>
    <row r="5145" ht="16.5" customHeight="1" s="17">
      <c r="A5145" s="20" t="inlineStr">
        <is>
          <t>세부키워드2</t>
        </is>
      </c>
      <c r="B5145" s="16" t="n">
        <v>44276</v>
      </c>
      <c r="C5145" s="20" t="inlineStr">
        <is>
          <t>일</t>
        </is>
      </c>
      <c r="D5145" s="20" t="inlineStr">
        <is>
          <t>네이버 쇼핑검색</t>
        </is>
      </c>
      <c r="E5145" s="20" t="inlineStr">
        <is>
          <t>고체향수</t>
        </is>
      </c>
      <c r="K5145" s="20" t="n">
        <v>13820</v>
      </c>
    </row>
    <row r="5146" ht="16.5" customHeight="1" s="17">
      <c r="A5146" s="20" t="inlineStr">
        <is>
          <t>세부키워드3</t>
        </is>
      </c>
      <c r="B5146" s="16" t="n">
        <v>44276</v>
      </c>
      <c r="C5146" s="20" t="inlineStr">
        <is>
          <t>일</t>
        </is>
      </c>
      <c r="D5146" s="20" t="inlineStr">
        <is>
          <t>네이버 쇼핑검색</t>
        </is>
      </c>
      <c r="E5146" s="20" t="inlineStr">
        <is>
          <t>고체향수</t>
        </is>
      </c>
      <c r="K5146" s="20" t="n">
        <v>36680</v>
      </c>
    </row>
    <row r="5147" ht="16.5" customHeight="1" s="17">
      <c r="A5147" s="20" t="inlineStr">
        <is>
          <t>모바일 브검</t>
        </is>
      </c>
      <c r="B5147" s="16" t="n">
        <v>44276</v>
      </c>
      <c r="C5147" s="20" t="inlineStr">
        <is>
          <t>일</t>
        </is>
      </c>
      <c r="D5147" s="20" t="inlineStr">
        <is>
          <t>네이버 브랜드검색</t>
        </is>
      </c>
      <c r="E5147" s="20" t="inlineStr">
        <is>
          <t>브랜드</t>
        </is>
      </c>
      <c r="K5147" s="20" t="n">
        <v>140000</v>
      </c>
    </row>
    <row r="5148" ht="16.5" customHeight="1" s="17">
      <c r="A5148" s="20" t="inlineStr">
        <is>
          <t>PC 브랜드검색</t>
        </is>
      </c>
      <c r="B5148" s="16" t="n">
        <v>44276</v>
      </c>
      <c r="C5148" s="20" t="inlineStr">
        <is>
          <t>일</t>
        </is>
      </c>
      <c r="D5148" s="20" t="inlineStr">
        <is>
          <t>네이버 브랜드검색</t>
        </is>
      </c>
      <c r="E5148" s="20" t="inlineStr">
        <is>
          <t>브랜드</t>
        </is>
      </c>
      <c r="K5148" s="20" t="n">
        <v>16700</v>
      </c>
    </row>
    <row r="5149" ht="16.5" customHeight="1" s="17">
      <c r="A5149" s="20" t="inlineStr">
        <is>
          <t>메인키워드</t>
        </is>
      </c>
      <c r="B5149" s="16" t="n">
        <v>44275</v>
      </c>
      <c r="C5149" s="20" t="inlineStr">
        <is>
          <t>토</t>
        </is>
      </c>
      <c r="D5149" s="20" t="inlineStr">
        <is>
          <t>네이버 쇼핑검색</t>
        </is>
      </c>
      <c r="E5149" s="20" t="inlineStr">
        <is>
          <t>고체향수</t>
        </is>
      </c>
      <c r="K5149" s="20" t="n">
        <v>45309.99999999999</v>
      </c>
    </row>
    <row r="5150" ht="16.5" customHeight="1" s="17">
      <c r="A5150" s="20" t="inlineStr">
        <is>
          <t>세부키워드1</t>
        </is>
      </c>
      <c r="B5150" s="16" t="n">
        <v>44275</v>
      </c>
      <c r="C5150" s="20" t="inlineStr">
        <is>
          <t>토</t>
        </is>
      </c>
      <c r="D5150" s="20" t="inlineStr">
        <is>
          <t>네이버 쇼핑검색</t>
        </is>
      </c>
      <c r="E5150" s="20" t="inlineStr">
        <is>
          <t>고체향수</t>
        </is>
      </c>
      <c r="K5150" s="20" t="n">
        <v>29950</v>
      </c>
    </row>
    <row r="5151" ht="16.5" customHeight="1" s="17">
      <c r="A5151" s="20" t="inlineStr">
        <is>
          <t>세부키워드2</t>
        </is>
      </c>
      <c r="B5151" s="16" t="n">
        <v>44275</v>
      </c>
      <c r="C5151" s="20" t="inlineStr">
        <is>
          <t>토</t>
        </is>
      </c>
      <c r="D5151" s="20" t="inlineStr">
        <is>
          <t>네이버 쇼핑검색</t>
        </is>
      </c>
      <c r="E5151" s="20" t="inlineStr">
        <is>
          <t>고체향수</t>
        </is>
      </c>
      <c r="K5151" s="20" t="n">
        <v>1080</v>
      </c>
    </row>
    <row r="5152" ht="16.5" customHeight="1" s="17">
      <c r="A5152" s="20" t="inlineStr">
        <is>
          <t>세부키워드3</t>
        </is>
      </c>
      <c r="B5152" s="16" t="n">
        <v>44275</v>
      </c>
      <c r="C5152" s="20" t="inlineStr">
        <is>
          <t>토</t>
        </is>
      </c>
      <c r="D5152" s="20" t="inlineStr">
        <is>
          <t>네이버 쇼핑검색</t>
        </is>
      </c>
      <c r="E5152" s="20" t="inlineStr">
        <is>
          <t>고체향수</t>
        </is>
      </c>
      <c r="K5152" s="20" t="n">
        <v>59529.99999999999</v>
      </c>
    </row>
    <row r="5153" ht="16.5" customHeight="1" s="17">
      <c r="A5153" s="20" t="inlineStr">
        <is>
          <t>모바일 브검</t>
        </is>
      </c>
      <c r="B5153" s="16" t="n">
        <v>44275</v>
      </c>
      <c r="C5153" s="20" t="inlineStr">
        <is>
          <t>토</t>
        </is>
      </c>
      <c r="D5153" s="20" t="inlineStr">
        <is>
          <t>네이버 브랜드검색</t>
        </is>
      </c>
      <c r="E5153" s="20" t="inlineStr">
        <is>
          <t>브랜드</t>
        </is>
      </c>
      <c r="K5153" s="20" t="n">
        <v>140000</v>
      </c>
    </row>
    <row r="5154" ht="16.5" customHeight="1" s="17">
      <c r="A5154" s="20" t="inlineStr">
        <is>
          <t>PC 브랜드검색</t>
        </is>
      </c>
      <c r="B5154" s="16" t="n">
        <v>44275</v>
      </c>
      <c r="C5154" s="20" t="inlineStr">
        <is>
          <t>토</t>
        </is>
      </c>
      <c r="D5154" s="20" t="inlineStr">
        <is>
          <t>네이버 브랜드검색</t>
        </is>
      </c>
      <c r="E5154" s="20" t="inlineStr">
        <is>
          <t>브랜드</t>
        </is>
      </c>
      <c r="K5154" s="20" t="n">
        <v>16700</v>
      </c>
    </row>
    <row r="5155" ht="16.5" customHeight="1" s="17">
      <c r="A5155" s="20" t="inlineStr">
        <is>
          <t>메인키워드</t>
        </is>
      </c>
      <c r="B5155" s="16" t="n">
        <v>44274</v>
      </c>
      <c r="C5155" s="20" t="inlineStr">
        <is>
          <t>금</t>
        </is>
      </c>
      <c r="D5155" s="20" t="inlineStr">
        <is>
          <t>네이버 쇼핑검색</t>
        </is>
      </c>
      <c r="E5155" s="20" t="inlineStr">
        <is>
          <t>고체향수</t>
        </is>
      </c>
      <c r="K5155" s="20" t="n">
        <v>57199.99999999999</v>
      </c>
    </row>
    <row r="5156" ht="16.5" customHeight="1" s="17">
      <c r="A5156" s="20" t="inlineStr">
        <is>
          <t>세부키워드1</t>
        </is>
      </c>
      <c r="B5156" s="16" t="n">
        <v>44274</v>
      </c>
      <c r="C5156" s="20" t="inlineStr">
        <is>
          <t>금</t>
        </is>
      </c>
      <c r="D5156" s="20" t="inlineStr">
        <is>
          <t>네이버 쇼핑검색</t>
        </is>
      </c>
      <c r="E5156" s="20" t="inlineStr">
        <is>
          <t>고체향수</t>
        </is>
      </c>
      <c r="K5156" s="20" t="n">
        <v>29120</v>
      </c>
    </row>
    <row r="5157" ht="16.5" customHeight="1" s="17">
      <c r="A5157" s="20" t="inlineStr">
        <is>
          <t>세부키워드2</t>
        </is>
      </c>
      <c r="B5157" s="16" t="n">
        <v>44274</v>
      </c>
      <c r="C5157" s="20" t="inlineStr">
        <is>
          <t>금</t>
        </is>
      </c>
      <c r="D5157" s="20" t="inlineStr">
        <is>
          <t>네이버 쇼핑검색</t>
        </is>
      </c>
      <c r="E5157" s="20" t="inlineStr">
        <is>
          <t>고체향수</t>
        </is>
      </c>
      <c r="K5157" s="20" t="n">
        <v>19470</v>
      </c>
    </row>
    <row r="5158" ht="16.5" customHeight="1" s="17">
      <c r="A5158" s="20" t="inlineStr">
        <is>
          <t>세부키워드3</t>
        </is>
      </c>
      <c r="B5158" s="16" t="n">
        <v>44274</v>
      </c>
      <c r="C5158" s="20" t="inlineStr">
        <is>
          <t>금</t>
        </is>
      </c>
      <c r="D5158" s="20" t="inlineStr">
        <is>
          <t>네이버 쇼핑검색</t>
        </is>
      </c>
      <c r="E5158" s="20" t="inlineStr">
        <is>
          <t>고체향수</t>
        </is>
      </c>
      <c r="K5158" s="20" t="n">
        <v>32860</v>
      </c>
    </row>
    <row r="5159" ht="16.5" customHeight="1" s="17">
      <c r="A5159" s="20" t="inlineStr">
        <is>
          <t>모바일 브검</t>
        </is>
      </c>
      <c r="B5159" s="16" t="n">
        <v>44274</v>
      </c>
      <c r="C5159" s="20" t="inlineStr">
        <is>
          <t>금</t>
        </is>
      </c>
      <c r="D5159" s="20" t="inlineStr">
        <is>
          <t>네이버 브랜드검색</t>
        </is>
      </c>
      <c r="E5159" s="20" t="inlineStr">
        <is>
          <t>브랜드</t>
        </is>
      </c>
      <c r="K5159" s="20" t="n">
        <v>140000</v>
      </c>
    </row>
    <row r="5160" ht="16.5" customHeight="1" s="17">
      <c r="A5160" s="20" t="inlineStr">
        <is>
          <t>PC 브랜드검색</t>
        </is>
      </c>
      <c r="B5160" s="16" t="n">
        <v>44274</v>
      </c>
      <c r="C5160" s="20" t="inlineStr">
        <is>
          <t>금</t>
        </is>
      </c>
      <c r="D5160" s="20" t="inlineStr">
        <is>
          <t>네이버 브랜드검색</t>
        </is>
      </c>
      <c r="E5160" s="20" t="inlineStr">
        <is>
          <t>브랜드</t>
        </is>
      </c>
      <c r="K5160" s="20" t="n">
        <v>16700</v>
      </c>
    </row>
    <row r="5161" ht="16.5" customHeight="1" s="17">
      <c r="A5161" s="20" t="inlineStr">
        <is>
          <t>고체향수_전환추적</t>
        </is>
      </c>
      <c r="B5161" s="16" t="n">
        <v>44274</v>
      </c>
      <c r="C5161" s="20" t="inlineStr">
        <is>
          <t>금</t>
        </is>
      </c>
      <c r="D5161" s="20" t="inlineStr">
        <is>
          <t>네이버 배너</t>
        </is>
      </c>
      <c r="E5161" s="20" t="inlineStr">
        <is>
          <t>고체향수</t>
        </is>
      </c>
      <c r="K5161" s="20" t="n">
        <v>259265.4545454545</v>
      </c>
    </row>
    <row r="5162" ht="16.5" customHeight="1" s="17">
      <c r="A5162" s="20" t="inlineStr">
        <is>
          <t>고체향수</t>
        </is>
      </c>
      <c r="B5162" s="16" t="n">
        <v>44274</v>
      </c>
      <c r="C5162" s="20" t="inlineStr">
        <is>
          <t>금</t>
        </is>
      </c>
      <c r="D5162" s="20" t="inlineStr">
        <is>
          <t>네이버 배너</t>
        </is>
      </c>
      <c r="E5162" s="20" t="inlineStr">
        <is>
          <t>고체향수</t>
        </is>
      </c>
      <c r="K5162" s="20" t="n">
        <v>981048.1818181818</v>
      </c>
    </row>
    <row r="5163" ht="16.5" customHeight="1" s="17">
      <c r="A5163" s="20" t="inlineStr">
        <is>
          <t>고체향수_전환추적</t>
        </is>
      </c>
      <c r="B5163" s="16" t="n">
        <v>44275</v>
      </c>
      <c r="C5163" s="20" t="inlineStr">
        <is>
          <t>토</t>
        </is>
      </c>
      <c r="D5163" s="20" t="inlineStr">
        <is>
          <t>네이버 배너</t>
        </is>
      </c>
      <c r="E5163" s="20" t="inlineStr">
        <is>
          <t>고체향수</t>
        </is>
      </c>
      <c r="K5163" s="20" t="n">
        <v>259839.0909090909</v>
      </c>
    </row>
    <row r="5164" ht="16.5" customHeight="1" s="17">
      <c r="A5164" s="20" t="inlineStr">
        <is>
          <t>고체향수</t>
        </is>
      </c>
      <c r="B5164" s="16" t="n">
        <v>44275</v>
      </c>
      <c r="C5164" s="20" t="inlineStr">
        <is>
          <t>토</t>
        </is>
      </c>
      <c r="D5164" s="20" t="inlineStr">
        <is>
          <t>네이버 배너</t>
        </is>
      </c>
      <c r="E5164" s="20" t="inlineStr">
        <is>
          <t>고체향수</t>
        </is>
      </c>
      <c r="K5164" s="20" t="n">
        <v>1033903.636363636</v>
      </c>
    </row>
    <row r="5165" ht="16.5" customHeight="1" s="17">
      <c r="A5165" s="20" t="inlineStr">
        <is>
          <t>고체향수_전환추적</t>
        </is>
      </c>
      <c r="B5165" s="16" t="n">
        <v>44276</v>
      </c>
      <c r="C5165" s="20" t="inlineStr">
        <is>
          <t>일</t>
        </is>
      </c>
      <c r="D5165" s="20" t="inlineStr">
        <is>
          <t>네이버 배너</t>
        </is>
      </c>
      <c r="E5165" s="20" t="inlineStr">
        <is>
          <t>고체향수</t>
        </is>
      </c>
      <c r="K5165" s="20" t="n">
        <v>448124.5454545454</v>
      </c>
    </row>
    <row r="5166" ht="16.5" customHeight="1" s="17">
      <c r="A5166" s="20" t="inlineStr">
        <is>
          <t>고체향수</t>
        </is>
      </c>
      <c r="B5166" s="16" t="n">
        <v>44276</v>
      </c>
      <c r="C5166" s="20" t="inlineStr">
        <is>
          <t>일</t>
        </is>
      </c>
      <c r="D5166" s="20" t="inlineStr">
        <is>
          <t>네이버 배너</t>
        </is>
      </c>
      <c r="E5166" s="20" t="inlineStr">
        <is>
          <t>고체향수</t>
        </is>
      </c>
      <c r="K5166" s="20" t="n">
        <v>1191197.272727273</v>
      </c>
    </row>
    <row r="5167" ht="16.5" customHeight="1" s="17">
      <c r="A5167" s="20" t="inlineStr">
        <is>
          <t>고체향수_승무원 어피_Npay 추적</t>
        </is>
      </c>
      <c r="B5167" s="16" t="n">
        <v>44274</v>
      </c>
      <c r="C5167" s="20" t="inlineStr">
        <is>
          <t>금</t>
        </is>
      </c>
      <c r="D5167" s="20" t="inlineStr">
        <is>
          <t>카카오 배너</t>
        </is>
      </c>
      <c r="E5167" s="20" t="inlineStr">
        <is>
          <t>고체향수</t>
        </is>
      </c>
      <c r="K5167" s="20" t="n">
        <v>181910</v>
      </c>
    </row>
    <row r="5168" ht="16.5" customHeight="1" s="17">
      <c r="A5168" s="20" t="inlineStr">
        <is>
          <t>고체향수_Npay 추적</t>
        </is>
      </c>
      <c r="B5168" s="16" t="n">
        <v>44274</v>
      </c>
      <c r="C5168" s="20" t="inlineStr">
        <is>
          <t>금</t>
        </is>
      </c>
      <c r="D5168" s="20" t="inlineStr">
        <is>
          <t>카카오 배너</t>
        </is>
      </c>
      <c r="E5168" s="20" t="inlineStr">
        <is>
          <t>고체향수</t>
        </is>
      </c>
      <c r="K5168" s="20" t="n">
        <v>838979.9999999999</v>
      </c>
    </row>
    <row r="5169" ht="16.5" customHeight="1" s="17">
      <c r="A5169" s="20" t="inlineStr">
        <is>
          <t>고체향수_승무원 어피_Npay 추적</t>
        </is>
      </c>
      <c r="B5169" s="16" t="n">
        <v>44275</v>
      </c>
      <c r="C5169" s="20" t="inlineStr">
        <is>
          <t>토</t>
        </is>
      </c>
      <c r="D5169" s="20" t="inlineStr">
        <is>
          <t>카카오 배너</t>
        </is>
      </c>
      <c r="E5169" s="20" t="inlineStr">
        <is>
          <t>고체향수</t>
        </is>
      </c>
      <c r="K5169" s="20" t="n">
        <v>182830</v>
      </c>
    </row>
    <row r="5170" ht="16.5" customHeight="1" s="17">
      <c r="A5170" s="20" t="inlineStr">
        <is>
          <t>고체향수_Npay 추적</t>
        </is>
      </c>
      <c r="B5170" s="16" t="n">
        <v>44275</v>
      </c>
      <c r="C5170" s="20" t="inlineStr">
        <is>
          <t>토</t>
        </is>
      </c>
      <c r="D5170" s="20" t="inlineStr">
        <is>
          <t>카카오 배너</t>
        </is>
      </c>
      <c r="E5170" s="20" t="inlineStr">
        <is>
          <t>고체향수</t>
        </is>
      </c>
      <c r="K5170" s="20" t="n">
        <v>837169.9999999999</v>
      </c>
    </row>
    <row r="5171" ht="16.5" customHeight="1" s="17">
      <c r="A5171" s="20" t="inlineStr">
        <is>
          <t>고체향수_승무원 어피_Npay 추적</t>
        </is>
      </c>
      <c r="B5171" s="16" t="n">
        <v>44276</v>
      </c>
      <c r="C5171" s="20" t="inlineStr">
        <is>
          <t>일</t>
        </is>
      </c>
      <c r="D5171" s="20" t="inlineStr">
        <is>
          <t>카카오 배너</t>
        </is>
      </c>
      <c r="E5171" s="20" t="inlineStr">
        <is>
          <t>고체향수</t>
        </is>
      </c>
      <c r="K5171" s="20" t="n">
        <v>182990</v>
      </c>
    </row>
    <row r="5172" ht="16.5" customHeight="1" s="17">
      <c r="A5172" s="20" t="inlineStr">
        <is>
          <t>고체향수_Npay 추적</t>
        </is>
      </c>
      <c r="B5172" s="16" t="n">
        <v>44276</v>
      </c>
      <c r="C5172" s="20" t="inlineStr">
        <is>
          <t>일</t>
        </is>
      </c>
      <c r="D5172" s="20" t="inlineStr">
        <is>
          <t>카카오 배너</t>
        </is>
      </c>
      <c r="E5172" s="20" t="inlineStr">
        <is>
          <t>고체향수</t>
        </is>
      </c>
      <c r="K5172" s="20" t="n">
        <v>784249.9999999999</v>
      </c>
    </row>
    <row r="5173" ht="16.5" customHeight="1" s="17">
      <c r="B5173" s="16" t="n">
        <v>44274</v>
      </c>
      <c r="C5173" s="20" t="inlineStr">
        <is>
          <t>금</t>
        </is>
      </c>
      <c r="E5173" s="20" t="inlineStr">
        <is>
          <t>고체향수</t>
        </is>
      </c>
      <c r="F5173" s="20" t="inlineStr">
        <is>
          <t>W컨셉</t>
        </is>
      </c>
      <c r="G5173" s="20" t="inlineStr">
        <is>
          <t>솔리드퍼퓸 이그나이트/스테이포에버 30ml (2종 택1)&lt;옵션1&gt;002 STAY FOREVER</t>
        </is>
      </c>
      <c r="H5173" s="20" t="n">
        <v>6</v>
      </c>
      <c r="I5173" s="20" t="inlineStr">
        <is>
          <t>스테이포에버</t>
        </is>
      </c>
      <c r="J5173" s="20" t="inlineStr">
        <is>
          <t>210207</t>
        </is>
      </c>
      <c r="L5173" s="20" t="n">
        <v>204000</v>
      </c>
      <c r="M5173" s="20" t="n">
        <v>142800</v>
      </c>
      <c r="N5173" s="20" t="n">
        <v>15552</v>
      </c>
      <c r="O5173" s="20" t="inlineStr">
        <is>
          <t>W컨셉고체향수솔리드퍼퓸 이그나이트/스테이포에버 30ml (2종 택1)&lt;옵션1&gt;002 STAY FOREVER210207</t>
        </is>
      </c>
    </row>
    <row r="5174" ht="16.5" customHeight="1" s="17">
      <c r="B5174" s="16" t="n">
        <v>44274</v>
      </c>
      <c r="C5174" s="20" t="inlineStr">
        <is>
          <t>금</t>
        </is>
      </c>
      <c r="E5174" s="20" t="inlineStr">
        <is>
          <t>고체향수</t>
        </is>
      </c>
      <c r="F5174" s="20" t="inlineStr">
        <is>
          <t>W컨셉</t>
        </is>
      </c>
      <c r="G5174" s="20" t="inlineStr">
        <is>
          <t>솔리드퍼퓸 이그나이트/스테이포에버 30ml (2종 택1)&lt;옵션1&gt;IGNITE + STAY FOREVER</t>
        </is>
      </c>
      <c r="H5174" s="20" t="n">
        <v>2</v>
      </c>
      <c r="I5174" s="20" t="inlineStr">
        <is>
          <t>이그나이트 + 스테이포에버</t>
        </is>
      </c>
      <c r="J5174" s="20" t="inlineStr">
        <is>
          <t>210207</t>
        </is>
      </c>
      <c r="L5174" s="20" t="n">
        <v>117600</v>
      </c>
      <c r="M5174" s="20" t="n">
        <v>94080</v>
      </c>
      <c r="N5174" s="20" t="n">
        <v>10690</v>
      </c>
      <c r="O5174" s="20" t="inlineStr">
        <is>
          <t>W컨셉고체향수솔리드퍼퓸 이그나이트/스테이포에버 30ml (2종 택1)&lt;옵션1&gt;IGNITE + STAY FOREVER210207</t>
        </is>
      </c>
    </row>
    <row r="5175" ht="16.5" customHeight="1" s="17">
      <c r="B5175" s="16" t="n">
        <v>44274</v>
      </c>
      <c r="C5175" s="20" t="inlineStr">
        <is>
          <t>금</t>
        </is>
      </c>
      <c r="E5175" s="20" t="inlineStr">
        <is>
          <t>고체향수</t>
        </is>
      </c>
      <c r="F5175" s="20" t="inlineStr">
        <is>
          <t>스마트스토어</t>
        </is>
      </c>
      <c r="G5175" s="20" t="inlineStr">
        <is>
          <t>유즈 고체향수 세트(유즈 스테이포에버, 유즈 이그나이트)고체향수: 스테이포에버 1개 + 이그나이트 1개</t>
        </is>
      </c>
      <c r="H5175" s="20" t="n">
        <v>4</v>
      </c>
      <c r="I5175" s="20" t="inlineStr">
        <is>
          <t>이그나이트 + 스테이포에버</t>
        </is>
      </c>
      <c r="J5175" s="20" t="inlineStr">
        <is>
          <t>210207</t>
        </is>
      </c>
      <c r="L5175" s="20" t="n">
        <v>235200</v>
      </c>
      <c r="M5175" s="20" t="n">
        <v>221440.8</v>
      </c>
      <c r="N5175" s="20" t="n">
        <v>21380</v>
      </c>
      <c r="O5175" s="20" t="inlineStr">
        <is>
          <t>스마트스토어고체향수유즈 고체향수 세트(유즈 스테이포에버, 유즈 이그나이트)고체향수: 스테이포에버 1개 + 이그나이트 1개210207</t>
        </is>
      </c>
    </row>
    <row r="5176" ht="16.5" customHeight="1" s="17">
      <c r="B5176" s="16" t="n">
        <v>44274</v>
      </c>
      <c r="C5176" s="20" t="inlineStr">
        <is>
          <t>금</t>
        </is>
      </c>
      <c r="E5176" s="20" t="inlineStr">
        <is>
          <t>고체향수</t>
        </is>
      </c>
      <c r="F5176" s="20" t="inlineStr">
        <is>
          <t>스마트스토어</t>
        </is>
      </c>
      <c r="G5176" s="20" t="inlineStr">
        <is>
          <t>유즈 고체향수 세트(유즈 스테이포에버, 유즈 이그나이트)고체향수: 스테이포에버 2개</t>
        </is>
      </c>
      <c r="H5176" s="20" t="n">
        <v>3</v>
      </c>
      <c r="I5176" s="20" t="inlineStr">
        <is>
          <t>스테이포에버 2set</t>
        </is>
      </c>
      <c r="J5176" s="20" t="inlineStr">
        <is>
          <t>210207</t>
        </is>
      </c>
      <c r="L5176" s="20" t="n">
        <v>176400</v>
      </c>
      <c r="M5176" s="20" t="n">
        <v>172872</v>
      </c>
      <c r="N5176" s="20" t="n">
        <v>15552</v>
      </c>
      <c r="O5176" s="20" t="inlineStr">
        <is>
          <t>스마트스토어고체향수유즈 고체향수 세트(유즈 스테이포에버, 유즈 이그나이트)고체향수: 스테이포에버 2개210207</t>
        </is>
      </c>
    </row>
    <row r="5177" ht="16.5" customHeight="1" s="17">
      <c r="B5177" s="16" t="n">
        <v>44274</v>
      </c>
      <c r="C5177" s="20" t="inlineStr">
        <is>
          <t>금</t>
        </is>
      </c>
      <c r="E5177" s="20" t="inlineStr">
        <is>
          <t>고체향수</t>
        </is>
      </c>
      <c r="F5177" s="20" t="inlineStr">
        <is>
          <t>스마트스토어</t>
        </is>
      </c>
      <c r="G5177" s="20" t="inlineStr">
        <is>
          <t>유즈 고체향수 스테이포에버 002고체향수: 스테이포에버 1개</t>
        </is>
      </c>
      <c r="H5177" s="20" t="n">
        <v>17</v>
      </c>
      <c r="I5177" s="20" t="inlineStr">
        <is>
          <t>스테이포에버</t>
        </is>
      </c>
      <c r="J5177" s="20" t="inlineStr">
        <is>
          <t>210207</t>
        </is>
      </c>
      <c r="L5177" s="20" t="n">
        <v>578000</v>
      </c>
      <c r="M5177" s="20" t="n">
        <v>566440</v>
      </c>
      <c r="N5177" s="20" t="n">
        <v>44064</v>
      </c>
      <c r="O5177" s="20" t="inlineStr">
        <is>
          <t>스마트스토어고체향수유즈 고체향수 스테이포에버 002고체향수: 스테이포에버 1개210207</t>
        </is>
      </c>
    </row>
    <row r="5178" ht="16.5" customHeight="1" s="17">
      <c r="B5178" s="16" t="n">
        <v>44274</v>
      </c>
      <c r="C5178" s="20" t="inlineStr">
        <is>
          <t>금</t>
        </is>
      </c>
      <c r="E5178" s="20" t="inlineStr">
        <is>
          <t>고체향수</t>
        </is>
      </c>
      <c r="F5178" s="20" t="inlineStr">
        <is>
          <t>카페24</t>
        </is>
      </c>
      <c r="G5178" s="20" t="inlineStr">
        <is>
          <t>솔리드퍼퓸 세트향=이그나이트 001 SOLID PERFUME, 세트 선택=best 2개 (28% 할인)</t>
        </is>
      </c>
      <c r="H5178" s="20" t="n">
        <v>2</v>
      </c>
      <c r="I5178" s="20" t="inlineStr">
        <is>
          <t>이그나이트 2set</t>
        </is>
      </c>
      <c r="J5178" s="20" t="inlineStr">
        <is>
          <t>210207</t>
        </is>
      </c>
      <c r="L5178" s="20" t="n">
        <v>117600</v>
      </c>
      <c r="M5178" s="20" t="n">
        <v>110720.4</v>
      </c>
      <c r="N5178" s="20" t="n">
        <v>11012</v>
      </c>
      <c r="O5178" s="20" t="inlineStr">
        <is>
          <t>카페24고체향수솔리드퍼퓸 세트향=이그나이트 001 SOLID PERFUME, 세트 선택=best 2개 (28% 할인)210207</t>
        </is>
      </c>
    </row>
    <row r="5179" ht="16.5" customHeight="1" s="17">
      <c r="B5179" s="16" t="n">
        <v>44274</v>
      </c>
      <c r="C5179" s="20" t="inlineStr">
        <is>
          <t>금</t>
        </is>
      </c>
      <c r="E5179" s="20" t="inlineStr">
        <is>
          <t>고체향수</t>
        </is>
      </c>
      <c r="F5179" s="20" t="inlineStr">
        <is>
          <t>카페24</t>
        </is>
      </c>
      <c r="G5179" s="20" t="inlineStr">
        <is>
          <t>솔리드퍼퓸 세트향=스테이포에버 002 SOLID PERFUME, 세트 선택=1개</t>
        </is>
      </c>
      <c r="H5179" s="20" t="n">
        <v>3</v>
      </c>
      <c r="I5179" s="20" t="inlineStr">
        <is>
          <t>스테이포에버</t>
        </is>
      </c>
      <c r="J5179" s="20" t="inlineStr">
        <is>
          <t>210207</t>
        </is>
      </c>
      <c r="L5179" s="20" t="n">
        <v>102000</v>
      </c>
      <c r="M5179" s="20" t="n">
        <v>96033</v>
      </c>
      <c r="N5179" s="20" t="n">
        <v>7776</v>
      </c>
      <c r="O5179" s="20" t="inlineStr">
        <is>
          <t>카페24고체향수솔리드퍼퓸 세트향=스테이포에버 002 SOLID PERFUME, 세트 선택=1개210207</t>
        </is>
      </c>
    </row>
    <row r="5180" ht="16.5" customHeight="1" s="17">
      <c r="B5180" s="16" t="n">
        <v>44274</v>
      </c>
      <c r="C5180" s="20" t="inlineStr">
        <is>
          <t>금</t>
        </is>
      </c>
      <c r="E5180" s="20" t="inlineStr">
        <is>
          <t>고체향수</t>
        </is>
      </c>
      <c r="F5180" s="20" t="inlineStr">
        <is>
          <t>카페24</t>
        </is>
      </c>
      <c r="G5180" s="20" t="inlineStr">
        <is>
          <t>솔리드퍼퓸 세트향=스테이포에버 002 SOLID PERFUME, 세트 선택=best 2개 (28% 할인)</t>
        </is>
      </c>
      <c r="H5180" s="20" t="n">
        <v>7</v>
      </c>
      <c r="I5180" s="20" t="inlineStr">
        <is>
          <t>스테이포에버 2set</t>
        </is>
      </c>
      <c r="J5180" s="20" t="inlineStr">
        <is>
          <t>210207</t>
        </is>
      </c>
      <c r="L5180" s="20" t="n">
        <v>411600</v>
      </c>
      <c r="M5180" s="20" t="n">
        <v>387521.4</v>
      </c>
      <c r="N5180" s="20" t="n">
        <v>36288</v>
      </c>
      <c r="O5180" s="20" t="inlineStr">
        <is>
          <t>카페24고체향수솔리드퍼퓸 세트향=스테이포에버 002 SOLID PERFUME, 세트 선택=best 2개 (28% 할인)210207</t>
        </is>
      </c>
    </row>
    <row r="5181" ht="16.5" customHeight="1" s="17">
      <c r="B5181" s="16" t="n">
        <v>44274</v>
      </c>
      <c r="C5181" s="20" t="inlineStr">
        <is>
          <t>금</t>
        </is>
      </c>
      <c r="E5181" s="20" t="inlineStr">
        <is>
          <t>고체향수</t>
        </is>
      </c>
      <c r="F5181" s="20" t="inlineStr">
        <is>
          <t>카페24</t>
        </is>
      </c>
      <c r="G5181" s="20" t="inlineStr">
        <is>
          <t>솔리드퍼퓸 세트향=커플세트(이그나이트 + 스테이포에버), 세트 선택=1 SET</t>
        </is>
      </c>
      <c r="H5181" s="20" t="n">
        <v>10</v>
      </c>
      <c r="I5181" s="20" t="inlineStr">
        <is>
          <t>이그나이트 + 스테이포에버</t>
        </is>
      </c>
      <c r="J5181" s="20" t="inlineStr">
        <is>
          <t>210207</t>
        </is>
      </c>
      <c r="L5181" s="20" t="n">
        <v>588000</v>
      </c>
      <c r="M5181" s="20" t="n">
        <v>553602</v>
      </c>
      <c r="N5181" s="20" t="n">
        <v>53450</v>
      </c>
      <c r="O5181" s="20" t="inlineStr">
        <is>
          <t>카페24고체향수솔리드퍼퓸 세트향=커플세트(이그나이트 + 스테이포에버), 세트 선택=1 SET210207</t>
        </is>
      </c>
    </row>
    <row r="5182" ht="16.5" customHeight="1" s="17">
      <c r="B5182" s="16" t="n">
        <v>44274</v>
      </c>
      <c r="C5182" s="20" t="inlineStr">
        <is>
          <t>금</t>
        </is>
      </c>
      <c r="E5182" s="20" t="inlineStr">
        <is>
          <t>고체향수</t>
        </is>
      </c>
      <c r="F5182" s="20" t="inlineStr">
        <is>
          <t>카페24</t>
        </is>
      </c>
      <c r="G5182" s="20" t="inlineStr">
        <is>
          <t>솔리드퍼퓸 세트향=커플세트(이그나이트 + 스테이포에버), 세트 선택=2 SET (42% 할인)</t>
        </is>
      </c>
      <c r="H5182" s="20" t="n">
        <v>4</v>
      </c>
      <c r="I5182" s="20" t="inlineStr">
        <is>
          <t>이그나이트 + 스테이포에버</t>
        </is>
      </c>
      <c r="J5182" s="20" t="inlineStr">
        <is>
          <t>210207</t>
        </is>
      </c>
      <c r="L5182" s="20" t="n">
        <v>235200</v>
      </c>
      <c r="M5182" s="20" t="n">
        <v>221440.8</v>
      </c>
      <c r="N5182" s="20" t="n">
        <v>21380</v>
      </c>
      <c r="O5182" s="20" t="inlineStr">
        <is>
          <t>카페24고체향수솔리드퍼퓸 세트향=커플세트(이그나이트 + 스테이포에버), 세트 선택=2 SET (42% 할인)210207</t>
        </is>
      </c>
    </row>
    <row r="5183" ht="16.5" customHeight="1" s="17">
      <c r="B5183" s="16" t="n">
        <v>44274</v>
      </c>
      <c r="C5183" s="20" t="inlineStr">
        <is>
          <t>금</t>
        </is>
      </c>
      <c r="E5183" s="20" t="inlineStr">
        <is>
          <t>고체향수</t>
        </is>
      </c>
      <c r="F5183" s="20" t="inlineStr">
        <is>
          <t>카페24</t>
        </is>
      </c>
      <c r="G5183" s="20" t="inlineStr">
        <is>
          <t>솔리드퍼퓸 스테이포에버 002제품선택=스테이포에버 1개</t>
        </is>
      </c>
      <c r="H5183" s="20" t="n">
        <v>172</v>
      </c>
      <c r="I5183" s="20" t="inlineStr">
        <is>
          <t>스테이포에버</t>
        </is>
      </c>
      <c r="J5183" s="20" t="inlineStr">
        <is>
          <t>210207</t>
        </is>
      </c>
      <c r="L5183" s="20" t="n">
        <v>5848000</v>
      </c>
      <c r="M5183" s="20" t="n">
        <v>5505892</v>
      </c>
      <c r="N5183" s="20" t="n">
        <v>445824</v>
      </c>
      <c r="O5183" s="20" t="inlineStr">
        <is>
          <t>카페24고체향수솔리드퍼퓸 스테이포에버 002제품선택=스테이포에버 1개210207</t>
        </is>
      </c>
    </row>
    <row r="5184" ht="16.5" customHeight="1" s="17">
      <c r="B5184" s="16" t="n">
        <v>44274</v>
      </c>
      <c r="C5184" s="20" t="inlineStr">
        <is>
          <t>금</t>
        </is>
      </c>
      <c r="E5184" s="20" t="inlineStr">
        <is>
          <t>고체향수</t>
        </is>
      </c>
      <c r="F5184" s="20" t="inlineStr">
        <is>
          <t>카페24</t>
        </is>
      </c>
      <c r="G5184" s="20" t="inlineStr">
        <is>
          <t>솔리드퍼퓸 스테이포에버 002제품선택=best스테이포에버 2개[28% 할인]</t>
        </is>
      </c>
      <c r="H5184" s="20" t="n">
        <v>101</v>
      </c>
      <c r="I5184" s="20" t="inlineStr">
        <is>
          <t>스테이포에버 2set</t>
        </is>
      </c>
      <c r="J5184" s="20" t="inlineStr">
        <is>
          <t>210207</t>
        </is>
      </c>
      <c r="L5184" s="20" t="n">
        <v>5938800</v>
      </c>
      <c r="M5184" s="20" t="n">
        <v>5591380.199999999</v>
      </c>
      <c r="N5184" s="20" t="n">
        <v>523584</v>
      </c>
      <c r="O5184" s="20" t="inlineStr">
        <is>
          <t>카페24고체향수솔리드퍼퓸 스테이포에버 002제품선택=best스테이포에버 2개[28% 할인]210207</t>
        </is>
      </c>
    </row>
    <row r="5185" ht="16.5" customHeight="1" s="17">
      <c r="B5185" s="16" t="n">
        <v>44274</v>
      </c>
      <c r="C5185" s="20" t="inlineStr">
        <is>
          <t>금</t>
        </is>
      </c>
      <c r="E5185" s="20" t="inlineStr">
        <is>
          <t>고체향수</t>
        </is>
      </c>
      <c r="F5185" s="20" t="inlineStr">
        <is>
          <t>카페24</t>
        </is>
      </c>
      <c r="G5185" s="20" t="inlineStr">
        <is>
          <t>솔리드퍼퓸 스테이포에버 002제품선택=커플추천스테이포에버 + 이그나이트 세트</t>
        </is>
      </c>
      <c r="H5185" s="20" t="n">
        <v>6</v>
      </c>
      <c r="I5185" s="20" t="inlineStr">
        <is>
          <t>이그나이트 + 스테이포에버</t>
        </is>
      </c>
      <c r="J5185" s="20" t="inlineStr">
        <is>
          <t>210207</t>
        </is>
      </c>
      <c r="L5185" s="20" t="n">
        <v>352800</v>
      </c>
      <c r="M5185" s="20" t="n">
        <v>332161.2</v>
      </c>
      <c r="N5185" s="20" t="n">
        <v>32070</v>
      </c>
      <c r="O5185" s="20" t="inlineStr">
        <is>
          <t>카페24고체향수솔리드퍼퓸 스테이포에버 002제품선택=커플추천스테이포에버 + 이그나이트 세트210207</t>
        </is>
      </c>
    </row>
    <row r="5186" ht="16.5" customHeight="1" s="17">
      <c r="B5186" s="16" t="n">
        <v>44274</v>
      </c>
      <c r="C5186" s="20" t="inlineStr">
        <is>
          <t>금</t>
        </is>
      </c>
      <c r="E5186" s="20" t="inlineStr">
        <is>
          <t>쇼핑백</t>
        </is>
      </c>
      <c r="F5186" s="20" t="inlineStr">
        <is>
          <t>카페24</t>
        </is>
      </c>
      <c r="G5186" s="20" t="inlineStr">
        <is>
          <t>솔리드퍼퓸 스테이포에버 002쇼핑백=선물용 쇼핑백</t>
        </is>
      </c>
      <c r="H5186" s="20" t="n">
        <v>5</v>
      </c>
      <c r="I5186" s="20" t="inlineStr">
        <is>
          <t>쇼핑백</t>
        </is>
      </c>
      <c r="J5186" s="20" t="inlineStr">
        <is>
          <t>210207</t>
        </is>
      </c>
      <c r="L5186" s="20" t="n">
        <v>10000</v>
      </c>
      <c r="M5186" s="20" t="n">
        <v>9415</v>
      </c>
      <c r="N5186" s="20" t="n">
        <v>4150</v>
      </c>
      <c r="O5186" s="20" t="inlineStr">
        <is>
          <t>카페24쇼핑백솔리드퍼퓸 스테이포에버 002쇼핑백=선물용 쇼핑백210207</t>
        </is>
      </c>
    </row>
    <row r="5187" ht="16.5" customHeight="1" s="17">
      <c r="B5187" s="16" t="n">
        <v>44274</v>
      </c>
      <c r="C5187" s="20" t="inlineStr">
        <is>
          <t>금</t>
        </is>
      </c>
      <c r="E5187" s="20" t="inlineStr">
        <is>
          <t>고체향수</t>
        </is>
      </c>
      <c r="F5187" s="20" t="inlineStr">
        <is>
          <t>카페24</t>
        </is>
      </c>
      <c r="G5187" s="20" t="inlineStr">
        <is>
          <t>솔리드퍼퓸 이그나이트 001제품선택=이그나이트 솔리드퍼퓸 - 30ml</t>
        </is>
      </c>
      <c r="H5187" s="20" t="n">
        <v>5</v>
      </c>
      <c r="I5187" s="20" t="inlineStr">
        <is>
          <t>이그나이트</t>
        </is>
      </c>
      <c r="J5187" s="20" t="inlineStr">
        <is>
          <t>210207</t>
        </is>
      </c>
      <c r="L5187" s="20" t="n">
        <v>170000</v>
      </c>
      <c r="M5187" s="20" t="n">
        <v>160055</v>
      </c>
      <c r="N5187" s="20" t="n">
        <v>13765</v>
      </c>
      <c r="O5187" s="20" t="inlineStr">
        <is>
          <t>카페24고체향수솔리드퍼퓸 이그나이트 001제품선택=이그나이트 솔리드퍼퓸 - 30ml210207</t>
        </is>
      </c>
    </row>
    <row r="5188" ht="16.5" customHeight="1" s="17">
      <c r="B5188" s="16" t="n">
        <v>44274</v>
      </c>
      <c r="C5188" s="20" t="inlineStr">
        <is>
          <t>금</t>
        </is>
      </c>
      <c r="E5188" s="20" t="inlineStr">
        <is>
          <t>고체향수</t>
        </is>
      </c>
      <c r="F5188" s="20" t="inlineStr">
        <is>
          <t>카페24</t>
        </is>
      </c>
      <c r="G5188" s="20" t="inlineStr">
        <is>
          <t>솔리드퍼퓸 이그나이트 001제품선택=이그나이트 2개 세트</t>
        </is>
      </c>
      <c r="H5188" s="20" t="n">
        <v>1</v>
      </c>
      <c r="I5188" s="20" t="inlineStr">
        <is>
          <t>이그나이트 2set</t>
        </is>
      </c>
      <c r="J5188" s="20" t="inlineStr">
        <is>
          <t>210207</t>
        </is>
      </c>
      <c r="L5188" s="20" t="n">
        <v>58800</v>
      </c>
      <c r="M5188" s="20" t="n">
        <v>55360.2</v>
      </c>
      <c r="N5188" s="20" t="n">
        <v>5506</v>
      </c>
      <c r="O5188" s="20" t="inlineStr">
        <is>
          <t>카페24고체향수솔리드퍼퓸 이그나이트 001제품선택=이그나이트 2개 세트210207</t>
        </is>
      </c>
    </row>
    <row r="5189" ht="16.5" customHeight="1" s="17">
      <c r="B5189" s="16" t="n">
        <v>44274</v>
      </c>
      <c r="C5189" s="20" t="inlineStr">
        <is>
          <t>금</t>
        </is>
      </c>
      <c r="E5189" s="20" t="inlineStr">
        <is>
          <t>고체향수</t>
        </is>
      </c>
      <c r="F5189" s="20" t="inlineStr">
        <is>
          <t>카페24</t>
        </is>
      </c>
      <c r="G5189" s="20" t="inlineStr">
        <is>
          <t>유즈 솔리드퍼퓸 세트향=이그나이트 001 SOLID PERFUME, 세트 선택=1개</t>
        </is>
      </c>
      <c r="H5189" s="20" t="n">
        <v>1</v>
      </c>
      <c r="I5189" s="20" t="inlineStr">
        <is>
          <t>이그나이트</t>
        </is>
      </c>
      <c r="J5189" s="20" t="inlineStr">
        <is>
          <t>210207</t>
        </is>
      </c>
      <c r="L5189" s="20" t="n">
        <v>34000</v>
      </c>
      <c r="M5189" s="20" t="n">
        <v>32011</v>
      </c>
      <c r="N5189" s="20" t="n">
        <v>2753</v>
      </c>
      <c r="O5189" s="20" t="inlineStr">
        <is>
          <t>카페24고체향수유즈 솔리드퍼퓸 세트향=이그나이트 001 SOLID PERFUME, 세트 선택=1개210207</t>
        </is>
      </c>
    </row>
    <row r="5190" ht="16.5" customHeight="1" s="17">
      <c r="B5190" s="16" t="n">
        <v>44274</v>
      </c>
      <c r="C5190" s="20" t="inlineStr">
        <is>
          <t>금</t>
        </is>
      </c>
      <c r="E5190" s="20" t="inlineStr">
        <is>
          <t>고체향수</t>
        </is>
      </c>
      <c r="F5190" s="20" t="inlineStr">
        <is>
          <t>카페24</t>
        </is>
      </c>
      <c r="G5190" s="20" t="inlineStr">
        <is>
          <t>유즈 솔리드퍼퓸 세트향=스테이포에버 002 SOLID PERFUME, 세트 선택=1개</t>
        </is>
      </c>
      <c r="H5190" s="20" t="n">
        <v>13</v>
      </c>
      <c r="I5190" s="20" t="inlineStr">
        <is>
          <t>스테이포에버</t>
        </is>
      </c>
      <c r="J5190" s="20" t="inlineStr">
        <is>
          <t>210207</t>
        </is>
      </c>
      <c r="L5190" s="20" t="n">
        <v>442000</v>
      </c>
      <c r="M5190" s="20" t="n">
        <v>416143</v>
      </c>
      <c r="N5190" s="20" t="n">
        <v>33696</v>
      </c>
      <c r="O5190" s="20" t="inlineStr">
        <is>
          <t>카페24고체향수유즈 솔리드퍼퓸 세트향=스테이포에버 002 SOLID PERFUME, 세트 선택=1개210207</t>
        </is>
      </c>
    </row>
    <row r="5191" ht="16.5" customHeight="1" s="17">
      <c r="B5191" s="16" t="n">
        <v>44274</v>
      </c>
      <c r="C5191" s="20" t="inlineStr">
        <is>
          <t>금</t>
        </is>
      </c>
      <c r="E5191" s="20" t="inlineStr">
        <is>
          <t>고체향수</t>
        </is>
      </c>
      <c r="F5191" s="20" t="inlineStr">
        <is>
          <t>카페24</t>
        </is>
      </c>
      <c r="G5191" s="20" t="inlineStr">
        <is>
          <t>유즈 솔리드퍼퓸 세트향=스테이포에버 002 SOLID PERFUME, 세트 선택=best 2개 (28% 할인)</t>
        </is>
      </c>
      <c r="H5191" s="20" t="n">
        <v>3</v>
      </c>
      <c r="I5191" s="20" t="inlineStr">
        <is>
          <t>스테이포에버 2set</t>
        </is>
      </c>
      <c r="J5191" s="20" t="inlineStr">
        <is>
          <t>210207</t>
        </is>
      </c>
      <c r="L5191" s="20" t="n">
        <v>176400</v>
      </c>
      <c r="M5191" s="20" t="n">
        <v>166080.6</v>
      </c>
      <c r="N5191" s="20" t="n">
        <v>15552</v>
      </c>
      <c r="O5191" s="20" t="inlineStr">
        <is>
          <t>카페24고체향수유즈 솔리드퍼퓸 세트향=스테이포에버 002 SOLID PERFUME, 세트 선택=best 2개 (28% 할인)210207</t>
        </is>
      </c>
    </row>
    <row r="5192" ht="16.5" customHeight="1" s="17">
      <c r="B5192" s="16" t="n">
        <v>44274</v>
      </c>
      <c r="C5192" s="20" t="inlineStr">
        <is>
          <t>금</t>
        </is>
      </c>
      <c r="E5192" s="20" t="inlineStr">
        <is>
          <t>고체향수</t>
        </is>
      </c>
      <c r="F5192" s="20" t="inlineStr">
        <is>
          <t>카페24</t>
        </is>
      </c>
      <c r="G5192" s="20" t="inlineStr">
        <is>
          <t>유즈 솔리드퍼퓸 세트향=커플세트(이그나이트 + 스테이포에버), 세트 선택=1 SET</t>
        </is>
      </c>
      <c r="H5192" s="20" t="n">
        <v>12</v>
      </c>
      <c r="I5192" s="20" t="inlineStr">
        <is>
          <t>이그나이트 + 스테이포에버</t>
        </is>
      </c>
      <c r="J5192" s="20" t="inlineStr">
        <is>
          <t>210207</t>
        </is>
      </c>
      <c r="L5192" s="20" t="n">
        <v>705600</v>
      </c>
      <c r="M5192" s="20" t="n">
        <v>664322.3999999999</v>
      </c>
      <c r="N5192" s="20" t="n">
        <v>64140</v>
      </c>
      <c r="O5192" s="20" t="inlineStr">
        <is>
          <t>카페24고체향수유즈 솔리드퍼퓸 세트향=커플세트(이그나이트 + 스테이포에버), 세트 선택=1 SET210207</t>
        </is>
      </c>
    </row>
    <row r="5193" ht="16.5" customHeight="1" s="17">
      <c r="B5193" s="16" t="n">
        <v>44274</v>
      </c>
      <c r="C5193" s="20" t="inlineStr">
        <is>
          <t>금</t>
        </is>
      </c>
      <c r="E5193" s="20" t="inlineStr">
        <is>
          <t>고체향수</t>
        </is>
      </c>
      <c r="F5193" s="20" t="inlineStr">
        <is>
          <t>카페24</t>
        </is>
      </c>
      <c r="G5193" s="20" t="inlineStr">
        <is>
          <t>유즈 솔리드퍼퓸 세트향=커플세트(이그나이트 + 스테이포에버), 세트 선택=2 SET (42% 할인)</t>
        </is>
      </c>
      <c r="H5193" s="20" t="n">
        <v>7</v>
      </c>
      <c r="I5193" s="20" t="inlineStr">
        <is>
          <t>이그나이트 + 스테이포에버 2set</t>
        </is>
      </c>
      <c r="J5193" s="20" t="inlineStr">
        <is>
          <t>210207</t>
        </is>
      </c>
      <c r="L5193" s="20" t="n">
        <v>663600</v>
      </c>
      <c r="M5193" s="20" t="n">
        <v>624779.4</v>
      </c>
      <c r="N5193" s="20" t="n">
        <v>74830</v>
      </c>
      <c r="O5193" s="20" t="inlineStr">
        <is>
          <t>카페24고체향수유즈 솔리드퍼퓸 세트향=커플세트(이그나이트 + 스테이포에버), 세트 선택=2 SET (42% 할인)210207</t>
        </is>
      </c>
    </row>
    <row r="5194" ht="16.5" customHeight="1" s="17">
      <c r="B5194" s="16" t="n">
        <v>44275</v>
      </c>
      <c r="C5194" s="20" t="inlineStr">
        <is>
          <t>토</t>
        </is>
      </c>
      <c r="E5194" s="20" t="inlineStr">
        <is>
          <t>고체향수</t>
        </is>
      </c>
      <c r="F5194" s="20" t="inlineStr">
        <is>
          <t>스마트스토어</t>
        </is>
      </c>
      <c r="G5194" s="20" t="inlineStr">
        <is>
          <t>유즈 고체향수 세트(유즈 스테이포에버, 유즈 이그나이트)고체향수: 스테이포에버 2개</t>
        </is>
      </c>
      <c r="H5194" s="20" t="n">
        <v>4</v>
      </c>
      <c r="I5194" s="20" t="inlineStr">
        <is>
          <t>스테이포에버 2set</t>
        </is>
      </c>
      <c r="J5194" s="20" t="inlineStr">
        <is>
          <t>210207</t>
        </is>
      </c>
      <c r="L5194" s="20" t="n">
        <v>235200</v>
      </c>
      <c r="M5194" s="20" t="n">
        <v>230496</v>
      </c>
      <c r="N5194" s="20" t="n">
        <v>20736</v>
      </c>
      <c r="O5194" s="20" t="inlineStr">
        <is>
          <t>스마트스토어고체향수유즈 고체향수 세트(유즈 스테이포에버, 유즈 이그나이트)고체향수: 스테이포에버 2개210207</t>
        </is>
      </c>
    </row>
    <row r="5195" ht="16.5" customHeight="1" s="17">
      <c r="B5195" s="16" t="n">
        <v>44275</v>
      </c>
      <c r="C5195" s="20" t="inlineStr">
        <is>
          <t>토</t>
        </is>
      </c>
      <c r="E5195" s="20" t="inlineStr">
        <is>
          <t>고체향수</t>
        </is>
      </c>
      <c r="F5195" s="20" t="inlineStr">
        <is>
          <t>스마트스토어</t>
        </is>
      </c>
      <c r="G5195" s="20" t="inlineStr">
        <is>
          <t>유즈 고체향수 스테이포에버 002고체향수: 스테이포에버 1개</t>
        </is>
      </c>
      <c r="H5195" s="20" t="n">
        <v>21</v>
      </c>
      <c r="I5195" s="20" t="inlineStr">
        <is>
          <t>스테이포에버</t>
        </is>
      </c>
      <c r="J5195" s="20" t="inlineStr">
        <is>
          <t>210207</t>
        </is>
      </c>
      <c r="L5195" s="20" t="n">
        <v>714000</v>
      </c>
      <c r="M5195" s="20" t="n">
        <v>699720</v>
      </c>
      <c r="N5195" s="20" t="n">
        <v>54432</v>
      </c>
      <c r="O5195" s="20" t="inlineStr">
        <is>
          <t>스마트스토어고체향수유즈 고체향수 스테이포에버 002고체향수: 스테이포에버 1개210207</t>
        </is>
      </c>
    </row>
    <row r="5196" ht="16.5" customHeight="1" s="17">
      <c r="B5196" s="16" t="n">
        <v>44275</v>
      </c>
      <c r="C5196" s="20" t="inlineStr">
        <is>
          <t>토</t>
        </is>
      </c>
      <c r="E5196" s="20" t="inlineStr">
        <is>
          <t>고체향수</t>
        </is>
      </c>
      <c r="F5196" s="20" t="inlineStr">
        <is>
          <t>카페24</t>
        </is>
      </c>
      <c r="G5196" s="20" t="inlineStr">
        <is>
          <t>솔리드퍼퓸 세트향=스테이포에버 002 SOLID PERFUME, 세트 선택=1개</t>
        </is>
      </c>
      <c r="H5196" s="20" t="n">
        <v>11</v>
      </c>
      <c r="I5196" s="20" t="inlineStr">
        <is>
          <t>스테이포에버</t>
        </is>
      </c>
      <c r="J5196" s="20" t="inlineStr">
        <is>
          <t>210207</t>
        </is>
      </c>
      <c r="L5196" s="20" t="n">
        <v>374000</v>
      </c>
      <c r="M5196" s="20" t="n">
        <v>352121</v>
      </c>
      <c r="N5196" s="20" t="n">
        <v>28512</v>
      </c>
      <c r="O5196" s="20" t="inlineStr">
        <is>
          <t>카페24고체향수솔리드퍼퓸 세트향=스테이포에버 002 SOLID PERFUME, 세트 선택=1개210207</t>
        </is>
      </c>
    </row>
    <row r="5197" ht="16.5" customHeight="1" s="17">
      <c r="B5197" s="16" t="n">
        <v>44275</v>
      </c>
      <c r="C5197" s="20" t="inlineStr">
        <is>
          <t>토</t>
        </is>
      </c>
      <c r="E5197" s="20" t="inlineStr">
        <is>
          <t>고체향수</t>
        </is>
      </c>
      <c r="F5197" s="20" t="inlineStr">
        <is>
          <t>카페24</t>
        </is>
      </c>
      <c r="G5197" s="20" t="inlineStr">
        <is>
          <t>솔리드퍼퓸 세트향=스테이포에버 002 SOLID PERFUME, 세트 선택=best 2개 (28% 할인)</t>
        </is>
      </c>
      <c r="H5197" s="20" t="n">
        <v>7</v>
      </c>
      <c r="I5197" s="20" t="inlineStr">
        <is>
          <t>스테이포에버 2set</t>
        </is>
      </c>
      <c r="J5197" s="20" t="inlineStr">
        <is>
          <t>210207</t>
        </is>
      </c>
      <c r="L5197" s="20" t="n">
        <v>411600</v>
      </c>
      <c r="M5197" s="20" t="n">
        <v>387521.4</v>
      </c>
      <c r="N5197" s="20" t="n">
        <v>36288</v>
      </c>
      <c r="O5197" s="20" t="inlineStr">
        <is>
          <t>카페24고체향수솔리드퍼퓸 세트향=스테이포에버 002 SOLID PERFUME, 세트 선택=best 2개 (28% 할인)210207</t>
        </is>
      </c>
    </row>
    <row r="5198" ht="16.5" customHeight="1" s="17">
      <c r="B5198" s="16" t="n">
        <v>44275</v>
      </c>
      <c r="C5198" s="20" t="inlineStr">
        <is>
          <t>토</t>
        </is>
      </c>
      <c r="E5198" s="20" t="inlineStr">
        <is>
          <t>고체향수</t>
        </is>
      </c>
      <c r="F5198" s="20" t="inlineStr">
        <is>
          <t>카페24</t>
        </is>
      </c>
      <c r="G5198" s="20" t="inlineStr">
        <is>
          <t>솔리드퍼퓸 세트향=커플세트(이그나이트 + 스테이포에버), 세트 선택=1 SET</t>
        </is>
      </c>
      <c r="H5198" s="20" t="n">
        <v>22</v>
      </c>
      <c r="I5198" s="20" t="inlineStr">
        <is>
          <t>이그나이트 + 스테이포에버</t>
        </is>
      </c>
      <c r="J5198" s="20" t="inlineStr">
        <is>
          <t>210207</t>
        </is>
      </c>
      <c r="L5198" s="20" t="n">
        <v>1293600</v>
      </c>
      <c r="M5198" s="20" t="n">
        <v>1217924.4</v>
      </c>
      <c r="N5198" s="20" t="n">
        <v>117590</v>
      </c>
      <c r="O5198" s="20" t="inlineStr">
        <is>
          <t>카페24고체향수솔리드퍼퓸 세트향=커플세트(이그나이트 + 스테이포에버), 세트 선택=1 SET210207</t>
        </is>
      </c>
    </row>
    <row r="5199" ht="16.5" customHeight="1" s="17">
      <c r="B5199" s="16" t="n">
        <v>44275</v>
      </c>
      <c r="C5199" s="20" t="inlineStr">
        <is>
          <t>토</t>
        </is>
      </c>
      <c r="E5199" s="20" t="inlineStr">
        <is>
          <t>고체향수</t>
        </is>
      </c>
      <c r="F5199" s="20" t="inlineStr">
        <is>
          <t>카페24</t>
        </is>
      </c>
      <c r="G5199" s="20" t="inlineStr">
        <is>
          <t>솔리드퍼퓸 스테이포에버 002제품선택=스테이포에버 1개</t>
        </is>
      </c>
      <c r="H5199" s="20" t="n">
        <v>182</v>
      </c>
      <c r="I5199" s="20" t="inlineStr">
        <is>
          <t>스테이포에버</t>
        </is>
      </c>
      <c r="J5199" s="20" t="inlineStr">
        <is>
          <t>210207</t>
        </is>
      </c>
      <c r="L5199" s="20" t="n">
        <v>6188000</v>
      </c>
      <c r="M5199" s="20" t="n">
        <v>5826002</v>
      </c>
      <c r="N5199" s="20" t="n">
        <v>471744</v>
      </c>
      <c r="O5199" s="20" t="inlineStr">
        <is>
          <t>카페24고체향수솔리드퍼퓸 스테이포에버 002제품선택=스테이포에버 1개210207</t>
        </is>
      </c>
    </row>
    <row r="5200" ht="16.5" customHeight="1" s="17">
      <c r="B5200" s="16" t="n">
        <v>44275</v>
      </c>
      <c r="C5200" s="20" t="inlineStr">
        <is>
          <t>토</t>
        </is>
      </c>
      <c r="E5200" s="20" t="inlineStr">
        <is>
          <t>고체향수</t>
        </is>
      </c>
      <c r="F5200" s="20" t="inlineStr">
        <is>
          <t>카페24</t>
        </is>
      </c>
      <c r="G5200" s="20" t="inlineStr">
        <is>
          <t>솔리드퍼퓸 스테이포에버 002제품선택=best스테이포에버 2개[28% 할인]</t>
        </is>
      </c>
      <c r="H5200" s="20" t="n">
        <v>102</v>
      </c>
      <c r="I5200" s="20" t="inlineStr">
        <is>
          <t>스테이포에버 2set</t>
        </is>
      </c>
      <c r="J5200" s="20" t="inlineStr">
        <is>
          <t>210207</t>
        </is>
      </c>
      <c r="L5200" s="20" t="n">
        <v>5997600</v>
      </c>
      <c r="M5200" s="20" t="n">
        <v>5646740.399999999</v>
      </c>
      <c r="N5200" s="20" t="n">
        <v>528768</v>
      </c>
      <c r="O5200" s="20" t="inlineStr">
        <is>
          <t>카페24고체향수솔리드퍼퓸 스테이포에버 002제품선택=best스테이포에버 2개[28% 할인]210207</t>
        </is>
      </c>
    </row>
    <row r="5201" ht="16.5" customHeight="1" s="17">
      <c r="B5201" s="16" t="n">
        <v>44275</v>
      </c>
      <c r="C5201" s="20" t="inlineStr">
        <is>
          <t>토</t>
        </is>
      </c>
      <c r="E5201" s="20" t="inlineStr">
        <is>
          <t>고체향수</t>
        </is>
      </c>
      <c r="F5201" s="20" t="inlineStr">
        <is>
          <t>카페24</t>
        </is>
      </c>
      <c r="G5201" s="20" t="inlineStr">
        <is>
          <t>솔리드퍼퓸 스테이포에버 002제품선택=커플추천스테이포에버 + 이그나이트 세트</t>
        </is>
      </c>
      <c r="H5201" s="20" t="n">
        <v>13</v>
      </c>
      <c r="I5201" s="20" t="inlineStr">
        <is>
          <t>이그나이트 + 스테이포에버</t>
        </is>
      </c>
      <c r="J5201" s="20" t="inlineStr">
        <is>
          <t>210207</t>
        </is>
      </c>
      <c r="L5201" s="20" t="n">
        <v>764400</v>
      </c>
      <c r="M5201" s="20" t="n">
        <v>719682.6</v>
      </c>
      <c r="N5201" s="20" t="n">
        <v>69485</v>
      </c>
      <c r="O5201" s="20" t="inlineStr">
        <is>
          <t>카페24고체향수솔리드퍼퓸 스테이포에버 002제품선택=커플추천스테이포에버 + 이그나이트 세트210207</t>
        </is>
      </c>
    </row>
    <row r="5202" ht="16.5" customHeight="1" s="17">
      <c r="B5202" s="16" t="n">
        <v>44275</v>
      </c>
      <c r="C5202" s="20" t="inlineStr">
        <is>
          <t>토</t>
        </is>
      </c>
      <c r="E5202" s="20" t="inlineStr">
        <is>
          <t>쇼핑백</t>
        </is>
      </c>
      <c r="F5202" s="20" t="inlineStr">
        <is>
          <t>카페24</t>
        </is>
      </c>
      <c r="G5202" s="20" t="inlineStr">
        <is>
          <t>솔리드퍼퓸 스테이포에버 002쇼핑백=선물용 쇼핑백</t>
        </is>
      </c>
      <c r="H5202" s="20" t="n">
        <v>7</v>
      </c>
      <c r="I5202" s="20" t="inlineStr">
        <is>
          <t>쇼핑백</t>
        </is>
      </c>
      <c r="J5202" s="20" t="inlineStr">
        <is>
          <t>210207</t>
        </is>
      </c>
      <c r="L5202" s="20" t="n">
        <v>14000</v>
      </c>
      <c r="M5202" s="20" t="n">
        <v>13181</v>
      </c>
      <c r="N5202" s="20" t="n">
        <v>5810</v>
      </c>
      <c r="O5202" s="20" t="inlineStr">
        <is>
          <t>카페24쇼핑백솔리드퍼퓸 스테이포에버 002쇼핑백=선물용 쇼핑백210207</t>
        </is>
      </c>
    </row>
    <row r="5203" ht="16.5" customHeight="1" s="17">
      <c r="B5203" s="16" t="n">
        <v>44275</v>
      </c>
      <c r="C5203" s="20" t="inlineStr">
        <is>
          <t>토</t>
        </is>
      </c>
      <c r="E5203" s="20" t="inlineStr">
        <is>
          <t>고체향수</t>
        </is>
      </c>
      <c r="F5203" s="20" t="inlineStr">
        <is>
          <t>카페24</t>
        </is>
      </c>
      <c r="G5203" s="20" t="inlineStr">
        <is>
          <t>솔리드퍼퓸 이그나이트 001제품선택=이그나이트 솔리드퍼퓸 - 30ml</t>
        </is>
      </c>
      <c r="H5203" s="20" t="n">
        <v>3</v>
      </c>
      <c r="I5203" s="20" t="inlineStr">
        <is>
          <t>이그나이트</t>
        </is>
      </c>
      <c r="J5203" s="20" t="inlineStr">
        <is>
          <t>210207</t>
        </is>
      </c>
      <c r="L5203" s="20" t="n">
        <v>102000</v>
      </c>
      <c r="M5203" s="20" t="n">
        <v>96033</v>
      </c>
      <c r="N5203" s="20" t="n">
        <v>8259</v>
      </c>
      <c r="O5203" s="20" t="inlineStr">
        <is>
          <t>카페24고체향수솔리드퍼퓸 이그나이트 001제품선택=이그나이트 솔리드퍼퓸 - 30ml210207</t>
        </is>
      </c>
    </row>
    <row r="5204" ht="16.5" customHeight="1" s="17">
      <c r="B5204" s="16" t="n">
        <v>44275</v>
      </c>
      <c r="C5204" s="20" t="inlineStr">
        <is>
          <t>토</t>
        </is>
      </c>
      <c r="E5204" s="20" t="inlineStr">
        <is>
          <t>고체향수</t>
        </is>
      </c>
      <c r="F5204" s="20" t="inlineStr">
        <is>
          <t>카페24</t>
        </is>
      </c>
      <c r="G5204" s="20" t="inlineStr">
        <is>
          <t>유즈 솔리드퍼퓸 세트향=이그나이트 001 SOLID PERFUME, 세트 선택=1개</t>
        </is>
      </c>
      <c r="H5204" s="20" t="n">
        <v>2</v>
      </c>
      <c r="I5204" s="20" t="inlineStr">
        <is>
          <t>이그나이트</t>
        </is>
      </c>
      <c r="J5204" s="20" t="inlineStr">
        <is>
          <t>210207</t>
        </is>
      </c>
      <c r="L5204" s="20" t="n">
        <v>68000</v>
      </c>
      <c r="M5204" s="20" t="n">
        <v>64022</v>
      </c>
      <c r="N5204" s="20" t="n">
        <v>5506</v>
      </c>
      <c r="O5204" s="20" t="inlineStr">
        <is>
          <t>카페24고체향수유즈 솔리드퍼퓸 세트향=이그나이트 001 SOLID PERFUME, 세트 선택=1개210207</t>
        </is>
      </c>
    </row>
    <row r="5205" ht="16.5" customHeight="1" s="17">
      <c r="B5205" s="16" t="n">
        <v>44275</v>
      </c>
      <c r="C5205" s="20" t="inlineStr">
        <is>
          <t>토</t>
        </is>
      </c>
      <c r="E5205" s="20" t="inlineStr">
        <is>
          <t>고체향수</t>
        </is>
      </c>
      <c r="F5205" s="20" t="inlineStr">
        <is>
          <t>카페24</t>
        </is>
      </c>
      <c r="G5205" s="20" t="inlineStr">
        <is>
          <t>유즈 솔리드퍼퓸 세트향=스테이포에버 002 SOLID PERFUME, 세트 선택=1개</t>
        </is>
      </c>
      <c r="H5205" s="20" t="n">
        <v>5</v>
      </c>
      <c r="I5205" s="20" t="inlineStr">
        <is>
          <t>스테이포에버</t>
        </is>
      </c>
      <c r="J5205" s="20" t="inlineStr">
        <is>
          <t>210207</t>
        </is>
      </c>
      <c r="L5205" s="20" t="n">
        <v>170000</v>
      </c>
      <c r="M5205" s="20" t="n">
        <v>160055</v>
      </c>
      <c r="N5205" s="20" t="n">
        <v>12960</v>
      </c>
      <c r="O5205" s="20" t="inlineStr">
        <is>
          <t>카페24고체향수유즈 솔리드퍼퓸 세트향=스테이포에버 002 SOLID PERFUME, 세트 선택=1개210207</t>
        </is>
      </c>
    </row>
    <row r="5206" ht="16.5" customHeight="1" s="17">
      <c r="B5206" s="16" t="n">
        <v>44275</v>
      </c>
      <c r="C5206" s="20" t="inlineStr">
        <is>
          <t>토</t>
        </is>
      </c>
      <c r="E5206" s="20" t="inlineStr">
        <is>
          <t>고체향수</t>
        </is>
      </c>
      <c r="F5206" s="20" t="inlineStr">
        <is>
          <t>카페24</t>
        </is>
      </c>
      <c r="G5206" s="20" t="inlineStr">
        <is>
          <t>유즈 솔리드퍼퓸 세트향=스테이포에버 002 SOLID PERFUME, 세트 선택=best 2개 (28% 할인)</t>
        </is>
      </c>
      <c r="H5206" s="20" t="n">
        <v>3</v>
      </c>
      <c r="I5206" s="20" t="inlineStr">
        <is>
          <t>스테이포에버 2set</t>
        </is>
      </c>
      <c r="J5206" s="20" t="inlineStr">
        <is>
          <t>210207</t>
        </is>
      </c>
      <c r="L5206" s="20" t="n">
        <v>176400</v>
      </c>
      <c r="M5206" s="20" t="n">
        <v>166080.6</v>
      </c>
      <c r="N5206" s="20" t="n">
        <v>15552</v>
      </c>
      <c r="O5206" s="20" t="inlineStr">
        <is>
          <t>카페24고체향수유즈 솔리드퍼퓸 세트향=스테이포에버 002 SOLID PERFUME, 세트 선택=best 2개 (28% 할인)210207</t>
        </is>
      </c>
    </row>
    <row r="5207" ht="16.5" customHeight="1" s="17">
      <c r="B5207" s="16" t="n">
        <v>44275</v>
      </c>
      <c r="C5207" s="20" t="inlineStr">
        <is>
          <t>토</t>
        </is>
      </c>
      <c r="E5207" s="20" t="inlineStr">
        <is>
          <t>고체향수</t>
        </is>
      </c>
      <c r="F5207" s="20" t="inlineStr">
        <is>
          <t>카페24</t>
        </is>
      </c>
      <c r="G5207" s="20" t="inlineStr">
        <is>
          <t>유즈 솔리드퍼퓸 세트향=커플세트(이그나이트 + 스테이포에버), 세트 선택=1 SET</t>
        </is>
      </c>
      <c r="H5207" s="20" t="n">
        <v>7</v>
      </c>
      <c r="I5207" s="20" t="inlineStr">
        <is>
          <t>이그나이트 + 스테이포에버</t>
        </is>
      </c>
      <c r="J5207" s="20" t="inlineStr">
        <is>
          <t>210207</t>
        </is>
      </c>
      <c r="L5207" s="20" t="n">
        <v>411600</v>
      </c>
      <c r="M5207" s="20" t="n">
        <v>387521.4</v>
      </c>
      <c r="N5207" s="20" t="n">
        <v>37415</v>
      </c>
      <c r="O5207" s="20" t="inlineStr">
        <is>
          <t>카페24고체향수유즈 솔리드퍼퓸 세트향=커플세트(이그나이트 + 스테이포에버), 세트 선택=1 SET210207</t>
        </is>
      </c>
    </row>
    <row r="5208" ht="16.5" customHeight="1" s="17">
      <c r="B5208" s="16" t="n">
        <v>44275</v>
      </c>
      <c r="C5208" s="20" t="inlineStr">
        <is>
          <t>토</t>
        </is>
      </c>
      <c r="E5208" s="20" t="inlineStr">
        <is>
          <t>고체향수</t>
        </is>
      </c>
      <c r="F5208" s="20" t="inlineStr">
        <is>
          <t>카페24</t>
        </is>
      </c>
      <c r="G5208" s="20" t="inlineStr">
        <is>
          <t>유즈 솔리드퍼퓸 세트향=커플세트(이그나이트 + 스테이포에버), 세트 선택=2 SET (42% 할인)</t>
        </is>
      </c>
      <c r="H5208" s="20" t="n">
        <v>5</v>
      </c>
      <c r="I5208" s="20" t="inlineStr">
        <is>
          <t>이그나이트 + 스테이포에버 2set</t>
        </is>
      </c>
      <c r="J5208" s="20" t="inlineStr">
        <is>
          <t>210207</t>
        </is>
      </c>
      <c r="L5208" s="20" t="n">
        <v>474000</v>
      </c>
      <c r="M5208" s="20" t="n">
        <v>446271</v>
      </c>
      <c r="N5208" s="20" t="n">
        <v>53450</v>
      </c>
      <c r="O5208" s="20" t="inlineStr">
        <is>
          <t>카페24고체향수유즈 솔리드퍼퓸 세트향=커플세트(이그나이트 + 스테이포에버), 세트 선택=2 SET (42% 할인)210207</t>
        </is>
      </c>
    </row>
    <row r="5209" ht="16.5" customHeight="1" s="17">
      <c r="B5209" s="16" t="n">
        <v>44276</v>
      </c>
      <c r="C5209" s="20" t="inlineStr">
        <is>
          <t>일</t>
        </is>
      </c>
      <c r="E5209" s="20" t="inlineStr">
        <is>
          <t>고체향수</t>
        </is>
      </c>
      <c r="F5209" s="20" t="inlineStr">
        <is>
          <t>스마트스토어</t>
        </is>
      </c>
      <c r="G5209" s="20" t="inlineStr">
        <is>
          <t>유즈 고체향수 세트(유즈 스테이포에버, 유즈 이그나이트)고체향수: 스테이포에버 1개 + 이그나이트 1개</t>
        </is>
      </c>
      <c r="H5209" s="20" t="n">
        <v>8</v>
      </c>
      <c r="I5209" s="20" t="inlineStr">
        <is>
          <t>이그나이트 + 스테이포에버</t>
        </is>
      </c>
      <c r="J5209" s="20" t="inlineStr">
        <is>
          <t>210207</t>
        </is>
      </c>
      <c r="L5209" s="20" t="n">
        <v>470400</v>
      </c>
      <c r="M5209" s="20" t="n">
        <v>442881.6</v>
      </c>
      <c r="N5209" s="20" t="n">
        <v>42760</v>
      </c>
      <c r="O5209" s="20" t="inlineStr">
        <is>
          <t>스마트스토어고체향수유즈 고체향수 세트(유즈 스테이포에버, 유즈 이그나이트)고체향수: 스테이포에버 1개 + 이그나이트 1개210207</t>
        </is>
      </c>
    </row>
    <row r="5210" ht="16.5" customHeight="1" s="17">
      <c r="B5210" s="16" t="n">
        <v>44276</v>
      </c>
      <c r="C5210" s="20" t="inlineStr">
        <is>
          <t>일</t>
        </is>
      </c>
      <c r="E5210" s="20" t="inlineStr">
        <is>
          <t>고체향수</t>
        </is>
      </c>
      <c r="F5210" s="20" t="inlineStr">
        <is>
          <t>스마트스토어</t>
        </is>
      </c>
      <c r="G5210" s="20" t="inlineStr">
        <is>
          <t>유즈 고체향수 세트(유즈 스테이포에버, 유즈 이그나이트)고체향수: 스테이포에버 2개</t>
        </is>
      </c>
      <c r="H5210" s="20" t="n">
        <v>2</v>
      </c>
      <c r="I5210" s="20" t="inlineStr">
        <is>
          <t>스테이포에버 2set</t>
        </is>
      </c>
      <c r="J5210" s="20" t="inlineStr">
        <is>
          <t>210207</t>
        </is>
      </c>
      <c r="L5210" s="20" t="n">
        <v>117600</v>
      </c>
      <c r="M5210" s="20" t="n">
        <v>115248</v>
      </c>
      <c r="N5210" s="20" t="n">
        <v>10368</v>
      </c>
      <c r="O5210" s="20" t="inlineStr">
        <is>
          <t>스마트스토어고체향수유즈 고체향수 세트(유즈 스테이포에버, 유즈 이그나이트)고체향수: 스테이포에버 2개210207</t>
        </is>
      </c>
    </row>
    <row r="5211" ht="16.5" customHeight="1" s="17">
      <c r="B5211" s="16" t="n">
        <v>44276</v>
      </c>
      <c r="C5211" s="20" t="inlineStr">
        <is>
          <t>일</t>
        </is>
      </c>
      <c r="E5211" s="20" t="inlineStr">
        <is>
          <t>고체향수</t>
        </is>
      </c>
      <c r="F5211" s="20" t="inlineStr">
        <is>
          <t>스마트스토어</t>
        </is>
      </c>
      <c r="G5211" s="20" t="inlineStr">
        <is>
          <t>유즈 고체향수 스테이포에버 002고체향수: 스테이포에버 1개</t>
        </is>
      </c>
      <c r="H5211" s="20" t="n">
        <v>25</v>
      </c>
      <c r="I5211" s="20" t="inlineStr">
        <is>
          <t>스테이포에버</t>
        </is>
      </c>
      <c r="J5211" s="20" t="inlineStr">
        <is>
          <t>210207</t>
        </is>
      </c>
      <c r="L5211" s="20" t="n">
        <v>850000</v>
      </c>
      <c r="M5211" s="20" t="n">
        <v>833000</v>
      </c>
      <c r="N5211" s="20" t="n">
        <v>64800</v>
      </c>
      <c r="O5211" s="20" t="inlineStr">
        <is>
          <t>스마트스토어고체향수유즈 고체향수 스테이포에버 002고체향수: 스테이포에버 1개210207</t>
        </is>
      </c>
    </row>
    <row r="5212" ht="16.5" customHeight="1" s="17">
      <c r="B5212" s="16" t="n">
        <v>44276</v>
      </c>
      <c r="C5212" s="20" t="inlineStr">
        <is>
          <t>일</t>
        </is>
      </c>
      <c r="E5212" s="20" t="inlineStr">
        <is>
          <t>고체향수</t>
        </is>
      </c>
      <c r="F5212" s="20" t="inlineStr">
        <is>
          <t>스마트스토어</t>
        </is>
      </c>
      <c r="G5212" s="20" t="inlineStr">
        <is>
          <t>유즈 고체향수 이그나이트 001고체향수: 이그나이트 1개</t>
        </is>
      </c>
      <c r="H5212" s="20" t="n">
        <v>1</v>
      </c>
      <c r="I5212" s="20" t="inlineStr">
        <is>
          <t>이그나이트</t>
        </is>
      </c>
      <c r="J5212" s="20" t="inlineStr">
        <is>
          <t>210207</t>
        </is>
      </c>
      <c r="L5212" s="20" t="n">
        <v>34000</v>
      </c>
      <c r="M5212" s="20" t="n">
        <v>33320</v>
      </c>
      <c r="N5212" s="20" t="n">
        <v>2753</v>
      </c>
      <c r="O5212" s="20" t="inlineStr">
        <is>
          <t>스마트스토어고체향수유즈 고체향수 이그나이트 001고체향수: 이그나이트 1개210207</t>
        </is>
      </c>
    </row>
    <row r="5213" ht="16.5" customHeight="1" s="17">
      <c r="B5213" s="16" t="n">
        <v>44276</v>
      </c>
      <c r="C5213" s="20" t="inlineStr">
        <is>
          <t>일</t>
        </is>
      </c>
      <c r="E5213" s="20" t="inlineStr">
        <is>
          <t>고체향수</t>
        </is>
      </c>
      <c r="F5213" s="20" t="inlineStr">
        <is>
          <t>카페24</t>
        </is>
      </c>
      <c r="G5213" s="20" t="inlineStr">
        <is>
          <t>솔리드퍼퓸 세트향=스테이포에버 002 SOLID PERFUME, 세트 선택=1개</t>
        </is>
      </c>
      <c r="H5213" s="20" t="n">
        <v>4</v>
      </c>
      <c r="I5213" s="20" t="inlineStr">
        <is>
          <t>스테이포에버</t>
        </is>
      </c>
      <c r="J5213" s="20" t="inlineStr">
        <is>
          <t>210207</t>
        </is>
      </c>
      <c r="L5213" s="20" t="n">
        <v>136000</v>
      </c>
      <c r="M5213" s="20" t="n">
        <v>128044</v>
      </c>
      <c r="N5213" s="20" t="n">
        <v>10368</v>
      </c>
      <c r="O5213" s="20" t="inlineStr">
        <is>
          <t>카페24고체향수솔리드퍼퓸 세트향=스테이포에버 002 SOLID PERFUME, 세트 선택=1개210207</t>
        </is>
      </c>
    </row>
    <row r="5214" ht="16.5" customHeight="1" s="17">
      <c r="B5214" s="16" t="n">
        <v>44276</v>
      </c>
      <c r="C5214" s="20" t="inlineStr">
        <is>
          <t>일</t>
        </is>
      </c>
      <c r="E5214" s="20" t="inlineStr">
        <is>
          <t>고체향수</t>
        </is>
      </c>
      <c r="F5214" s="20" t="inlineStr">
        <is>
          <t>카페24</t>
        </is>
      </c>
      <c r="G5214" s="20" t="inlineStr">
        <is>
          <t>솔리드퍼퓸 세트향=스테이포에버 002 SOLID PERFUME, 세트 선택=best 2개 (28% 할인)</t>
        </is>
      </c>
      <c r="H5214" s="20" t="n">
        <v>8</v>
      </c>
      <c r="I5214" s="20" t="inlineStr">
        <is>
          <t>스테이포에버 2set</t>
        </is>
      </c>
      <c r="J5214" s="20" t="inlineStr">
        <is>
          <t>210207</t>
        </is>
      </c>
      <c r="L5214" s="20" t="n">
        <v>470400</v>
      </c>
      <c r="M5214" s="20" t="n">
        <v>442881.6</v>
      </c>
      <c r="N5214" s="20" t="n">
        <v>41472</v>
      </c>
      <c r="O5214" s="20" t="inlineStr">
        <is>
          <t>카페24고체향수솔리드퍼퓸 세트향=스테이포에버 002 SOLID PERFUME, 세트 선택=best 2개 (28% 할인)210207</t>
        </is>
      </c>
    </row>
    <row r="5215" ht="16.5" customHeight="1" s="17">
      <c r="B5215" s="16" t="n">
        <v>44276</v>
      </c>
      <c r="C5215" s="20" t="inlineStr">
        <is>
          <t>일</t>
        </is>
      </c>
      <c r="E5215" s="20" t="inlineStr">
        <is>
          <t>고체향수</t>
        </is>
      </c>
      <c r="F5215" s="20" t="inlineStr">
        <is>
          <t>카페24</t>
        </is>
      </c>
      <c r="G5215" s="20" t="inlineStr">
        <is>
          <t>솔리드퍼퓸 세트향=커플세트(이그나이트 + 스테이포에버), 세트 선택=1 SET</t>
        </is>
      </c>
      <c r="H5215" s="20" t="n">
        <v>16</v>
      </c>
      <c r="I5215" s="20" t="inlineStr">
        <is>
          <t>이그나이트 + 스테이포에버</t>
        </is>
      </c>
      <c r="J5215" s="20" t="inlineStr">
        <is>
          <t>210207</t>
        </is>
      </c>
      <c r="L5215" s="20" t="n">
        <v>940800</v>
      </c>
      <c r="M5215" s="20" t="n">
        <v>885763.2</v>
      </c>
      <c r="N5215" s="20" t="n">
        <v>85520</v>
      </c>
      <c r="O5215" s="20" t="inlineStr">
        <is>
          <t>카페24고체향수솔리드퍼퓸 세트향=커플세트(이그나이트 + 스테이포에버), 세트 선택=1 SET210207</t>
        </is>
      </c>
    </row>
    <row r="5216" ht="16.5" customHeight="1" s="17">
      <c r="B5216" s="16" t="n">
        <v>44276</v>
      </c>
      <c r="C5216" s="20" t="inlineStr">
        <is>
          <t>일</t>
        </is>
      </c>
      <c r="E5216" s="20" t="inlineStr">
        <is>
          <t>고체향수</t>
        </is>
      </c>
      <c r="F5216" s="20" t="inlineStr">
        <is>
          <t>카페24</t>
        </is>
      </c>
      <c r="G5216" s="20" t="inlineStr">
        <is>
          <t>솔리드퍼퓸 세트향=커플세트(이그나이트 + 스테이포에버), 세트 선택=2 SET (42% 할인)</t>
        </is>
      </c>
      <c r="H5216" s="20" t="n">
        <v>2</v>
      </c>
      <c r="I5216" s="20" t="inlineStr">
        <is>
          <t>이그나이트 + 스테이포에버</t>
        </is>
      </c>
      <c r="J5216" s="20" t="inlineStr">
        <is>
          <t>210207</t>
        </is>
      </c>
      <c r="L5216" s="20" t="n">
        <v>117600</v>
      </c>
      <c r="M5216" s="20" t="n">
        <v>110720.4</v>
      </c>
      <c r="N5216" s="20" t="n">
        <v>10690</v>
      </c>
      <c r="O5216" s="20" t="inlineStr">
        <is>
          <t>카페24고체향수솔리드퍼퓸 세트향=커플세트(이그나이트 + 스테이포에버), 세트 선택=2 SET (42% 할인)210207</t>
        </is>
      </c>
    </row>
    <row r="5217" ht="16.5" customHeight="1" s="17">
      <c r="B5217" s="16" t="n">
        <v>44276</v>
      </c>
      <c r="C5217" s="20" t="inlineStr">
        <is>
          <t>일</t>
        </is>
      </c>
      <c r="E5217" s="20" t="inlineStr">
        <is>
          <t>고체향수</t>
        </is>
      </c>
      <c r="F5217" s="20" t="inlineStr">
        <is>
          <t>카페24</t>
        </is>
      </c>
      <c r="G5217" s="20" t="inlineStr">
        <is>
          <t>솔리드퍼퓸 스테이포에버 002제품선택=스테이포에버 1개</t>
        </is>
      </c>
      <c r="H5217" s="20" t="n">
        <v>199</v>
      </c>
      <c r="I5217" s="20" t="inlineStr">
        <is>
          <t>스테이포에버</t>
        </is>
      </c>
      <c r="J5217" s="20" t="inlineStr">
        <is>
          <t>210207</t>
        </is>
      </c>
      <c r="L5217" s="20" t="n">
        <v>6766000</v>
      </c>
      <c r="M5217" s="20" t="n">
        <v>6370189</v>
      </c>
      <c r="N5217" s="20" t="n">
        <v>515808</v>
      </c>
      <c r="O5217" s="20" t="inlineStr">
        <is>
          <t>카페24고체향수솔리드퍼퓸 스테이포에버 002제품선택=스테이포에버 1개210207</t>
        </is>
      </c>
    </row>
    <row r="5218" ht="16.5" customHeight="1" s="17">
      <c r="B5218" s="16" t="n">
        <v>44276</v>
      </c>
      <c r="C5218" s="20" t="inlineStr">
        <is>
          <t>일</t>
        </is>
      </c>
      <c r="E5218" s="20" t="inlineStr">
        <is>
          <t>고체향수</t>
        </is>
      </c>
      <c r="F5218" s="20" t="inlineStr">
        <is>
          <t>카페24</t>
        </is>
      </c>
      <c r="G5218" s="20" t="inlineStr">
        <is>
          <t>솔리드퍼퓸 스테이포에버 002제품선택=best스테이포에버 2개[28% 할인]</t>
        </is>
      </c>
      <c r="H5218" s="20" t="n">
        <v>120</v>
      </c>
      <c r="I5218" s="20" t="inlineStr">
        <is>
          <t>스테이포에버 2set</t>
        </is>
      </c>
      <c r="J5218" s="20" t="inlineStr">
        <is>
          <t>210207</t>
        </is>
      </c>
      <c r="L5218" s="20" t="n">
        <v>7056000</v>
      </c>
      <c r="M5218" s="20" t="n">
        <v>6643224</v>
      </c>
      <c r="N5218" s="20" t="n">
        <v>622080</v>
      </c>
      <c r="O5218" s="20" t="inlineStr">
        <is>
          <t>카페24고체향수솔리드퍼퓸 스테이포에버 002제품선택=best스테이포에버 2개[28% 할인]210207</t>
        </is>
      </c>
    </row>
    <row r="5219" ht="16.5" customHeight="1" s="17">
      <c r="B5219" s="16" t="n">
        <v>44276</v>
      </c>
      <c r="C5219" s="20" t="inlineStr">
        <is>
          <t>일</t>
        </is>
      </c>
      <c r="E5219" s="20" t="inlineStr">
        <is>
          <t>고체향수</t>
        </is>
      </c>
      <c r="F5219" s="20" t="inlineStr">
        <is>
          <t>카페24</t>
        </is>
      </c>
      <c r="G5219" s="20" t="inlineStr">
        <is>
          <t>솔리드퍼퓸 스테이포에버 002제품선택=커플추천스테이포에버 + 이그나이트 세트</t>
        </is>
      </c>
      <c r="H5219" s="20" t="n">
        <v>8</v>
      </c>
      <c r="I5219" s="20" t="inlineStr">
        <is>
          <t>이그나이트 + 스테이포에버</t>
        </is>
      </c>
      <c r="J5219" s="20" t="inlineStr">
        <is>
          <t>210207</t>
        </is>
      </c>
      <c r="L5219" s="20" t="n">
        <v>470400</v>
      </c>
      <c r="M5219" s="20" t="n">
        <v>442881.6</v>
      </c>
      <c r="N5219" s="20" t="n">
        <v>42760</v>
      </c>
      <c r="O5219" s="20" t="inlineStr">
        <is>
          <t>카페24고체향수솔리드퍼퓸 스테이포에버 002제품선택=커플추천스테이포에버 + 이그나이트 세트210207</t>
        </is>
      </c>
    </row>
    <row r="5220" ht="16.5" customHeight="1" s="17">
      <c r="B5220" s="16" t="n">
        <v>44276</v>
      </c>
      <c r="C5220" s="20" t="inlineStr">
        <is>
          <t>일</t>
        </is>
      </c>
      <c r="E5220" s="20" t="inlineStr">
        <is>
          <t>쇼핑백</t>
        </is>
      </c>
      <c r="F5220" s="20" t="inlineStr">
        <is>
          <t>카페24</t>
        </is>
      </c>
      <c r="G5220" s="20" t="inlineStr">
        <is>
          <t>솔리드퍼퓸 스테이포에버 002쇼핑백=선물용 쇼핑백</t>
        </is>
      </c>
      <c r="H5220" s="20" t="n">
        <v>3</v>
      </c>
      <c r="I5220" s="20" t="inlineStr">
        <is>
          <t>쇼핑백</t>
        </is>
      </c>
      <c r="J5220" s="20" t="inlineStr">
        <is>
          <t>210207</t>
        </is>
      </c>
      <c r="L5220" s="20" t="n">
        <v>6000</v>
      </c>
      <c r="M5220" s="20" t="n">
        <v>5649</v>
      </c>
      <c r="N5220" s="20" t="n">
        <v>2490</v>
      </c>
      <c r="O5220" s="20" t="inlineStr">
        <is>
          <t>카페24쇼핑백솔리드퍼퓸 스테이포에버 002쇼핑백=선물용 쇼핑백210207</t>
        </is>
      </c>
    </row>
    <row r="5221" ht="16.5" customHeight="1" s="17">
      <c r="B5221" s="16" t="n">
        <v>44276</v>
      </c>
      <c r="C5221" s="20" t="inlineStr">
        <is>
          <t>일</t>
        </is>
      </c>
      <c r="E5221" s="20" t="inlineStr">
        <is>
          <t>고체향수</t>
        </is>
      </c>
      <c r="F5221" s="20" t="inlineStr">
        <is>
          <t>카페24</t>
        </is>
      </c>
      <c r="G5221" s="20" t="inlineStr">
        <is>
          <t>솔리드퍼퓸 이그나이트 001제품선택=이그나이트 솔리드퍼퓸 - 30ml</t>
        </is>
      </c>
      <c r="H5221" s="20" t="n">
        <v>3</v>
      </c>
      <c r="I5221" s="20" t="inlineStr">
        <is>
          <t>이그나이트</t>
        </is>
      </c>
      <c r="J5221" s="20" t="inlineStr">
        <is>
          <t>210207</t>
        </is>
      </c>
      <c r="L5221" s="20" t="n">
        <v>102000</v>
      </c>
      <c r="M5221" s="20" t="n">
        <v>96033</v>
      </c>
      <c r="N5221" s="20" t="n">
        <v>8259</v>
      </c>
      <c r="O5221" s="20" t="inlineStr">
        <is>
          <t>카페24고체향수솔리드퍼퓸 이그나이트 001제품선택=이그나이트 솔리드퍼퓸 - 30ml210207</t>
        </is>
      </c>
    </row>
    <row r="5222" ht="16.5" customHeight="1" s="17">
      <c r="B5222" s="16" t="n">
        <v>44276</v>
      </c>
      <c r="C5222" s="20" t="inlineStr">
        <is>
          <t>일</t>
        </is>
      </c>
      <c r="E5222" s="20" t="inlineStr">
        <is>
          <t>고체향수</t>
        </is>
      </c>
      <c r="F5222" s="20" t="inlineStr">
        <is>
          <t>카페24</t>
        </is>
      </c>
      <c r="G5222" s="20" t="inlineStr">
        <is>
          <t>솔리드퍼퓸 이그나이트 001제품선택=이그나이트 2개 세트</t>
        </is>
      </c>
      <c r="H5222" s="20" t="n">
        <v>2</v>
      </c>
      <c r="I5222" s="20" t="inlineStr">
        <is>
          <t>이그나이트 2set</t>
        </is>
      </c>
      <c r="J5222" s="20" t="inlineStr">
        <is>
          <t>210207</t>
        </is>
      </c>
      <c r="L5222" s="20" t="n">
        <v>117600</v>
      </c>
      <c r="M5222" s="20" t="n">
        <v>110720.4</v>
      </c>
      <c r="N5222" s="20" t="n">
        <v>11012</v>
      </c>
      <c r="O5222" s="20" t="inlineStr">
        <is>
          <t>카페24고체향수솔리드퍼퓸 이그나이트 001제품선택=이그나이트 2개 세트210207</t>
        </is>
      </c>
    </row>
    <row r="5223" ht="16.5" customHeight="1" s="17">
      <c r="B5223" s="16" t="n">
        <v>44276</v>
      </c>
      <c r="C5223" s="20" t="inlineStr">
        <is>
          <t>일</t>
        </is>
      </c>
      <c r="E5223" s="20" t="inlineStr">
        <is>
          <t>쇼핑백</t>
        </is>
      </c>
      <c r="F5223" s="20" t="inlineStr">
        <is>
          <t>카페24</t>
        </is>
      </c>
      <c r="G5223" s="20" t="inlineStr">
        <is>
          <t>솔리드퍼퓸 이그나이트 001쇼핑백=선물용 쇼핑백</t>
        </is>
      </c>
      <c r="H5223" s="20" t="n">
        <v>1</v>
      </c>
      <c r="I5223" s="20" t="inlineStr">
        <is>
          <t>쇼핑백</t>
        </is>
      </c>
      <c r="J5223" s="20" t="inlineStr">
        <is>
          <t>210207</t>
        </is>
      </c>
      <c r="L5223" s="20" t="n">
        <v>2000</v>
      </c>
      <c r="M5223" s="20" t="n">
        <v>1883</v>
      </c>
      <c r="N5223" s="20" t="n">
        <v>830</v>
      </c>
      <c r="O5223" s="20" t="inlineStr">
        <is>
          <t>카페24쇼핑백솔리드퍼퓸 이그나이트 001쇼핑백=선물용 쇼핑백210207</t>
        </is>
      </c>
    </row>
    <row r="5224" ht="16.5" customHeight="1" s="17">
      <c r="B5224" s="16" t="n">
        <v>44276</v>
      </c>
      <c r="C5224" s="20" t="inlineStr">
        <is>
          <t>일</t>
        </is>
      </c>
      <c r="E5224" s="20" t="inlineStr">
        <is>
          <t>고체향수</t>
        </is>
      </c>
      <c r="F5224" s="20" t="inlineStr">
        <is>
          <t>카페24</t>
        </is>
      </c>
      <c r="G5224" s="20" t="inlineStr">
        <is>
          <t>유즈 솔리드퍼퓸 세트향=이그나이트 001 SOLID PERFUME, 세트 선택=1개</t>
        </is>
      </c>
      <c r="H5224" s="20" t="n">
        <v>1</v>
      </c>
      <c r="I5224" s="20" t="inlineStr">
        <is>
          <t>이그나이트</t>
        </is>
      </c>
      <c r="J5224" s="20" t="inlineStr">
        <is>
          <t>210207</t>
        </is>
      </c>
      <c r="L5224" s="20" t="n">
        <v>34000</v>
      </c>
      <c r="M5224" s="20" t="n">
        <v>32011</v>
      </c>
      <c r="N5224" s="20" t="n">
        <v>2753</v>
      </c>
      <c r="O5224" s="20" t="inlineStr">
        <is>
          <t>카페24고체향수유즈 솔리드퍼퓸 세트향=이그나이트 001 SOLID PERFUME, 세트 선택=1개210207</t>
        </is>
      </c>
    </row>
    <row r="5225" ht="16.5" customHeight="1" s="17">
      <c r="B5225" s="16" t="n">
        <v>44276</v>
      </c>
      <c r="C5225" s="20" t="inlineStr">
        <is>
          <t>일</t>
        </is>
      </c>
      <c r="E5225" s="20" t="inlineStr">
        <is>
          <t>고체향수</t>
        </is>
      </c>
      <c r="F5225" s="20" t="inlineStr">
        <is>
          <t>카페24</t>
        </is>
      </c>
      <c r="G5225" s="20" t="inlineStr">
        <is>
          <t>유즈 솔리드퍼퓸 세트향=스테이포에버 002 SOLID PERFUME, 세트 선택=1개</t>
        </is>
      </c>
      <c r="H5225" s="20" t="n">
        <v>6</v>
      </c>
      <c r="I5225" s="20" t="inlineStr">
        <is>
          <t>스테이포에버</t>
        </is>
      </c>
      <c r="J5225" s="20" t="inlineStr">
        <is>
          <t>210207</t>
        </is>
      </c>
      <c r="L5225" s="20" t="n">
        <v>204000</v>
      </c>
      <c r="M5225" s="20" t="n">
        <v>192066</v>
      </c>
      <c r="N5225" s="20" t="n">
        <v>15552</v>
      </c>
      <c r="O5225" s="20" t="inlineStr">
        <is>
          <t>카페24고체향수유즈 솔리드퍼퓸 세트향=스테이포에버 002 SOLID PERFUME, 세트 선택=1개210207</t>
        </is>
      </c>
    </row>
    <row r="5226" ht="16.5" customHeight="1" s="17">
      <c r="B5226" s="16" t="n">
        <v>44276</v>
      </c>
      <c r="C5226" s="20" t="inlineStr">
        <is>
          <t>일</t>
        </is>
      </c>
      <c r="E5226" s="20" t="inlineStr">
        <is>
          <t>고체향수</t>
        </is>
      </c>
      <c r="F5226" s="20" t="inlineStr">
        <is>
          <t>카페24</t>
        </is>
      </c>
      <c r="G5226" s="20" t="inlineStr">
        <is>
          <t>유즈 솔리드퍼퓸 세트향=스테이포에버 002 SOLID PERFUME, 세트 선택=best 2개 (28% 할인)</t>
        </is>
      </c>
      <c r="H5226" s="20" t="n">
        <v>1</v>
      </c>
      <c r="I5226" s="20" t="inlineStr">
        <is>
          <t>스테이포에버 2set</t>
        </is>
      </c>
      <c r="J5226" s="20" t="inlineStr">
        <is>
          <t>210207</t>
        </is>
      </c>
      <c r="L5226" s="20" t="n">
        <v>58800</v>
      </c>
      <c r="M5226" s="20" t="n">
        <v>55360.2</v>
      </c>
      <c r="N5226" s="20" t="n">
        <v>5184</v>
      </c>
      <c r="O5226" s="20" t="inlineStr">
        <is>
          <t>카페24고체향수유즈 솔리드퍼퓸 세트향=스테이포에버 002 SOLID PERFUME, 세트 선택=best 2개 (28% 할인)210207</t>
        </is>
      </c>
    </row>
    <row r="5227" ht="16.5" customHeight="1" s="17">
      <c r="B5227" s="16" t="n">
        <v>44276</v>
      </c>
      <c r="C5227" s="20" t="inlineStr">
        <is>
          <t>일</t>
        </is>
      </c>
      <c r="E5227" s="20" t="inlineStr">
        <is>
          <t>고체향수</t>
        </is>
      </c>
      <c r="F5227" s="20" t="inlineStr">
        <is>
          <t>카페24</t>
        </is>
      </c>
      <c r="G5227" s="20" t="inlineStr">
        <is>
          <t>유즈 솔리드퍼퓸 세트향=커플세트(이그나이트 + 스테이포에버), 세트 선택=1 SET</t>
        </is>
      </c>
      <c r="H5227" s="20" t="n">
        <v>2</v>
      </c>
      <c r="I5227" s="20" t="inlineStr">
        <is>
          <t>이그나이트 + 스테이포에버</t>
        </is>
      </c>
      <c r="J5227" s="20" t="inlineStr">
        <is>
          <t>210207</t>
        </is>
      </c>
      <c r="L5227" s="20" t="n">
        <v>117600</v>
      </c>
      <c r="M5227" s="20" t="n">
        <v>110720.4</v>
      </c>
      <c r="N5227" s="20" t="n">
        <v>10690</v>
      </c>
      <c r="O5227" s="20" t="inlineStr">
        <is>
          <t>카페24고체향수유즈 솔리드퍼퓸 세트향=커플세트(이그나이트 + 스테이포에버), 세트 선택=1 SET210207</t>
        </is>
      </c>
    </row>
    <row r="5228" ht="16.5" customHeight="1" s="17">
      <c r="B5228" s="16" t="n">
        <v>44274</v>
      </c>
      <c r="C5228" s="20" t="inlineStr">
        <is>
          <t>금</t>
        </is>
      </c>
      <c r="D5228" s="20" t="inlineStr">
        <is>
          <t>네이버 배너(대행사)</t>
        </is>
      </c>
      <c r="E5228" s="20" t="inlineStr">
        <is>
          <t>고체향수</t>
        </is>
      </c>
      <c r="K5228" s="20">
        <f>312554/1.1</f>
        <v/>
      </c>
    </row>
    <row r="5229" ht="16.5" customHeight="1" s="17">
      <c r="B5229" s="16" t="n">
        <v>44275</v>
      </c>
      <c r="C5229" s="20" t="inlineStr">
        <is>
          <t>토</t>
        </is>
      </c>
      <c r="D5229" s="20" t="inlineStr">
        <is>
          <t>네이버 배너(대행사)</t>
        </is>
      </c>
      <c r="E5229" s="20" t="inlineStr">
        <is>
          <t>고체향수</t>
        </is>
      </c>
      <c r="K5229" s="20">
        <f>439152/1.1</f>
        <v/>
      </c>
    </row>
    <row r="5230" ht="16.5" customHeight="1" s="17">
      <c r="B5230" s="16" t="n">
        <v>44276</v>
      </c>
      <c r="C5230" s="20" t="inlineStr">
        <is>
          <t>일</t>
        </is>
      </c>
      <c r="D5230" s="20" t="inlineStr">
        <is>
          <t>네이버 배너(대행사)</t>
        </is>
      </c>
      <c r="E5230" s="20" t="inlineStr">
        <is>
          <t>고체향수</t>
        </is>
      </c>
      <c r="K5230" s="20">
        <f>756129/1.1</f>
        <v/>
      </c>
    </row>
    <row r="5231" ht="16.5" customHeight="1" s="17">
      <c r="B5231" s="16" t="n">
        <v>44274</v>
      </c>
      <c r="C5231" s="20" t="inlineStr">
        <is>
          <t>금</t>
        </is>
      </c>
      <c r="D5231" s="20" t="inlineStr">
        <is>
          <t>네이버 쇼핑박스</t>
        </is>
      </c>
      <c r="E5231" s="20" t="inlineStr">
        <is>
          <t>고체향수</t>
        </is>
      </c>
      <c r="K5231" s="20" t="n">
        <v>1129000</v>
      </c>
    </row>
    <row r="5232" ht="16.5" customHeight="1" s="17">
      <c r="B5232" s="16" t="n">
        <v>44275</v>
      </c>
      <c r="C5232" s="20" t="inlineStr">
        <is>
          <t>토</t>
        </is>
      </c>
      <c r="D5232" s="20" t="inlineStr">
        <is>
          <t>네이버 쇼핑박스</t>
        </is>
      </c>
      <c r="E5232" s="20" t="inlineStr">
        <is>
          <t>고체향수</t>
        </is>
      </c>
      <c r="K5232" s="20" t="n">
        <v>1129000</v>
      </c>
    </row>
    <row r="5233" ht="16.5" customHeight="1" s="17">
      <c r="B5233" s="16" t="n">
        <v>44276</v>
      </c>
      <c r="C5233" s="20" t="inlineStr">
        <is>
          <t>일</t>
        </is>
      </c>
      <c r="D5233" s="20" t="inlineStr">
        <is>
          <t>네이버 쇼핑박스</t>
        </is>
      </c>
      <c r="E5233" s="20" t="inlineStr">
        <is>
          <t>고체향수</t>
        </is>
      </c>
      <c r="K5233" s="20" t="n">
        <v>1129000</v>
      </c>
    </row>
    <row r="5234" ht="16.5" customHeight="1" s="17">
      <c r="A5234" s="20" t="inlineStr">
        <is>
          <t>[유튜버 수지큐]스테이포에버_카드뉴스</t>
        </is>
      </c>
      <c r="B5234" s="16" t="n">
        <v>44277</v>
      </c>
      <c r="C5234" s="20" t="inlineStr">
        <is>
          <t>월</t>
        </is>
      </c>
      <c r="D5234" s="20" t="inlineStr">
        <is>
          <t>페이스북/인스타그램</t>
        </is>
      </c>
      <c r="E5234" s="20" t="inlineStr">
        <is>
          <t>고체향수</t>
        </is>
      </c>
      <c r="K5234" s="20" t="n">
        <v>33343</v>
      </c>
    </row>
    <row r="5235" ht="16.5" customHeight="1" s="17">
      <c r="A5235" s="20" t="inlineStr">
        <is>
          <t>[승무원]수지큐2차활용_스테이포에버_이미지</t>
        </is>
      </c>
      <c r="B5235" s="16" t="n">
        <v>44277</v>
      </c>
      <c r="C5235" s="20" t="inlineStr">
        <is>
          <t>월</t>
        </is>
      </c>
      <c r="D5235" s="20" t="inlineStr">
        <is>
          <t>페이스북/인스타그램</t>
        </is>
      </c>
      <c r="E5235" s="20" t="inlineStr">
        <is>
          <t>고체향수</t>
        </is>
      </c>
      <c r="K5235" s="20" t="n">
        <v>30606</v>
      </c>
    </row>
    <row r="5236" ht="16.5" customHeight="1" s="17">
      <c r="A5236" s="20" t="inlineStr">
        <is>
          <t>[다현 TEST] 스테이포에버_유즈모먼트</t>
        </is>
      </c>
      <c r="B5236" s="16" t="n">
        <v>44277</v>
      </c>
      <c r="C5236" s="20" t="inlineStr">
        <is>
          <t>월</t>
        </is>
      </c>
      <c r="D5236" s="20" t="inlineStr">
        <is>
          <t>페이스북/인스타그램</t>
        </is>
      </c>
      <c r="E5236" s="20" t="inlineStr">
        <is>
          <t>고체향수</t>
        </is>
      </c>
      <c r="K5236" s="20" t="n">
        <v>60184</v>
      </c>
    </row>
    <row r="5237" ht="16.5" customHeight="1" s="17">
      <c r="A5237" s="20" t="inlineStr">
        <is>
          <t>[성민 TEST] 스테이포에버_이미지</t>
        </is>
      </c>
      <c r="B5237" s="16" t="n">
        <v>44277</v>
      </c>
      <c r="C5237" s="20" t="inlineStr">
        <is>
          <t>월</t>
        </is>
      </c>
      <c r="D5237" s="20" t="inlineStr">
        <is>
          <t>페이스북/인스타그램</t>
        </is>
      </c>
      <c r="E5237" s="20" t="inlineStr">
        <is>
          <t>고체향수</t>
        </is>
      </c>
      <c r="K5237" s="20" t="n">
        <v>90546</v>
      </c>
    </row>
    <row r="5238" ht="16.5" customHeight="1" s="17">
      <c r="A5238" s="20" t="inlineStr">
        <is>
          <t>[승은 TEST] 스테이포에버_카드뉴스</t>
        </is>
      </c>
      <c r="B5238" s="16" t="n">
        <v>44277</v>
      </c>
      <c r="C5238" s="20" t="inlineStr">
        <is>
          <t>월</t>
        </is>
      </c>
      <c r="D5238" s="20" t="inlineStr">
        <is>
          <t>페이스북/인스타그램</t>
        </is>
      </c>
      <c r="E5238" s="20" t="inlineStr">
        <is>
          <t>고체향수</t>
        </is>
      </c>
      <c r="K5238" s="20" t="n">
        <v>60594</v>
      </c>
    </row>
    <row r="5239" ht="16.5" customHeight="1" s="17">
      <c r="A5239" s="20" t="inlineStr">
        <is>
          <t>[승무원 2] 스테이포에버_카드뉴스</t>
        </is>
      </c>
      <c r="B5239" s="16" t="n">
        <v>44277</v>
      </c>
      <c r="C5239" s="20" t="inlineStr">
        <is>
          <t>월</t>
        </is>
      </c>
      <c r="D5239" s="20" t="inlineStr">
        <is>
          <t>페이스북/인스타그램</t>
        </is>
      </c>
      <c r="E5239" s="20" t="inlineStr">
        <is>
          <t>고체향수</t>
        </is>
      </c>
      <c r="K5239" s="20" t="n">
        <v>100184</v>
      </c>
    </row>
    <row r="5240" ht="16.5" customHeight="1" s="17">
      <c r="A5240" s="20" t="inlineStr">
        <is>
          <t>[테스트]아줌마</t>
        </is>
      </c>
      <c r="B5240" s="16" t="n">
        <v>44277</v>
      </c>
      <c r="C5240" s="20" t="inlineStr">
        <is>
          <t>월</t>
        </is>
      </c>
      <c r="D5240" s="20" t="inlineStr">
        <is>
          <t>페이스북/인스타그램</t>
        </is>
      </c>
      <c r="E5240" s="20" t="inlineStr">
        <is>
          <t>고체향수</t>
        </is>
      </c>
      <c r="K5240" s="20" t="n">
        <v>161265</v>
      </c>
    </row>
    <row r="5241" ht="16.5" customHeight="1" s="17">
      <c r="A5241" s="20" t="inlineStr">
        <is>
          <t>[키워드 확장 테스트]스테이포에버_이미지</t>
        </is>
      </c>
      <c r="B5241" s="16" t="n">
        <v>44277</v>
      </c>
      <c r="C5241" s="20" t="inlineStr">
        <is>
          <t>월</t>
        </is>
      </c>
      <c r="D5241" s="20" t="inlineStr">
        <is>
          <t>페이스북/인스타그램</t>
        </is>
      </c>
      <c r="E5241" s="20" t="inlineStr">
        <is>
          <t>고체향수</t>
        </is>
      </c>
      <c r="K5241" s="20" t="n">
        <v>255259</v>
      </c>
    </row>
    <row r="5242" ht="16.5" customHeight="1" s="17">
      <c r="A5242" s="20" t="inlineStr">
        <is>
          <t>[재입고]스테이포에버_이미지</t>
        </is>
      </c>
      <c r="B5242" s="16" t="n">
        <v>44277</v>
      </c>
      <c r="C5242" s="20" t="inlineStr">
        <is>
          <t>월</t>
        </is>
      </c>
      <c r="D5242" s="20" t="inlineStr">
        <is>
          <t>페이스북/인스타그램</t>
        </is>
      </c>
      <c r="E5242" s="20" t="inlineStr">
        <is>
          <t>고체향수</t>
        </is>
      </c>
      <c r="K5242" s="20" t="n">
        <v>49968</v>
      </c>
    </row>
    <row r="5243" ht="16.5" customHeight="1" s="17">
      <c r="A5243" s="20" t="inlineStr">
        <is>
          <t>[승무원]숏폼_영상</t>
        </is>
      </c>
      <c r="B5243" s="16" t="n">
        <v>44277</v>
      </c>
      <c r="C5243" s="20" t="inlineStr">
        <is>
          <t>월</t>
        </is>
      </c>
      <c r="D5243" s="20" t="inlineStr">
        <is>
          <t>페이스북/인스타그램</t>
        </is>
      </c>
      <c r="E5243" s="20" t="inlineStr">
        <is>
          <t>고체향수</t>
        </is>
      </c>
      <c r="K5243" s="20" t="n">
        <v>100452</v>
      </c>
    </row>
    <row r="5244" ht="16.5" customHeight="1" s="17">
      <c r="A5244" s="20" t="inlineStr">
        <is>
          <t>[재입고]스테이포에버_영상</t>
        </is>
      </c>
      <c r="B5244" s="16" t="n">
        <v>44277</v>
      </c>
      <c r="C5244" s="20" t="inlineStr">
        <is>
          <t>월</t>
        </is>
      </c>
      <c r="D5244" s="20" t="inlineStr">
        <is>
          <t>페이스북/인스타그램</t>
        </is>
      </c>
      <c r="E5244" s="20" t="inlineStr">
        <is>
          <t>고체향수</t>
        </is>
      </c>
      <c r="K5244" s="20" t="n">
        <v>50200</v>
      </c>
    </row>
    <row r="5245" ht="16.5" customHeight="1" s="17">
      <c r="A5245" s="20" t="inlineStr">
        <is>
          <t>[젊줌마]스테이포에버_영상</t>
        </is>
      </c>
      <c r="B5245" s="16" t="n">
        <v>44277</v>
      </c>
      <c r="C5245" s="20" t="inlineStr">
        <is>
          <t>월</t>
        </is>
      </c>
      <c r="D5245" s="20" t="inlineStr">
        <is>
          <t>페이스북/인스타그램</t>
        </is>
      </c>
      <c r="E5245" s="20" t="inlineStr">
        <is>
          <t>고체향수</t>
        </is>
      </c>
      <c r="K5245" s="20" t="n">
        <v>100838</v>
      </c>
    </row>
    <row r="5246" ht="16.5" customHeight="1" s="17">
      <c r="A5246" s="20" t="inlineStr">
        <is>
          <t>[승무원]2019년썰 카드뉴스+ 향묘사_영상</t>
        </is>
      </c>
      <c r="B5246" s="16" t="n">
        <v>44277</v>
      </c>
      <c r="C5246" s="20" t="inlineStr">
        <is>
          <t>월</t>
        </is>
      </c>
      <c r="D5246" s="20" t="inlineStr">
        <is>
          <t>페이스북/인스타그램</t>
        </is>
      </c>
      <c r="E5246" s="20" t="inlineStr">
        <is>
          <t>고체향수</t>
        </is>
      </c>
      <c r="K5246" s="20" t="n">
        <v>70174</v>
      </c>
    </row>
    <row r="5247" ht="16.5" customHeight="1" s="17">
      <c r="A5247" s="20" t="inlineStr">
        <is>
          <t>[승무원어피]스테이포에버_이미지</t>
        </is>
      </c>
      <c r="B5247" s="16" t="n">
        <v>44277</v>
      </c>
      <c r="C5247" s="20" t="inlineStr">
        <is>
          <t>월</t>
        </is>
      </c>
      <c r="D5247" s="20" t="inlineStr">
        <is>
          <t>페이스북/인스타그램</t>
        </is>
      </c>
      <c r="E5247" s="20" t="inlineStr">
        <is>
          <t>고체향수</t>
        </is>
      </c>
      <c r="K5247" s="20" t="n">
        <v>150809</v>
      </c>
    </row>
    <row r="5248" ht="16.5" customHeight="1" s="17">
      <c r="A5248" s="20" t="inlineStr">
        <is>
          <t>[다현]스테이포에버_이미지</t>
        </is>
      </c>
      <c r="B5248" s="16" t="n">
        <v>44277</v>
      </c>
      <c r="C5248" s="20" t="inlineStr">
        <is>
          <t>월</t>
        </is>
      </c>
      <c r="D5248" s="20" t="inlineStr">
        <is>
          <t>페이스북/인스타그램</t>
        </is>
      </c>
      <c r="E5248" s="20" t="inlineStr">
        <is>
          <t>고체향수</t>
        </is>
      </c>
      <c r="K5248" s="20" t="n">
        <v>201278</v>
      </c>
    </row>
    <row r="5249" ht="16.5" customHeight="1" s="17">
      <c r="A5249" s="20" t="inlineStr">
        <is>
          <t>[승무원]스테이포에버_카드뉴스</t>
        </is>
      </c>
      <c r="B5249" s="16" t="n">
        <v>44277</v>
      </c>
      <c r="C5249" s="20" t="inlineStr">
        <is>
          <t>월</t>
        </is>
      </c>
      <c r="D5249" s="20" t="inlineStr">
        <is>
          <t>페이스북/인스타그램</t>
        </is>
      </c>
      <c r="E5249" s="20" t="inlineStr">
        <is>
          <t>고체향수</t>
        </is>
      </c>
      <c r="K5249" s="20" t="n">
        <v>200235</v>
      </c>
    </row>
    <row r="5250" ht="16.5" customHeight="1" s="17">
      <c r="A5250" s="20" t="inlineStr">
        <is>
          <t>[후기타입]스테이포에버_영상</t>
        </is>
      </c>
      <c r="B5250" s="16" t="n">
        <v>44277</v>
      </c>
      <c r="C5250" s="20" t="inlineStr">
        <is>
          <t>월</t>
        </is>
      </c>
      <c r="D5250" s="20" t="inlineStr">
        <is>
          <t>페이스북/인스타그램</t>
        </is>
      </c>
      <c r="E5250" s="20" t="inlineStr">
        <is>
          <t>고체향수</t>
        </is>
      </c>
      <c r="K5250" s="20" t="n">
        <v>150189</v>
      </c>
    </row>
    <row r="5251" ht="16.5" customHeight="1" s="17">
      <c r="A5251" s="20" t="inlineStr">
        <is>
          <t>전환_스테이포에버</t>
        </is>
      </c>
      <c r="B5251" s="16" t="n">
        <v>44277</v>
      </c>
      <c r="C5251" s="20" t="inlineStr">
        <is>
          <t>월</t>
        </is>
      </c>
      <c r="D5251" s="20" t="inlineStr">
        <is>
          <t>페이스북/인스타그램</t>
        </is>
      </c>
      <c r="E5251" s="20" t="inlineStr">
        <is>
          <t>고체향수</t>
        </is>
      </c>
      <c r="K5251" s="20" t="n">
        <v>50138</v>
      </c>
    </row>
    <row r="5252" ht="16.5" customHeight="1" s="17">
      <c r="A5252" s="20" t="inlineStr">
        <is>
          <t>[권태기커플]스테이포에버_영상</t>
        </is>
      </c>
      <c r="B5252" s="16" t="n">
        <v>44277</v>
      </c>
      <c r="C5252" s="20" t="inlineStr">
        <is>
          <t>월</t>
        </is>
      </c>
      <c r="D5252" s="20" t="inlineStr">
        <is>
          <t>페이스북/인스타그램</t>
        </is>
      </c>
      <c r="E5252" s="20" t="inlineStr">
        <is>
          <t>고체향수</t>
        </is>
      </c>
      <c r="K5252" s="20" t="n">
        <v>150234</v>
      </c>
    </row>
    <row r="5253" ht="16.5" customHeight="1" s="17">
      <c r="A5253" s="20" t="inlineStr">
        <is>
          <t>웹사이트 트래픽 서치</t>
        </is>
      </c>
      <c r="B5253" s="16" t="n">
        <v>44277</v>
      </c>
      <c r="C5253" s="20" t="inlineStr">
        <is>
          <t>월</t>
        </is>
      </c>
      <c r="D5253" s="20" t="inlineStr">
        <is>
          <t>유튜브 광고</t>
        </is>
      </c>
      <c r="E5253" s="20" t="inlineStr">
        <is>
          <t>고체향수</t>
        </is>
      </c>
      <c r="K5253" s="20" t="n">
        <v>19179</v>
      </c>
    </row>
    <row r="5254" ht="16.5" customHeight="1" s="17">
      <c r="A5254" s="20" t="inlineStr">
        <is>
          <t>동영상캠페인_승무원_보이는 라디오(cpa)</t>
        </is>
      </c>
      <c r="B5254" s="16" t="n">
        <v>44277</v>
      </c>
      <c r="C5254" s="20" t="inlineStr">
        <is>
          <t>월</t>
        </is>
      </c>
      <c r="D5254" s="20" t="inlineStr">
        <is>
          <t>유튜브 광고</t>
        </is>
      </c>
      <c r="E5254" s="20" t="inlineStr">
        <is>
          <t>고체향수</t>
        </is>
      </c>
      <c r="K5254" s="20" t="n">
        <v>208589</v>
      </c>
    </row>
    <row r="5255" ht="16.5" customHeight="1" s="17">
      <c r="A5255" s="20" t="inlineStr">
        <is>
          <t>디스커버리 배너_승무원,할인_리마케팅</t>
        </is>
      </c>
      <c r="B5255" s="16" t="n">
        <v>44277</v>
      </c>
      <c r="C5255" s="20" t="inlineStr">
        <is>
          <t>월</t>
        </is>
      </c>
      <c r="D5255" s="20" t="inlineStr">
        <is>
          <t>유튜브 광고</t>
        </is>
      </c>
      <c r="E5255" s="20" t="inlineStr">
        <is>
          <t>고체향수</t>
        </is>
      </c>
      <c r="K5255" s="20" t="n">
        <v>335855</v>
      </c>
    </row>
    <row r="5256" ht="16.5" customHeight="1" s="17">
      <c r="A5256" s="20" t="inlineStr">
        <is>
          <t>동영상캠페인_승무원_써니스카이</t>
        </is>
      </c>
      <c r="B5256" s="16" t="n">
        <v>44277</v>
      </c>
      <c r="C5256" s="20" t="inlineStr">
        <is>
          <t>월</t>
        </is>
      </c>
      <c r="D5256" s="20" t="inlineStr">
        <is>
          <t>유튜브 광고</t>
        </is>
      </c>
      <c r="E5256" s="20" t="inlineStr">
        <is>
          <t>고체향수</t>
        </is>
      </c>
      <c r="K5256" s="20" t="n">
        <v>515785</v>
      </c>
    </row>
    <row r="5257" ht="16.5" customHeight="1" s="17">
      <c r="A5257" s="20" t="inlineStr">
        <is>
          <t>동영상캠페인_필라테스_자기관리(타겟 cpa)</t>
        </is>
      </c>
      <c r="B5257" s="16" t="n">
        <v>44277</v>
      </c>
      <c r="C5257" s="20" t="inlineStr">
        <is>
          <t>월</t>
        </is>
      </c>
      <c r="D5257" s="20" t="inlineStr">
        <is>
          <t>유튜브 광고</t>
        </is>
      </c>
      <c r="E5257" s="20" t="inlineStr">
        <is>
          <t>고체향수</t>
        </is>
      </c>
      <c r="K5257" s="20" t="n">
        <v>362386</v>
      </c>
    </row>
    <row r="5258" ht="16.5" customHeight="1" s="17">
      <c r="A5258" s="20" t="inlineStr">
        <is>
          <t>동영상캠페인_승무원_비누향 나는 승무원에게(cpa)</t>
        </is>
      </c>
      <c r="B5258" s="16" t="n">
        <v>44277</v>
      </c>
      <c r="C5258" s="20" t="inlineStr">
        <is>
          <t>월</t>
        </is>
      </c>
      <c r="D5258" s="20" t="inlineStr">
        <is>
          <t>유튜브 광고</t>
        </is>
      </c>
      <c r="E5258" s="20" t="inlineStr">
        <is>
          <t>고체향수</t>
        </is>
      </c>
      <c r="K5258" s="20" t="n">
        <v>199267</v>
      </c>
    </row>
    <row r="5259" ht="16.5" customHeight="1" s="17">
      <c r="A5259" s="20" t="inlineStr">
        <is>
          <t>동영상캠페인_유즈모먼트_2차_30대 여성 회사원(cpa)</t>
        </is>
      </c>
      <c r="B5259" s="16" t="n">
        <v>44277</v>
      </c>
      <c r="C5259" s="20" t="inlineStr">
        <is>
          <t>월</t>
        </is>
      </c>
      <c r="D5259" s="20" t="inlineStr">
        <is>
          <t>유튜브 광고</t>
        </is>
      </c>
      <c r="E5259" s="20" t="inlineStr">
        <is>
          <t>고체향수</t>
        </is>
      </c>
      <c r="K5259" s="20" t="n">
        <v>14308</v>
      </c>
    </row>
    <row r="5260" ht="16.5" customHeight="1" s="17">
      <c r="A5260" s="20" t="inlineStr">
        <is>
          <t>동영상캠페인_유즈모먼트_조향사 친구(cpa)</t>
        </is>
      </c>
      <c r="B5260" s="16" t="n">
        <v>44277</v>
      </c>
      <c r="C5260" s="20" t="inlineStr">
        <is>
          <t>월</t>
        </is>
      </c>
      <c r="D5260" s="20" t="inlineStr">
        <is>
          <t>유튜브 광고</t>
        </is>
      </c>
      <c r="E5260" s="20" t="inlineStr">
        <is>
          <t>고체향수</t>
        </is>
      </c>
      <c r="K5260" s="20" t="n">
        <v>99848</v>
      </c>
    </row>
    <row r="5261" ht="16.5" customHeight="1" s="17">
      <c r="A5261" s="20" t="inlineStr">
        <is>
          <t>동영상 캠페인_유튜버 수지큐 2차활용</t>
        </is>
      </c>
      <c r="B5261" s="16" t="n">
        <v>44277</v>
      </c>
      <c r="C5261" s="20" t="inlineStr">
        <is>
          <t>월</t>
        </is>
      </c>
      <c r="D5261" s="20" t="inlineStr">
        <is>
          <t>유튜브 광고</t>
        </is>
      </c>
      <c r="E5261" s="20" t="inlineStr">
        <is>
          <t>고체향수</t>
        </is>
      </c>
      <c r="K5261" s="20" t="n">
        <v>103079</v>
      </c>
    </row>
    <row r="5262" ht="16.5" customHeight="1" s="17">
      <c r="A5262" s="20" t="inlineStr">
        <is>
          <t>메인키워드</t>
        </is>
      </c>
      <c r="B5262" s="16" t="n">
        <v>44277</v>
      </c>
      <c r="C5262" s="20" t="inlineStr">
        <is>
          <t>월</t>
        </is>
      </c>
      <c r="D5262" s="20" t="inlineStr">
        <is>
          <t>네이버 쇼핑검색</t>
        </is>
      </c>
      <c r="E5262" s="20" t="inlineStr">
        <is>
          <t>고체향수</t>
        </is>
      </c>
      <c r="K5262" s="20" t="n">
        <v>43560</v>
      </c>
    </row>
    <row r="5263" ht="16.5" customHeight="1" s="17">
      <c r="A5263" s="20" t="inlineStr">
        <is>
          <t>세부키워드1</t>
        </is>
      </c>
      <c r="B5263" s="16" t="n">
        <v>44277</v>
      </c>
      <c r="C5263" s="20" t="inlineStr">
        <is>
          <t>월</t>
        </is>
      </c>
      <c r="D5263" s="20" t="inlineStr">
        <is>
          <t>네이버 쇼핑검색</t>
        </is>
      </c>
      <c r="E5263" s="20" t="inlineStr">
        <is>
          <t>고체향수</t>
        </is>
      </c>
      <c r="K5263" s="20" t="n">
        <v>35940</v>
      </c>
    </row>
    <row r="5264" ht="16.5" customHeight="1" s="17">
      <c r="A5264" s="20" t="inlineStr">
        <is>
          <t>세부키워드2</t>
        </is>
      </c>
      <c r="B5264" s="16" t="n">
        <v>44277</v>
      </c>
      <c r="C5264" s="20" t="inlineStr">
        <is>
          <t>월</t>
        </is>
      </c>
      <c r="D5264" s="20" t="inlineStr">
        <is>
          <t>네이버 쇼핑검색</t>
        </is>
      </c>
      <c r="E5264" s="20" t="inlineStr">
        <is>
          <t>고체향수</t>
        </is>
      </c>
      <c r="K5264" s="20" t="n">
        <v>540</v>
      </c>
    </row>
    <row r="5265" ht="16.5" customHeight="1" s="17">
      <c r="A5265" s="20" t="inlineStr">
        <is>
          <t>세부키워드3</t>
        </is>
      </c>
      <c r="B5265" s="16" t="n">
        <v>44277</v>
      </c>
      <c r="C5265" s="20" t="inlineStr">
        <is>
          <t>월</t>
        </is>
      </c>
      <c r="D5265" s="20" t="inlineStr">
        <is>
          <t>네이버 쇼핑검색</t>
        </is>
      </c>
      <c r="E5265" s="20" t="inlineStr">
        <is>
          <t>고체향수</t>
        </is>
      </c>
      <c r="K5265" s="20" t="n">
        <v>57099.99999999999</v>
      </c>
    </row>
    <row r="5266" ht="16.5" customHeight="1" s="17">
      <c r="A5266" s="20" t="inlineStr">
        <is>
          <t>모바일 브검</t>
        </is>
      </c>
      <c r="B5266" s="16" t="n">
        <v>44277</v>
      </c>
      <c r="C5266" s="20" t="inlineStr">
        <is>
          <t>월</t>
        </is>
      </c>
      <c r="D5266" s="20" t="inlineStr">
        <is>
          <t>네이버 브랜드검색</t>
        </is>
      </c>
      <c r="E5266" s="20" t="inlineStr">
        <is>
          <t>브랜드</t>
        </is>
      </c>
      <c r="K5266" s="20" t="n">
        <v>0</v>
      </c>
    </row>
    <row r="5267" ht="16.5" customHeight="1" s="17">
      <c r="A5267" s="20" t="inlineStr">
        <is>
          <t>PC 브랜드검색</t>
        </is>
      </c>
      <c r="B5267" s="16" t="n">
        <v>44277</v>
      </c>
      <c r="C5267" s="20" t="inlineStr">
        <is>
          <t>월</t>
        </is>
      </c>
      <c r="D5267" s="20" t="inlineStr">
        <is>
          <t>네이버 브랜드검색</t>
        </is>
      </c>
      <c r="E5267" s="20" t="inlineStr">
        <is>
          <t>브랜드</t>
        </is>
      </c>
      <c r="K5267" s="20" t="n">
        <v>0</v>
      </c>
    </row>
    <row r="5268" ht="16.5" customHeight="1" s="17">
      <c r="B5268" s="16" t="n">
        <v>44277</v>
      </c>
      <c r="C5268" s="20" t="inlineStr">
        <is>
          <t>월</t>
        </is>
      </c>
      <c r="E5268" s="20" t="inlineStr">
        <is>
          <t>고체향수</t>
        </is>
      </c>
      <c r="F5268" s="20" t="inlineStr">
        <is>
          <t>W컨셉</t>
        </is>
      </c>
      <c r="G5268" s="20" t="inlineStr">
        <is>
          <t>솔리드퍼퓸 이그나이트/스테이포에버 30ml (2종 택1)&lt;옵션1&gt;001 IGNITE</t>
        </is>
      </c>
      <c r="H5268" s="20" t="n">
        <v>4</v>
      </c>
      <c r="I5268" s="20" t="inlineStr">
        <is>
          <t>이그나이트</t>
        </is>
      </c>
      <c r="J5268" s="20" t="inlineStr">
        <is>
          <t>210207</t>
        </is>
      </c>
      <c r="L5268" s="20" t="n">
        <v>136000</v>
      </c>
      <c r="M5268" s="20" t="n">
        <v>95200</v>
      </c>
      <c r="N5268" s="20" t="n">
        <v>11012</v>
      </c>
      <c r="O5268" s="20" t="inlineStr">
        <is>
          <t>W컨셉고체향수솔리드퍼퓸 이그나이트/스테이포에버 30ml (2종 택1)&lt;옵션1&gt;001 IGNITE210207</t>
        </is>
      </c>
    </row>
    <row r="5269" ht="16.5" customHeight="1" s="17">
      <c r="B5269" s="16" t="n">
        <v>44277</v>
      </c>
      <c r="C5269" s="20" t="inlineStr">
        <is>
          <t>월</t>
        </is>
      </c>
      <c r="E5269" s="20" t="inlineStr">
        <is>
          <t>고체향수</t>
        </is>
      </c>
      <c r="F5269" s="20" t="inlineStr">
        <is>
          <t>W컨셉</t>
        </is>
      </c>
      <c r="G5269" s="20" t="inlineStr">
        <is>
          <t>솔리드퍼퓸 이그나이트/스테이포에버 30ml (2종 택1)&lt;옵션1&gt;002 STAY FOREVER</t>
        </is>
      </c>
      <c r="H5269" s="20" t="n">
        <v>20</v>
      </c>
      <c r="I5269" s="20" t="inlineStr">
        <is>
          <t>스테이포에버</t>
        </is>
      </c>
      <c r="J5269" s="20" t="inlineStr">
        <is>
          <t>210207</t>
        </is>
      </c>
      <c r="L5269" s="20" t="n">
        <v>680000</v>
      </c>
      <c r="M5269" s="20" t="n">
        <v>476000</v>
      </c>
      <c r="N5269" s="20" t="n">
        <v>51840</v>
      </c>
      <c r="O5269" s="20" t="inlineStr">
        <is>
          <t>W컨셉고체향수솔리드퍼퓸 이그나이트/스테이포에버 30ml (2종 택1)&lt;옵션1&gt;002 STAY FOREVER210207</t>
        </is>
      </c>
    </row>
    <row r="5270" ht="16.5" customHeight="1" s="17">
      <c r="B5270" s="16" t="n">
        <v>44277</v>
      </c>
      <c r="C5270" s="20" t="inlineStr">
        <is>
          <t>월</t>
        </is>
      </c>
      <c r="E5270" s="20" t="inlineStr">
        <is>
          <t>고체향수</t>
        </is>
      </c>
      <c r="F5270" s="20" t="inlineStr">
        <is>
          <t>W컨셉</t>
        </is>
      </c>
      <c r="G5270" s="20" t="inlineStr">
        <is>
          <t>솔리드퍼퓸 이그나이트/스테이포에버 30ml (2종 택1)&lt;옵션1&gt;IGNITE + STAY FOREVER</t>
        </is>
      </c>
      <c r="H5270" s="20" t="n">
        <v>2</v>
      </c>
      <c r="I5270" s="20" t="inlineStr">
        <is>
          <t>이그나이트 + 스테이포에버</t>
        </is>
      </c>
      <c r="J5270" s="20" t="inlineStr">
        <is>
          <t>210207</t>
        </is>
      </c>
      <c r="L5270" s="20" t="n">
        <v>117600</v>
      </c>
      <c r="M5270" s="20" t="n">
        <v>94080</v>
      </c>
      <c r="N5270" s="20" t="n">
        <v>10690</v>
      </c>
      <c r="O5270" s="20" t="inlineStr">
        <is>
          <t>W컨셉고체향수솔리드퍼퓸 이그나이트/스테이포에버 30ml (2종 택1)&lt;옵션1&gt;IGNITE + STAY FOREVER210207</t>
        </is>
      </c>
    </row>
    <row r="5271" ht="16.5" customHeight="1" s="17">
      <c r="B5271" s="16" t="n">
        <v>44277</v>
      </c>
      <c r="C5271" s="20" t="inlineStr">
        <is>
          <t>월</t>
        </is>
      </c>
      <c r="E5271" s="20" t="inlineStr">
        <is>
          <t>고체향수</t>
        </is>
      </c>
      <c r="F5271" s="20" t="inlineStr">
        <is>
          <t>스마트스토어</t>
        </is>
      </c>
      <c r="G5271" s="20" t="inlineStr">
        <is>
          <t>유즈 고체향수 세트(유즈 스테이포에버, 유즈 이그나이트)고체향수: 스테이포에버 1개 + 이그나이트 1개</t>
        </is>
      </c>
      <c r="H5271" s="20" t="n">
        <v>3</v>
      </c>
      <c r="I5271" s="20" t="inlineStr">
        <is>
          <t>이그나이트 + 스테이포에버</t>
        </is>
      </c>
      <c r="J5271" s="20" t="inlineStr">
        <is>
          <t>210207</t>
        </is>
      </c>
      <c r="L5271" s="20" t="n">
        <v>176400</v>
      </c>
      <c r="M5271" s="20" t="n">
        <v>166080.6</v>
      </c>
      <c r="N5271" s="20" t="n">
        <v>16035</v>
      </c>
      <c r="O5271" s="20" t="inlineStr">
        <is>
          <t>스마트스토어고체향수유즈 고체향수 세트(유즈 스테이포에버, 유즈 이그나이트)고체향수: 스테이포에버 1개 + 이그나이트 1개210207</t>
        </is>
      </c>
    </row>
    <row r="5272" ht="16.5" customHeight="1" s="17">
      <c r="B5272" s="16" t="n">
        <v>44277</v>
      </c>
      <c r="C5272" s="20" t="inlineStr">
        <is>
          <t>월</t>
        </is>
      </c>
      <c r="E5272" s="20" t="inlineStr">
        <is>
          <t>고체향수</t>
        </is>
      </c>
      <c r="F5272" s="20" t="inlineStr">
        <is>
          <t>스마트스토어</t>
        </is>
      </c>
      <c r="G5272" s="20" t="inlineStr">
        <is>
          <t>유즈 고체향수 세트(유즈 스테이포에버, 유즈 이그나이트)고체향수: 스테이포에버 2개</t>
        </is>
      </c>
      <c r="H5272" s="20" t="n">
        <v>2</v>
      </c>
      <c r="I5272" s="20" t="inlineStr">
        <is>
          <t>스테이포에버 2set</t>
        </is>
      </c>
      <c r="J5272" s="20" t="inlineStr">
        <is>
          <t>210207</t>
        </is>
      </c>
      <c r="L5272" s="20" t="n">
        <v>117600</v>
      </c>
      <c r="M5272" s="20" t="n">
        <v>115248</v>
      </c>
      <c r="N5272" s="20" t="n">
        <v>10368</v>
      </c>
      <c r="O5272" s="20" t="inlineStr">
        <is>
          <t>스마트스토어고체향수유즈 고체향수 세트(유즈 스테이포에버, 유즈 이그나이트)고체향수: 스테이포에버 2개210207</t>
        </is>
      </c>
    </row>
    <row r="5273" ht="16.5" customHeight="1" s="17">
      <c r="B5273" s="16" t="n">
        <v>44277</v>
      </c>
      <c r="C5273" s="20" t="inlineStr">
        <is>
          <t>월</t>
        </is>
      </c>
      <c r="E5273" s="20" t="inlineStr">
        <is>
          <t>고체향수</t>
        </is>
      </c>
      <c r="F5273" s="20" t="inlineStr">
        <is>
          <t>스마트스토어</t>
        </is>
      </c>
      <c r="G5273" s="20" t="inlineStr">
        <is>
          <t>유즈 고체향수 스테이포에버 002고체향수: 스테이포에버 1개</t>
        </is>
      </c>
      <c r="H5273" s="20" t="n">
        <v>21</v>
      </c>
      <c r="I5273" s="20" t="inlineStr">
        <is>
          <t>스테이포에버</t>
        </is>
      </c>
      <c r="J5273" s="20" t="inlineStr">
        <is>
          <t>210207</t>
        </is>
      </c>
      <c r="L5273" s="20" t="n">
        <v>714000</v>
      </c>
      <c r="M5273" s="20" t="n">
        <v>699720</v>
      </c>
      <c r="N5273" s="20" t="n">
        <v>54432</v>
      </c>
      <c r="O5273" s="20" t="inlineStr">
        <is>
          <t>스마트스토어고체향수유즈 고체향수 스테이포에버 002고체향수: 스테이포에버 1개210207</t>
        </is>
      </c>
    </row>
    <row r="5274" ht="16.5" customHeight="1" s="17">
      <c r="B5274" s="16" t="n">
        <v>44277</v>
      </c>
      <c r="C5274" s="20" t="inlineStr">
        <is>
          <t>월</t>
        </is>
      </c>
      <c r="E5274" s="20" t="inlineStr">
        <is>
          <t>고체향수</t>
        </is>
      </c>
      <c r="F5274" s="20" t="inlineStr">
        <is>
          <t>스마트스토어</t>
        </is>
      </c>
      <c r="G5274" s="20" t="inlineStr">
        <is>
          <t>유즈 고체향수 이그나이트 001고체향수: 이그나이트 1개</t>
        </is>
      </c>
      <c r="H5274" s="20" t="n">
        <v>2</v>
      </c>
      <c r="I5274" s="20" t="inlineStr">
        <is>
          <t>이그나이트</t>
        </is>
      </c>
      <c r="J5274" s="20" t="inlineStr">
        <is>
          <t>210207</t>
        </is>
      </c>
      <c r="L5274" s="20" t="n">
        <v>68000</v>
      </c>
      <c r="M5274" s="20" t="n">
        <v>66640</v>
      </c>
      <c r="N5274" s="20" t="n">
        <v>5506</v>
      </c>
      <c r="O5274" s="20" t="inlineStr">
        <is>
          <t>스마트스토어고체향수유즈 고체향수 이그나이트 001고체향수: 이그나이트 1개210207</t>
        </is>
      </c>
    </row>
    <row r="5275" ht="16.5" customHeight="1" s="17">
      <c r="B5275" s="16" t="n">
        <v>44277</v>
      </c>
      <c r="C5275" s="20" t="inlineStr">
        <is>
          <t>월</t>
        </is>
      </c>
      <c r="E5275" s="20" t="inlineStr">
        <is>
          <t>고체향수</t>
        </is>
      </c>
      <c r="F5275" s="20" t="inlineStr">
        <is>
          <t>카페24</t>
        </is>
      </c>
      <c r="G5275" s="20" t="inlineStr">
        <is>
          <t>솔리드퍼퓸 세트향=스테이포에버 002 SOLID PERFUME, 세트 선택=1개</t>
        </is>
      </c>
      <c r="H5275" s="20" t="n">
        <v>4</v>
      </c>
      <c r="I5275" s="20" t="inlineStr">
        <is>
          <t>스테이포에버</t>
        </is>
      </c>
      <c r="J5275" s="20" t="inlineStr">
        <is>
          <t>210207</t>
        </is>
      </c>
      <c r="L5275" s="20" t="n">
        <v>136000</v>
      </c>
      <c r="M5275" s="20" t="n">
        <v>128044</v>
      </c>
      <c r="N5275" s="20" t="n">
        <v>10368</v>
      </c>
      <c r="O5275" s="20" t="inlineStr">
        <is>
          <t>카페24고체향수솔리드퍼퓸 세트향=스테이포에버 002 SOLID PERFUME, 세트 선택=1개210207</t>
        </is>
      </c>
    </row>
    <row r="5276" ht="16.5" customHeight="1" s="17">
      <c r="B5276" s="16" t="n">
        <v>44277</v>
      </c>
      <c r="C5276" s="20" t="inlineStr">
        <is>
          <t>월</t>
        </is>
      </c>
      <c r="E5276" s="20" t="inlineStr">
        <is>
          <t>고체향수</t>
        </is>
      </c>
      <c r="F5276" s="20" t="inlineStr">
        <is>
          <t>카페24</t>
        </is>
      </c>
      <c r="G5276" s="20" t="inlineStr">
        <is>
          <t>솔리드퍼퓸 세트향=스테이포에버 002 SOLID PERFUME, 세트 선택=best 2개 (28% 할인)</t>
        </is>
      </c>
      <c r="H5276" s="20" t="n">
        <v>8</v>
      </c>
      <c r="I5276" s="20" t="inlineStr">
        <is>
          <t>스테이포에버 2set</t>
        </is>
      </c>
      <c r="J5276" s="20" t="inlineStr">
        <is>
          <t>210207</t>
        </is>
      </c>
      <c r="L5276" s="20" t="n">
        <v>470400</v>
      </c>
      <c r="M5276" s="20" t="n">
        <v>442881.6</v>
      </c>
      <c r="N5276" s="20" t="n">
        <v>41472</v>
      </c>
      <c r="O5276" s="20" t="inlineStr">
        <is>
          <t>카페24고체향수솔리드퍼퓸 세트향=스테이포에버 002 SOLID PERFUME, 세트 선택=best 2개 (28% 할인)210207</t>
        </is>
      </c>
    </row>
    <row r="5277" ht="16.5" customHeight="1" s="17">
      <c r="B5277" s="16" t="n">
        <v>44277</v>
      </c>
      <c r="C5277" s="20" t="inlineStr">
        <is>
          <t>월</t>
        </is>
      </c>
      <c r="E5277" s="20" t="inlineStr">
        <is>
          <t>고체향수</t>
        </is>
      </c>
      <c r="F5277" s="20" t="inlineStr">
        <is>
          <t>카페24</t>
        </is>
      </c>
      <c r="G5277" s="20" t="inlineStr">
        <is>
          <t>솔리드퍼퓸 세트향=커플세트(이그나이트 + 스테이포에버), 세트 선택=1 SET</t>
        </is>
      </c>
      <c r="H5277" s="20" t="n">
        <v>13</v>
      </c>
      <c r="I5277" s="20" t="inlineStr">
        <is>
          <t>이그나이트 + 스테이포에버</t>
        </is>
      </c>
      <c r="J5277" s="20" t="inlineStr">
        <is>
          <t>210207</t>
        </is>
      </c>
      <c r="L5277" s="20" t="n">
        <v>764400</v>
      </c>
      <c r="M5277" s="20" t="n">
        <v>719682.6</v>
      </c>
      <c r="N5277" s="20" t="n">
        <v>69485</v>
      </c>
      <c r="O5277" s="20" t="inlineStr">
        <is>
          <t>카페24고체향수솔리드퍼퓸 세트향=커플세트(이그나이트 + 스테이포에버), 세트 선택=1 SET210207</t>
        </is>
      </c>
    </row>
    <row r="5278" ht="16.5" customHeight="1" s="17">
      <c r="B5278" s="16" t="n">
        <v>44277</v>
      </c>
      <c r="C5278" s="20" t="inlineStr">
        <is>
          <t>월</t>
        </is>
      </c>
      <c r="E5278" s="20" t="inlineStr">
        <is>
          <t>고체향수</t>
        </is>
      </c>
      <c r="F5278" s="20" t="inlineStr">
        <is>
          <t>카페24</t>
        </is>
      </c>
      <c r="G5278" s="20" t="inlineStr">
        <is>
          <t>솔리드퍼퓸 세트향=커플세트(이그나이트 + 스테이포에버), 세트 선택=2 SET (42% 할인)</t>
        </is>
      </c>
      <c r="H5278" s="20" t="n">
        <v>1</v>
      </c>
      <c r="I5278" s="20" t="inlineStr">
        <is>
          <t>이그나이트 + 스테이포에버</t>
        </is>
      </c>
      <c r="J5278" s="20" t="inlineStr">
        <is>
          <t>210207</t>
        </is>
      </c>
      <c r="L5278" s="20" t="n">
        <v>58800</v>
      </c>
      <c r="M5278" s="20" t="n">
        <v>55360.2</v>
      </c>
      <c r="N5278" s="20" t="n">
        <v>5345</v>
      </c>
      <c r="O5278" s="20" t="inlineStr">
        <is>
          <t>카페24고체향수솔리드퍼퓸 세트향=커플세트(이그나이트 + 스테이포에버), 세트 선택=2 SET (42% 할인)210207</t>
        </is>
      </c>
    </row>
    <row r="5279" ht="16.5" customHeight="1" s="17">
      <c r="B5279" s="16" t="n">
        <v>44277</v>
      </c>
      <c r="C5279" s="20" t="inlineStr">
        <is>
          <t>월</t>
        </is>
      </c>
      <c r="E5279" s="20" t="inlineStr">
        <is>
          <t>고체향수</t>
        </is>
      </c>
      <c r="F5279" s="20" t="inlineStr">
        <is>
          <t>카페24</t>
        </is>
      </c>
      <c r="G5279" s="20" t="inlineStr">
        <is>
          <t>솔리드퍼퓸 스테이포에버 002제품선택=스테이포에버 1개</t>
        </is>
      </c>
      <c r="H5279" s="20" t="n">
        <v>180</v>
      </c>
      <c r="I5279" s="20" t="inlineStr">
        <is>
          <t>스테이포에버</t>
        </is>
      </c>
      <c r="J5279" s="20" t="inlineStr">
        <is>
          <t>210207</t>
        </is>
      </c>
      <c r="L5279" s="20" t="n">
        <v>6120000</v>
      </c>
      <c r="M5279" s="20" t="n">
        <v>5761980</v>
      </c>
      <c r="N5279" s="20" t="n">
        <v>466560</v>
      </c>
      <c r="O5279" s="20" t="inlineStr">
        <is>
          <t>카페24고체향수솔리드퍼퓸 스테이포에버 002제품선택=스테이포에버 1개210207</t>
        </is>
      </c>
    </row>
    <row r="5280" ht="16.5" customHeight="1" s="17">
      <c r="B5280" s="16" t="n">
        <v>44277</v>
      </c>
      <c r="C5280" s="20" t="inlineStr">
        <is>
          <t>월</t>
        </is>
      </c>
      <c r="E5280" s="20" t="inlineStr">
        <is>
          <t>고체향수</t>
        </is>
      </c>
      <c r="F5280" s="20" t="inlineStr">
        <is>
          <t>카페24</t>
        </is>
      </c>
      <c r="G5280" s="20" t="inlineStr">
        <is>
          <t>솔리드퍼퓸 스테이포에버 002제품선택=best스테이포에버 2개[28% 할인]</t>
        </is>
      </c>
      <c r="H5280" s="20" t="n">
        <v>93</v>
      </c>
      <c r="I5280" s="20" t="inlineStr">
        <is>
          <t>스테이포에버 2set</t>
        </is>
      </c>
      <c r="J5280" s="20" t="inlineStr">
        <is>
          <t>210207</t>
        </is>
      </c>
      <c r="L5280" s="20" t="n">
        <v>5468400</v>
      </c>
      <c r="M5280" s="20" t="n">
        <v>5148498.6</v>
      </c>
      <c r="N5280" s="20" t="n">
        <v>482112</v>
      </c>
      <c r="O5280" s="20" t="inlineStr">
        <is>
          <t>카페24고체향수솔리드퍼퓸 스테이포에버 002제품선택=best스테이포에버 2개[28% 할인]210207</t>
        </is>
      </c>
    </row>
    <row r="5281" ht="16.5" customHeight="1" s="17">
      <c r="B5281" s="16" t="n">
        <v>44277</v>
      </c>
      <c r="C5281" s="20" t="inlineStr">
        <is>
          <t>월</t>
        </is>
      </c>
      <c r="E5281" s="20" t="inlineStr">
        <is>
          <t>고체향수</t>
        </is>
      </c>
      <c r="F5281" s="20" t="inlineStr">
        <is>
          <t>카페24</t>
        </is>
      </c>
      <c r="G5281" s="20" t="inlineStr">
        <is>
          <t>솔리드퍼퓸 스테이포에버 002제품선택=커플추천스테이포에버 + 이그나이트 세트</t>
        </is>
      </c>
      <c r="H5281" s="20" t="n">
        <v>14</v>
      </c>
      <c r="I5281" s="20" t="inlineStr">
        <is>
          <t>이그나이트 + 스테이포에버</t>
        </is>
      </c>
      <c r="J5281" s="20" t="inlineStr">
        <is>
          <t>210207</t>
        </is>
      </c>
      <c r="L5281" s="20" t="n">
        <v>823200</v>
      </c>
      <c r="M5281" s="20" t="n">
        <v>775042.7999999999</v>
      </c>
      <c r="N5281" s="20" t="n">
        <v>74830</v>
      </c>
      <c r="O5281" s="20" t="inlineStr">
        <is>
          <t>카페24고체향수솔리드퍼퓸 스테이포에버 002제품선택=커플추천스테이포에버 + 이그나이트 세트210207</t>
        </is>
      </c>
    </row>
    <row r="5282" ht="16.5" customHeight="1" s="17">
      <c r="B5282" s="16" t="n">
        <v>44277</v>
      </c>
      <c r="C5282" s="20" t="inlineStr">
        <is>
          <t>월</t>
        </is>
      </c>
      <c r="E5282" s="20" t="inlineStr">
        <is>
          <t>쇼핑백</t>
        </is>
      </c>
      <c r="F5282" s="20" t="inlineStr">
        <is>
          <t>카페24</t>
        </is>
      </c>
      <c r="G5282" s="20" t="inlineStr">
        <is>
          <t>솔리드퍼퓸 스테이포에버 002쇼핑백=선물용 쇼핑백</t>
        </is>
      </c>
      <c r="H5282" s="20" t="n">
        <v>11</v>
      </c>
      <c r="I5282" s="20" t="inlineStr">
        <is>
          <t>쇼핑백</t>
        </is>
      </c>
      <c r="J5282" s="20" t="inlineStr">
        <is>
          <t>210207</t>
        </is>
      </c>
      <c r="L5282" s="20" t="n">
        <v>22000</v>
      </c>
      <c r="M5282" s="20" t="n">
        <v>20713</v>
      </c>
      <c r="N5282" s="20" t="n">
        <v>9130</v>
      </c>
      <c r="O5282" s="20" t="inlineStr">
        <is>
          <t>카페24쇼핑백솔리드퍼퓸 스테이포에버 002쇼핑백=선물용 쇼핑백210207</t>
        </is>
      </c>
    </row>
    <row r="5283" ht="16.5" customHeight="1" s="17">
      <c r="B5283" s="16" t="n">
        <v>44277</v>
      </c>
      <c r="C5283" s="20" t="inlineStr">
        <is>
          <t>월</t>
        </is>
      </c>
      <c r="E5283" s="20" t="inlineStr">
        <is>
          <t>고체향수</t>
        </is>
      </c>
      <c r="F5283" s="20" t="inlineStr">
        <is>
          <t>카페24</t>
        </is>
      </c>
      <c r="G5283" s="20" t="inlineStr">
        <is>
          <t>솔리드퍼퓸 이그나이트 001제품선택=이그나이트 솔리드퍼퓸 - 30ml</t>
        </is>
      </c>
      <c r="H5283" s="20" t="n">
        <v>3</v>
      </c>
      <c r="I5283" s="20" t="inlineStr">
        <is>
          <t>이그나이트</t>
        </is>
      </c>
      <c r="J5283" s="20" t="inlineStr">
        <is>
          <t>210207</t>
        </is>
      </c>
      <c r="L5283" s="20" t="n">
        <v>102000</v>
      </c>
      <c r="M5283" s="20" t="n">
        <v>96033</v>
      </c>
      <c r="N5283" s="20" t="n">
        <v>8259</v>
      </c>
      <c r="O5283" s="20" t="inlineStr">
        <is>
          <t>카페24고체향수솔리드퍼퓸 이그나이트 001제품선택=이그나이트 솔리드퍼퓸 - 30ml210207</t>
        </is>
      </c>
    </row>
    <row r="5284" ht="16.5" customHeight="1" s="17">
      <c r="A5284" s="20" t="inlineStr">
        <is>
          <t>고체향수_전환추적</t>
        </is>
      </c>
      <c r="B5284" s="16" t="n">
        <v>44277</v>
      </c>
      <c r="C5284" s="20" t="inlineStr">
        <is>
          <t>월</t>
        </is>
      </c>
      <c r="D5284" s="20" t="inlineStr">
        <is>
          <t>네이버 배너</t>
        </is>
      </c>
      <c r="E5284" s="20" t="inlineStr">
        <is>
          <t>고체향수</t>
        </is>
      </c>
      <c r="K5284" s="20" t="n">
        <v>208040</v>
      </c>
    </row>
    <row r="5285" ht="16.5" customHeight="1" s="17">
      <c r="A5285" s="20" t="inlineStr">
        <is>
          <t>고체향수</t>
        </is>
      </c>
      <c r="B5285" s="16" t="n">
        <v>44277</v>
      </c>
      <c r="C5285" s="20" t="inlineStr">
        <is>
          <t>월</t>
        </is>
      </c>
      <c r="D5285" s="20" t="inlineStr">
        <is>
          <t>네이버 배너</t>
        </is>
      </c>
      <c r="E5285" s="20" t="inlineStr">
        <is>
          <t>고체향수</t>
        </is>
      </c>
      <c r="K5285" s="20" t="n">
        <v>757807.2727272727</v>
      </c>
    </row>
    <row r="5286" ht="16.5" customHeight="1" s="17">
      <c r="A5286" s="20" t="inlineStr">
        <is>
          <t>고체향수_승무원 어피_Npay 추적</t>
        </is>
      </c>
      <c r="B5286" s="16" t="n">
        <v>44277</v>
      </c>
      <c r="C5286" s="20" t="inlineStr">
        <is>
          <t>월</t>
        </is>
      </c>
      <c r="D5286" s="20" t="inlineStr">
        <is>
          <t>카카오 배너</t>
        </is>
      </c>
      <c r="E5286" s="20" t="inlineStr">
        <is>
          <t>고체향수</t>
        </is>
      </c>
      <c r="K5286" s="20" t="n">
        <v>181950</v>
      </c>
    </row>
    <row r="5287" ht="16.5" customHeight="1" s="17">
      <c r="A5287" s="20" t="inlineStr">
        <is>
          <t>고체향수_Npay 추적</t>
        </is>
      </c>
      <c r="B5287" s="16" t="n">
        <v>44277</v>
      </c>
      <c r="C5287" s="20" t="inlineStr">
        <is>
          <t>월</t>
        </is>
      </c>
      <c r="D5287" s="20" t="inlineStr">
        <is>
          <t>카카오 배너</t>
        </is>
      </c>
      <c r="E5287" s="20" t="inlineStr">
        <is>
          <t>고체향수</t>
        </is>
      </c>
      <c r="K5287" s="20" t="n">
        <v>916489.9999999999</v>
      </c>
    </row>
    <row r="5288" ht="16.5" customHeight="1" s="17">
      <c r="A5288" s="20" t="inlineStr">
        <is>
          <t>[유튜버 수지큐]스테이포에버_카드뉴스</t>
        </is>
      </c>
      <c r="B5288" s="16" t="n">
        <v>44278</v>
      </c>
      <c r="C5288" s="20" t="inlineStr">
        <is>
          <t>화</t>
        </is>
      </c>
      <c r="D5288" s="20" t="inlineStr">
        <is>
          <t>페이스북/인스타그램</t>
        </is>
      </c>
      <c r="E5288" s="20" t="inlineStr">
        <is>
          <t>고체향수</t>
        </is>
      </c>
      <c r="K5288" s="20" t="n">
        <v>29437</v>
      </c>
    </row>
    <row r="5289" ht="16.5" customHeight="1" s="17">
      <c r="A5289" s="20" t="inlineStr">
        <is>
          <t>[승무원]수지큐2차활용_스테이포에버_이미지</t>
        </is>
      </c>
      <c r="B5289" s="16" t="n">
        <v>44278</v>
      </c>
      <c r="C5289" s="20" t="inlineStr">
        <is>
          <t>화</t>
        </is>
      </c>
      <c r="D5289" s="20" t="inlineStr">
        <is>
          <t>페이스북/인스타그램</t>
        </is>
      </c>
      <c r="E5289" s="20" t="inlineStr">
        <is>
          <t>고체향수</t>
        </is>
      </c>
      <c r="K5289" s="20" t="n">
        <v>29881</v>
      </c>
    </row>
    <row r="5290" ht="16.5" customHeight="1" s="17">
      <c r="A5290" s="20" t="inlineStr">
        <is>
          <t>[다현 TEST] 스테이포에버_유즈모먼트</t>
        </is>
      </c>
      <c r="B5290" s="16" t="n">
        <v>44278</v>
      </c>
      <c r="C5290" s="20" t="inlineStr">
        <is>
          <t>화</t>
        </is>
      </c>
      <c r="D5290" s="20" t="inlineStr">
        <is>
          <t>페이스북/인스타그램</t>
        </is>
      </c>
      <c r="E5290" s="20" t="inlineStr">
        <is>
          <t>고체향수</t>
        </is>
      </c>
      <c r="K5290" s="20" t="n">
        <v>59322</v>
      </c>
    </row>
    <row r="5291" ht="16.5" customHeight="1" s="17">
      <c r="A5291" s="20" t="inlineStr">
        <is>
          <t>[성민 TEST] 스테이포에버_이미지</t>
        </is>
      </c>
      <c r="B5291" s="16" t="n">
        <v>44278</v>
      </c>
      <c r="C5291" s="20" t="inlineStr">
        <is>
          <t>화</t>
        </is>
      </c>
      <c r="D5291" s="20" t="inlineStr">
        <is>
          <t>페이스북/인스타그램</t>
        </is>
      </c>
      <c r="E5291" s="20" t="inlineStr">
        <is>
          <t>고체향수</t>
        </is>
      </c>
      <c r="K5291" s="20" t="n">
        <v>90013</v>
      </c>
    </row>
    <row r="5292" ht="16.5" customHeight="1" s="17">
      <c r="A5292" s="20" t="inlineStr">
        <is>
          <t>[승은 TEST] 스테이포에버_카드뉴스</t>
        </is>
      </c>
      <c r="B5292" s="16" t="n">
        <v>44278</v>
      </c>
      <c r="C5292" s="20" t="inlineStr">
        <is>
          <t>화</t>
        </is>
      </c>
      <c r="D5292" s="20" t="inlineStr">
        <is>
          <t>페이스북/인스타그램</t>
        </is>
      </c>
      <c r="E5292" s="20" t="inlineStr">
        <is>
          <t>고체향수</t>
        </is>
      </c>
      <c r="K5292" s="20" t="n">
        <v>59630</v>
      </c>
    </row>
    <row r="5293" ht="16.5" customHeight="1" s="17">
      <c r="A5293" s="20" t="inlineStr">
        <is>
          <t>[승무원 2] 스테이포에버_카드뉴스</t>
        </is>
      </c>
      <c r="B5293" s="16" t="n">
        <v>44278</v>
      </c>
      <c r="C5293" s="20" t="inlineStr">
        <is>
          <t>화</t>
        </is>
      </c>
      <c r="D5293" s="20" t="inlineStr">
        <is>
          <t>페이스북/인스타그램</t>
        </is>
      </c>
      <c r="E5293" s="20" t="inlineStr">
        <is>
          <t>고체향수</t>
        </is>
      </c>
      <c r="K5293" s="20" t="n">
        <v>99817</v>
      </c>
    </row>
    <row r="5294" ht="16.5" customHeight="1" s="17">
      <c r="A5294" s="20" t="inlineStr">
        <is>
          <t>[테스트]아줌마</t>
        </is>
      </c>
      <c r="B5294" s="16" t="n">
        <v>44278</v>
      </c>
      <c r="C5294" s="20" t="inlineStr">
        <is>
          <t>화</t>
        </is>
      </c>
      <c r="D5294" s="20" t="inlineStr">
        <is>
          <t>페이스북/인스타그램</t>
        </is>
      </c>
      <c r="E5294" s="20" t="inlineStr">
        <is>
          <t>고체향수</t>
        </is>
      </c>
      <c r="K5294" s="20" t="n">
        <v>126395</v>
      </c>
    </row>
    <row r="5295" ht="16.5" customHeight="1" s="17">
      <c r="A5295" s="20" t="inlineStr">
        <is>
          <t>[키워드 확장 테스트]스테이포에버_이미지</t>
        </is>
      </c>
      <c r="B5295" s="16" t="n">
        <v>44278</v>
      </c>
      <c r="C5295" s="20" t="inlineStr">
        <is>
          <t>화</t>
        </is>
      </c>
      <c r="D5295" s="20" t="inlineStr">
        <is>
          <t>페이스북/인스타그램</t>
        </is>
      </c>
      <c r="E5295" s="20" t="inlineStr">
        <is>
          <t>고체향수</t>
        </is>
      </c>
      <c r="K5295" s="20" t="n">
        <v>236282</v>
      </c>
    </row>
    <row r="5296" ht="16.5" customHeight="1" s="17">
      <c r="A5296" s="20" t="inlineStr">
        <is>
          <t>[재입고]스테이포에버_이미지</t>
        </is>
      </c>
      <c r="B5296" s="16" t="n">
        <v>44278</v>
      </c>
      <c r="C5296" s="20" t="inlineStr">
        <is>
          <t>화</t>
        </is>
      </c>
      <c r="D5296" s="20" t="inlineStr">
        <is>
          <t>페이스북/인스타그램</t>
        </is>
      </c>
      <c r="E5296" s="20" t="inlineStr">
        <is>
          <t>고체향수</t>
        </is>
      </c>
      <c r="K5296" s="20" t="n">
        <v>50133</v>
      </c>
    </row>
    <row r="5297" ht="16.5" customHeight="1" s="17">
      <c r="A5297" s="20" t="inlineStr">
        <is>
          <t>[승무원]숏폼_영상</t>
        </is>
      </c>
      <c r="B5297" s="16" t="n">
        <v>44278</v>
      </c>
      <c r="C5297" s="20" t="inlineStr">
        <is>
          <t>화</t>
        </is>
      </c>
      <c r="D5297" s="20" t="inlineStr">
        <is>
          <t>페이스북/인스타그램</t>
        </is>
      </c>
      <c r="E5297" s="20" t="inlineStr">
        <is>
          <t>고체향수</t>
        </is>
      </c>
      <c r="K5297" s="20" t="n">
        <v>71059</v>
      </c>
    </row>
    <row r="5298" ht="16.5" customHeight="1" s="17">
      <c r="A5298" s="20" t="inlineStr">
        <is>
          <t>[재입고]스테이포에버_영상</t>
        </is>
      </c>
      <c r="B5298" s="16" t="n">
        <v>44278</v>
      </c>
      <c r="C5298" s="20" t="inlineStr">
        <is>
          <t>화</t>
        </is>
      </c>
      <c r="D5298" s="20" t="inlineStr">
        <is>
          <t>페이스북/인스타그램</t>
        </is>
      </c>
      <c r="E5298" s="20" t="inlineStr">
        <is>
          <t>고체향수</t>
        </is>
      </c>
      <c r="K5298" s="20" t="n">
        <v>50344</v>
      </c>
    </row>
    <row r="5299" ht="16.5" customHeight="1" s="17">
      <c r="A5299" s="20" t="inlineStr">
        <is>
          <t>[젊줌마]스테이포에버_영상</t>
        </is>
      </c>
      <c r="B5299" s="16" t="n">
        <v>44278</v>
      </c>
      <c r="C5299" s="20" t="inlineStr">
        <is>
          <t>화</t>
        </is>
      </c>
      <c r="D5299" s="20" t="inlineStr">
        <is>
          <t>페이스북/인스타그램</t>
        </is>
      </c>
      <c r="E5299" s="20" t="inlineStr">
        <is>
          <t>고체향수</t>
        </is>
      </c>
      <c r="K5299" s="20" t="n">
        <v>100587</v>
      </c>
    </row>
    <row r="5300" ht="16.5" customHeight="1" s="17">
      <c r="A5300" s="20" t="inlineStr">
        <is>
          <t>[승무원]2019년썰 카드뉴스+ 향묘사_영상</t>
        </is>
      </c>
      <c r="B5300" s="16" t="n">
        <v>44278</v>
      </c>
      <c r="C5300" s="20" t="inlineStr">
        <is>
          <t>화</t>
        </is>
      </c>
      <c r="D5300" s="20" t="inlineStr">
        <is>
          <t>페이스북/인스타그램</t>
        </is>
      </c>
      <c r="E5300" s="20" t="inlineStr">
        <is>
          <t>고체향수</t>
        </is>
      </c>
      <c r="K5300" s="20" t="n">
        <v>55863</v>
      </c>
    </row>
    <row r="5301" ht="16.5" customHeight="1" s="17">
      <c r="A5301" s="20" t="inlineStr">
        <is>
          <t>[승무원어피]스테이포에버_이미지</t>
        </is>
      </c>
      <c r="B5301" s="16" t="n">
        <v>44278</v>
      </c>
      <c r="C5301" s="20" t="inlineStr">
        <is>
          <t>화</t>
        </is>
      </c>
      <c r="D5301" s="20" t="inlineStr">
        <is>
          <t>페이스북/인스타그램</t>
        </is>
      </c>
      <c r="E5301" s="20" t="inlineStr">
        <is>
          <t>고체향수</t>
        </is>
      </c>
      <c r="K5301" s="20" t="n">
        <v>118069</v>
      </c>
    </row>
    <row r="5302" ht="16.5" customHeight="1" s="17">
      <c r="A5302" s="20" t="inlineStr">
        <is>
          <t>[다현]스테이포에버_이미지</t>
        </is>
      </c>
      <c r="B5302" s="16" t="n">
        <v>44278</v>
      </c>
      <c r="C5302" s="20" t="inlineStr">
        <is>
          <t>화</t>
        </is>
      </c>
      <c r="D5302" s="20" t="inlineStr">
        <is>
          <t>페이스북/인스타그램</t>
        </is>
      </c>
      <c r="E5302" s="20" t="inlineStr">
        <is>
          <t>고체향수</t>
        </is>
      </c>
      <c r="K5302" s="20" t="n">
        <v>140751</v>
      </c>
    </row>
    <row r="5303" ht="16.5" customHeight="1" s="17">
      <c r="A5303" s="20" t="inlineStr">
        <is>
          <t>[승무원]스테이포에버_카드뉴스</t>
        </is>
      </c>
      <c r="B5303" s="16" t="n">
        <v>44278</v>
      </c>
      <c r="C5303" s="20" t="inlineStr">
        <is>
          <t>화</t>
        </is>
      </c>
      <c r="D5303" s="20" t="inlineStr">
        <is>
          <t>페이스북/인스타그램</t>
        </is>
      </c>
      <c r="E5303" s="20" t="inlineStr">
        <is>
          <t>고체향수</t>
        </is>
      </c>
      <c r="K5303" s="20" t="n">
        <v>139862</v>
      </c>
    </row>
    <row r="5304" ht="16.5" customHeight="1" s="17">
      <c r="A5304" s="20" t="inlineStr">
        <is>
          <t>[후기타입]스테이포에버_영상</t>
        </is>
      </c>
      <c r="B5304" s="16" t="n">
        <v>44278</v>
      </c>
      <c r="C5304" s="20" t="inlineStr">
        <is>
          <t>화</t>
        </is>
      </c>
      <c r="D5304" s="20" t="inlineStr">
        <is>
          <t>페이스북/인스타그램</t>
        </is>
      </c>
      <c r="E5304" s="20" t="inlineStr">
        <is>
          <t>고체향수</t>
        </is>
      </c>
      <c r="K5304" s="20" t="n">
        <v>150141</v>
      </c>
    </row>
    <row r="5305" ht="16.5" customHeight="1" s="17">
      <c r="A5305" s="20" t="inlineStr">
        <is>
          <t>전환_스테이포에버</t>
        </is>
      </c>
      <c r="B5305" s="16" t="n">
        <v>44278</v>
      </c>
      <c r="C5305" s="20" t="inlineStr">
        <is>
          <t>화</t>
        </is>
      </c>
      <c r="D5305" s="20" t="inlineStr">
        <is>
          <t>페이스북/인스타그램</t>
        </is>
      </c>
      <c r="E5305" s="20" t="inlineStr">
        <is>
          <t>고체향수</t>
        </is>
      </c>
      <c r="K5305" s="20" t="n">
        <v>49932</v>
      </c>
    </row>
    <row r="5306" ht="16.5" customHeight="1" s="17">
      <c r="A5306" s="20" t="inlineStr">
        <is>
          <t>[권태기커플]스테이포에버_영상</t>
        </is>
      </c>
      <c r="B5306" s="16" t="n">
        <v>44278</v>
      </c>
      <c r="C5306" s="20" t="inlineStr">
        <is>
          <t>화</t>
        </is>
      </c>
      <c r="D5306" s="20" t="inlineStr">
        <is>
          <t>페이스북/인스타그램</t>
        </is>
      </c>
      <c r="E5306" s="20" t="inlineStr">
        <is>
          <t>고체향수</t>
        </is>
      </c>
      <c r="K5306" s="20" t="n">
        <v>97842</v>
      </c>
    </row>
    <row r="5307" ht="16.5" customHeight="1" s="17">
      <c r="A5307" s="20" t="inlineStr">
        <is>
          <t>웹사이트 트래픽 서치</t>
        </is>
      </c>
      <c r="B5307" s="16" t="n">
        <v>44278</v>
      </c>
      <c r="C5307" s="20" t="inlineStr">
        <is>
          <t>화</t>
        </is>
      </c>
      <c r="D5307" s="20" t="inlineStr">
        <is>
          <t>유튜브 광고</t>
        </is>
      </c>
      <c r="E5307" s="20" t="inlineStr">
        <is>
          <t>고체향수</t>
        </is>
      </c>
      <c r="K5307" s="20" t="n">
        <v>36203</v>
      </c>
    </row>
    <row r="5308" ht="16.5" customHeight="1" s="17">
      <c r="A5308" s="20" t="inlineStr">
        <is>
          <t>동영상캠페인_승무원_보이는 라디오(cpa)</t>
        </is>
      </c>
      <c r="B5308" s="16" t="n">
        <v>44278</v>
      </c>
      <c r="C5308" s="20" t="inlineStr">
        <is>
          <t>화</t>
        </is>
      </c>
      <c r="D5308" s="20" t="inlineStr">
        <is>
          <t>유튜브 광고</t>
        </is>
      </c>
      <c r="E5308" s="20" t="inlineStr">
        <is>
          <t>고체향수</t>
        </is>
      </c>
      <c r="K5308" s="20" t="n">
        <v>205853</v>
      </c>
    </row>
    <row r="5309" ht="16.5" customHeight="1" s="17">
      <c r="A5309" s="20" t="inlineStr">
        <is>
          <t>디스커버리 배너_승무원,할인_리마케팅</t>
        </is>
      </c>
      <c r="B5309" s="16" t="n">
        <v>44278</v>
      </c>
      <c r="C5309" s="20" t="inlineStr">
        <is>
          <t>화</t>
        </is>
      </c>
      <c r="D5309" s="20" t="inlineStr">
        <is>
          <t>유튜브 광고</t>
        </is>
      </c>
      <c r="E5309" s="20" t="inlineStr">
        <is>
          <t>고체향수</t>
        </is>
      </c>
      <c r="K5309" s="20" t="n">
        <v>363981</v>
      </c>
    </row>
    <row r="5310" ht="16.5" customHeight="1" s="17">
      <c r="A5310" s="20" t="inlineStr">
        <is>
          <t>동영상캠페인_승무원_써니스카이</t>
        </is>
      </c>
      <c r="B5310" s="16" t="n">
        <v>44278</v>
      </c>
      <c r="C5310" s="20" t="inlineStr">
        <is>
          <t>화</t>
        </is>
      </c>
      <c r="D5310" s="20" t="inlineStr">
        <is>
          <t>유튜브 광고</t>
        </is>
      </c>
      <c r="E5310" s="20" t="inlineStr">
        <is>
          <t>고체향수</t>
        </is>
      </c>
      <c r="K5310" s="20" t="n">
        <v>339512</v>
      </c>
    </row>
    <row r="5311" ht="16.5" customHeight="1" s="17">
      <c r="A5311" s="20" t="inlineStr">
        <is>
          <t>동영상캠페인_필라테스_자기관리(타겟 cpa)</t>
        </is>
      </c>
      <c r="B5311" s="16" t="n">
        <v>44278</v>
      </c>
      <c r="C5311" s="20" t="inlineStr">
        <is>
          <t>화</t>
        </is>
      </c>
      <c r="D5311" s="20" t="inlineStr">
        <is>
          <t>유튜브 광고</t>
        </is>
      </c>
      <c r="E5311" s="20" t="inlineStr">
        <is>
          <t>고체향수</t>
        </is>
      </c>
      <c r="K5311" s="20" t="n">
        <v>257560</v>
      </c>
    </row>
    <row r="5312" ht="16.5" customHeight="1" s="17">
      <c r="A5312" s="20" t="inlineStr">
        <is>
          <t>동영상캠페인_승무원_비누향 나는 승무원에게(cpa)</t>
        </is>
      </c>
      <c r="B5312" s="16" t="n">
        <v>44278</v>
      </c>
      <c r="C5312" s="20" t="inlineStr">
        <is>
          <t>화</t>
        </is>
      </c>
      <c r="D5312" s="20" t="inlineStr">
        <is>
          <t>유튜브 광고</t>
        </is>
      </c>
      <c r="E5312" s="20" t="inlineStr">
        <is>
          <t>고체향수</t>
        </is>
      </c>
      <c r="K5312" s="20" t="n">
        <v>199855</v>
      </c>
    </row>
    <row r="5313" ht="16.5" customHeight="1" s="17">
      <c r="A5313" s="20" t="inlineStr">
        <is>
          <t>동영상캠페인_유즈모먼트_2차_30대 여성 회사원(cpa)</t>
        </is>
      </c>
      <c r="B5313" s="16" t="n">
        <v>44278</v>
      </c>
      <c r="C5313" s="20" t="inlineStr">
        <is>
          <t>화</t>
        </is>
      </c>
      <c r="D5313" s="20" t="inlineStr">
        <is>
          <t>유튜브 광고</t>
        </is>
      </c>
      <c r="E5313" s="20" t="inlineStr">
        <is>
          <t>고체향수</t>
        </is>
      </c>
      <c r="K5313" s="20" t="n">
        <v>11971</v>
      </c>
    </row>
    <row r="5314" ht="16.5" customHeight="1" s="17">
      <c r="A5314" s="20" t="inlineStr">
        <is>
          <t>동영상캠페인_유즈모먼트_조향사 친구(cpa)</t>
        </is>
      </c>
      <c r="B5314" s="16" t="n">
        <v>44278</v>
      </c>
      <c r="C5314" s="20" t="inlineStr">
        <is>
          <t>화</t>
        </is>
      </c>
      <c r="D5314" s="20" t="inlineStr">
        <is>
          <t>유튜브 광고</t>
        </is>
      </c>
      <c r="E5314" s="20" t="inlineStr">
        <is>
          <t>고체향수</t>
        </is>
      </c>
      <c r="K5314" s="20" t="n">
        <v>98458</v>
      </c>
    </row>
    <row r="5315" ht="16.5" customHeight="1" s="17">
      <c r="A5315" s="20" t="inlineStr">
        <is>
          <t>동영상 캠페인_유튜버 수지큐 2차활용</t>
        </is>
      </c>
      <c r="B5315" s="16" t="n">
        <v>44278</v>
      </c>
      <c r="C5315" s="20" t="inlineStr">
        <is>
          <t>화</t>
        </is>
      </c>
      <c r="D5315" s="20" t="inlineStr">
        <is>
          <t>유튜브 광고</t>
        </is>
      </c>
      <c r="E5315" s="20" t="inlineStr">
        <is>
          <t>고체향수</t>
        </is>
      </c>
      <c r="K5315" s="20" t="n">
        <v>101519</v>
      </c>
    </row>
    <row r="5316" ht="16.5" customHeight="1" s="17">
      <c r="A5316" s="20" t="inlineStr">
        <is>
          <t>메인키워드</t>
        </is>
      </c>
      <c r="B5316" s="16" t="n">
        <v>44278</v>
      </c>
      <c r="C5316" s="20" t="inlineStr">
        <is>
          <t>화</t>
        </is>
      </c>
      <c r="D5316" s="20" t="inlineStr">
        <is>
          <t>네이버 쇼핑검색</t>
        </is>
      </c>
      <c r="E5316" s="20" t="inlineStr">
        <is>
          <t>고체향수</t>
        </is>
      </c>
      <c r="K5316" s="20" t="n">
        <v>33700</v>
      </c>
    </row>
    <row r="5317" ht="16.5" customHeight="1" s="17">
      <c r="A5317" s="20" t="inlineStr">
        <is>
          <t>세부키워드1</t>
        </is>
      </c>
      <c r="B5317" s="16" t="n">
        <v>44278</v>
      </c>
      <c r="C5317" s="20" t="inlineStr">
        <is>
          <t>화</t>
        </is>
      </c>
      <c r="D5317" s="20" t="inlineStr">
        <is>
          <t>네이버 쇼핑검색</t>
        </is>
      </c>
      <c r="E5317" s="20" t="inlineStr">
        <is>
          <t>고체향수</t>
        </is>
      </c>
      <c r="K5317" s="20" t="n">
        <v>859.9999999999999</v>
      </c>
    </row>
    <row r="5318" ht="16.5" customHeight="1" s="17">
      <c r="A5318" s="20" t="inlineStr">
        <is>
          <t>세부키워드2</t>
        </is>
      </c>
      <c r="B5318" s="16" t="n">
        <v>44278</v>
      </c>
      <c r="C5318" s="20" t="inlineStr">
        <is>
          <t>화</t>
        </is>
      </c>
      <c r="D5318" s="20" t="inlineStr">
        <is>
          <t>네이버 쇼핑검색</t>
        </is>
      </c>
      <c r="E5318" s="20" t="inlineStr">
        <is>
          <t>고체향수</t>
        </is>
      </c>
      <c r="K5318" s="20" t="n">
        <v>1180</v>
      </c>
    </row>
    <row r="5319" ht="16.5" customHeight="1" s="17">
      <c r="A5319" s="20" t="inlineStr">
        <is>
          <t>세부키워드3</t>
        </is>
      </c>
      <c r="B5319" s="16" t="n">
        <v>44278</v>
      </c>
      <c r="C5319" s="20" t="inlineStr">
        <is>
          <t>화</t>
        </is>
      </c>
      <c r="D5319" s="20" t="inlineStr">
        <is>
          <t>네이버 쇼핑검색</t>
        </is>
      </c>
      <c r="E5319" s="20" t="inlineStr">
        <is>
          <t>고체향수</t>
        </is>
      </c>
      <c r="K5319" s="20" t="n">
        <v>97039.99999999999</v>
      </c>
    </row>
    <row r="5320" ht="16.5" customHeight="1" s="17">
      <c r="A5320" s="20" t="inlineStr">
        <is>
          <t>모바일 브검</t>
        </is>
      </c>
      <c r="B5320" s="16" t="n">
        <v>44278</v>
      </c>
      <c r="C5320" s="20" t="inlineStr">
        <is>
          <t>화</t>
        </is>
      </c>
      <c r="D5320" s="20" t="inlineStr">
        <is>
          <t>네이버 브랜드검색</t>
        </is>
      </c>
      <c r="E5320" s="20" t="inlineStr">
        <is>
          <t>브랜드</t>
        </is>
      </c>
      <c r="K5320" s="20" t="n">
        <v>140000</v>
      </c>
    </row>
    <row r="5321" ht="16.5" customHeight="1" s="17">
      <c r="A5321" s="20" t="inlineStr">
        <is>
          <t>PC 브랜드검색</t>
        </is>
      </c>
      <c r="B5321" s="16" t="n">
        <v>44278</v>
      </c>
      <c r="C5321" s="20" t="inlineStr">
        <is>
          <t>화</t>
        </is>
      </c>
      <c r="D5321" s="20" t="inlineStr">
        <is>
          <t>네이버 브랜드검색</t>
        </is>
      </c>
      <c r="E5321" s="20" t="inlineStr">
        <is>
          <t>브랜드</t>
        </is>
      </c>
      <c r="K5321" s="20" t="n">
        <v>16700</v>
      </c>
    </row>
    <row r="5322" ht="16.5" customHeight="1" s="17">
      <c r="B5322" s="16" t="n">
        <v>44278</v>
      </c>
      <c r="C5322" s="20" t="inlineStr">
        <is>
          <t>화</t>
        </is>
      </c>
      <c r="E5322" s="20" t="inlineStr">
        <is>
          <t>고체향수</t>
        </is>
      </c>
      <c r="F5322" s="20" t="inlineStr">
        <is>
          <t>W컨셉</t>
        </is>
      </c>
      <c r="G5322" s="20" t="inlineStr">
        <is>
          <t>솔리드퍼퓸 이그나이트/스테이포에버 30ml (2종 택1)&lt;옵션1&gt;002 STAY FOREVER</t>
        </is>
      </c>
      <c r="H5322" s="20" t="n">
        <v>6</v>
      </c>
      <c r="I5322" s="20" t="inlineStr">
        <is>
          <t>스테이포에버</t>
        </is>
      </c>
      <c r="J5322" s="20" t="inlineStr">
        <is>
          <t>210207</t>
        </is>
      </c>
      <c r="L5322" s="20" t="n">
        <v>204000</v>
      </c>
      <c r="M5322" s="20" t="n">
        <v>142800</v>
      </c>
      <c r="N5322" s="20" t="n">
        <v>15552</v>
      </c>
      <c r="O5322" s="20" t="inlineStr">
        <is>
          <t>W컨셉고체향수솔리드퍼퓸 이그나이트/스테이포에버 30ml (2종 택1)&lt;옵션1&gt;002 STAY FOREVER210207</t>
        </is>
      </c>
    </row>
    <row r="5323" ht="16.5" customHeight="1" s="17">
      <c r="B5323" s="16" t="n">
        <v>44278</v>
      </c>
      <c r="C5323" s="20" t="inlineStr">
        <is>
          <t>화</t>
        </is>
      </c>
      <c r="E5323" s="20" t="inlineStr">
        <is>
          <t>고체향수</t>
        </is>
      </c>
      <c r="F5323" s="20" t="inlineStr">
        <is>
          <t>스마트스토어</t>
        </is>
      </c>
      <c r="G5323" s="20" t="inlineStr">
        <is>
          <t>유즈 고체향수 세트(유즈 스테이포에버, 유즈 이그나이트)고체향수: 스테이포에버 1개</t>
        </is>
      </c>
      <c r="H5323" s="20" t="n">
        <v>1</v>
      </c>
      <c r="I5323" s="20" t="inlineStr">
        <is>
          <t>스테이포에버</t>
        </is>
      </c>
      <c r="J5323" s="20" t="inlineStr">
        <is>
          <t>210207</t>
        </is>
      </c>
      <c r="L5323" s="20" t="n">
        <v>34000</v>
      </c>
      <c r="M5323" s="20" t="n">
        <v>33320</v>
      </c>
      <c r="N5323" s="20" t="n">
        <v>2592</v>
      </c>
      <c r="O5323" s="20" t="inlineStr">
        <is>
          <t>스마트스토어고체향수유즈 고체향수 세트(유즈 스테이포에버, 유즈 이그나이트)고체향수: 스테이포에버 1개210207</t>
        </is>
      </c>
    </row>
    <row r="5324" ht="16.5" customHeight="1" s="17">
      <c r="B5324" s="16" t="n">
        <v>44278</v>
      </c>
      <c r="C5324" s="20" t="inlineStr">
        <is>
          <t>화</t>
        </is>
      </c>
      <c r="E5324" s="20" t="inlineStr">
        <is>
          <t>고체향수</t>
        </is>
      </c>
      <c r="F5324" s="20" t="inlineStr">
        <is>
          <t>스마트스토어</t>
        </is>
      </c>
      <c r="G5324" s="20" t="inlineStr">
        <is>
          <t>유즈 고체향수 세트(유즈 스테이포에버, 유즈 이그나이트)고체향수: 스테이포에버 1개 + 이그나이트 1개</t>
        </is>
      </c>
      <c r="H5324" s="20" t="n">
        <v>3</v>
      </c>
      <c r="I5324" s="20" t="inlineStr">
        <is>
          <t>이그나이트 + 스테이포에버</t>
        </is>
      </c>
      <c r="J5324" s="20" t="inlineStr">
        <is>
          <t>210207</t>
        </is>
      </c>
      <c r="L5324" s="20" t="n">
        <v>176400</v>
      </c>
      <c r="M5324" s="20" t="n">
        <v>166080.6</v>
      </c>
      <c r="N5324" s="20" t="n">
        <v>16035</v>
      </c>
      <c r="O5324" s="20" t="inlineStr">
        <is>
          <t>스마트스토어고체향수유즈 고체향수 세트(유즈 스테이포에버, 유즈 이그나이트)고체향수: 스테이포에버 1개 + 이그나이트 1개210207</t>
        </is>
      </c>
    </row>
    <row r="5325" ht="16.5" customHeight="1" s="17">
      <c r="B5325" s="16" t="n">
        <v>44278</v>
      </c>
      <c r="C5325" s="20" t="inlineStr">
        <is>
          <t>화</t>
        </is>
      </c>
      <c r="E5325" s="20" t="inlineStr">
        <is>
          <t>고체향수</t>
        </is>
      </c>
      <c r="F5325" s="20" t="inlineStr">
        <is>
          <t>스마트스토어</t>
        </is>
      </c>
      <c r="G5325" s="20" t="inlineStr">
        <is>
          <t>유즈 고체향수 세트(유즈 스테이포에버, 유즈 이그나이트)고체향수: 스테이포에버 2개</t>
        </is>
      </c>
      <c r="H5325" s="20" t="n">
        <v>2</v>
      </c>
      <c r="I5325" s="20" t="inlineStr">
        <is>
          <t>스테이포에버 2set</t>
        </is>
      </c>
      <c r="J5325" s="20" t="inlineStr">
        <is>
          <t>210207</t>
        </is>
      </c>
      <c r="L5325" s="20" t="n">
        <v>117600</v>
      </c>
      <c r="M5325" s="20" t="n">
        <v>115248</v>
      </c>
      <c r="N5325" s="20" t="n">
        <v>10368</v>
      </c>
      <c r="O5325" s="20" t="inlineStr">
        <is>
          <t>스마트스토어고체향수유즈 고체향수 세트(유즈 스테이포에버, 유즈 이그나이트)고체향수: 스테이포에버 2개210207</t>
        </is>
      </c>
    </row>
    <row r="5326" ht="16.5" customHeight="1" s="17">
      <c r="B5326" s="16" t="n">
        <v>44278</v>
      </c>
      <c r="C5326" s="20" t="inlineStr">
        <is>
          <t>화</t>
        </is>
      </c>
      <c r="E5326" s="20" t="inlineStr">
        <is>
          <t>고체향수</t>
        </is>
      </c>
      <c r="F5326" s="20" t="inlineStr">
        <is>
          <t>스마트스토어</t>
        </is>
      </c>
      <c r="G5326" s="20" t="inlineStr">
        <is>
          <t>유즈 고체향수 스테이포에버 002고체향수: 스테이포에버 1개</t>
        </is>
      </c>
      <c r="H5326" s="20" t="n">
        <v>14</v>
      </c>
      <c r="I5326" s="20" t="inlineStr">
        <is>
          <t>스테이포에버</t>
        </is>
      </c>
      <c r="J5326" s="20" t="inlineStr">
        <is>
          <t>210207</t>
        </is>
      </c>
      <c r="L5326" s="20" t="n">
        <v>476000</v>
      </c>
      <c r="M5326" s="20" t="n">
        <v>466480</v>
      </c>
      <c r="N5326" s="20" t="n">
        <v>36288</v>
      </c>
      <c r="O5326" s="20" t="inlineStr">
        <is>
          <t>스마트스토어고체향수유즈 고체향수 스테이포에버 002고체향수: 스테이포에버 1개210207</t>
        </is>
      </c>
    </row>
    <row r="5327" ht="16.5" customHeight="1" s="17">
      <c r="B5327" s="16" t="n">
        <v>44278</v>
      </c>
      <c r="C5327" s="20" t="inlineStr">
        <is>
          <t>화</t>
        </is>
      </c>
      <c r="E5327" s="20" t="inlineStr">
        <is>
          <t>고체향수</t>
        </is>
      </c>
      <c r="F5327" s="20" t="inlineStr">
        <is>
          <t>카페24</t>
        </is>
      </c>
      <c r="G5327" s="20" t="inlineStr">
        <is>
          <t>솔리드퍼퓸 세트향=이그나이트 001 SOLID PERFUME, 세트 선택=1개</t>
        </is>
      </c>
      <c r="H5327" s="20" t="n">
        <v>2</v>
      </c>
      <c r="I5327" s="20" t="inlineStr">
        <is>
          <t>이그나이트</t>
        </is>
      </c>
      <c r="J5327" s="20" t="inlineStr">
        <is>
          <t>210207</t>
        </is>
      </c>
      <c r="L5327" s="20" t="n">
        <v>68000</v>
      </c>
      <c r="M5327" s="20" t="n">
        <v>64022</v>
      </c>
      <c r="N5327" s="20" t="n">
        <v>5506</v>
      </c>
      <c r="O5327" s="20" t="inlineStr">
        <is>
          <t>카페24고체향수솔리드퍼퓸 세트향=이그나이트 001 SOLID PERFUME, 세트 선택=1개210207</t>
        </is>
      </c>
    </row>
    <row r="5328" ht="16.5" customHeight="1" s="17">
      <c r="B5328" s="16" t="n">
        <v>44278</v>
      </c>
      <c r="C5328" s="20" t="inlineStr">
        <is>
          <t>화</t>
        </is>
      </c>
      <c r="E5328" s="20" t="inlineStr">
        <is>
          <t>고체향수</t>
        </is>
      </c>
      <c r="F5328" s="20" t="inlineStr">
        <is>
          <t>카페24</t>
        </is>
      </c>
      <c r="G5328" s="20" t="inlineStr">
        <is>
          <t>솔리드퍼퓸 세트향=스테이포에버 002 SOLID PERFUME, 세트 선택=1개</t>
        </is>
      </c>
      <c r="H5328" s="20" t="n">
        <v>6</v>
      </c>
      <c r="I5328" s="20" t="inlineStr">
        <is>
          <t>스테이포에버</t>
        </is>
      </c>
      <c r="J5328" s="20" t="inlineStr">
        <is>
          <t>210207</t>
        </is>
      </c>
      <c r="L5328" s="20" t="n">
        <v>204000</v>
      </c>
      <c r="M5328" s="20" t="n">
        <v>192066</v>
      </c>
      <c r="N5328" s="20" t="n">
        <v>15552</v>
      </c>
      <c r="O5328" s="20" t="inlineStr">
        <is>
          <t>카페24고체향수솔리드퍼퓸 세트향=스테이포에버 002 SOLID PERFUME, 세트 선택=1개210207</t>
        </is>
      </c>
    </row>
    <row r="5329" ht="16.5" customHeight="1" s="17">
      <c r="B5329" s="16" t="n">
        <v>44278</v>
      </c>
      <c r="C5329" s="20" t="inlineStr">
        <is>
          <t>화</t>
        </is>
      </c>
      <c r="E5329" s="20" t="inlineStr">
        <is>
          <t>고체향수</t>
        </is>
      </c>
      <c r="F5329" s="20" t="inlineStr">
        <is>
          <t>카페24</t>
        </is>
      </c>
      <c r="G5329" s="20" t="inlineStr">
        <is>
          <t>솔리드퍼퓸 세트향=스테이포에버 002 SOLID PERFUME, 세트 선택=best 2개 (28% 할인)</t>
        </is>
      </c>
      <c r="H5329" s="20" t="n">
        <v>6</v>
      </c>
      <c r="I5329" s="20" t="inlineStr">
        <is>
          <t>스테이포에버 2set</t>
        </is>
      </c>
      <c r="J5329" s="20" t="inlineStr">
        <is>
          <t>210207</t>
        </is>
      </c>
      <c r="L5329" s="20" t="n">
        <v>352800</v>
      </c>
      <c r="M5329" s="20" t="n">
        <v>332161.2</v>
      </c>
      <c r="N5329" s="20" t="n">
        <v>31104</v>
      </c>
      <c r="O5329" s="20" t="inlineStr">
        <is>
          <t>카페24고체향수솔리드퍼퓸 세트향=스테이포에버 002 SOLID PERFUME, 세트 선택=best 2개 (28% 할인)210207</t>
        </is>
      </c>
    </row>
    <row r="5330" ht="16.5" customHeight="1" s="17">
      <c r="B5330" s="16" t="n">
        <v>44278</v>
      </c>
      <c r="C5330" s="20" t="inlineStr">
        <is>
          <t>화</t>
        </is>
      </c>
      <c r="E5330" s="20" t="inlineStr">
        <is>
          <t>고체향수</t>
        </is>
      </c>
      <c r="F5330" s="20" t="inlineStr">
        <is>
          <t>카페24</t>
        </is>
      </c>
      <c r="G5330" s="20" t="inlineStr">
        <is>
          <t>솔리드퍼퓸 세트향=커플세트(이그나이트 + 스테이포에버), 세트 선택=1 SET</t>
        </is>
      </c>
      <c r="H5330" s="20" t="n">
        <v>9</v>
      </c>
      <c r="I5330" s="20" t="inlineStr">
        <is>
          <t>이그나이트 + 스테이포에버</t>
        </is>
      </c>
      <c r="J5330" s="20" t="inlineStr">
        <is>
          <t>210207</t>
        </is>
      </c>
      <c r="L5330" s="20" t="n">
        <v>529200</v>
      </c>
      <c r="M5330" s="20" t="n">
        <v>498241.8</v>
      </c>
      <c r="N5330" s="20" t="n">
        <v>48105</v>
      </c>
      <c r="O5330" s="20" t="inlineStr">
        <is>
          <t>카페24고체향수솔리드퍼퓸 세트향=커플세트(이그나이트 + 스테이포에버), 세트 선택=1 SET210207</t>
        </is>
      </c>
    </row>
    <row r="5331" ht="16.5" customHeight="1" s="17">
      <c r="B5331" s="16" t="n">
        <v>44278</v>
      </c>
      <c r="C5331" s="20" t="inlineStr">
        <is>
          <t>화</t>
        </is>
      </c>
      <c r="E5331" s="20" t="inlineStr">
        <is>
          <t>고체향수</t>
        </is>
      </c>
      <c r="F5331" s="20" t="inlineStr">
        <is>
          <t>카페24</t>
        </is>
      </c>
      <c r="G5331" s="20" t="inlineStr">
        <is>
          <t>솔리드퍼퓸 세트향=커플세트(이그나이트 + 스테이포에버), 세트 선택=2 SET (42% 할인)</t>
        </is>
      </c>
      <c r="H5331" s="20" t="n">
        <v>1</v>
      </c>
      <c r="I5331" s="20" t="inlineStr">
        <is>
          <t>이그나이트 + 스테이포에버</t>
        </is>
      </c>
      <c r="J5331" s="20" t="inlineStr">
        <is>
          <t>210207</t>
        </is>
      </c>
      <c r="L5331" s="20" t="n">
        <v>58800</v>
      </c>
      <c r="M5331" s="20" t="n">
        <v>55360.2</v>
      </c>
      <c r="N5331" s="20" t="n">
        <v>5345</v>
      </c>
      <c r="O5331" s="20" t="inlineStr">
        <is>
          <t>카페24고체향수솔리드퍼퓸 세트향=커플세트(이그나이트 + 스테이포에버), 세트 선택=2 SET (42% 할인)210207</t>
        </is>
      </c>
    </row>
    <row r="5332" ht="16.5" customHeight="1" s="17">
      <c r="B5332" s="16" t="n">
        <v>44278</v>
      </c>
      <c r="C5332" s="20" t="inlineStr">
        <is>
          <t>화</t>
        </is>
      </c>
      <c r="E5332" s="20" t="inlineStr">
        <is>
          <t>고체향수</t>
        </is>
      </c>
      <c r="F5332" s="20" t="inlineStr">
        <is>
          <t>카페24</t>
        </is>
      </c>
      <c r="G5332" s="20" t="inlineStr">
        <is>
          <t>솔리드퍼퓸 스테이포에버 002제품선택=스테이포에버 1개</t>
        </is>
      </c>
      <c r="H5332" s="20" t="n">
        <v>172</v>
      </c>
      <c r="I5332" s="20" t="inlineStr">
        <is>
          <t>스테이포에버</t>
        </is>
      </c>
      <c r="J5332" s="20" t="inlineStr">
        <is>
          <t>210207</t>
        </is>
      </c>
      <c r="L5332" s="20" t="n">
        <v>5848000</v>
      </c>
      <c r="M5332" s="20" t="n">
        <v>5505892</v>
      </c>
      <c r="N5332" s="20" t="n">
        <v>445824</v>
      </c>
      <c r="O5332" s="20" t="inlineStr">
        <is>
          <t>카페24고체향수솔리드퍼퓸 스테이포에버 002제품선택=스테이포에버 1개210207</t>
        </is>
      </c>
    </row>
    <row r="5333" ht="16.5" customHeight="1" s="17">
      <c r="B5333" s="16" t="n">
        <v>44278</v>
      </c>
      <c r="C5333" s="20" t="inlineStr">
        <is>
          <t>화</t>
        </is>
      </c>
      <c r="E5333" s="20" t="inlineStr">
        <is>
          <t>고체향수</t>
        </is>
      </c>
      <c r="F5333" s="20" t="inlineStr">
        <is>
          <t>카페24</t>
        </is>
      </c>
      <c r="G5333" s="20" t="inlineStr">
        <is>
          <t>솔리드퍼퓸 스테이포에버 002제품선택=best스테이포에버 2개[28% 할인]</t>
        </is>
      </c>
      <c r="H5333" s="20" t="n">
        <v>82</v>
      </c>
      <c r="I5333" s="20" t="inlineStr">
        <is>
          <t>스테이포에버 2set</t>
        </is>
      </c>
      <c r="J5333" s="20" t="inlineStr">
        <is>
          <t>210207</t>
        </is>
      </c>
      <c r="L5333" s="20" t="n">
        <v>4821600</v>
      </c>
      <c r="M5333" s="20" t="n">
        <v>4539536.399999999</v>
      </c>
      <c r="N5333" s="20" t="n">
        <v>425088</v>
      </c>
      <c r="O5333" s="20" t="inlineStr">
        <is>
          <t>카페24고체향수솔리드퍼퓸 스테이포에버 002제품선택=best스테이포에버 2개[28% 할인]210207</t>
        </is>
      </c>
    </row>
    <row r="5334" ht="16.5" customHeight="1" s="17">
      <c r="B5334" s="16" t="n">
        <v>44278</v>
      </c>
      <c r="C5334" s="20" t="inlineStr">
        <is>
          <t>화</t>
        </is>
      </c>
      <c r="E5334" s="20" t="inlineStr">
        <is>
          <t>고체향수</t>
        </is>
      </c>
      <c r="F5334" s="20" t="inlineStr">
        <is>
          <t>카페24</t>
        </is>
      </c>
      <c r="G5334" s="20" t="inlineStr">
        <is>
          <t>솔리드퍼퓸 스테이포에버 002제품선택=커플추천스테이포에버 + 이그나이트 세트</t>
        </is>
      </c>
      <c r="H5334" s="20" t="n">
        <v>7</v>
      </c>
      <c r="I5334" s="20" t="inlineStr">
        <is>
          <t>이그나이트 + 스테이포에버</t>
        </is>
      </c>
      <c r="J5334" s="20" t="inlineStr">
        <is>
          <t>210207</t>
        </is>
      </c>
      <c r="L5334" s="20" t="n">
        <v>411600</v>
      </c>
      <c r="M5334" s="20" t="n">
        <v>387521.4</v>
      </c>
      <c r="N5334" s="20" t="n">
        <v>37415</v>
      </c>
      <c r="O5334" s="20" t="inlineStr">
        <is>
          <t>카페24고체향수솔리드퍼퓸 스테이포에버 002제품선택=커플추천스테이포에버 + 이그나이트 세트210207</t>
        </is>
      </c>
    </row>
    <row r="5335" ht="16.5" customHeight="1" s="17">
      <c r="B5335" s="16" t="n">
        <v>44278</v>
      </c>
      <c r="C5335" s="20" t="inlineStr">
        <is>
          <t>화</t>
        </is>
      </c>
      <c r="E5335" s="20" t="inlineStr">
        <is>
          <t>쇼핑백</t>
        </is>
      </c>
      <c r="F5335" s="20" t="inlineStr">
        <is>
          <t>카페24</t>
        </is>
      </c>
      <c r="G5335" s="20" t="inlineStr">
        <is>
          <t>솔리드퍼퓸 스테이포에버 002쇼핑백=선물용 쇼핑백</t>
        </is>
      </c>
      <c r="H5335" s="20" t="n">
        <v>4</v>
      </c>
      <c r="I5335" s="20" t="inlineStr">
        <is>
          <t>쇼핑백</t>
        </is>
      </c>
      <c r="J5335" s="20" t="inlineStr">
        <is>
          <t>210207</t>
        </is>
      </c>
      <c r="L5335" s="20" t="n">
        <v>8000</v>
      </c>
      <c r="M5335" s="20" t="n">
        <v>7532</v>
      </c>
      <c r="N5335" s="20" t="n">
        <v>3320</v>
      </c>
      <c r="O5335" s="20" t="inlineStr">
        <is>
          <t>카페24쇼핑백솔리드퍼퓸 스테이포에버 002쇼핑백=선물용 쇼핑백210207</t>
        </is>
      </c>
    </row>
    <row r="5336" ht="16.5" customHeight="1" s="17">
      <c r="B5336" s="16" t="n">
        <v>44278</v>
      </c>
      <c r="C5336" s="20" t="inlineStr">
        <is>
          <t>화</t>
        </is>
      </c>
      <c r="E5336" s="20" t="inlineStr">
        <is>
          <t>고체향수</t>
        </is>
      </c>
      <c r="F5336" s="20" t="inlineStr">
        <is>
          <t>카페24</t>
        </is>
      </c>
      <c r="G5336" s="20" t="inlineStr">
        <is>
          <t>솔리드퍼퓸 이그나이트 001제품선택=이그나이트 솔리드퍼퓸 - 30ml</t>
        </is>
      </c>
      <c r="H5336" s="20" t="n">
        <v>8</v>
      </c>
      <c r="I5336" s="20" t="inlineStr">
        <is>
          <t>이그나이트</t>
        </is>
      </c>
      <c r="J5336" s="20" t="inlineStr">
        <is>
          <t>210207</t>
        </is>
      </c>
      <c r="L5336" s="20" t="n">
        <v>272000</v>
      </c>
      <c r="M5336" s="20" t="n">
        <v>256088</v>
      </c>
      <c r="N5336" s="20" t="n">
        <v>22024</v>
      </c>
      <c r="O5336" s="20" t="inlineStr">
        <is>
          <t>카페24고체향수솔리드퍼퓸 이그나이트 001제품선택=이그나이트 솔리드퍼퓸 - 30ml210207</t>
        </is>
      </c>
    </row>
    <row r="5337" ht="16.5" customHeight="1" s="17">
      <c r="B5337" s="16" t="n">
        <v>44278</v>
      </c>
      <c r="C5337" s="20" t="inlineStr">
        <is>
          <t>화</t>
        </is>
      </c>
      <c r="E5337" s="20" t="inlineStr">
        <is>
          <t>고체향수</t>
        </is>
      </c>
      <c r="F5337" s="20" t="inlineStr">
        <is>
          <t>카페24</t>
        </is>
      </c>
      <c r="G5337" s="20" t="inlineStr">
        <is>
          <t>유즈 솔리드퍼퓸 세트향=스테이포에버 002 SOLID PERFUME, 세트 선택=best 2개 (28% 할인)</t>
        </is>
      </c>
      <c r="H5337" s="20" t="n">
        <v>2</v>
      </c>
      <c r="I5337" s="20" t="inlineStr">
        <is>
          <t>스테이포에버 2set</t>
        </is>
      </c>
      <c r="J5337" s="20" t="inlineStr">
        <is>
          <t>210207</t>
        </is>
      </c>
      <c r="L5337" s="20" t="n">
        <v>117600</v>
      </c>
      <c r="M5337" s="20" t="n">
        <v>110720.4</v>
      </c>
      <c r="N5337" s="20" t="n">
        <v>10368</v>
      </c>
      <c r="O5337" s="20" t="inlineStr">
        <is>
          <t>카페24고체향수유즈 솔리드퍼퓸 세트향=스테이포에버 002 SOLID PERFUME, 세트 선택=best 2개 (28% 할인)210207</t>
        </is>
      </c>
    </row>
    <row r="5338" ht="16.5" customHeight="1" s="17">
      <c r="B5338" s="16" t="n">
        <v>44278</v>
      </c>
      <c r="C5338" s="20" t="inlineStr">
        <is>
          <t>화</t>
        </is>
      </c>
      <c r="E5338" s="20" t="inlineStr">
        <is>
          <t>고체향수</t>
        </is>
      </c>
      <c r="F5338" s="20" t="inlineStr">
        <is>
          <t>카페24</t>
        </is>
      </c>
      <c r="G5338" s="20" t="inlineStr">
        <is>
          <t>유즈 솔리드퍼퓸 세트향=커플세트(이그나이트 + 스테이포에버), 세트 선택=1 SET</t>
        </is>
      </c>
      <c r="H5338" s="20" t="n">
        <v>1</v>
      </c>
      <c r="I5338" s="20" t="inlineStr">
        <is>
          <t>이그나이트 + 스테이포에버</t>
        </is>
      </c>
      <c r="J5338" s="20" t="inlineStr">
        <is>
          <t>210207</t>
        </is>
      </c>
      <c r="L5338" s="20" t="n">
        <v>58800</v>
      </c>
      <c r="M5338" s="20" t="n">
        <v>55360.2</v>
      </c>
      <c r="N5338" s="20" t="n">
        <v>5345</v>
      </c>
      <c r="O5338" s="20" t="inlineStr">
        <is>
          <t>카페24고체향수유즈 솔리드퍼퓸 세트향=커플세트(이그나이트 + 스테이포에버), 세트 선택=1 SET210207</t>
        </is>
      </c>
    </row>
    <row r="5339" ht="16.5" customHeight="1" s="17">
      <c r="A5339" s="20" t="inlineStr">
        <is>
          <t>고체향수_전환추적</t>
        </is>
      </c>
      <c r="B5339" s="16" t="n">
        <v>44278</v>
      </c>
      <c r="C5339" s="20" t="inlineStr">
        <is>
          <t>화</t>
        </is>
      </c>
      <c r="D5339" s="20" t="inlineStr">
        <is>
          <t>네이버 배너</t>
        </is>
      </c>
      <c r="E5339" s="20" t="inlineStr">
        <is>
          <t>고체향수</t>
        </is>
      </c>
      <c r="K5339" s="20" t="n">
        <v>259038.1818181818</v>
      </c>
    </row>
    <row r="5340" ht="16.5" customHeight="1" s="17">
      <c r="A5340" s="20" t="inlineStr">
        <is>
          <t>고체향수</t>
        </is>
      </c>
      <c r="B5340" s="16" t="n">
        <v>44278</v>
      </c>
      <c r="C5340" s="20" t="inlineStr">
        <is>
          <t>화</t>
        </is>
      </c>
      <c r="D5340" s="20" t="inlineStr">
        <is>
          <t>네이버 배너</t>
        </is>
      </c>
      <c r="E5340" s="20" t="inlineStr">
        <is>
          <t>고체향수</t>
        </is>
      </c>
      <c r="K5340" s="20" t="n">
        <v>923364.5454545454</v>
      </c>
    </row>
    <row r="5341" ht="16.5" customHeight="1" s="17">
      <c r="A5341" s="20" t="inlineStr">
        <is>
          <t>고체향수_승무원 어피_Npay 추적</t>
        </is>
      </c>
      <c r="B5341" s="16" t="n">
        <v>44278</v>
      </c>
      <c r="C5341" s="20" t="inlineStr">
        <is>
          <t>화</t>
        </is>
      </c>
      <c r="D5341" s="20" t="inlineStr">
        <is>
          <t>카카오 배너</t>
        </is>
      </c>
      <c r="E5341" s="20" t="inlineStr">
        <is>
          <t>고체향수</t>
        </is>
      </c>
      <c r="K5341" s="20" t="n">
        <v>182220</v>
      </c>
    </row>
    <row r="5342" ht="16.5" customHeight="1" s="17">
      <c r="A5342" s="20" t="inlineStr">
        <is>
          <t>고체향수_Npay 추적</t>
        </is>
      </c>
      <c r="B5342" s="16" t="n">
        <v>44278</v>
      </c>
      <c r="C5342" s="20" t="inlineStr">
        <is>
          <t>화</t>
        </is>
      </c>
      <c r="D5342" s="20" t="inlineStr">
        <is>
          <t>카카오 배너</t>
        </is>
      </c>
      <c r="E5342" s="20" t="inlineStr">
        <is>
          <t>고체향수</t>
        </is>
      </c>
      <c r="K5342" s="20" t="n">
        <v>1094140</v>
      </c>
    </row>
    <row r="5343" ht="16.5" customHeight="1" s="17">
      <c r="B5343" s="16" t="n">
        <v>44278</v>
      </c>
      <c r="C5343" s="20" t="inlineStr">
        <is>
          <t>화</t>
        </is>
      </c>
      <c r="D5343" s="20" t="inlineStr">
        <is>
          <t>네이버 배너(대행사)</t>
        </is>
      </c>
      <c r="E5343" s="20" t="inlineStr">
        <is>
          <t>고체향수</t>
        </is>
      </c>
      <c r="K5343" s="20">
        <f>398365/1.1</f>
        <v/>
      </c>
    </row>
    <row r="5344" ht="16.5" customHeight="1" s="17">
      <c r="A5344" s="20" t="inlineStr">
        <is>
          <t>[유튜버 수지큐]스테이포에버_카드뉴스</t>
        </is>
      </c>
      <c r="B5344" s="16" t="n">
        <v>44279</v>
      </c>
      <c r="C5344" s="20" t="inlineStr">
        <is>
          <t>수</t>
        </is>
      </c>
      <c r="D5344" s="20" t="inlineStr">
        <is>
          <t>페이스북/인스타그램</t>
        </is>
      </c>
      <c r="E5344" s="20" t="inlineStr">
        <is>
          <t>고체향수</t>
        </is>
      </c>
      <c r="K5344" s="20" t="n">
        <v>29689</v>
      </c>
    </row>
    <row r="5345" ht="16.5" customHeight="1" s="17">
      <c r="A5345" s="20" t="inlineStr">
        <is>
          <t>[승무원]수지큐2차활용_스테이포에버_이미지</t>
        </is>
      </c>
      <c r="B5345" s="16" t="n">
        <v>44279</v>
      </c>
      <c r="C5345" s="20" t="inlineStr">
        <is>
          <t>수</t>
        </is>
      </c>
      <c r="D5345" s="20" t="inlineStr">
        <is>
          <t>페이스북/인스타그램</t>
        </is>
      </c>
      <c r="E5345" s="20" t="inlineStr">
        <is>
          <t>고체향수</t>
        </is>
      </c>
      <c r="K5345" s="20" t="n">
        <v>30257</v>
      </c>
    </row>
    <row r="5346" ht="16.5" customHeight="1" s="17">
      <c r="A5346" s="20" t="inlineStr">
        <is>
          <t>[다현 TEST] 스테이포에버_유즈모먼트</t>
        </is>
      </c>
      <c r="B5346" s="16" t="n">
        <v>44279</v>
      </c>
      <c r="C5346" s="20" t="inlineStr">
        <is>
          <t>수</t>
        </is>
      </c>
      <c r="D5346" s="20" t="inlineStr">
        <is>
          <t>페이스북/인스타그램</t>
        </is>
      </c>
      <c r="E5346" s="20" t="inlineStr">
        <is>
          <t>고체향수</t>
        </is>
      </c>
      <c r="K5346" s="20" t="n">
        <v>60335</v>
      </c>
    </row>
    <row r="5347" ht="16.5" customHeight="1" s="17">
      <c r="A5347" s="20" t="inlineStr">
        <is>
          <t>[성민 TEST] 스테이포에버_이미지</t>
        </is>
      </c>
      <c r="B5347" s="16" t="n">
        <v>44279</v>
      </c>
      <c r="C5347" s="20" t="inlineStr">
        <is>
          <t>수</t>
        </is>
      </c>
      <c r="D5347" s="20" t="inlineStr">
        <is>
          <t>페이스북/인스타그램</t>
        </is>
      </c>
      <c r="E5347" s="20" t="inlineStr">
        <is>
          <t>고체향수</t>
        </is>
      </c>
      <c r="K5347" s="20" t="n">
        <v>89693</v>
      </c>
    </row>
    <row r="5348" ht="16.5" customHeight="1" s="17">
      <c r="A5348" s="20" t="inlineStr">
        <is>
          <t>[승은 TEST] 스테이포에버_카드뉴스</t>
        </is>
      </c>
      <c r="B5348" s="16" t="n">
        <v>44279</v>
      </c>
      <c r="C5348" s="20" t="inlineStr">
        <is>
          <t>수</t>
        </is>
      </c>
      <c r="D5348" s="20" t="inlineStr">
        <is>
          <t>페이스북/인스타그램</t>
        </is>
      </c>
      <c r="E5348" s="20" t="inlineStr">
        <is>
          <t>고체향수</t>
        </is>
      </c>
      <c r="K5348" s="20" t="n">
        <v>59630</v>
      </c>
    </row>
    <row r="5349" ht="16.5" customHeight="1" s="17">
      <c r="A5349" s="20" t="inlineStr">
        <is>
          <t>[승무원 2] 스테이포에버_카드뉴스</t>
        </is>
      </c>
      <c r="B5349" s="16" t="n">
        <v>44279</v>
      </c>
      <c r="C5349" s="20" t="inlineStr">
        <is>
          <t>수</t>
        </is>
      </c>
      <c r="D5349" s="20" t="inlineStr">
        <is>
          <t>페이스북/인스타그램</t>
        </is>
      </c>
      <c r="E5349" s="20" t="inlineStr">
        <is>
          <t>고체향수</t>
        </is>
      </c>
      <c r="K5349" s="20" t="n">
        <v>100020</v>
      </c>
    </row>
    <row r="5350" ht="16.5" customHeight="1" s="17">
      <c r="A5350" s="20" t="inlineStr">
        <is>
          <t>[테스트]아줌마</t>
        </is>
      </c>
      <c r="B5350" s="16" t="n">
        <v>44279</v>
      </c>
      <c r="C5350" s="20" t="inlineStr">
        <is>
          <t>수</t>
        </is>
      </c>
      <c r="D5350" s="20" t="inlineStr">
        <is>
          <t>페이스북/인스타그램</t>
        </is>
      </c>
      <c r="E5350" s="20" t="inlineStr">
        <is>
          <t>고체향수</t>
        </is>
      </c>
      <c r="K5350" s="20" t="n">
        <v>108698</v>
      </c>
    </row>
    <row r="5351" ht="16.5" customHeight="1" s="17">
      <c r="A5351" s="20" t="inlineStr">
        <is>
          <t>[키워드 확장 테스트]스테이포에버_이미지</t>
        </is>
      </c>
      <c r="B5351" s="16" t="n">
        <v>44279</v>
      </c>
      <c r="C5351" s="20" t="inlineStr">
        <is>
          <t>수</t>
        </is>
      </c>
      <c r="D5351" s="20" t="inlineStr">
        <is>
          <t>페이스북/인스타그램</t>
        </is>
      </c>
      <c r="E5351" s="20" t="inlineStr">
        <is>
          <t>고체향수</t>
        </is>
      </c>
      <c r="K5351" s="20" t="n">
        <v>207813</v>
      </c>
    </row>
    <row r="5352" ht="16.5" customHeight="1" s="17">
      <c r="A5352" s="20" t="inlineStr">
        <is>
          <t>[재입고]스테이포에버_이미지</t>
        </is>
      </c>
      <c r="B5352" s="16" t="n">
        <v>44279</v>
      </c>
      <c r="C5352" s="20" t="inlineStr">
        <is>
          <t>수</t>
        </is>
      </c>
      <c r="D5352" s="20" t="inlineStr">
        <is>
          <t>페이스북/인스타그램</t>
        </is>
      </c>
      <c r="E5352" s="20" t="inlineStr">
        <is>
          <t>고체향수</t>
        </is>
      </c>
      <c r="K5352" s="20" t="n">
        <v>49987</v>
      </c>
    </row>
    <row r="5353" ht="16.5" customHeight="1" s="17">
      <c r="A5353" s="20" t="inlineStr">
        <is>
          <t>[승무원]숏폼_영상</t>
        </is>
      </c>
      <c r="B5353" s="16" t="n">
        <v>44279</v>
      </c>
      <c r="C5353" s="20" t="inlineStr">
        <is>
          <t>수</t>
        </is>
      </c>
      <c r="D5353" s="20" t="inlineStr">
        <is>
          <t>페이스북/인스타그램</t>
        </is>
      </c>
      <c r="E5353" s="20" t="inlineStr">
        <is>
          <t>고체향수</t>
        </is>
      </c>
      <c r="K5353" s="20" t="n">
        <v>48779</v>
      </c>
    </row>
    <row r="5354" ht="16.5" customHeight="1" s="17">
      <c r="A5354" s="20" t="inlineStr">
        <is>
          <t>[재입고]스테이포에버_영상</t>
        </is>
      </c>
      <c r="B5354" s="16" t="n">
        <v>44279</v>
      </c>
      <c r="C5354" s="20" t="inlineStr">
        <is>
          <t>수</t>
        </is>
      </c>
      <c r="D5354" s="20" t="inlineStr">
        <is>
          <t>페이스북/인스타그램</t>
        </is>
      </c>
      <c r="E5354" s="20" t="inlineStr">
        <is>
          <t>고체향수</t>
        </is>
      </c>
      <c r="K5354" s="20" t="n">
        <v>49998</v>
      </c>
    </row>
    <row r="5355" ht="16.5" customHeight="1" s="17">
      <c r="A5355" s="20" t="inlineStr">
        <is>
          <t>[젊줌마]스테이포에버_영상</t>
        </is>
      </c>
      <c r="B5355" s="16" t="n">
        <v>44279</v>
      </c>
      <c r="C5355" s="20" t="inlineStr">
        <is>
          <t>수</t>
        </is>
      </c>
      <c r="D5355" s="20" t="inlineStr">
        <is>
          <t>페이스북/인스타그램</t>
        </is>
      </c>
      <c r="E5355" s="20" t="inlineStr">
        <is>
          <t>고체향수</t>
        </is>
      </c>
      <c r="K5355" s="20" t="n">
        <v>100235</v>
      </c>
    </row>
    <row r="5356" ht="16.5" customHeight="1" s="17">
      <c r="A5356" s="20" t="inlineStr">
        <is>
          <t>[승무원]2019년썰 카드뉴스+ 향묘사_영상</t>
        </is>
      </c>
      <c r="B5356" s="16" t="n">
        <v>44279</v>
      </c>
      <c r="C5356" s="20" t="inlineStr">
        <is>
          <t>수</t>
        </is>
      </c>
      <c r="D5356" s="20" t="inlineStr">
        <is>
          <t>페이스북/인스타그램</t>
        </is>
      </c>
      <c r="E5356" s="20" t="inlineStr">
        <is>
          <t>고체향수</t>
        </is>
      </c>
      <c r="K5356" s="20" t="n">
        <v>48892</v>
      </c>
    </row>
    <row r="5357" ht="16.5" customHeight="1" s="17">
      <c r="A5357" s="20" t="inlineStr">
        <is>
          <t>[승무원어피]스테이포에버_이미지</t>
        </is>
      </c>
      <c r="B5357" s="16" t="n">
        <v>44279</v>
      </c>
      <c r="C5357" s="20" t="inlineStr">
        <is>
          <t>수</t>
        </is>
      </c>
      <c r="D5357" s="20" t="inlineStr">
        <is>
          <t>페이스북/인스타그램</t>
        </is>
      </c>
      <c r="E5357" s="20" t="inlineStr">
        <is>
          <t>고체향수</t>
        </is>
      </c>
      <c r="K5357" s="20" t="n">
        <v>98485</v>
      </c>
    </row>
    <row r="5358" ht="16.5" customHeight="1" s="17">
      <c r="A5358" s="20" t="inlineStr">
        <is>
          <t>[다현]스테이포에버_이미지</t>
        </is>
      </c>
      <c r="B5358" s="16" t="n">
        <v>44279</v>
      </c>
      <c r="C5358" s="20" t="inlineStr">
        <is>
          <t>수</t>
        </is>
      </c>
      <c r="D5358" s="20" t="inlineStr">
        <is>
          <t>페이스북/인스타그램</t>
        </is>
      </c>
      <c r="E5358" s="20" t="inlineStr">
        <is>
          <t>고체향수</t>
        </is>
      </c>
      <c r="K5358" s="20" t="n">
        <v>98059</v>
      </c>
    </row>
    <row r="5359" ht="16.5" customHeight="1" s="17">
      <c r="A5359" s="20" t="inlineStr">
        <is>
          <t>[승무원]스테이포에버_카드뉴스</t>
        </is>
      </c>
      <c r="B5359" s="16" t="n">
        <v>44279</v>
      </c>
      <c r="C5359" s="20" t="inlineStr">
        <is>
          <t>수</t>
        </is>
      </c>
      <c r="D5359" s="20" t="inlineStr">
        <is>
          <t>페이스북/인스타그램</t>
        </is>
      </c>
      <c r="E5359" s="20" t="inlineStr">
        <is>
          <t>고체향수</t>
        </is>
      </c>
      <c r="K5359" s="20" t="n">
        <v>97882</v>
      </c>
    </row>
    <row r="5360" ht="16.5" customHeight="1" s="17">
      <c r="A5360" s="20" t="inlineStr">
        <is>
          <t>[후기타입]스테이포에버_영상</t>
        </is>
      </c>
      <c r="B5360" s="16" t="n">
        <v>44279</v>
      </c>
      <c r="C5360" s="20" t="inlineStr">
        <is>
          <t>수</t>
        </is>
      </c>
      <c r="D5360" s="20" t="inlineStr">
        <is>
          <t>페이스북/인스타그램</t>
        </is>
      </c>
      <c r="E5360" s="20" t="inlineStr">
        <is>
          <t>고체향수</t>
        </is>
      </c>
      <c r="K5360" s="20" t="n">
        <v>150690</v>
      </c>
    </row>
    <row r="5361" ht="16.5" customHeight="1" s="17">
      <c r="A5361" s="20" t="inlineStr">
        <is>
          <t>전환_스테이포에버</t>
        </is>
      </c>
      <c r="B5361" s="16" t="n">
        <v>44279</v>
      </c>
      <c r="C5361" s="20" t="inlineStr">
        <is>
          <t>수</t>
        </is>
      </c>
      <c r="D5361" s="20" t="inlineStr">
        <is>
          <t>페이스북/인스타그램</t>
        </is>
      </c>
      <c r="E5361" s="20" t="inlineStr">
        <is>
          <t>고체향수</t>
        </is>
      </c>
      <c r="K5361" s="20" t="n">
        <v>50189</v>
      </c>
    </row>
    <row r="5362" ht="16.5" customHeight="1" s="17">
      <c r="A5362" s="20" t="inlineStr">
        <is>
          <t>[권태기커플]스테이포에버_영상</t>
        </is>
      </c>
      <c r="B5362" s="16" t="n">
        <v>44279</v>
      </c>
      <c r="C5362" s="20" t="inlineStr">
        <is>
          <t>수</t>
        </is>
      </c>
      <c r="D5362" s="20" t="inlineStr">
        <is>
          <t>페이스북/인스타그램</t>
        </is>
      </c>
      <c r="E5362" s="20" t="inlineStr">
        <is>
          <t>고체향수</t>
        </is>
      </c>
      <c r="K5362" s="20" t="n">
        <v>73551</v>
      </c>
    </row>
    <row r="5363" ht="16.5" customHeight="1" s="17">
      <c r="A5363" s="20" t="inlineStr">
        <is>
          <t>웹사이트 트래픽 서치</t>
        </is>
      </c>
      <c r="B5363" s="16" t="n">
        <v>44279</v>
      </c>
      <c r="C5363" s="20" t="inlineStr">
        <is>
          <t>수</t>
        </is>
      </c>
      <c r="D5363" s="20" t="inlineStr">
        <is>
          <t>유튜브 광고</t>
        </is>
      </c>
      <c r="E5363" s="20" t="inlineStr">
        <is>
          <t>고체향수</t>
        </is>
      </c>
      <c r="K5363" s="20" t="n">
        <v>21976</v>
      </c>
    </row>
    <row r="5364" ht="16.5" customHeight="1" s="17">
      <c r="A5364" s="20" t="inlineStr">
        <is>
          <t>동영상캠페인_승무원_보이는 라디오(cpa)</t>
        </is>
      </c>
      <c r="B5364" s="16" t="n">
        <v>44279</v>
      </c>
      <c r="C5364" s="20" t="inlineStr">
        <is>
          <t>수</t>
        </is>
      </c>
      <c r="D5364" s="20" t="inlineStr">
        <is>
          <t>유튜브 광고</t>
        </is>
      </c>
      <c r="E5364" s="20" t="inlineStr">
        <is>
          <t>고체향수</t>
        </is>
      </c>
      <c r="K5364" s="20" t="n">
        <v>230832</v>
      </c>
    </row>
    <row r="5365" ht="16.5" customHeight="1" s="17">
      <c r="A5365" s="20" t="inlineStr">
        <is>
          <t>디스커버리 배너_승무원,할인_리마케팅</t>
        </is>
      </c>
      <c r="B5365" s="16" t="n">
        <v>44279</v>
      </c>
      <c r="C5365" s="20" t="inlineStr">
        <is>
          <t>수</t>
        </is>
      </c>
      <c r="D5365" s="20" t="inlineStr">
        <is>
          <t>유튜브 광고</t>
        </is>
      </c>
      <c r="E5365" s="20" t="inlineStr">
        <is>
          <t>고체향수</t>
        </is>
      </c>
      <c r="K5365" s="20" t="n">
        <v>549440</v>
      </c>
    </row>
    <row r="5366" ht="16.5" customHeight="1" s="17">
      <c r="A5366" s="20" t="inlineStr">
        <is>
          <t>동영상캠페인_승무원_써니스카이</t>
        </is>
      </c>
      <c r="B5366" s="16" t="n">
        <v>44279</v>
      </c>
      <c r="C5366" s="20" t="inlineStr">
        <is>
          <t>수</t>
        </is>
      </c>
      <c r="D5366" s="20" t="inlineStr">
        <is>
          <t>유튜브 광고</t>
        </is>
      </c>
      <c r="E5366" s="20" t="inlineStr">
        <is>
          <t>고체향수</t>
        </is>
      </c>
      <c r="K5366" s="20" t="n">
        <v>306016</v>
      </c>
    </row>
    <row r="5367" ht="16.5" customHeight="1" s="17">
      <c r="A5367" s="20" t="inlineStr">
        <is>
          <t>동영상캠페인_필라테스_자기관리(타겟 cpa)</t>
        </is>
      </c>
      <c r="B5367" s="16" t="n">
        <v>44279</v>
      </c>
      <c r="C5367" s="20" t="inlineStr">
        <is>
          <t>수</t>
        </is>
      </c>
      <c r="D5367" s="20" t="inlineStr">
        <is>
          <t>유튜브 광고</t>
        </is>
      </c>
      <c r="E5367" s="20" t="inlineStr">
        <is>
          <t>고체향수</t>
        </is>
      </c>
      <c r="K5367" s="20" t="n">
        <v>254202</v>
      </c>
    </row>
    <row r="5368" ht="16.5" customHeight="1" s="17">
      <c r="A5368" s="20" t="inlineStr">
        <is>
          <t>동영상캠페인_승무원_비누향 나는 승무원에게(cpa)</t>
        </is>
      </c>
      <c r="B5368" s="16" t="n">
        <v>44279</v>
      </c>
      <c r="C5368" s="20" t="inlineStr">
        <is>
          <t>수</t>
        </is>
      </c>
      <c r="D5368" s="20" t="inlineStr">
        <is>
          <t>유튜브 광고</t>
        </is>
      </c>
      <c r="E5368" s="20" t="inlineStr">
        <is>
          <t>고체향수</t>
        </is>
      </c>
      <c r="K5368" s="20" t="n">
        <v>199033</v>
      </c>
    </row>
    <row r="5369" ht="16.5" customHeight="1" s="17">
      <c r="A5369" s="20" t="inlineStr">
        <is>
          <t>동영상캠페인_유즈모먼트_2차_30대 여성 회사원(cpa)</t>
        </is>
      </c>
      <c r="B5369" s="16" t="n">
        <v>44279</v>
      </c>
      <c r="C5369" s="20" t="inlineStr">
        <is>
          <t>수</t>
        </is>
      </c>
      <c r="D5369" s="20" t="inlineStr">
        <is>
          <t>유튜브 광고</t>
        </is>
      </c>
      <c r="E5369" s="20" t="inlineStr">
        <is>
          <t>고체향수</t>
        </is>
      </c>
      <c r="K5369" s="20" t="n">
        <v>127614</v>
      </c>
    </row>
    <row r="5370" ht="16.5" customHeight="1" s="17">
      <c r="A5370" s="20" t="inlineStr">
        <is>
          <t>동영상캠페인_유즈모먼트_조향사 친구(cpa)</t>
        </is>
      </c>
      <c r="B5370" s="16" t="n">
        <v>44279</v>
      </c>
      <c r="C5370" s="20" t="inlineStr">
        <is>
          <t>수</t>
        </is>
      </c>
      <c r="D5370" s="20" t="inlineStr">
        <is>
          <t>유튜브 광고</t>
        </is>
      </c>
      <c r="E5370" s="20" t="inlineStr">
        <is>
          <t>고체향수</t>
        </is>
      </c>
      <c r="K5370" s="20" t="n">
        <v>97098</v>
      </c>
    </row>
    <row r="5371" ht="16.5" customHeight="1" s="17">
      <c r="A5371" s="20" t="inlineStr">
        <is>
          <t>동영상 캠페인_유튜버 수지큐 2차활용</t>
        </is>
      </c>
      <c r="B5371" s="16" t="n">
        <v>44279</v>
      </c>
      <c r="C5371" s="20" t="inlineStr">
        <is>
          <t>수</t>
        </is>
      </c>
      <c r="D5371" s="20" t="inlineStr">
        <is>
          <t>유튜브 광고</t>
        </is>
      </c>
      <c r="E5371" s="20" t="inlineStr">
        <is>
          <t>고체향수</t>
        </is>
      </c>
      <c r="K5371" s="20" t="n">
        <v>100300</v>
      </c>
    </row>
    <row r="5372" ht="16.5" customHeight="1" s="17">
      <c r="A5372" s="20" t="inlineStr">
        <is>
          <t>메인키워드</t>
        </is>
      </c>
      <c r="B5372" s="16" t="n">
        <v>44279</v>
      </c>
      <c r="C5372" s="20" t="inlineStr">
        <is>
          <t>수</t>
        </is>
      </c>
      <c r="D5372" s="20" t="inlineStr">
        <is>
          <t>네이버 쇼핑검색</t>
        </is>
      </c>
      <c r="E5372" s="20" t="inlineStr">
        <is>
          <t>고체향수</t>
        </is>
      </c>
      <c r="K5372" s="20" t="n">
        <v>34640</v>
      </c>
    </row>
    <row r="5373" ht="16.5" customHeight="1" s="17">
      <c r="A5373" s="20" t="inlineStr">
        <is>
          <t>세부키워드2</t>
        </is>
      </c>
      <c r="B5373" s="16" t="n">
        <v>44279</v>
      </c>
      <c r="C5373" s="20" t="inlineStr">
        <is>
          <t>수</t>
        </is>
      </c>
      <c r="D5373" s="20" t="inlineStr">
        <is>
          <t>네이버 쇼핑검색</t>
        </is>
      </c>
      <c r="E5373" s="20" t="inlineStr">
        <is>
          <t>고체향수</t>
        </is>
      </c>
      <c r="K5373" s="20" t="n">
        <v>0</v>
      </c>
    </row>
    <row r="5374" ht="16.5" customHeight="1" s="17">
      <c r="A5374" s="20" t="inlineStr">
        <is>
          <t>세부키워드3</t>
        </is>
      </c>
      <c r="B5374" s="16" t="n">
        <v>44279</v>
      </c>
      <c r="C5374" s="20" t="inlineStr">
        <is>
          <t>수</t>
        </is>
      </c>
      <c r="D5374" s="20" t="inlineStr">
        <is>
          <t>네이버 쇼핑검색</t>
        </is>
      </c>
      <c r="E5374" s="20" t="inlineStr">
        <is>
          <t>고체향수</t>
        </is>
      </c>
      <c r="K5374" s="20" t="n">
        <v>100810</v>
      </c>
    </row>
    <row r="5375" ht="16.5" customHeight="1" s="17">
      <c r="A5375" s="20" t="inlineStr">
        <is>
          <t>모바일 브검</t>
        </is>
      </c>
      <c r="B5375" s="16" t="n">
        <v>44279</v>
      </c>
      <c r="C5375" s="20" t="inlineStr">
        <is>
          <t>수</t>
        </is>
      </c>
      <c r="D5375" s="20" t="inlineStr">
        <is>
          <t>네이버 브랜드검색</t>
        </is>
      </c>
      <c r="E5375" s="20" t="inlineStr">
        <is>
          <t>브랜드</t>
        </is>
      </c>
      <c r="K5375" s="20" t="n">
        <v>0</v>
      </c>
    </row>
    <row r="5376" ht="16.5" customHeight="1" s="17">
      <c r="A5376" s="20" t="inlineStr">
        <is>
          <t>PC 브랜드검색</t>
        </is>
      </c>
      <c r="B5376" s="16" t="n">
        <v>44279</v>
      </c>
      <c r="C5376" s="20" t="inlineStr">
        <is>
          <t>수</t>
        </is>
      </c>
      <c r="D5376" s="20" t="inlineStr">
        <is>
          <t>네이버 브랜드검색</t>
        </is>
      </c>
      <c r="E5376" s="20" t="inlineStr">
        <is>
          <t>브랜드</t>
        </is>
      </c>
      <c r="K5376" s="20" t="n">
        <v>0</v>
      </c>
    </row>
    <row r="5377" ht="16.5" customHeight="1" s="17">
      <c r="B5377" s="16" t="n">
        <v>44279</v>
      </c>
      <c r="C5377" s="20" t="inlineStr">
        <is>
          <t>수</t>
        </is>
      </c>
      <c r="E5377" s="20" t="inlineStr">
        <is>
          <t>고체향수</t>
        </is>
      </c>
      <c r="F5377" s="20" t="inlineStr">
        <is>
          <t>W컨셉</t>
        </is>
      </c>
      <c r="G5377" s="20" t="inlineStr">
        <is>
          <t>솔리드퍼퓸 이그나이트/스테이포에버 30ml (2종 택1)&lt;옵션1&gt;002 STAY FOREVER</t>
        </is>
      </c>
      <c r="H5377" s="20" t="n">
        <v>6</v>
      </c>
      <c r="I5377" s="20" t="inlineStr">
        <is>
          <t>스테이포에버</t>
        </is>
      </c>
      <c r="J5377" s="20" t="inlineStr">
        <is>
          <t>210207</t>
        </is>
      </c>
      <c r="L5377" s="20" t="n">
        <v>204000</v>
      </c>
      <c r="M5377" s="20" t="n">
        <v>142800</v>
      </c>
      <c r="N5377" s="20" t="n">
        <v>15552</v>
      </c>
      <c r="O5377" s="20" t="inlineStr">
        <is>
          <t>W컨셉고체향수솔리드퍼퓸 이그나이트/스테이포에버 30ml (2종 택1)&lt;옵션1&gt;002 STAY FOREVER210207</t>
        </is>
      </c>
    </row>
    <row r="5378" ht="16.5" customHeight="1" s="17">
      <c r="B5378" s="16" t="n">
        <v>44279</v>
      </c>
      <c r="C5378" s="20" t="inlineStr">
        <is>
          <t>수</t>
        </is>
      </c>
      <c r="E5378" s="20" t="inlineStr">
        <is>
          <t>고체향수</t>
        </is>
      </c>
      <c r="F5378" s="20" t="inlineStr">
        <is>
          <t>W컨셉</t>
        </is>
      </c>
      <c r="G5378" s="20" t="inlineStr">
        <is>
          <t>솔리드퍼퓸 이그나이트/스테이포에버 30ml (2종 택1)&lt;옵션1&gt;IGNITE + STAY FOREVER</t>
        </is>
      </c>
      <c r="H5378" s="20" t="n">
        <v>1</v>
      </c>
      <c r="I5378" s="20" t="inlineStr">
        <is>
          <t>이그나이트 + 스테이포에버</t>
        </is>
      </c>
      <c r="J5378" s="20" t="inlineStr">
        <is>
          <t>210207</t>
        </is>
      </c>
      <c r="L5378" s="20" t="n">
        <v>58800</v>
      </c>
      <c r="M5378" s="20" t="n">
        <v>47040</v>
      </c>
      <c r="N5378" s="20" t="n">
        <v>5345</v>
      </c>
      <c r="O5378" s="20" t="inlineStr">
        <is>
          <t>W컨셉고체향수솔리드퍼퓸 이그나이트/스테이포에버 30ml (2종 택1)&lt;옵션1&gt;IGNITE + STAY FOREVER210207</t>
        </is>
      </c>
    </row>
    <row r="5379" ht="16.5" customHeight="1" s="17">
      <c r="B5379" s="16" t="n">
        <v>44279</v>
      </c>
      <c r="C5379" s="20" t="inlineStr">
        <is>
          <t>수</t>
        </is>
      </c>
      <c r="E5379" s="20" t="inlineStr">
        <is>
          <t>고체향수</t>
        </is>
      </c>
      <c r="F5379" s="20" t="inlineStr">
        <is>
          <t>스마트스토어</t>
        </is>
      </c>
      <c r="G5379" s="20" t="inlineStr">
        <is>
          <t>유즈 고체향수 세트(유즈 스테이포에버, 유즈 이그나이트)고체향수: 스테이포에버 2개</t>
        </is>
      </c>
      <c r="H5379" s="20" t="n">
        <v>1</v>
      </c>
      <c r="I5379" s="20" t="inlineStr">
        <is>
          <t>스테이포에버 2set</t>
        </is>
      </c>
      <c r="J5379" s="20" t="inlineStr">
        <is>
          <t>210207</t>
        </is>
      </c>
      <c r="L5379" s="20" t="n">
        <v>58800</v>
      </c>
      <c r="M5379" s="20" t="n">
        <v>57624</v>
      </c>
      <c r="N5379" s="20" t="n">
        <v>5184</v>
      </c>
      <c r="O5379" s="20" t="inlineStr">
        <is>
          <t>스마트스토어고체향수유즈 고체향수 세트(유즈 스테이포에버, 유즈 이그나이트)고체향수: 스테이포에버 2개210207</t>
        </is>
      </c>
    </row>
    <row r="5380" ht="16.5" customHeight="1" s="17">
      <c r="B5380" s="16" t="n">
        <v>44279</v>
      </c>
      <c r="C5380" s="20" t="inlineStr">
        <is>
          <t>수</t>
        </is>
      </c>
      <c r="E5380" s="20" t="inlineStr">
        <is>
          <t>고체향수</t>
        </is>
      </c>
      <c r="F5380" s="20" t="inlineStr">
        <is>
          <t>스마트스토어</t>
        </is>
      </c>
      <c r="G5380" s="20" t="inlineStr">
        <is>
          <t>유즈 고체향수 스테이포에버 002고체향수: 스테이포에버 1개</t>
        </is>
      </c>
      <c r="H5380" s="20" t="n">
        <v>14</v>
      </c>
      <c r="I5380" s="20" t="inlineStr">
        <is>
          <t>스테이포에버</t>
        </is>
      </c>
      <c r="J5380" s="20" t="inlineStr">
        <is>
          <t>210207</t>
        </is>
      </c>
      <c r="L5380" s="20" t="n">
        <v>476000</v>
      </c>
      <c r="M5380" s="20" t="n">
        <v>466480</v>
      </c>
      <c r="N5380" s="20" t="n">
        <v>36288</v>
      </c>
      <c r="O5380" s="20" t="inlineStr">
        <is>
          <t>스마트스토어고체향수유즈 고체향수 스테이포에버 002고체향수: 스테이포에버 1개210207</t>
        </is>
      </c>
    </row>
    <row r="5381" ht="16.5" customHeight="1" s="17">
      <c r="B5381" s="16" t="n">
        <v>44279</v>
      </c>
      <c r="C5381" s="20" t="inlineStr">
        <is>
          <t>수</t>
        </is>
      </c>
      <c r="E5381" s="20" t="inlineStr">
        <is>
          <t>고체향수</t>
        </is>
      </c>
      <c r="F5381" s="20" t="inlineStr">
        <is>
          <t>스마트스토어</t>
        </is>
      </c>
      <c r="G5381" s="20" t="inlineStr">
        <is>
          <t>유즈 고체향수 이그나이트 001고체향수: 이그나이트 1개</t>
        </is>
      </c>
      <c r="H5381" s="20" t="n">
        <v>1</v>
      </c>
      <c r="I5381" s="20" t="inlineStr">
        <is>
          <t>이그나이트</t>
        </is>
      </c>
      <c r="J5381" s="20" t="inlineStr">
        <is>
          <t>210207</t>
        </is>
      </c>
      <c r="L5381" s="20" t="n">
        <v>34000</v>
      </c>
      <c r="M5381" s="20" t="n">
        <v>33320</v>
      </c>
      <c r="N5381" s="20" t="n">
        <v>2753</v>
      </c>
      <c r="O5381" s="20" t="inlineStr">
        <is>
          <t>스마트스토어고체향수유즈 고체향수 이그나이트 001고체향수: 이그나이트 1개210207</t>
        </is>
      </c>
    </row>
    <row r="5382" ht="16.5" customHeight="1" s="17">
      <c r="B5382" s="16" t="n">
        <v>44279</v>
      </c>
      <c r="C5382" s="20" t="inlineStr">
        <is>
          <t>수</t>
        </is>
      </c>
      <c r="E5382" s="20" t="inlineStr">
        <is>
          <t>쇼핑백</t>
        </is>
      </c>
      <c r="F5382" s="20" t="inlineStr">
        <is>
          <t>카페24</t>
        </is>
      </c>
      <c r="G5382" s="20" t="inlineStr">
        <is>
          <t>선물용 쇼핑백</t>
        </is>
      </c>
      <c r="H5382" s="20" t="n">
        <v>1</v>
      </c>
      <c r="I5382" s="20" t="inlineStr">
        <is>
          <t>쇼핑백</t>
        </is>
      </c>
      <c r="J5382" s="20" t="inlineStr">
        <is>
          <t>210207</t>
        </is>
      </c>
      <c r="L5382" s="20" t="n">
        <v>2000</v>
      </c>
      <c r="M5382" s="20" t="n">
        <v>1883</v>
      </c>
      <c r="N5382" s="20" t="n">
        <v>830</v>
      </c>
      <c r="O5382" s="20" t="inlineStr">
        <is>
          <t>카페24쇼핑백선물용 쇼핑백210207</t>
        </is>
      </c>
    </row>
    <row r="5383" ht="16.5" customHeight="1" s="17">
      <c r="B5383" s="16" t="n">
        <v>44279</v>
      </c>
      <c r="C5383" s="20" t="inlineStr">
        <is>
          <t>수</t>
        </is>
      </c>
      <c r="E5383" s="20" t="inlineStr">
        <is>
          <t>고체향수</t>
        </is>
      </c>
      <c r="F5383" s="20" t="inlineStr">
        <is>
          <t>카페24</t>
        </is>
      </c>
      <c r="G5383" s="20" t="inlineStr">
        <is>
          <t>솔리드퍼퓸 세트향=스테이포에버 002 SOLID PERFUME, 세트 선택=1개</t>
        </is>
      </c>
      <c r="H5383" s="20" t="n">
        <v>3</v>
      </c>
      <c r="I5383" s="20" t="inlineStr">
        <is>
          <t>스테이포에버</t>
        </is>
      </c>
      <c r="J5383" s="20" t="inlineStr">
        <is>
          <t>210207</t>
        </is>
      </c>
      <c r="L5383" s="20" t="n">
        <v>102000</v>
      </c>
      <c r="M5383" s="20" t="n">
        <v>96033</v>
      </c>
      <c r="N5383" s="20" t="n">
        <v>7776</v>
      </c>
      <c r="O5383" s="20" t="inlineStr">
        <is>
          <t>카페24고체향수솔리드퍼퓸 세트향=스테이포에버 002 SOLID PERFUME, 세트 선택=1개210207</t>
        </is>
      </c>
    </row>
    <row r="5384" ht="16.5" customHeight="1" s="17">
      <c r="B5384" s="16" t="n">
        <v>44279</v>
      </c>
      <c r="C5384" s="20" t="inlineStr">
        <is>
          <t>수</t>
        </is>
      </c>
      <c r="E5384" s="20" t="inlineStr">
        <is>
          <t>고체향수</t>
        </is>
      </c>
      <c r="F5384" s="20" t="inlineStr">
        <is>
          <t>카페24</t>
        </is>
      </c>
      <c r="G5384" s="20" t="inlineStr">
        <is>
          <t>솔리드퍼퓸 세트향=스테이포에버 002 SOLID PERFUME, 세트 선택=best 2개 (28% 할인)</t>
        </is>
      </c>
      <c r="H5384" s="20" t="n">
        <v>13</v>
      </c>
      <c r="I5384" s="20" t="inlineStr">
        <is>
          <t>스테이포에버 2set</t>
        </is>
      </c>
      <c r="J5384" s="20" t="inlineStr">
        <is>
          <t>210207</t>
        </is>
      </c>
      <c r="L5384" s="20" t="n">
        <v>764400</v>
      </c>
      <c r="M5384" s="20" t="n">
        <v>719682.6</v>
      </c>
      <c r="N5384" s="20" t="n">
        <v>67392</v>
      </c>
      <c r="O5384" s="20" t="inlineStr">
        <is>
          <t>카페24고체향수솔리드퍼퓸 세트향=스테이포에버 002 SOLID PERFUME, 세트 선택=best 2개 (28% 할인)210207</t>
        </is>
      </c>
    </row>
    <row r="5385" ht="16.5" customHeight="1" s="17">
      <c r="B5385" s="16" t="n">
        <v>44279</v>
      </c>
      <c r="C5385" s="20" t="inlineStr">
        <is>
          <t>수</t>
        </is>
      </c>
      <c r="E5385" s="20" t="inlineStr">
        <is>
          <t>고체향수</t>
        </is>
      </c>
      <c r="F5385" s="20" t="inlineStr">
        <is>
          <t>카페24</t>
        </is>
      </c>
      <c r="G5385" s="20" t="inlineStr">
        <is>
          <t>솔리드퍼퓸 세트향=커플세트(이그나이트 + 스테이포에버), 세트 선택=1 SET</t>
        </is>
      </c>
      <c r="H5385" s="20" t="n">
        <v>7</v>
      </c>
      <c r="I5385" s="20" t="inlineStr">
        <is>
          <t>이그나이트 + 스테이포에버</t>
        </is>
      </c>
      <c r="J5385" s="20" t="inlineStr">
        <is>
          <t>210207</t>
        </is>
      </c>
      <c r="L5385" s="20" t="n">
        <v>411600</v>
      </c>
      <c r="M5385" s="20" t="n">
        <v>387521.4</v>
      </c>
      <c r="N5385" s="20" t="n">
        <v>37415</v>
      </c>
      <c r="O5385" s="20" t="inlineStr">
        <is>
          <t>카페24고체향수솔리드퍼퓸 세트향=커플세트(이그나이트 + 스테이포에버), 세트 선택=1 SET210207</t>
        </is>
      </c>
    </row>
    <row r="5386" ht="16.5" customHeight="1" s="17">
      <c r="B5386" s="16" t="n">
        <v>44279</v>
      </c>
      <c r="C5386" s="20" t="inlineStr">
        <is>
          <t>수</t>
        </is>
      </c>
      <c r="E5386" s="20" t="inlineStr">
        <is>
          <t>고체향수</t>
        </is>
      </c>
      <c r="F5386" s="20" t="inlineStr">
        <is>
          <t>카페24</t>
        </is>
      </c>
      <c r="G5386" s="20" t="inlineStr">
        <is>
          <t>솔리드퍼퓸 세트향=커플세트(이그나이트 + 스테이포에버), 세트 선택=2 SET (42% 할인)</t>
        </is>
      </c>
      <c r="H5386" s="20" t="n">
        <v>4</v>
      </c>
      <c r="I5386" s="20" t="inlineStr">
        <is>
          <t>이그나이트 + 스테이포에버</t>
        </is>
      </c>
      <c r="J5386" s="20" t="inlineStr">
        <is>
          <t>210207</t>
        </is>
      </c>
      <c r="L5386" s="20" t="n">
        <v>235200</v>
      </c>
      <c r="M5386" s="20" t="n">
        <v>221440.8</v>
      </c>
      <c r="N5386" s="20" t="n">
        <v>21380</v>
      </c>
      <c r="O5386" s="20" t="inlineStr">
        <is>
          <t>카페24고체향수솔리드퍼퓸 세트향=커플세트(이그나이트 + 스테이포에버), 세트 선택=2 SET (42% 할인)210207</t>
        </is>
      </c>
    </row>
    <row r="5387" ht="16.5" customHeight="1" s="17">
      <c r="B5387" s="16" t="n">
        <v>44279</v>
      </c>
      <c r="C5387" s="20" t="inlineStr">
        <is>
          <t>수</t>
        </is>
      </c>
      <c r="E5387" s="20" t="inlineStr">
        <is>
          <t>고체향수</t>
        </is>
      </c>
      <c r="F5387" s="20" t="inlineStr">
        <is>
          <t>카페24</t>
        </is>
      </c>
      <c r="G5387" s="20" t="inlineStr">
        <is>
          <t>솔리드퍼퓸 스테이포에버 002제품선택=스테이포에버 1개</t>
        </is>
      </c>
      <c r="H5387" s="20" t="n">
        <v>148</v>
      </c>
      <c r="I5387" s="20" t="inlineStr">
        <is>
          <t>스테이포에버</t>
        </is>
      </c>
      <c r="J5387" s="20" t="inlineStr">
        <is>
          <t>210207</t>
        </is>
      </c>
      <c r="L5387" s="20" t="n">
        <v>5032000</v>
      </c>
      <c r="M5387" s="20" t="n">
        <v>4737628</v>
      </c>
      <c r="N5387" s="20" t="n">
        <v>383616</v>
      </c>
      <c r="O5387" s="20" t="inlineStr">
        <is>
          <t>카페24고체향수솔리드퍼퓸 스테이포에버 002제품선택=스테이포에버 1개210207</t>
        </is>
      </c>
    </row>
    <row r="5388" ht="16.5" customHeight="1" s="17">
      <c r="B5388" s="16" t="n">
        <v>44279</v>
      </c>
      <c r="C5388" s="20" t="inlineStr">
        <is>
          <t>수</t>
        </is>
      </c>
      <c r="E5388" s="20" t="inlineStr">
        <is>
          <t>고체향수</t>
        </is>
      </c>
      <c r="F5388" s="20" t="inlineStr">
        <is>
          <t>카페24</t>
        </is>
      </c>
      <c r="G5388" s="20" t="inlineStr">
        <is>
          <t>솔리드퍼퓸 스테이포에버 002제품선택=best스테이포에버 2개[28% 할인]</t>
        </is>
      </c>
      <c r="H5388" s="20" t="n">
        <v>78</v>
      </c>
      <c r="I5388" s="20" t="inlineStr">
        <is>
          <t>스테이포에버 2set</t>
        </is>
      </c>
      <c r="J5388" s="20" t="inlineStr">
        <is>
          <t>210207</t>
        </is>
      </c>
      <c r="L5388" s="20" t="n">
        <v>4586400</v>
      </c>
      <c r="M5388" s="20" t="n">
        <v>4318095.6</v>
      </c>
      <c r="N5388" s="20" t="n">
        <v>404352</v>
      </c>
      <c r="O5388" s="20" t="inlineStr">
        <is>
          <t>카페24고체향수솔리드퍼퓸 스테이포에버 002제품선택=best스테이포에버 2개[28% 할인]210207</t>
        </is>
      </c>
    </row>
    <row r="5389" ht="16.5" customHeight="1" s="17">
      <c r="B5389" s="16" t="n">
        <v>44279</v>
      </c>
      <c r="C5389" s="20" t="inlineStr">
        <is>
          <t>수</t>
        </is>
      </c>
      <c r="E5389" s="20" t="inlineStr">
        <is>
          <t>고체향수</t>
        </is>
      </c>
      <c r="F5389" s="20" t="inlineStr">
        <is>
          <t>카페24</t>
        </is>
      </c>
      <c r="G5389" s="20" t="inlineStr">
        <is>
          <t>솔리드퍼퓸 스테이포에버 002제품선택=커플추천스테이포에버 + 이그나이트 세트</t>
        </is>
      </c>
      <c r="H5389" s="20" t="n">
        <v>12</v>
      </c>
      <c r="I5389" s="20" t="inlineStr">
        <is>
          <t>이그나이트 + 스테이포에버</t>
        </is>
      </c>
      <c r="J5389" s="20" t="inlineStr">
        <is>
          <t>210207</t>
        </is>
      </c>
      <c r="L5389" s="20" t="n">
        <v>705600</v>
      </c>
      <c r="M5389" s="20" t="n">
        <v>664322.3999999999</v>
      </c>
      <c r="N5389" s="20" t="n">
        <v>64140</v>
      </c>
      <c r="O5389" s="20" t="inlineStr">
        <is>
          <t>카페24고체향수솔리드퍼퓸 스테이포에버 002제품선택=커플추천스테이포에버 + 이그나이트 세트210207</t>
        </is>
      </c>
    </row>
    <row r="5390" ht="16.5" customHeight="1" s="17">
      <c r="B5390" s="16" t="n">
        <v>44279</v>
      </c>
      <c r="C5390" s="20" t="inlineStr">
        <is>
          <t>수</t>
        </is>
      </c>
      <c r="E5390" s="20" t="inlineStr">
        <is>
          <t>쇼핑백</t>
        </is>
      </c>
      <c r="F5390" s="20" t="inlineStr">
        <is>
          <t>카페24</t>
        </is>
      </c>
      <c r="G5390" s="20" t="inlineStr">
        <is>
          <t>솔리드퍼퓸 스테이포에버 002쇼핑백=선물용 쇼핑백</t>
        </is>
      </c>
      <c r="H5390" s="20" t="n">
        <v>8</v>
      </c>
      <c r="I5390" s="20" t="inlineStr">
        <is>
          <t>쇼핑백</t>
        </is>
      </c>
      <c r="J5390" s="20" t="inlineStr">
        <is>
          <t>210207</t>
        </is>
      </c>
      <c r="L5390" s="20" t="n">
        <v>16000</v>
      </c>
      <c r="M5390" s="20" t="n">
        <v>15064</v>
      </c>
      <c r="N5390" s="20" t="n">
        <v>6640</v>
      </c>
      <c r="O5390" s="20" t="inlineStr">
        <is>
          <t>카페24쇼핑백솔리드퍼퓸 스테이포에버 002쇼핑백=선물용 쇼핑백210207</t>
        </is>
      </c>
    </row>
    <row r="5391" ht="16.5" customHeight="1" s="17">
      <c r="B5391" s="16" t="n">
        <v>44279</v>
      </c>
      <c r="C5391" s="20" t="inlineStr">
        <is>
          <t>수</t>
        </is>
      </c>
      <c r="E5391" s="20" t="inlineStr">
        <is>
          <t>고체향수</t>
        </is>
      </c>
      <c r="F5391" s="20" t="inlineStr">
        <is>
          <t>카페24</t>
        </is>
      </c>
      <c r="G5391" s="20" t="inlineStr">
        <is>
          <t>솔리드퍼퓸 이그나이트 001제품선택=이그나이트 솔리드퍼퓸 - 30ml</t>
        </is>
      </c>
      <c r="H5391" s="20" t="n">
        <v>2</v>
      </c>
      <c r="I5391" s="20" t="inlineStr">
        <is>
          <t>이그나이트</t>
        </is>
      </c>
      <c r="J5391" s="20" t="inlineStr">
        <is>
          <t>210207</t>
        </is>
      </c>
      <c r="L5391" s="20" t="n">
        <v>68000</v>
      </c>
      <c r="M5391" s="20" t="n">
        <v>64022</v>
      </c>
      <c r="N5391" s="20" t="n">
        <v>5506</v>
      </c>
      <c r="O5391" s="20" t="inlineStr">
        <is>
          <t>카페24고체향수솔리드퍼퓸 이그나이트 001제품선택=이그나이트 솔리드퍼퓸 - 30ml210207</t>
        </is>
      </c>
    </row>
    <row r="5392" ht="16.5" customHeight="1" s="17">
      <c r="B5392" s="16" t="n">
        <v>44279</v>
      </c>
      <c r="C5392" s="20" t="inlineStr">
        <is>
          <t>수</t>
        </is>
      </c>
      <c r="E5392" s="20" t="inlineStr">
        <is>
          <t>고체향수</t>
        </is>
      </c>
      <c r="F5392" s="20" t="inlineStr">
        <is>
          <t>카페24</t>
        </is>
      </c>
      <c r="G5392" s="20" t="inlineStr">
        <is>
          <t>솔리드퍼퓸 이그나이트 001제품선택=이그나이트 2개 세트</t>
        </is>
      </c>
      <c r="H5392" s="20" t="n">
        <v>1</v>
      </c>
      <c r="I5392" s="20" t="inlineStr">
        <is>
          <t>이그나이트 2set</t>
        </is>
      </c>
      <c r="J5392" s="20" t="inlineStr">
        <is>
          <t>210207</t>
        </is>
      </c>
      <c r="L5392" s="20" t="n">
        <v>58800</v>
      </c>
      <c r="M5392" s="20" t="n">
        <v>55360.2</v>
      </c>
      <c r="N5392" s="20" t="n">
        <v>5506</v>
      </c>
      <c r="O5392" s="20" t="inlineStr">
        <is>
          <t>카페24고체향수솔리드퍼퓸 이그나이트 001제품선택=이그나이트 2개 세트210207</t>
        </is>
      </c>
    </row>
    <row r="5393" ht="16.5" customHeight="1" s="17">
      <c r="A5393" s="20" t="inlineStr">
        <is>
          <t>고체향수_전환추적</t>
        </is>
      </c>
      <c r="B5393" s="16" t="n">
        <v>44279</v>
      </c>
      <c r="C5393" s="20" t="inlineStr">
        <is>
          <t>수</t>
        </is>
      </c>
      <c r="D5393" s="20" t="inlineStr">
        <is>
          <t>네이버 배너</t>
        </is>
      </c>
      <c r="E5393" s="20" t="inlineStr">
        <is>
          <t>고체향수</t>
        </is>
      </c>
      <c r="K5393" s="20" t="n">
        <v>184793.6363636364</v>
      </c>
    </row>
    <row r="5394" ht="16.5" customHeight="1" s="17">
      <c r="A5394" s="20" t="inlineStr">
        <is>
          <t>고체향수</t>
        </is>
      </c>
      <c r="B5394" s="16" t="n">
        <v>44279</v>
      </c>
      <c r="C5394" s="20" t="inlineStr">
        <is>
          <t>수</t>
        </is>
      </c>
      <c r="D5394" s="20" t="inlineStr">
        <is>
          <t>네이버 배너</t>
        </is>
      </c>
      <c r="E5394" s="20" t="inlineStr">
        <is>
          <t>고체향수</t>
        </is>
      </c>
      <c r="K5394" s="20" t="n">
        <v>615863.6363636364</v>
      </c>
    </row>
    <row r="5395" ht="16.5" customHeight="1" s="17">
      <c r="A5395" s="20" t="inlineStr">
        <is>
          <t>고체향수_승무원 어피_Npay 추적</t>
        </is>
      </c>
      <c r="B5395" s="16" t="n">
        <v>44279</v>
      </c>
      <c r="C5395" s="20" t="inlineStr">
        <is>
          <t>수</t>
        </is>
      </c>
      <c r="D5395" s="20" t="inlineStr">
        <is>
          <t>카카오 배너</t>
        </is>
      </c>
      <c r="E5395" s="20" t="inlineStr">
        <is>
          <t>고체향수</t>
        </is>
      </c>
      <c r="K5395" s="20" t="n">
        <v>182150</v>
      </c>
    </row>
    <row r="5396" ht="16.5" customHeight="1" s="17">
      <c r="A5396" s="20" t="inlineStr">
        <is>
          <t>고체향수_Npay 추적</t>
        </is>
      </c>
      <c r="B5396" s="16" t="n">
        <v>44279</v>
      </c>
      <c r="C5396" s="20" t="inlineStr">
        <is>
          <t>수</t>
        </is>
      </c>
      <c r="D5396" s="20" t="inlineStr">
        <is>
          <t>카카오 배너</t>
        </is>
      </c>
      <c r="E5396" s="20" t="inlineStr">
        <is>
          <t>고체향수</t>
        </is>
      </c>
      <c r="K5396" s="20" t="n">
        <v>1018010</v>
      </c>
    </row>
    <row r="5397" ht="16.5" customHeight="1" s="17">
      <c r="A5397" s="20" t="inlineStr">
        <is>
          <t>고체향수_승무원 어피_Npay 추적</t>
        </is>
      </c>
      <c r="B5397" s="16" t="n">
        <v>44279</v>
      </c>
      <c r="C5397" s="20" t="inlineStr">
        <is>
          <t>수</t>
        </is>
      </c>
      <c r="D5397" s="20" t="inlineStr">
        <is>
          <t>카카오 배너</t>
        </is>
      </c>
      <c r="E5397" s="20" t="inlineStr">
        <is>
          <t>고체향수</t>
        </is>
      </c>
      <c r="K5397" s="20" t="n">
        <v>182150</v>
      </c>
    </row>
    <row r="5398" ht="16.5" customHeight="1" s="17">
      <c r="A5398" s="20" t="inlineStr">
        <is>
          <t>고체향수_Npay 추적</t>
        </is>
      </c>
      <c r="B5398" s="16" t="n">
        <v>44279</v>
      </c>
      <c r="C5398" s="20" t="inlineStr">
        <is>
          <t>수</t>
        </is>
      </c>
      <c r="D5398" s="20" t="inlineStr">
        <is>
          <t>카카오 배너</t>
        </is>
      </c>
      <c r="E5398" s="20" t="inlineStr">
        <is>
          <t>고체향수</t>
        </is>
      </c>
      <c r="K5398" s="20" t="n">
        <v>1018010</v>
      </c>
    </row>
    <row r="5399" ht="16.5" customHeight="1" s="17">
      <c r="A5399" s="20" t="inlineStr">
        <is>
          <t>[유튜버 수지큐]스테이포에버_카드뉴스</t>
        </is>
      </c>
      <c r="B5399" s="16" t="n">
        <v>44280</v>
      </c>
      <c r="C5399" s="20" t="inlineStr">
        <is>
          <t>목</t>
        </is>
      </c>
      <c r="D5399" s="20" t="inlineStr">
        <is>
          <t>페이스북/인스타그램</t>
        </is>
      </c>
      <c r="E5399" s="20" t="inlineStr">
        <is>
          <t>고체향수</t>
        </is>
      </c>
      <c r="K5399" s="20" t="n">
        <v>29651</v>
      </c>
    </row>
    <row r="5400" ht="16.5" customHeight="1" s="17">
      <c r="A5400" s="20" t="inlineStr">
        <is>
          <t>[유튜버 수지큐]스테이포에버_영상</t>
        </is>
      </c>
      <c r="B5400" s="16" t="n">
        <v>44280</v>
      </c>
      <c r="C5400" s="20" t="inlineStr">
        <is>
          <t>목</t>
        </is>
      </c>
      <c r="D5400" s="20" t="inlineStr">
        <is>
          <t>페이스북/인스타그램</t>
        </is>
      </c>
      <c r="E5400" s="20" t="inlineStr">
        <is>
          <t>고체향수</t>
        </is>
      </c>
      <c r="K5400" s="20" t="n">
        <v>57355</v>
      </c>
    </row>
    <row r="5401" ht="16.5" customHeight="1" s="17">
      <c r="A5401" s="20" t="inlineStr">
        <is>
          <t>[승무원]수지큐2차활용_스테이포에버_이미지</t>
        </is>
      </c>
      <c r="B5401" s="16" t="n">
        <v>44280</v>
      </c>
      <c r="C5401" s="20" t="inlineStr">
        <is>
          <t>목</t>
        </is>
      </c>
      <c r="D5401" s="20" t="inlineStr">
        <is>
          <t>페이스북/인스타그램</t>
        </is>
      </c>
      <c r="E5401" s="20" t="inlineStr">
        <is>
          <t>고체향수</t>
        </is>
      </c>
      <c r="K5401" s="20" t="n">
        <v>29211</v>
      </c>
    </row>
    <row r="5402" ht="16.5" customHeight="1" s="17">
      <c r="A5402" s="20" t="inlineStr">
        <is>
          <t>[다현 TEST] 스테이포에버_유즈모먼트</t>
        </is>
      </c>
      <c r="B5402" s="16" t="n">
        <v>44280</v>
      </c>
      <c r="C5402" s="20" t="inlineStr">
        <is>
          <t>목</t>
        </is>
      </c>
      <c r="D5402" s="20" t="inlineStr">
        <is>
          <t>페이스북/인스타그램</t>
        </is>
      </c>
      <c r="E5402" s="20" t="inlineStr">
        <is>
          <t>고체향수</t>
        </is>
      </c>
      <c r="K5402" s="20" t="n">
        <v>59514</v>
      </c>
    </row>
    <row r="5403" ht="16.5" customHeight="1" s="17">
      <c r="A5403" s="20" t="inlineStr">
        <is>
          <t>[성민 TEST] 스테이포에버_이미지</t>
        </is>
      </c>
      <c r="B5403" s="16" t="n">
        <v>44280</v>
      </c>
      <c r="C5403" s="20" t="inlineStr">
        <is>
          <t>목</t>
        </is>
      </c>
      <c r="D5403" s="20" t="inlineStr">
        <is>
          <t>페이스북/인스타그램</t>
        </is>
      </c>
      <c r="E5403" s="20" t="inlineStr">
        <is>
          <t>고체향수</t>
        </is>
      </c>
      <c r="K5403" s="20" t="n">
        <v>106304</v>
      </c>
    </row>
    <row r="5404" ht="16.5" customHeight="1" s="17">
      <c r="A5404" s="20" t="inlineStr">
        <is>
          <t>[승은 TEST] 스테이포에버_카드뉴스</t>
        </is>
      </c>
      <c r="B5404" s="16" t="n">
        <v>44280</v>
      </c>
      <c r="C5404" s="20" t="inlineStr">
        <is>
          <t>목</t>
        </is>
      </c>
      <c r="D5404" s="20" t="inlineStr">
        <is>
          <t>페이스북/인스타그램</t>
        </is>
      </c>
      <c r="E5404" s="20" t="inlineStr">
        <is>
          <t>고체향수</t>
        </is>
      </c>
      <c r="K5404" s="20" t="n">
        <v>59305</v>
      </c>
    </row>
    <row r="5405" ht="16.5" customHeight="1" s="17">
      <c r="A5405" s="20" t="inlineStr">
        <is>
          <t>[승무원 2] 스테이포에버_카드뉴스</t>
        </is>
      </c>
      <c r="B5405" s="16" t="n">
        <v>44280</v>
      </c>
      <c r="C5405" s="20" t="inlineStr">
        <is>
          <t>목</t>
        </is>
      </c>
      <c r="D5405" s="20" t="inlineStr">
        <is>
          <t>페이스북/인스타그램</t>
        </is>
      </c>
      <c r="E5405" s="20" t="inlineStr">
        <is>
          <t>고체향수</t>
        </is>
      </c>
      <c r="K5405" s="20" t="n">
        <v>99984</v>
      </c>
    </row>
    <row r="5406" ht="16.5" customHeight="1" s="17">
      <c r="A5406" s="20" t="inlineStr">
        <is>
          <t>[테스트]아줌마</t>
        </is>
      </c>
      <c r="B5406" s="16" t="n">
        <v>44280</v>
      </c>
      <c r="C5406" s="20" t="inlineStr">
        <is>
          <t>목</t>
        </is>
      </c>
      <c r="D5406" s="20" t="inlineStr">
        <is>
          <t>페이스북/인스타그램</t>
        </is>
      </c>
      <c r="E5406" s="20" t="inlineStr">
        <is>
          <t>고체향수</t>
        </is>
      </c>
      <c r="K5406" s="20" t="n">
        <v>104173</v>
      </c>
    </row>
    <row r="5407" ht="16.5" customHeight="1" s="17">
      <c r="A5407" s="20" t="inlineStr">
        <is>
          <t>[키워드 확장 테스트]스테이포에버_이미지</t>
        </is>
      </c>
      <c r="B5407" s="16" t="n">
        <v>44280</v>
      </c>
      <c r="C5407" s="20" t="inlineStr">
        <is>
          <t>목</t>
        </is>
      </c>
      <c r="D5407" s="20" t="inlineStr">
        <is>
          <t>페이스북/인스타그램</t>
        </is>
      </c>
      <c r="E5407" s="20" t="inlineStr">
        <is>
          <t>고체향수</t>
        </is>
      </c>
      <c r="K5407" s="20" t="n">
        <v>171521</v>
      </c>
    </row>
    <row r="5408" ht="16.5" customHeight="1" s="17">
      <c r="A5408" s="20" t="inlineStr">
        <is>
          <t>[재입고]스테이포에버_이미지</t>
        </is>
      </c>
      <c r="B5408" s="16" t="n">
        <v>44280</v>
      </c>
      <c r="C5408" s="20" t="inlineStr">
        <is>
          <t>목</t>
        </is>
      </c>
      <c r="D5408" s="20" t="inlineStr">
        <is>
          <t>페이스북/인스타그램</t>
        </is>
      </c>
      <c r="E5408" s="20" t="inlineStr">
        <is>
          <t>고체향수</t>
        </is>
      </c>
      <c r="K5408" s="20" t="n">
        <v>49507</v>
      </c>
    </row>
    <row r="5409" ht="16.5" customHeight="1" s="17">
      <c r="A5409" s="20" t="inlineStr">
        <is>
          <t>[승무원]숏폼_영상</t>
        </is>
      </c>
      <c r="B5409" s="16" t="n">
        <v>44280</v>
      </c>
      <c r="C5409" s="20" t="inlineStr">
        <is>
          <t>목</t>
        </is>
      </c>
      <c r="D5409" s="20" t="inlineStr">
        <is>
          <t>페이스북/인스타그램</t>
        </is>
      </c>
      <c r="E5409" s="20" t="inlineStr">
        <is>
          <t>고체향수</t>
        </is>
      </c>
      <c r="K5409" s="20" t="n">
        <v>48108</v>
      </c>
    </row>
    <row r="5410" ht="16.5" customHeight="1" s="17">
      <c r="A5410" s="20" t="inlineStr">
        <is>
          <t>[재입고]스테이포에버_영상</t>
        </is>
      </c>
      <c r="B5410" s="16" t="n">
        <v>44280</v>
      </c>
      <c r="C5410" s="20" t="inlineStr">
        <is>
          <t>목</t>
        </is>
      </c>
      <c r="D5410" s="20" t="inlineStr">
        <is>
          <t>페이스북/인스타그램</t>
        </is>
      </c>
      <c r="E5410" s="20" t="inlineStr">
        <is>
          <t>고체향수</t>
        </is>
      </c>
      <c r="K5410" s="20" t="n">
        <v>48832</v>
      </c>
    </row>
    <row r="5411" ht="16.5" customHeight="1" s="17">
      <c r="A5411" s="20" t="inlineStr">
        <is>
          <t>[젊줌마]스테이포에버_영상</t>
        </is>
      </c>
      <c r="B5411" s="16" t="n">
        <v>44280</v>
      </c>
      <c r="C5411" s="20" t="inlineStr">
        <is>
          <t>목</t>
        </is>
      </c>
      <c r="D5411" s="20" t="inlineStr">
        <is>
          <t>페이스북/인스타그램</t>
        </is>
      </c>
      <c r="E5411" s="20" t="inlineStr">
        <is>
          <t>고체향수</t>
        </is>
      </c>
      <c r="K5411" s="20" t="n">
        <v>99110</v>
      </c>
    </row>
    <row r="5412" ht="16.5" customHeight="1" s="17">
      <c r="A5412" s="20" t="inlineStr">
        <is>
          <t>[승무원]2019년썰 카드뉴스+ 향묘사_영상</t>
        </is>
      </c>
      <c r="B5412" s="16" t="n">
        <v>44280</v>
      </c>
      <c r="C5412" s="20" t="inlineStr">
        <is>
          <t>목</t>
        </is>
      </c>
      <c r="D5412" s="20" t="inlineStr">
        <is>
          <t>페이스북/인스타그램</t>
        </is>
      </c>
      <c r="E5412" s="20" t="inlineStr">
        <is>
          <t>고체향수</t>
        </is>
      </c>
      <c r="K5412" s="20" t="n">
        <v>48976</v>
      </c>
    </row>
    <row r="5413" ht="16.5" customHeight="1" s="17">
      <c r="A5413" s="20" t="inlineStr">
        <is>
          <t>[승무원어피]스테이포에버_이미지</t>
        </is>
      </c>
      <c r="B5413" s="16" t="n">
        <v>44280</v>
      </c>
      <c r="C5413" s="20" t="inlineStr">
        <is>
          <t>목</t>
        </is>
      </c>
      <c r="D5413" s="20" t="inlineStr">
        <is>
          <t>페이스북/인스타그램</t>
        </is>
      </c>
      <c r="E5413" s="20" t="inlineStr">
        <is>
          <t>고체향수</t>
        </is>
      </c>
      <c r="K5413" s="20" t="n">
        <v>96128</v>
      </c>
    </row>
    <row r="5414" ht="16.5" customHeight="1" s="17">
      <c r="A5414" s="20" t="inlineStr">
        <is>
          <t>[다현]스테이포에버_이미지</t>
        </is>
      </c>
      <c r="B5414" s="16" t="n">
        <v>44280</v>
      </c>
      <c r="C5414" s="20" t="inlineStr">
        <is>
          <t>목</t>
        </is>
      </c>
      <c r="D5414" s="20" t="inlineStr">
        <is>
          <t>페이스북/인스타그램</t>
        </is>
      </c>
      <c r="E5414" s="20" t="inlineStr">
        <is>
          <t>고체향수</t>
        </is>
      </c>
      <c r="K5414" s="20" t="n">
        <v>97465</v>
      </c>
    </row>
    <row r="5415" ht="16.5" customHeight="1" s="17">
      <c r="A5415" s="20" t="inlineStr">
        <is>
          <t>[승무원]스테이포에버_카드뉴스</t>
        </is>
      </c>
      <c r="B5415" s="16" t="n">
        <v>44280</v>
      </c>
      <c r="C5415" s="20" t="inlineStr">
        <is>
          <t>목</t>
        </is>
      </c>
      <c r="D5415" s="20" t="inlineStr">
        <is>
          <t>페이스북/인스타그램</t>
        </is>
      </c>
      <c r="E5415" s="20" t="inlineStr">
        <is>
          <t>고체향수</t>
        </is>
      </c>
      <c r="K5415" s="20" t="n">
        <v>97912</v>
      </c>
    </row>
    <row r="5416" ht="16.5" customHeight="1" s="17">
      <c r="A5416" s="20" t="inlineStr">
        <is>
          <t>[후기타입]스테이포에버_영상</t>
        </is>
      </c>
      <c r="B5416" s="16" t="n">
        <v>44280</v>
      </c>
      <c r="C5416" s="20" t="inlineStr">
        <is>
          <t>목</t>
        </is>
      </c>
      <c r="D5416" s="20" t="inlineStr">
        <is>
          <t>페이스북/인스타그램</t>
        </is>
      </c>
      <c r="E5416" s="20" t="inlineStr">
        <is>
          <t>고체향수</t>
        </is>
      </c>
      <c r="K5416" s="20" t="n">
        <v>149144</v>
      </c>
    </row>
    <row r="5417" ht="16.5" customHeight="1" s="17">
      <c r="A5417" s="20" t="inlineStr">
        <is>
          <t>전환_스테이포에버</t>
        </is>
      </c>
      <c r="B5417" s="16" t="n">
        <v>44280</v>
      </c>
      <c r="C5417" s="20" t="inlineStr">
        <is>
          <t>목</t>
        </is>
      </c>
      <c r="D5417" s="20" t="inlineStr">
        <is>
          <t>페이스북/인스타그램</t>
        </is>
      </c>
      <c r="E5417" s="20" t="inlineStr">
        <is>
          <t>고체향수</t>
        </is>
      </c>
      <c r="K5417" s="20" t="n">
        <v>49764</v>
      </c>
    </row>
    <row r="5418" ht="16.5" customHeight="1" s="17">
      <c r="A5418" s="20" t="inlineStr">
        <is>
          <t>[권태기커플]스테이포에버_영상</t>
        </is>
      </c>
      <c r="B5418" s="16" t="n">
        <v>44280</v>
      </c>
      <c r="C5418" s="20" t="inlineStr">
        <is>
          <t>목</t>
        </is>
      </c>
      <c r="D5418" s="20" t="inlineStr">
        <is>
          <t>페이스북/인스타그램</t>
        </is>
      </c>
      <c r="E5418" s="20" t="inlineStr">
        <is>
          <t>고체향수</t>
        </is>
      </c>
      <c r="K5418" s="20" t="n">
        <v>73312</v>
      </c>
    </row>
    <row r="5419" ht="16.5" customHeight="1" s="17">
      <c r="A5419" s="20" t="inlineStr">
        <is>
          <t>웹사이트 트래픽 서치</t>
        </is>
      </c>
      <c r="B5419" s="16" t="n">
        <v>44280</v>
      </c>
      <c r="C5419" s="20" t="inlineStr">
        <is>
          <t>목</t>
        </is>
      </c>
      <c r="D5419" s="20" t="inlineStr">
        <is>
          <t>유튜브 광고</t>
        </is>
      </c>
      <c r="E5419" s="20" t="inlineStr">
        <is>
          <t>고체향수</t>
        </is>
      </c>
      <c r="K5419" s="20" t="n">
        <v>21494</v>
      </c>
    </row>
    <row r="5420" ht="16.5" customHeight="1" s="17">
      <c r="A5420" s="20" t="inlineStr">
        <is>
          <t>동영상캠페인_승무원_보이는 라디오(cpa)</t>
        </is>
      </c>
      <c r="B5420" s="16" t="n">
        <v>44280</v>
      </c>
      <c r="C5420" s="20" t="inlineStr">
        <is>
          <t>목</t>
        </is>
      </c>
      <c r="D5420" s="20" t="inlineStr">
        <is>
          <t>유튜브 광고</t>
        </is>
      </c>
      <c r="E5420" s="20" t="inlineStr">
        <is>
          <t>고체향수</t>
        </is>
      </c>
      <c r="K5420" s="20" t="n">
        <v>217316</v>
      </c>
    </row>
    <row r="5421" ht="16.5" customHeight="1" s="17">
      <c r="A5421" s="20" t="inlineStr">
        <is>
          <t>디스커버리 배너_승무원,할인_리마케팅</t>
        </is>
      </c>
      <c r="B5421" s="16" t="n">
        <v>44280</v>
      </c>
      <c r="C5421" s="20" t="inlineStr">
        <is>
          <t>목</t>
        </is>
      </c>
      <c r="D5421" s="20" t="inlineStr">
        <is>
          <t>유튜브 광고</t>
        </is>
      </c>
      <c r="E5421" s="20" t="inlineStr">
        <is>
          <t>고체향수</t>
        </is>
      </c>
      <c r="K5421" s="20" t="n">
        <v>312546</v>
      </c>
    </row>
    <row r="5422" ht="16.5" customHeight="1" s="17">
      <c r="A5422" s="20" t="inlineStr">
        <is>
          <t>동영상캠페인_승무원_써니스카이</t>
        </is>
      </c>
      <c r="B5422" s="16" t="n">
        <v>44280</v>
      </c>
      <c r="C5422" s="20" t="inlineStr">
        <is>
          <t>목</t>
        </is>
      </c>
      <c r="D5422" s="20" t="inlineStr">
        <is>
          <t>유튜브 광고</t>
        </is>
      </c>
      <c r="E5422" s="20" t="inlineStr">
        <is>
          <t>고체향수</t>
        </is>
      </c>
      <c r="K5422" s="20" t="n">
        <v>908758</v>
      </c>
    </row>
    <row r="5423" ht="16.5" customHeight="1" s="17">
      <c r="A5423" s="20" t="inlineStr">
        <is>
          <t>동영상캠페인_필라테스_자기관리(타겟 cpa)</t>
        </is>
      </c>
      <c r="B5423" s="16" t="n">
        <v>44280</v>
      </c>
      <c r="C5423" s="20" t="inlineStr">
        <is>
          <t>목</t>
        </is>
      </c>
      <c r="D5423" s="20" t="inlineStr">
        <is>
          <t>유튜브 광고</t>
        </is>
      </c>
      <c r="E5423" s="20" t="inlineStr">
        <is>
          <t>고체향수</t>
        </is>
      </c>
      <c r="K5423" s="20" t="n">
        <v>181572</v>
      </c>
    </row>
    <row r="5424" ht="16.5" customHeight="1" s="17">
      <c r="A5424" s="20" t="inlineStr">
        <is>
          <t>동영상캠페인_승무원_비누향 나는 승무원에게(cpa)</t>
        </is>
      </c>
      <c r="B5424" s="16" t="n">
        <v>44280</v>
      </c>
      <c r="C5424" s="20" t="inlineStr">
        <is>
          <t>목</t>
        </is>
      </c>
      <c r="D5424" s="20" t="inlineStr">
        <is>
          <t>유튜브 광고</t>
        </is>
      </c>
      <c r="E5424" s="20" t="inlineStr">
        <is>
          <t>고체향수</t>
        </is>
      </c>
      <c r="K5424" s="20" t="n">
        <v>191386</v>
      </c>
    </row>
    <row r="5425" ht="16.5" customHeight="1" s="17">
      <c r="A5425" s="20" t="inlineStr">
        <is>
          <t>동영상캠페인_유즈모먼트_2차_30대 여성 회사원(cpa)</t>
        </is>
      </c>
      <c r="B5425" s="16" t="n">
        <v>44280</v>
      </c>
      <c r="C5425" s="20" t="inlineStr">
        <is>
          <t>목</t>
        </is>
      </c>
      <c r="D5425" s="20" t="inlineStr">
        <is>
          <t>유튜브 광고</t>
        </is>
      </c>
      <c r="E5425" s="20" t="inlineStr">
        <is>
          <t>고체향수</t>
        </is>
      </c>
      <c r="K5425" s="20" t="n">
        <v>185627</v>
      </c>
    </row>
    <row r="5426" ht="16.5" customHeight="1" s="17">
      <c r="A5426" s="20" t="inlineStr">
        <is>
          <t>동영상캠페인_유즈모먼트_조향사 친구(cpa)</t>
        </is>
      </c>
      <c r="B5426" s="16" t="n">
        <v>44280</v>
      </c>
      <c r="C5426" s="20" t="inlineStr">
        <is>
          <t>목</t>
        </is>
      </c>
      <c r="D5426" s="20" t="inlineStr">
        <is>
          <t>유튜브 광고</t>
        </is>
      </c>
      <c r="E5426" s="20" t="inlineStr">
        <is>
          <t>고체향수</t>
        </is>
      </c>
      <c r="K5426" s="20" t="n">
        <v>69251</v>
      </c>
    </row>
    <row r="5427" ht="16.5" customHeight="1" s="17">
      <c r="A5427" s="20" t="inlineStr">
        <is>
          <t>동영상 캠페인_유튜버 수지큐 2차활용</t>
        </is>
      </c>
      <c r="B5427" s="16" t="n">
        <v>44280</v>
      </c>
      <c r="C5427" s="20" t="inlineStr">
        <is>
          <t>목</t>
        </is>
      </c>
      <c r="D5427" s="20" t="inlineStr">
        <is>
          <t>유튜브 광고</t>
        </is>
      </c>
      <c r="E5427" s="20" t="inlineStr">
        <is>
          <t>고체향수</t>
        </is>
      </c>
      <c r="K5427" s="20" t="n">
        <v>99578</v>
      </c>
    </row>
    <row r="5428" ht="16.5" customHeight="1" s="17">
      <c r="A5428" s="20" t="inlineStr">
        <is>
          <t>동영상캠페인_유즈모먼트_4화_강한향대신</t>
        </is>
      </c>
      <c r="B5428" s="16" t="n">
        <v>44280</v>
      </c>
      <c r="C5428" s="20" t="inlineStr">
        <is>
          <t>목</t>
        </is>
      </c>
      <c r="D5428" s="20">
        <f>VLOOKUP($A5428,매칭테이블!$B$548:$D$1048576,2,0)</f>
        <v/>
      </c>
      <c r="E5428" s="20" t="inlineStr">
        <is>
          <t>고체향수</t>
        </is>
      </c>
      <c r="K5428" s="20" t="n">
        <v>100794</v>
      </c>
    </row>
    <row r="5429" ht="16.5" customHeight="1" s="17">
      <c r="A5429" s="20" t="inlineStr">
        <is>
          <t>메인키워드</t>
        </is>
      </c>
      <c r="B5429" s="16" t="n">
        <v>44280</v>
      </c>
      <c r="C5429" s="20" t="inlineStr">
        <is>
          <t>목</t>
        </is>
      </c>
      <c r="D5429" s="20" t="inlineStr">
        <is>
          <t>네이버 쇼핑검색</t>
        </is>
      </c>
      <c r="E5429" s="20" t="inlineStr">
        <is>
          <t>고체향수</t>
        </is>
      </c>
      <c r="K5429" s="20" t="n">
        <v>20310</v>
      </c>
    </row>
    <row r="5430" ht="16.5" customHeight="1" s="17">
      <c r="A5430" s="20" t="inlineStr">
        <is>
          <t>세부키워드3</t>
        </is>
      </c>
      <c r="B5430" s="16" t="n">
        <v>44280</v>
      </c>
      <c r="C5430" s="20" t="inlineStr">
        <is>
          <t>목</t>
        </is>
      </c>
      <c r="D5430" s="20" t="inlineStr">
        <is>
          <t>네이버 쇼핑검색</t>
        </is>
      </c>
      <c r="E5430" s="20" t="inlineStr">
        <is>
          <t>고체향수</t>
        </is>
      </c>
      <c r="K5430" s="20" t="n">
        <v>108810</v>
      </c>
    </row>
    <row r="5431" ht="16.5" customHeight="1" s="17">
      <c r="A5431" s="20" t="inlineStr">
        <is>
          <t>모바일 브검</t>
        </is>
      </c>
      <c r="B5431" s="16" t="n">
        <v>44280</v>
      </c>
      <c r="C5431" s="20" t="inlineStr">
        <is>
          <t>목</t>
        </is>
      </c>
      <c r="D5431" s="20" t="inlineStr">
        <is>
          <t>네이버 브랜드검색</t>
        </is>
      </c>
      <c r="E5431" s="20" t="inlineStr">
        <is>
          <t>브랜드</t>
        </is>
      </c>
      <c r="K5431" s="20" t="n">
        <v>140000</v>
      </c>
    </row>
    <row r="5432" ht="16.5" customHeight="1" s="17">
      <c r="A5432" s="20" t="inlineStr">
        <is>
          <t>PC 브랜드검색</t>
        </is>
      </c>
      <c r="B5432" s="16" t="n">
        <v>44280</v>
      </c>
      <c r="C5432" s="20" t="inlineStr">
        <is>
          <t>목</t>
        </is>
      </c>
      <c r="D5432" s="20" t="inlineStr">
        <is>
          <t>네이버 브랜드검색</t>
        </is>
      </c>
      <c r="E5432" s="20" t="inlineStr">
        <is>
          <t>브랜드</t>
        </is>
      </c>
      <c r="K5432" s="20" t="n">
        <v>16700</v>
      </c>
    </row>
    <row r="5433" ht="16.5" customHeight="1" s="17">
      <c r="B5433" s="16" t="n">
        <v>44280</v>
      </c>
      <c r="C5433" s="20" t="inlineStr">
        <is>
          <t>목</t>
        </is>
      </c>
      <c r="E5433" s="20" t="inlineStr">
        <is>
          <t>고체향수</t>
        </is>
      </c>
      <c r="F5433" s="20" t="inlineStr">
        <is>
          <t>W컨셉</t>
        </is>
      </c>
      <c r="G5433" s="20" t="inlineStr">
        <is>
          <t>솔리드퍼퓸 이그나이트/스테이포에버 30ml (2종 택1)&lt;옵션1&gt;002 STAY FOREVER</t>
        </is>
      </c>
      <c r="H5433" s="20" t="n">
        <v>10</v>
      </c>
      <c r="I5433" s="20" t="inlineStr">
        <is>
          <t>스테이포에버</t>
        </is>
      </c>
      <c r="J5433" s="20" t="inlineStr">
        <is>
          <t>210207</t>
        </is>
      </c>
      <c r="L5433" s="20" t="n">
        <v>340000</v>
      </c>
      <c r="M5433" s="20" t="n">
        <v>238000</v>
      </c>
      <c r="N5433" s="20" t="n">
        <v>25920</v>
      </c>
      <c r="O5433" s="20" t="inlineStr">
        <is>
          <t>W컨셉고체향수솔리드퍼퓸 이그나이트/스테이포에버 30ml (2종 택1)&lt;옵션1&gt;002 STAY FOREVER210207</t>
        </is>
      </c>
    </row>
    <row r="5434" ht="16.5" customHeight="1" s="17">
      <c r="B5434" s="16" t="n">
        <v>44280</v>
      </c>
      <c r="C5434" s="20" t="inlineStr">
        <is>
          <t>목</t>
        </is>
      </c>
      <c r="E5434" s="20" t="inlineStr">
        <is>
          <t>고체향수</t>
        </is>
      </c>
      <c r="F5434" s="20" t="inlineStr">
        <is>
          <t>스마트스토어</t>
        </is>
      </c>
      <c r="G5434" s="20" t="inlineStr">
        <is>
          <t>유즈 고체향수 세트(유즈 스테이포에버, 유즈 이그나이트)고체향수: 스테이포에버 1개 + 이그나이트 1개</t>
        </is>
      </c>
      <c r="H5434" s="20" t="n">
        <v>1</v>
      </c>
      <c r="I5434" s="20" t="inlineStr">
        <is>
          <t>이그나이트 + 스테이포에버</t>
        </is>
      </c>
      <c r="J5434" s="20" t="inlineStr">
        <is>
          <t>210207</t>
        </is>
      </c>
      <c r="L5434" s="20" t="n">
        <v>58800</v>
      </c>
      <c r="M5434" s="20" t="n">
        <v>55360.2</v>
      </c>
      <c r="N5434" s="20" t="n">
        <v>5345</v>
      </c>
      <c r="O5434" s="20" t="inlineStr">
        <is>
          <t>스마트스토어고체향수유즈 고체향수 세트(유즈 스테이포에버, 유즈 이그나이트)고체향수: 스테이포에버 1개 + 이그나이트 1개210207</t>
        </is>
      </c>
    </row>
    <row r="5435" ht="16.5" customHeight="1" s="17">
      <c r="B5435" s="16" t="n">
        <v>44280</v>
      </c>
      <c r="C5435" s="20" t="inlineStr">
        <is>
          <t>목</t>
        </is>
      </c>
      <c r="E5435" s="20" t="inlineStr">
        <is>
          <t>고체향수</t>
        </is>
      </c>
      <c r="F5435" s="20" t="inlineStr">
        <is>
          <t>스마트스토어</t>
        </is>
      </c>
      <c r="G5435" s="20" t="inlineStr">
        <is>
          <t>유즈 고체향수 세트(유즈 스테이포에버, 유즈 이그나이트)고체향수: 스테이포에버 2개</t>
        </is>
      </c>
      <c r="H5435" s="20" t="n">
        <v>2</v>
      </c>
      <c r="I5435" s="20" t="inlineStr">
        <is>
          <t>스테이포에버 2set</t>
        </is>
      </c>
      <c r="J5435" s="20" t="inlineStr">
        <is>
          <t>210207</t>
        </is>
      </c>
      <c r="L5435" s="20" t="n">
        <v>117600</v>
      </c>
      <c r="M5435" s="20" t="n">
        <v>115248</v>
      </c>
      <c r="N5435" s="20" t="n">
        <v>10368</v>
      </c>
      <c r="O5435" s="20" t="inlineStr">
        <is>
          <t>스마트스토어고체향수유즈 고체향수 세트(유즈 스테이포에버, 유즈 이그나이트)고체향수: 스테이포에버 2개210207</t>
        </is>
      </c>
    </row>
    <row r="5436" ht="16.5" customHeight="1" s="17">
      <c r="B5436" s="16" t="n">
        <v>44280</v>
      </c>
      <c r="C5436" s="20" t="inlineStr">
        <is>
          <t>목</t>
        </is>
      </c>
      <c r="E5436" s="20" t="inlineStr">
        <is>
          <t>고체향수</t>
        </is>
      </c>
      <c r="F5436" s="20" t="inlineStr">
        <is>
          <t>스마트스토어</t>
        </is>
      </c>
      <c r="G5436" s="20" t="inlineStr">
        <is>
          <t>유즈 고체향수 스테이포에버 002고체향수: 스테이포에버 1개</t>
        </is>
      </c>
      <c r="H5436" s="20" t="n">
        <v>18</v>
      </c>
      <c r="I5436" s="20" t="inlineStr">
        <is>
          <t>스테이포에버</t>
        </is>
      </c>
      <c r="J5436" s="20" t="inlineStr">
        <is>
          <t>210207</t>
        </is>
      </c>
      <c r="L5436" s="20" t="n">
        <v>612000</v>
      </c>
      <c r="M5436" s="20" t="n">
        <v>599760</v>
      </c>
      <c r="N5436" s="20" t="n">
        <v>46656</v>
      </c>
      <c r="O5436" s="20" t="inlineStr">
        <is>
          <t>스마트스토어고체향수유즈 고체향수 스테이포에버 002고체향수: 스테이포에버 1개210207</t>
        </is>
      </c>
    </row>
    <row r="5437" ht="16.5" customHeight="1" s="17">
      <c r="B5437" s="16" t="n">
        <v>44280</v>
      </c>
      <c r="C5437" s="20" t="inlineStr">
        <is>
          <t>목</t>
        </is>
      </c>
      <c r="E5437" s="20" t="inlineStr">
        <is>
          <t>고체향수</t>
        </is>
      </c>
      <c r="F5437" s="20" t="inlineStr">
        <is>
          <t>스마트스토어</t>
        </is>
      </c>
      <c r="G5437" s="20" t="inlineStr">
        <is>
          <t>유즈 고체향수 이그나이트 001고체향수: 이그나이트 1개</t>
        </is>
      </c>
      <c r="H5437" s="20" t="n">
        <v>1</v>
      </c>
      <c r="I5437" s="20" t="inlineStr">
        <is>
          <t>이그나이트</t>
        </is>
      </c>
      <c r="J5437" s="20" t="inlineStr">
        <is>
          <t>210207</t>
        </is>
      </c>
      <c r="L5437" s="20" t="n">
        <v>34000</v>
      </c>
      <c r="M5437" s="20" t="n">
        <v>33320</v>
      </c>
      <c r="N5437" s="20" t="n">
        <v>2753</v>
      </c>
      <c r="O5437" s="20" t="inlineStr">
        <is>
          <t>스마트스토어고체향수유즈 고체향수 이그나이트 001고체향수: 이그나이트 1개210207</t>
        </is>
      </c>
    </row>
    <row r="5438" ht="16.5" customHeight="1" s="17">
      <c r="B5438" s="16" t="n">
        <v>44280</v>
      </c>
      <c r="C5438" s="20" t="inlineStr">
        <is>
          <t>목</t>
        </is>
      </c>
      <c r="E5438" s="20" t="inlineStr">
        <is>
          <t>고체향수</t>
        </is>
      </c>
      <c r="F5438" s="20" t="inlineStr">
        <is>
          <t>카페24</t>
        </is>
      </c>
      <c r="G5438" s="20" t="inlineStr">
        <is>
          <t>솔리드퍼퓸 세트향=스테이포에버 002 SOLID PERFUME, 세트 선택=1개</t>
        </is>
      </c>
      <c r="H5438" s="20" t="n">
        <v>1</v>
      </c>
      <c r="I5438" s="20" t="inlineStr">
        <is>
          <t>스테이포에버</t>
        </is>
      </c>
      <c r="J5438" s="20" t="inlineStr">
        <is>
          <t>210207</t>
        </is>
      </c>
      <c r="L5438" s="20" t="n">
        <v>34000</v>
      </c>
      <c r="M5438" s="20" t="n">
        <v>32011</v>
      </c>
      <c r="N5438" s="20" t="n">
        <v>2592</v>
      </c>
      <c r="O5438" s="20" t="inlineStr">
        <is>
          <t>카페24고체향수솔리드퍼퓸 세트향=스테이포에버 002 SOLID PERFUME, 세트 선택=1개210207</t>
        </is>
      </c>
    </row>
    <row r="5439" ht="16.5" customHeight="1" s="17">
      <c r="B5439" s="16" t="n">
        <v>44280</v>
      </c>
      <c r="C5439" s="20" t="inlineStr">
        <is>
          <t>목</t>
        </is>
      </c>
      <c r="E5439" s="20" t="inlineStr">
        <is>
          <t>고체향수</t>
        </is>
      </c>
      <c r="F5439" s="20" t="inlineStr">
        <is>
          <t>카페24</t>
        </is>
      </c>
      <c r="G5439" s="20" t="inlineStr">
        <is>
          <t>솔리드퍼퓸 세트향=스테이포에버 002 SOLID PERFUME, 세트 선택=best 2개 (28% 할인)</t>
        </is>
      </c>
      <c r="H5439" s="20" t="n">
        <v>8</v>
      </c>
      <c r="I5439" s="20" t="inlineStr">
        <is>
          <t>스테이포에버 2set</t>
        </is>
      </c>
      <c r="J5439" s="20" t="inlineStr">
        <is>
          <t>210207</t>
        </is>
      </c>
      <c r="L5439" s="20" t="n">
        <v>470400</v>
      </c>
      <c r="M5439" s="20" t="n">
        <v>442881.6</v>
      </c>
      <c r="N5439" s="20" t="n">
        <v>41472</v>
      </c>
      <c r="O5439" s="20" t="inlineStr">
        <is>
          <t>카페24고체향수솔리드퍼퓸 세트향=스테이포에버 002 SOLID PERFUME, 세트 선택=best 2개 (28% 할인)210207</t>
        </is>
      </c>
    </row>
    <row r="5440" ht="16.5" customHeight="1" s="17">
      <c r="B5440" s="16" t="n">
        <v>44280</v>
      </c>
      <c r="C5440" s="20" t="inlineStr">
        <is>
          <t>목</t>
        </is>
      </c>
      <c r="E5440" s="20" t="inlineStr">
        <is>
          <t>고체향수</t>
        </is>
      </c>
      <c r="F5440" s="20" t="inlineStr">
        <is>
          <t>카페24</t>
        </is>
      </c>
      <c r="G5440" s="20" t="inlineStr">
        <is>
          <t>솔리드퍼퓸 세트향=커플세트(이그나이트 + 스테이포에버), 세트 선택=1 SET</t>
        </is>
      </c>
      <c r="H5440" s="20" t="n">
        <v>8</v>
      </c>
      <c r="I5440" s="20" t="inlineStr">
        <is>
          <t>이그나이트 + 스테이포에버</t>
        </is>
      </c>
      <c r="J5440" s="20" t="inlineStr">
        <is>
          <t>210207</t>
        </is>
      </c>
      <c r="L5440" s="20" t="n">
        <v>470400</v>
      </c>
      <c r="M5440" s="20" t="n">
        <v>442881.6</v>
      </c>
      <c r="N5440" s="20" t="n">
        <v>42760</v>
      </c>
      <c r="O5440" s="20" t="inlineStr">
        <is>
          <t>카페24고체향수솔리드퍼퓸 세트향=커플세트(이그나이트 + 스테이포에버), 세트 선택=1 SET210207</t>
        </is>
      </c>
    </row>
    <row r="5441" ht="16.5" customHeight="1" s="17">
      <c r="B5441" s="16" t="n">
        <v>44280</v>
      </c>
      <c r="C5441" s="20" t="inlineStr">
        <is>
          <t>목</t>
        </is>
      </c>
      <c r="E5441" s="20" t="inlineStr">
        <is>
          <t>고체향수</t>
        </is>
      </c>
      <c r="F5441" s="20" t="inlineStr">
        <is>
          <t>카페24</t>
        </is>
      </c>
      <c r="G5441" s="20" t="inlineStr">
        <is>
          <t>솔리드퍼퓸 세트향=커플세트(이그나이트 + 스테이포에버), 세트 선택=2 SET (42% 할인)</t>
        </is>
      </c>
      <c r="H5441" s="20" t="n">
        <v>2</v>
      </c>
      <c r="I5441" s="20" t="inlineStr">
        <is>
          <t>이그나이트 + 스테이포에버</t>
        </is>
      </c>
      <c r="J5441" s="20" t="inlineStr">
        <is>
          <t>210207</t>
        </is>
      </c>
      <c r="L5441" s="20" t="n">
        <v>117600</v>
      </c>
      <c r="M5441" s="20" t="n">
        <v>110720.4</v>
      </c>
      <c r="N5441" s="20" t="n">
        <v>10690</v>
      </c>
      <c r="O5441" s="20" t="inlineStr">
        <is>
          <t>카페24고체향수솔리드퍼퓸 세트향=커플세트(이그나이트 + 스테이포에버), 세트 선택=2 SET (42% 할인)210207</t>
        </is>
      </c>
    </row>
    <row r="5442" ht="16.5" customHeight="1" s="17">
      <c r="B5442" s="16" t="n">
        <v>44280</v>
      </c>
      <c r="C5442" s="20" t="inlineStr">
        <is>
          <t>목</t>
        </is>
      </c>
      <c r="E5442" s="20" t="inlineStr">
        <is>
          <t>고체향수</t>
        </is>
      </c>
      <c r="F5442" s="20" t="inlineStr">
        <is>
          <t>카페24</t>
        </is>
      </c>
      <c r="G5442" s="20" t="inlineStr">
        <is>
          <t>솔리드퍼퓸 스테이포에버 002제품선택=스테이포에버 1개</t>
        </is>
      </c>
      <c r="H5442" s="20" t="n">
        <v>138</v>
      </c>
      <c r="I5442" s="20" t="inlineStr">
        <is>
          <t>스테이포에버</t>
        </is>
      </c>
      <c r="J5442" s="20" t="inlineStr">
        <is>
          <t>210207</t>
        </is>
      </c>
      <c r="L5442" s="20" t="n">
        <v>4692000</v>
      </c>
      <c r="M5442" s="20" t="n">
        <v>4417518</v>
      </c>
      <c r="N5442" s="20" t="n">
        <v>357696</v>
      </c>
      <c r="O5442" s="20" t="inlineStr">
        <is>
          <t>카페24고체향수솔리드퍼퓸 스테이포에버 002제품선택=스테이포에버 1개210207</t>
        </is>
      </c>
    </row>
    <row r="5443" ht="16.5" customHeight="1" s="17">
      <c r="B5443" s="16" t="n">
        <v>44280</v>
      </c>
      <c r="C5443" s="20" t="inlineStr">
        <is>
          <t>목</t>
        </is>
      </c>
      <c r="E5443" s="20" t="inlineStr">
        <is>
          <t>고체향수</t>
        </is>
      </c>
      <c r="F5443" s="20" t="inlineStr">
        <is>
          <t>카페24</t>
        </is>
      </c>
      <c r="G5443" s="20" t="inlineStr">
        <is>
          <t>솔리드퍼퓸 스테이포에버 002제품선택=best스테이포에버 2개[28% 할인]</t>
        </is>
      </c>
      <c r="H5443" s="20" t="n">
        <v>79</v>
      </c>
      <c r="I5443" s="20" t="inlineStr">
        <is>
          <t>스테이포에버 2set</t>
        </is>
      </c>
      <c r="J5443" s="20" t="inlineStr">
        <is>
          <t>210207</t>
        </is>
      </c>
      <c r="L5443" s="20" t="n">
        <v>4645200</v>
      </c>
      <c r="M5443" s="20" t="n">
        <v>4373455.8</v>
      </c>
      <c r="N5443" s="20" t="n">
        <v>409536</v>
      </c>
      <c r="O5443" s="20" t="inlineStr">
        <is>
          <t>카페24고체향수솔리드퍼퓸 스테이포에버 002제품선택=best스테이포에버 2개[28% 할인]210207</t>
        </is>
      </c>
    </row>
    <row r="5444" ht="16.5" customHeight="1" s="17">
      <c r="B5444" s="16" t="n">
        <v>44280</v>
      </c>
      <c r="C5444" s="20" t="inlineStr">
        <is>
          <t>목</t>
        </is>
      </c>
      <c r="E5444" s="20" t="inlineStr">
        <is>
          <t>고체향수</t>
        </is>
      </c>
      <c r="F5444" s="20" t="inlineStr">
        <is>
          <t>카페24</t>
        </is>
      </c>
      <c r="G5444" s="20" t="inlineStr">
        <is>
          <t>솔리드퍼퓸 스테이포에버 002제품선택=커플추천스테이포에버 + 이그나이트 세트</t>
        </is>
      </c>
      <c r="H5444" s="20" t="n">
        <v>12</v>
      </c>
      <c r="I5444" s="20" t="inlineStr">
        <is>
          <t>이그나이트 + 스테이포에버</t>
        </is>
      </c>
      <c r="J5444" s="20" t="inlineStr">
        <is>
          <t>210207</t>
        </is>
      </c>
      <c r="L5444" s="20" t="n">
        <v>705600</v>
      </c>
      <c r="M5444" s="20" t="n">
        <v>664322.3999999999</v>
      </c>
      <c r="N5444" s="20" t="n">
        <v>64140</v>
      </c>
      <c r="O5444" s="20" t="inlineStr">
        <is>
          <t>카페24고체향수솔리드퍼퓸 스테이포에버 002제품선택=커플추천스테이포에버 + 이그나이트 세트210207</t>
        </is>
      </c>
    </row>
    <row r="5445" ht="16.5" customHeight="1" s="17">
      <c r="B5445" s="16" t="n">
        <v>44280</v>
      </c>
      <c r="C5445" s="20" t="inlineStr">
        <is>
          <t>목</t>
        </is>
      </c>
      <c r="E5445" s="20" t="inlineStr">
        <is>
          <t>쇼핑백</t>
        </is>
      </c>
      <c r="F5445" s="20" t="inlineStr">
        <is>
          <t>카페24</t>
        </is>
      </c>
      <c r="G5445" s="20" t="inlineStr">
        <is>
          <t>솔리드퍼퓸 스테이포에버 002쇼핑백=선물용 쇼핑백</t>
        </is>
      </c>
      <c r="H5445" s="20" t="n">
        <v>7</v>
      </c>
      <c r="I5445" s="20" t="inlineStr">
        <is>
          <t>쇼핑백</t>
        </is>
      </c>
      <c r="J5445" s="20" t="inlineStr">
        <is>
          <t>210207</t>
        </is>
      </c>
      <c r="L5445" s="20" t="n">
        <v>14000</v>
      </c>
      <c r="M5445" s="20" t="n">
        <v>13181</v>
      </c>
      <c r="N5445" s="20" t="n">
        <v>5810</v>
      </c>
      <c r="O5445" s="20" t="inlineStr">
        <is>
          <t>카페24쇼핑백솔리드퍼퓸 스테이포에버 002쇼핑백=선물용 쇼핑백210207</t>
        </is>
      </c>
    </row>
    <row r="5446" ht="16.5" customHeight="1" s="17">
      <c r="B5446" s="16" t="n">
        <v>44280</v>
      </c>
      <c r="C5446" s="20" t="inlineStr">
        <is>
          <t>목</t>
        </is>
      </c>
      <c r="E5446" s="20" t="inlineStr">
        <is>
          <t>고체향수</t>
        </is>
      </c>
      <c r="F5446" s="20" t="inlineStr">
        <is>
          <t>카페24</t>
        </is>
      </c>
      <c r="G5446" s="20" t="inlineStr">
        <is>
          <t>솔리드퍼퓸 이그나이트 001제품선택=이그나이트 솔리드퍼퓸 - 30ml</t>
        </is>
      </c>
      <c r="H5446" s="20" t="n">
        <v>1</v>
      </c>
      <c r="I5446" s="20" t="inlineStr">
        <is>
          <t>이그나이트</t>
        </is>
      </c>
      <c r="J5446" s="20" t="inlineStr">
        <is>
          <t>210207</t>
        </is>
      </c>
      <c r="L5446" s="20" t="n">
        <v>34000</v>
      </c>
      <c r="M5446" s="20" t="n">
        <v>32011</v>
      </c>
      <c r="N5446" s="20" t="n">
        <v>2753</v>
      </c>
      <c r="O5446" s="20" t="inlineStr">
        <is>
          <t>카페24고체향수솔리드퍼퓸 이그나이트 001제품선택=이그나이트 솔리드퍼퓸 - 30ml210207</t>
        </is>
      </c>
    </row>
    <row r="5447" ht="16.5" customHeight="1" s="17">
      <c r="B5447" s="16" t="n">
        <v>44280</v>
      </c>
      <c r="C5447" s="20" t="inlineStr">
        <is>
          <t>목</t>
        </is>
      </c>
      <c r="E5447" s="20" t="inlineStr">
        <is>
          <t>고체향수</t>
        </is>
      </c>
      <c r="F5447" s="20" t="inlineStr">
        <is>
          <t>카페24</t>
        </is>
      </c>
      <c r="G5447" s="20" t="inlineStr">
        <is>
          <t>솔리드퍼퓸 이그나이트 001제품선택=이그나이트 2개 세트</t>
        </is>
      </c>
      <c r="H5447" s="20" t="n">
        <v>4</v>
      </c>
      <c r="I5447" s="20" t="inlineStr">
        <is>
          <t>이그나이트 2set</t>
        </is>
      </c>
      <c r="J5447" s="20" t="inlineStr">
        <is>
          <t>210207</t>
        </is>
      </c>
      <c r="L5447" s="20" t="n">
        <v>235200</v>
      </c>
      <c r="M5447" s="20" t="n">
        <v>221440.8</v>
      </c>
      <c r="N5447" s="20" t="n">
        <v>22024</v>
      </c>
      <c r="O5447" s="20" t="inlineStr">
        <is>
          <t>카페24고체향수솔리드퍼퓸 이그나이트 001제품선택=이그나이트 2개 세트210207</t>
        </is>
      </c>
    </row>
    <row r="5448" ht="16.5" customHeight="1" s="17">
      <c r="B5448" s="16" t="n">
        <v>44280</v>
      </c>
      <c r="C5448" s="20" t="inlineStr">
        <is>
          <t>목</t>
        </is>
      </c>
      <c r="E5448" s="20" t="inlineStr">
        <is>
          <t>고체향수</t>
        </is>
      </c>
      <c r="F5448" s="20" t="inlineStr">
        <is>
          <t>카페24</t>
        </is>
      </c>
      <c r="G5448" s="20" t="inlineStr">
        <is>
          <t>유즈 솔리드퍼퓸 세트향=커플세트(이그나이트 + 스테이포에버), 세트 선택=1 SET</t>
        </is>
      </c>
      <c r="H5448" s="20" t="n">
        <v>1</v>
      </c>
      <c r="I5448" s="20" t="inlineStr">
        <is>
          <t>이그나이트 + 스테이포에버</t>
        </is>
      </c>
      <c r="J5448" s="20" t="inlineStr">
        <is>
          <t>210207</t>
        </is>
      </c>
      <c r="L5448" s="20" t="n">
        <v>58800</v>
      </c>
      <c r="M5448" s="20" t="n">
        <v>55360.2</v>
      </c>
      <c r="N5448" s="20" t="n">
        <v>5345</v>
      </c>
      <c r="O5448" s="20" t="inlineStr">
        <is>
          <t>카페24고체향수유즈 솔리드퍼퓸 세트향=커플세트(이그나이트 + 스테이포에버), 세트 선택=1 SET210207</t>
        </is>
      </c>
    </row>
    <row r="5449" ht="16.5" customHeight="1" s="17">
      <c r="A5449" s="20" t="inlineStr">
        <is>
          <t>고체향수_전환추적</t>
        </is>
      </c>
      <c r="B5449" s="16" t="n">
        <v>44280</v>
      </c>
      <c r="C5449" s="20" t="inlineStr">
        <is>
          <t>목</t>
        </is>
      </c>
      <c r="D5449" s="20" t="inlineStr">
        <is>
          <t>네이버 배너</t>
        </is>
      </c>
      <c r="E5449" s="20" t="inlineStr">
        <is>
          <t>고체향수</t>
        </is>
      </c>
      <c r="K5449" s="20" t="n">
        <v>138090</v>
      </c>
    </row>
    <row r="5450" ht="16.5" customHeight="1" s="17">
      <c r="A5450" s="20" t="inlineStr">
        <is>
          <t>고체향수</t>
        </is>
      </c>
      <c r="B5450" s="16" t="n">
        <v>44280</v>
      </c>
      <c r="C5450" s="20" t="inlineStr">
        <is>
          <t>목</t>
        </is>
      </c>
      <c r="D5450" s="20" t="inlineStr">
        <is>
          <t>네이버 배너</t>
        </is>
      </c>
      <c r="E5450" s="20" t="inlineStr">
        <is>
          <t>고체향수</t>
        </is>
      </c>
      <c r="K5450" s="20" t="n">
        <v>430326.3636363636</v>
      </c>
    </row>
    <row r="5451" ht="16.5" customHeight="1" s="17">
      <c r="A5451" s="20" t="inlineStr">
        <is>
          <t>고체향수_승무원 어피_Npay 추적</t>
        </is>
      </c>
      <c r="B5451" s="16" t="n">
        <v>44280</v>
      </c>
      <c r="C5451" s="20" t="inlineStr">
        <is>
          <t>목</t>
        </is>
      </c>
      <c r="D5451" s="20" t="inlineStr">
        <is>
          <t>카카오 배너</t>
        </is>
      </c>
      <c r="E5451" s="20" t="inlineStr">
        <is>
          <t>고체향수</t>
        </is>
      </c>
      <c r="K5451" s="20" t="n">
        <v>182080</v>
      </c>
    </row>
    <row r="5452" ht="16.5" customHeight="1" s="17">
      <c r="A5452" s="20" t="inlineStr">
        <is>
          <t>고체향수_Npay 추적</t>
        </is>
      </c>
      <c r="B5452" s="16" t="n">
        <v>44280</v>
      </c>
      <c r="C5452" s="20" t="inlineStr">
        <is>
          <t>목</t>
        </is>
      </c>
      <c r="D5452" s="20" t="inlineStr">
        <is>
          <t>카카오 배너</t>
        </is>
      </c>
      <c r="E5452" s="20" t="inlineStr">
        <is>
          <t>고체향수</t>
        </is>
      </c>
      <c r="K5452" s="20" t="n">
        <v>1055350</v>
      </c>
    </row>
    <row r="5453" ht="16.5" customHeight="1" s="17">
      <c r="B5453" s="16" t="n">
        <v>44280</v>
      </c>
      <c r="C5453" s="20" t="inlineStr">
        <is>
          <t>목</t>
        </is>
      </c>
      <c r="D5453" s="20" t="inlineStr">
        <is>
          <t>네이버 배너(대행사)</t>
        </is>
      </c>
      <c r="E5453" s="20" t="inlineStr">
        <is>
          <t>고체향수</t>
        </is>
      </c>
      <c r="K5453" s="20">
        <f>245315/1.1</f>
        <v/>
      </c>
    </row>
    <row r="5454" ht="16.5" customHeight="1" s="17"/>
    <row r="5455" ht="16.5" customHeight="1" s="17"/>
    <row r="5456" ht="16.5" customHeight="1" s="17"/>
    <row r="5457" ht="16.5" customHeight="1" s="17"/>
    <row r="5458" ht="16.5" customHeight="1" s="17"/>
    <row r="5459" ht="16.5" customHeight="1" s="17"/>
    <row r="5460" ht="16.5" customHeight="1" s="17"/>
    <row r="5461" ht="16.5" customHeight="1" s="17"/>
    <row r="5462" ht="16.5" customHeight="1" s="17"/>
    <row r="5463" ht="16.5" customHeight="1" s="17"/>
    <row r="5464" ht="16.5" customHeight="1" s="17"/>
    <row r="5465" ht="16.5" customHeight="1" s="17"/>
    <row r="5466" ht="16.5" customHeight="1" s="17"/>
    <row r="5467" ht="16.5" customHeight="1" s="17"/>
    <row r="5468" ht="16.5" customHeight="1" s="17"/>
    <row r="5469" ht="16.5" customHeight="1" s="17"/>
    <row r="5470" ht="16.5" customHeight="1" s="17"/>
    <row r="5471" ht="16.5" customHeight="1" s="17"/>
    <row r="5472" ht="16.5" customHeight="1" s="17"/>
    <row r="5473" ht="16.5" customHeight="1" s="17"/>
    <row r="5474" ht="16.5" customHeight="1" s="17"/>
    <row r="5475" ht="16.5" customHeight="1" s="17"/>
    <row r="5476" ht="16.5" customHeight="1" s="17"/>
    <row r="5477" ht="16.5" customHeight="1" s="17"/>
    <row r="5478" ht="16.5" customHeight="1" s="17"/>
    <row r="5479" ht="16.5" customHeight="1" s="17"/>
    <row r="5480" ht="16.5" customHeight="1" s="17"/>
    <row r="5481" ht="16.5" customHeight="1" s="17"/>
    <row r="5482" ht="16.5" customHeight="1" s="17"/>
    <row r="5483" ht="16.5" customHeight="1" s="17"/>
    <row r="5484" ht="16.5" customHeight="1" s="17"/>
    <row r="5485" ht="16.5" customHeight="1" s="17"/>
    <row r="5486" ht="16.5" customHeight="1" s="17"/>
    <row r="5487" ht="16.5" customHeight="1" s="17">
      <c r="L5487" s="20" t="n">
        <v>340000</v>
      </c>
      <c r="M5487" s="20" t="n">
        <v>238000</v>
      </c>
      <c r="N5487" s="20" t="n">
        <v>25920</v>
      </c>
      <c r="O5487" s="20" t="inlineStr">
        <is>
          <t>W컨셉고체향수솔리드퍼퓸 이그나이트/스테이포에버 30ml (2종 택1)&lt;옵션1&gt;002 STAY FOREVER210207</t>
        </is>
      </c>
    </row>
    <row r="5488" ht="16.5" customHeight="1" s="17">
      <c r="L5488" s="20" t="n">
        <v>58800</v>
      </c>
      <c r="M5488" s="20" t="n">
        <v>55360.2</v>
      </c>
      <c r="N5488" s="20" t="n">
        <v>5345</v>
      </c>
      <c r="O5488" s="20" t="inlineStr">
        <is>
          <t>스마트스토어고체향수유즈 고체향수 세트(유즈 스테이포에버, 유즈 이그나이트)고체향수: 스테이포에버 1개 + 이그나이트 1개210207</t>
        </is>
      </c>
    </row>
    <row r="5489" ht="16.5" customHeight="1" s="17">
      <c r="L5489" s="20" t="n">
        <v>117600</v>
      </c>
      <c r="M5489" s="20" t="n">
        <v>115248</v>
      </c>
      <c r="N5489" s="20" t="n">
        <v>10368</v>
      </c>
      <c r="O5489" s="20" t="inlineStr">
        <is>
          <t>스마트스토어고체향수유즈 고체향수 세트(유즈 스테이포에버, 유즈 이그나이트)고체향수: 스테이포에버 2개210207</t>
        </is>
      </c>
    </row>
    <row r="5490" ht="16.5" customHeight="1" s="17">
      <c r="L5490" s="20" t="n">
        <v>612000</v>
      </c>
      <c r="M5490" s="20" t="n">
        <v>599760</v>
      </c>
      <c r="N5490" s="20" t="n">
        <v>46656</v>
      </c>
      <c r="O5490" s="20" t="inlineStr">
        <is>
          <t>스마트스토어고체향수유즈 고체향수 스테이포에버 002고체향수: 스테이포에버 1개210207</t>
        </is>
      </c>
    </row>
    <row r="5491" ht="16.5" customHeight="1" s="17">
      <c r="L5491" s="20" t="n">
        <v>34000</v>
      </c>
      <c r="M5491" s="20" t="n">
        <v>33320</v>
      </c>
      <c r="N5491" s="20" t="n">
        <v>2753</v>
      </c>
      <c r="O5491" s="20" t="inlineStr">
        <is>
          <t>스마트스토어고체향수유즈 고체향수 이그나이트 001고체향수: 이그나이트 1개210207</t>
        </is>
      </c>
    </row>
    <row r="5492" ht="16.5" customHeight="1" s="17">
      <c r="L5492" s="20" t="n">
        <v>34000</v>
      </c>
      <c r="M5492" s="20" t="n">
        <v>32011</v>
      </c>
      <c r="N5492" s="20" t="n">
        <v>2592</v>
      </c>
      <c r="O5492" s="20" t="inlineStr">
        <is>
          <t>카페24고체향수솔리드퍼퓸 세트향=스테이포에버 002 SOLID PERFUME, 세트 선택=1개210207</t>
        </is>
      </c>
    </row>
    <row r="5493" ht="16.5" customHeight="1" s="17">
      <c r="L5493" s="20" t="n">
        <v>470400</v>
      </c>
      <c r="M5493" s="20" t="n">
        <v>442881.6</v>
      </c>
      <c r="N5493" s="20" t="n">
        <v>41472</v>
      </c>
      <c r="O5493" s="20" t="inlineStr">
        <is>
          <t>카페24고체향수솔리드퍼퓸 세트향=스테이포에버 002 SOLID PERFUME, 세트 선택=best 2개 (28% 할인)210207</t>
        </is>
      </c>
    </row>
    <row r="5494" ht="16.5" customHeight="1" s="17">
      <c r="L5494" s="20" t="n">
        <v>470400</v>
      </c>
      <c r="M5494" s="20" t="n">
        <v>442881.6</v>
      </c>
      <c r="N5494" s="20" t="n">
        <v>42760</v>
      </c>
      <c r="O5494" s="20" t="inlineStr">
        <is>
          <t>카페24고체향수솔리드퍼퓸 세트향=커플세트(이그나이트 + 스테이포에버), 세트 선택=1 SET210207</t>
        </is>
      </c>
    </row>
    <row r="5495" ht="16.5" customHeight="1" s="17">
      <c r="L5495" s="20" t="n">
        <v>117600</v>
      </c>
      <c r="M5495" s="20" t="n">
        <v>110720.4</v>
      </c>
      <c r="N5495" s="20" t="n">
        <v>10690</v>
      </c>
      <c r="O5495" s="20" t="inlineStr">
        <is>
          <t>카페24고체향수솔리드퍼퓸 세트향=커플세트(이그나이트 + 스테이포에버), 세트 선택=2 SET (42% 할인)210207</t>
        </is>
      </c>
    </row>
    <row r="5496" ht="16.5" customHeight="1" s="17">
      <c r="L5496" s="20" t="n">
        <v>4692000</v>
      </c>
      <c r="M5496" s="20" t="n">
        <v>4417518</v>
      </c>
      <c r="N5496" s="20" t="n">
        <v>357696</v>
      </c>
      <c r="O5496" s="20" t="inlineStr">
        <is>
          <t>카페24고체향수솔리드퍼퓸 스테이포에버 002제품선택=스테이포에버 1개210207</t>
        </is>
      </c>
    </row>
    <row r="5497" ht="16.5" customHeight="1" s="17">
      <c r="L5497" s="20" t="n">
        <v>4645200</v>
      </c>
      <c r="M5497" s="20" t="n">
        <v>4373455.8</v>
      </c>
      <c r="N5497" s="20" t="n">
        <v>409536</v>
      </c>
      <c r="O5497" s="20" t="inlineStr">
        <is>
          <t>카페24고체향수솔리드퍼퓸 스테이포에버 002제품선택=best스테이포에버 2개[28% 할인]210207</t>
        </is>
      </c>
    </row>
    <row r="5498" ht="16.5" customHeight="1" s="17">
      <c r="L5498" s="20" t="n">
        <v>705600</v>
      </c>
      <c r="M5498" s="20" t="n">
        <v>664322.3999999999</v>
      </c>
      <c r="N5498" s="20" t="n">
        <v>64140</v>
      </c>
      <c r="O5498" s="20" t="inlineStr">
        <is>
          <t>카페24고체향수솔리드퍼퓸 스테이포에버 002제품선택=커플추천스테이포에버 + 이그나이트 세트210207</t>
        </is>
      </c>
    </row>
    <row r="5499" ht="16.5" customHeight="1" s="17">
      <c r="L5499" s="20" t="n">
        <v>14000</v>
      </c>
      <c r="M5499" s="20" t="n">
        <v>13181</v>
      </c>
      <c r="N5499" s="20" t="n">
        <v>5810</v>
      </c>
      <c r="O5499" s="20" t="inlineStr">
        <is>
          <t>카페24쇼핑백솔리드퍼퓸 스테이포에버 002쇼핑백=선물용 쇼핑백210207</t>
        </is>
      </c>
    </row>
    <row r="5500" ht="16.5" customHeight="1" s="17">
      <c r="L5500" s="20" t="n">
        <v>34000</v>
      </c>
      <c r="M5500" s="20" t="n">
        <v>32011</v>
      </c>
      <c r="N5500" s="20" t="n">
        <v>2753</v>
      </c>
      <c r="O5500" s="20" t="inlineStr">
        <is>
          <t>카페24고체향수솔리드퍼퓸 이그나이트 001제품선택=이그나이트 솔리드퍼퓸 - 30ml210207</t>
        </is>
      </c>
    </row>
    <row r="5501" ht="16.5" customHeight="1" s="17">
      <c r="L5501" s="20" t="n">
        <v>235200</v>
      </c>
      <c r="M5501" s="20" t="n">
        <v>221440.8</v>
      </c>
      <c r="N5501" s="20" t="n">
        <v>22024</v>
      </c>
      <c r="O5501" s="20" t="inlineStr">
        <is>
          <t>카페24고체향수솔리드퍼퓸 이그나이트 001제품선택=이그나이트 2개 세트210207</t>
        </is>
      </c>
    </row>
    <row r="5502" ht="16.5" customHeight="1" s="17">
      <c r="L5502" s="20" t="n">
        <v>58800</v>
      </c>
      <c r="M5502" s="20" t="n">
        <v>55360.2</v>
      </c>
      <c r="N5502" s="20" t="n">
        <v>5345</v>
      </c>
      <c r="O5502" s="20" t="inlineStr">
        <is>
          <t>카페24고체향수유즈 솔리드퍼퓸 세트향=커플세트(이그나이트 + 스테이포에버), 세트 선택=1 SET210207</t>
        </is>
      </c>
    </row>
    <row r="5503" ht="16.5" customHeight="1" s="17"/>
    <row r="5504" ht="16.5" customHeight="1" s="17"/>
    <row r="5505" ht="16.5" customHeight="1" s="17"/>
    <row r="5506" ht="16.5" customHeight="1" s="17"/>
    <row r="5507" ht="16.5" customHeight="1" s="17"/>
    <row r="5508" ht="16.5" customHeight="1" s="17"/>
    <row r="5509" ht="16.5" customHeight="1" s="17"/>
    <row r="5510" ht="16.5" customHeight="1" s="17"/>
    <row r="5511" ht="16.5" customHeight="1" s="17"/>
    <row r="5512" ht="16.5" customHeight="1" s="17"/>
    <row r="5513" ht="16.5" customHeight="1" s="17"/>
    <row r="5514" ht="16.5" customHeight="1" s="17"/>
    <row r="5515" ht="16.5" customHeight="1" s="17"/>
    <row r="5516" ht="16.5" customHeight="1" s="17"/>
    <row r="5517" ht="16.5" customHeight="1" s="17"/>
    <row r="5518" ht="16.5" customHeight="1" s="17"/>
    <row r="5519" ht="16.5" customHeight="1" s="17"/>
    <row r="5520" ht="16.5" customHeight="1" s="17"/>
    <row r="5521" ht="16.5" customHeight="1" s="17"/>
    <row r="5522" ht="16.5" customHeight="1" s="17"/>
    <row r="5523" ht="16.5" customHeight="1" s="17"/>
    <row r="5524" ht="16.5" customHeight="1" s="17"/>
    <row r="5525" ht="16.5" customHeight="1" s="17"/>
    <row r="5526" ht="16.5" customHeight="1" s="17"/>
    <row r="5527" ht="16.5" customHeight="1" s="17"/>
    <row r="5528" ht="16.5" customHeight="1" s="17"/>
    <row r="5529" ht="16.5" customHeight="1" s="17"/>
    <row r="5530" ht="16.5" customHeight="1" s="17"/>
    <row r="5531" ht="16.5" customHeight="1" s="17"/>
    <row r="5532" ht="16.5" customHeight="1" s="17"/>
    <row r="5533" ht="16.5" customHeight="1" s="17"/>
    <row r="5534" ht="16.5" customHeight="1" s="17"/>
    <row r="5535" ht="16.5" customHeight="1" s="17"/>
    <row r="5536" ht="16.5" customHeight="1" s="17"/>
    <row r="5537" ht="16.5" customHeight="1" s="17"/>
    <row r="5538" ht="16.5" customHeight="1" s="17"/>
    <row r="5539" ht="16.5" customHeight="1" s="17"/>
    <row r="5540" ht="16.5" customHeight="1" s="17"/>
    <row r="5541" ht="16.5" customHeight="1" s="17"/>
    <row r="5542" ht="16.5" customHeight="1" s="17"/>
    <row r="5543" ht="16.5" customHeight="1" s="17"/>
    <row r="5544" ht="16.5" customHeight="1" s="17"/>
    <row r="5545" ht="16.5" customHeight="1" s="17"/>
    <row r="5546" ht="16.5" customHeight="1" s="17"/>
    <row r="5547" ht="16.5" customHeight="1" s="17"/>
    <row r="5548" ht="16.5" customHeight="1" s="17"/>
    <row r="5549" ht="16.5" customHeight="1" s="17"/>
    <row r="5550" ht="16.5" customHeight="1" s="17"/>
    <row r="5551" ht="16.5" customHeight="1" s="17"/>
    <row r="5552" ht="16.5" customHeight="1" s="17"/>
    <row r="5553" ht="16.5" customHeight="1" s="17"/>
    <row r="5554" ht="16.5" customHeight="1" s="17"/>
    <row r="5555" ht="16.5" customHeight="1" s="17"/>
    <row r="5556" ht="16.5" customHeight="1" s="17"/>
    <row r="5557" ht="16.5" customHeight="1" s="17"/>
    <row r="5558" ht="16.5" customHeight="1" s="17"/>
    <row r="5559" ht="16.5" customHeight="1" s="17"/>
    <row r="5560" ht="16.5" customHeight="1" s="17"/>
    <row r="5561" ht="16.5" customHeight="1" s="17"/>
    <row r="5562" ht="16.5" customHeight="1" s="17"/>
    <row r="5563" ht="16.5" customHeight="1" s="17"/>
    <row r="5564" ht="16.5" customHeight="1" s="17"/>
    <row r="5565" ht="16.5" customHeight="1" s="17"/>
    <row r="5566" ht="16.5" customHeight="1" s="17"/>
    <row r="5567" ht="16.5" customHeight="1" s="17"/>
    <row r="5568" ht="16.5" customHeight="1" s="17"/>
    <row r="5569" ht="16.5" customHeight="1" s="17"/>
    <row r="5570" ht="16.5" customHeight="1" s="17"/>
    <row r="5571" ht="16.5" customHeight="1" s="17"/>
    <row r="5572" ht="16.5" customHeight="1" s="17"/>
    <row r="5573" ht="16.5" customHeight="1" s="17"/>
    <row r="5574" ht="16.5" customHeight="1" s="17"/>
    <row r="5575" ht="16.5" customHeight="1" s="17"/>
    <row r="5576" ht="16.5" customHeight="1" s="17"/>
    <row r="5577" ht="16.5" customHeight="1" s="17"/>
    <row r="5578" ht="16.5" customHeight="1" s="17"/>
    <row r="5579" ht="16.5" customHeight="1" s="17"/>
    <row r="5580" ht="16.5" customHeight="1" s="17"/>
    <row r="5581" ht="16.5" customHeight="1" s="17"/>
    <row r="5582" ht="16.5" customHeight="1" s="17"/>
    <row r="5583" ht="16.5" customHeight="1" s="17"/>
    <row r="5584" ht="16.5" customHeight="1" s="17"/>
    <row r="5585" ht="16.5" customHeight="1" s="17"/>
    <row r="5586" ht="16.5" customHeight="1" s="17"/>
    <row r="5587" ht="16.5" customHeight="1" s="17"/>
    <row r="5588" ht="16.5" customHeight="1" s="17"/>
    <row r="5589" ht="16.5" customHeight="1" s="17"/>
    <row r="5590" ht="16.5" customHeight="1" s="17"/>
    <row r="5591" ht="16.5" customHeight="1" s="17"/>
    <row r="5592" ht="16.5" customHeight="1" s="17"/>
    <row r="5593" ht="16.5" customHeight="1" s="17"/>
    <row r="5594" ht="16.5" customHeight="1" s="17"/>
    <row r="5595" ht="16.5" customHeight="1" s="17"/>
    <row r="5596" ht="16.5" customHeight="1" s="17"/>
    <row r="5597" ht="16.5" customHeight="1" s="17"/>
    <row r="5598" ht="16.5" customHeight="1" s="17"/>
    <row r="5599" ht="16.5" customHeight="1" s="17"/>
    <row r="5600" ht="16.5" customHeight="1" s="17"/>
    <row r="5601" ht="16.5" customHeight="1" s="17"/>
    <row r="5602" ht="16.5" customHeight="1" s="17"/>
    <row r="5603" ht="16.5" customHeight="1" s="17"/>
    <row r="5604" ht="16.5" customHeight="1" s="17"/>
    <row r="5605" ht="16.5" customHeight="1" s="17"/>
    <row r="5606" ht="16.5" customHeight="1" s="17"/>
    <row r="5607" ht="16.5" customHeight="1" s="17"/>
    <row r="5608" ht="16.5" customHeight="1" s="17"/>
    <row r="5609" ht="16.5" customHeight="1" s="17"/>
    <row r="5610" ht="16.5" customHeight="1" s="17"/>
    <row r="5611" ht="16.5" customHeight="1" s="17"/>
    <row r="5612" ht="16.5" customHeight="1" s="17"/>
    <row r="5613" ht="16.5" customHeight="1" s="17"/>
    <row r="5614" ht="16.5" customHeight="1" s="17"/>
    <row r="5615" ht="16.5" customHeight="1" s="17"/>
    <row r="5616" ht="16.5" customHeight="1" s="17"/>
    <row r="5617">
      <c r="A5617" s="20" t="inlineStr">
        <is>
          <t>[유튜버 수지큐]스테이포에버_카드뉴스</t>
        </is>
      </c>
      <c r="B5617" s="16" t="n">
        <v>44281</v>
      </c>
      <c r="C5617" s="20" t="inlineStr">
        <is>
          <t>금</t>
        </is>
      </c>
      <c r="D5617" s="20" t="inlineStr">
        <is>
          <t>페이스북/인스타그램</t>
        </is>
      </c>
      <c r="E5617" s="20" t="inlineStr">
        <is>
          <t>고체향수</t>
        </is>
      </c>
      <c r="K5617" s="20" t="n">
        <v>28661</v>
      </c>
    </row>
    <row r="5618">
      <c r="A5618" s="20" t="inlineStr">
        <is>
          <t>[유튜버 수지큐]스테이포에버_영상</t>
        </is>
      </c>
      <c r="B5618" s="16" t="n">
        <v>44281</v>
      </c>
      <c r="C5618" s="20" t="inlineStr">
        <is>
          <t>금</t>
        </is>
      </c>
      <c r="D5618" s="20" t="inlineStr">
        <is>
          <t>페이스북/인스타그램</t>
        </is>
      </c>
      <c r="E5618" s="20" t="inlineStr">
        <is>
          <t>고체향수</t>
        </is>
      </c>
      <c r="K5618" s="20" t="n">
        <v>57581</v>
      </c>
    </row>
    <row r="5619">
      <c r="A5619" s="20" t="inlineStr">
        <is>
          <t>[승무원]수지큐2차활용_스테이포에버_이미지</t>
        </is>
      </c>
      <c r="B5619" s="16" t="n">
        <v>44281</v>
      </c>
      <c r="C5619" s="20" t="inlineStr">
        <is>
          <t>금</t>
        </is>
      </c>
      <c r="D5619" s="20" t="inlineStr">
        <is>
          <t>페이스북/인스타그램</t>
        </is>
      </c>
      <c r="E5619" s="20" t="inlineStr">
        <is>
          <t>고체향수</t>
        </is>
      </c>
      <c r="K5619" s="20" t="n">
        <v>29001</v>
      </c>
    </row>
    <row r="5620">
      <c r="A5620" s="20" t="inlineStr">
        <is>
          <t>[다현 TEST] 스테이포에버_유즈모먼트</t>
        </is>
      </c>
      <c r="B5620" s="16" t="n">
        <v>44281</v>
      </c>
      <c r="C5620" s="20" t="inlineStr">
        <is>
          <t>금</t>
        </is>
      </c>
      <c r="D5620" s="20" t="inlineStr">
        <is>
          <t>페이스북/인스타그램</t>
        </is>
      </c>
      <c r="E5620" s="20" t="inlineStr">
        <is>
          <t>고체향수</t>
        </is>
      </c>
      <c r="K5620" s="20" t="n">
        <v>58886</v>
      </c>
    </row>
    <row r="5621">
      <c r="A5621" s="20" t="inlineStr">
        <is>
          <t>[성민 TEST] 스테이포에버_이미지</t>
        </is>
      </c>
      <c r="B5621" s="16" t="n">
        <v>44281</v>
      </c>
      <c r="C5621" s="20" t="inlineStr">
        <is>
          <t>금</t>
        </is>
      </c>
      <c r="D5621" s="20" t="inlineStr">
        <is>
          <t>페이스북/인스타그램</t>
        </is>
      </c>
      <c r="E5621" s="20" t="inlineStr">
        <is>
          <t>고체향수</t>
        </is>
      </c>
      <c r="K5621" s="20" t="n">
        <v>144443</v>
      </c>
    </row>
    <row r="5622">
      <c r="A5622" s="20" t="inlineStr">
        <is>
          <t>[승은 TEST] 스테이포에버_카드뉴스</t>
        </is>
      </c>
      <c r="B5622" s="16" t="n">
        <v>44281</v>
      </c>
      <c r="C5622" s="20" t="inlineStr">
        <is>
          <t>금</t>
        </is>
      </c>
      <c r="D5622" s="20" t="inlineStr">
        <is>
          <t>페이스북/인스타그램</t>
        </is>
      </c>
      <c r="E5622" s="20" t="inlineStr">
        <is>
          <t>고체향수</t>
        </is>
      </c>
      <c r="K5622" s="20" t="n">
        <v>58052</v>
      </c>
    </row>
    <row r="5623">
      <c r="A5623" s="20" t="inlineStr">
        <is>
          <t>[승무원 2] 스테이포에버_카드뉴스</t>
        </is>
      </c>
      <c r="B5623" s="16" t="n">
        <v>44281</v>
      </c>
      <c r="C5623" s="20" t="inlineStr">
        <is>
          <t>금</t>
        </is>
      </c>
      <c r="D5623" s="20" t="inlineStr">
        <is>
          <t>페이스북/인스타그램</t>
        </is>
      </c>
      <c r="E5623" s="20" t="inlineStr">
        <is>
          <t>고체향수</t>
        </is>
      </c>
      <c r="K5623" s="20" t="n">
        <v>97470</v>
      </c>
    </row>
    <row r="5624">
      <c r="A5624" s="20" t="inlineStr">
        <is>
          <t>[테스트]아줌마</t>
        </is>
      </c>
      <c r="B5624" s="16" t="n">
        <v>44281</v>
      </c>
      <c r="C5624" s="20" t="inlineStr">
        <is>
          <t>금</t>
        </is>
      </c>
      <c r="D5624" s="20" t="inlineStr">
        <is>
          <t>페이스북/인스타그램</t>
        </is>
      </c>
      <c r="E5624" s="20" t="inlineStr">
        <is>
          <t>고체향수</t>
        </is>
      </c>
      <c r="K5624" s="20" t="n">
        <v>105520</v>
      </c>
    </row>
    <row r="5625">
      <c r="A5625" s="20" t="inlineStr">
        <is>
          <t>[키워드 확장 테스트]스테이포에버_이미지</t>
        </is>
      </c>
      <c r="B5625" s="16" t="n">
        <v>44281</v>
      </c>
      <c r="C5625" s="20" t="inlineStr">
        <is>
          <t>금</t>
        </is>
      </c>
      <c r="D5625" s="20" t="inlineStr">
        <is>
          <t>페이스북/인스타그램</t>
        </is>
      </c>
      <c r="E5625" s="20" t="inlineStr">
        <is>
          <t>고체향수</t>
        </is>
      </c>
      <c r="K5625" s="20" t="n">
        <v>163537</v>
      </c>
    </row>
    <row r="5626">
      <c r="A5626" s="20" t="inlineStr">
        <is>
          <t>[재입고]스테이포에버_이미지</t>
        </is>
      </c>
      <c r="B5626" s="16" t="n">
        <v>44281</v>
      </c>
      <c r="C5626" s="20" t="inlineStr">
        <is>
          <t>금</t>
        </is>
      </c>
      <c r="D5626" s="20" t="inlineStr">
        <is>
          <t>페이스북/인스타그램</t>
        </is>
      </c>
      <c r="E5626" s="20" t="inlineStr">
        <is>
          <t>고체향수</t>
        </is>
      </c>
      <c r="K5626" s="20" t="n">
        <v>108756</v>
      </c>
    </row>
    <row r="5627">
      <c r="A5627" s="20" t="inlineStr">
        <is>
          <t>[승무원]숏폼_영상</t>
        </is>
      </c>
      <c r="B5627" s="16" t="n">
        <v>44281</v>
      </c>
      <c r="C5627" s="20" t="inlineStr">
        <is>
          <t>금</t>
        </is>
      </c>
      <c r="D5627" s="20" t="inlineStr">
        <is>
          <t>페이스북/인스타그램</t>
        </is>
      </c>
      <c r="E5627" s="20" t="inlineStr">
        <is>
          <t>고체향수</t>
        </is>
      </c>
      <c r="K5627" s="20" t="n">
        <v>47281</v>
      </c>
    </row>
    <row r="5628">
      <c r="A5628" s="20" t="inlineStr">
        <is>
          <t>[재입고]스테이포에버_영상</t>
        </is>
      </c>
      <c r="B5628" s="16" t="n">
        <v>44281</v>
      </c>
      <c r="C5628" s="20" t="inlineStr">
        <is>
          <t>금</t>
        </is>
      </c>
      <c r="D5628" s="20" t="inlineStr">
        <is>
          <t>페이스북/인스타그램</t>
        </is>
      </c>
      <c r="E5628" s="20" t="inlineStr">
        <is>
          <t>고체향수</t>
        </is>
      </c>
      <c r="K5628" s="20" t="n">
        <v>48409</v>
      </c>
    </row>
    <row r="5629">
      <c r="A5629" s="20" t="inlineStr">
        <is>
          <t>[젊줌마]스테이포에버_영상</t>
        </is>
      </c>
      <c r="B5629" s="16" t="n">
        <v>44281</v>
      </c>
      <c r="C5629" s="20" t="inlineStr">
        <is>
          <t>금</t>
        </is>
      </c>
      <c r="D5629" s="20" t="inlineStr">
        <is>
          <t>페이스북/인스타그램</t>
        </is>
      </c>
      <c r="E5629" s="20" t="inlineStr">
        <is>
          <t>고체향수</t>
        </is>
      </c>
      <c r="K5629" s="20" t="n">
        <v>44984</v>
      </c>
    </row>
    <row r="5630">
      <c r="A5630" s="20" t="inlineStr">
        <is>
          <t>[승무원]2019년썰 카드뉴스+ 향묘사_영상</t>
        </is>
      </c>
      <c r="B5630" s="16" t="n">
        <v>44281</v>
      </c>
      <c r="C5630" s="20" t="inlineStr">
        <is>
          <t>금</t>
        </is>
      </c>
      <c r="D5630" s="20" t="inlineStr">
        <is>
          <t>페이스북/인스타그램</t>
        </is>
      </c>
      <c r="E5630" s="20" t="inlineStr">
        <is>
          <t>고체향수</t>
        </is>
      </c>
      <c r="K5630" s="20" t="n">
        <v>47534</v>
      </c>
    </row>
    <row r="5631">
      <c r="A5631" s="20" t="inlineStr">
        <is>
          <t>[승무원어피]스테이포에버_이미지</t>
        </is>
      </c>
      <c r="B5631" s="16" t="n">
        <v>44281</v>
      </c>
      <c r="C5631" s="20" t="inlineStr">
        <is>
          <t>금</t>
        </is>
      </c>
      <c r="D5631" s="20" t="inlineStr">
        <is>
          <t>페이스북/인스타그램</t>
        </is>
      </c>
      <c r="E5631" s="20" t="inlineStr">
        <is>
          <t>고체향수</t>
        </is>
      </c>
      <c r="K5631" s="20" t="n">
        <v>95826</v>
      </c>
    </row>
    <row r="5632">
      <c r="A5632" s="20" t="inlineStr">
        <is>
          <t>[다현]스테이포에버_이미지</t>
        </is>
      </c>
      <c r="B5632" s="16" t="n">
        <v>44281</v>
      </c>
      <c r="C5632" s="20" t="inlineStr">
        <is>
          <t>금</t>
        </is>
      </c>
      <c r="D5632" s="20" t="inlineStr">
        <is>
          <t>페이스북/인스타그램</t>
        </is>
      </c>
      <c r="E5632" s="20" t="inlineStr">
        <is>
          <t>고체향수</t>
        </is>
      </c>
      <c r="K5632" s="20" t="n">
        <v>94437</v>
      </c>
    </row>
    <row r="5633">
      <c r="A5633" s="20" t="inlineStr">
        <is>
          <t>[승무원]스테이포에버_카드뉴스</t>
        </is>
      </c>
      <c r="B5633" s="16" t="n">
        <v>44281</v>
      </c>
      <c r="C5633" s="20" t="inlineStr">
        <is>
          <t>금</t>
        </is>
      </c>
      <c r="D5633" s="20" t="inlineStr">
        <is>
          <t>페이스북/인스타그램</t>
        </is>
      </c>
      <c r="E5633" s="20" t="inlineStr">
        <is>
          <t>고체향수</t>
        </is>
      </c>
      <c r="K5633" s="20" t="n">
        <v>94806</v>
      </c>
    </row>
    <row r="5634">
      <c r="A5634" s="20" t="inlineStr">
        <is>
          <t>[후기타입]스테이포에버_영상</t>
        </is>
      </c>
      <c r="B5634" s="16" t="n">
        <v>44281</v>
      </c>
      <c r="C5634" s="20" t="inlineStr">
        <is>
          <t>금</t>
        </is>
      </c>
      <c r="D5634" s="20" t="inlineStr">
        <is>
          <t>페이스북/인스타그램</t>
        </is>
      </c>
      <c r="E5634" s="20" t="inlineStr">
        <is>
          <t>고체향수</t>
        </is>
      </c>
      <c r="K5634" s="20" t="n">
        <v>145427</v>
      </c>
    </row>
    <row r="5635">
      <c r="A5635" s="20" t="inlineStr">
        <is>
          <t>전환_스테이포에버</t>
        </is>
      </c>
      <c r="B5635" s="16" t="n">
        <v>44281</v>
      </c>
      <c r="C5635" s="20" t="inlineStr">
        <is>
          <t>금</t>
        </is>
      </c>
      <c r="D5635" s="20" t="inlineStr">
        <is>
          <t>페이스북/인스타그램</t>
        </is>
      </c>
      <c r="E5635" s="20" t="inlineStr">
        <is>
          <t>고체향수</t>
        </is>
      </c>
      <c r="K5635" s="20" t="n">
        <v>48610</v>
      </c>
    </row>
    <row r="5636">
      <c r="A5636" s="20" t="inlineStr">
        <is>
          <t>[권태기커플]스테이포에버_영상</t>
        </is>
      </c>
      <c r="B5636" s="16" t="n">
        <v>44281</v>
      </c>
      <c r="C5636" s="20" t="inlineStr">
        <is>
          <t>금</t>
        </is>
      </c>
      <c r="D5636" s="20" t="inlineStr">
        <is>
          <t>페이스북/인스타그램</t>
        </is>
      </c>
      <c r="E5636" s="20" t="inlineStr">
        <is>
          <t>고체향수</t>
        </is>
      </c>
      <c r="K5636" s="20" t="n">
        <v>71322</v>
      </c>
    </row>
    <row r="5637">
      <c r="A5637" s="20" t="inlineStr">
        <is>
          <t>[유튜버 수지큐]스테이포에버_카드뉴스</t>
        </is>
      </c>
      <c r="B5637" s="16" t="n">
        <v>44282</v>
      </c>
      <c r="C5637" s="20" t="inlineStr">
        <is>
          <t>토</t>
        </is>
      </c>
      <c r="D5637" s="20" t="inlineStr">
        <is>
          <t>페이스북/인스타그램</t>
        </is>
      </c>
      <c r="E5637" s="20" t="inlineStr">
        <is>
          <t>고체향수</t>
        </is>
      </c>
      <c r="K5637" s="20" t="n">
        <v>29544</v>
      </c>
    </row>
    <row r="5638">
      <c r="A5638" s="20" t="inlineStr">
        <is>
          <t>[유튜버 수지큐]스테이포에버_영상</t>
        </is>
      </c>
      <c r="B5638" s="16" t="n">
        <v>44282</v>
      </c>
      <c r="C5638" s="20" t="inlineStr">
        <is>
          <t>토</t>
        </is>
      </c>
      <c r="D5638" s="20" t="inlineStr">
        <is>
          <t>페이스북/인스타그램</t>
        </is>
      </c>
      <c r="E5638" s="20" t="inlineStr">
        <is>
          <t>고체향수</t>
        </is>
      </c>
      <c r="K5638" s="20" t="n">
        <v>57367</v>
      </c>
    </row>
    <row r="5639">
      <c r="A5639" s="20" t="inlineStr">
        <is>
          <t>[승무원]수지큐2차활용_스테이포에버_이미지</t>
        </is>
      </c>
      <c r="B5639" s="16" t="n">
        <v>44282</v>
      </c>
      <c r="C5639" s="20" t="inlineStr">
        <is>
          <t>토</t>
        </is>
      </c>
      <c r="D5639" s="20" t="inlineStr">
        <is>
          <t>페이스북/인스타그램</t>
        </is>
      </c>
      <c r="E5639" s="20" t="inlineStr">
        <is>
          <t>고체향수</t>
        </is>
      </c>
      <c r="K5639" s="20" t="n">
        <v>30542</v>
      </c>
    </row>
    <row r="5640">
      <c r="A5640" s="20" t="inlineStr">
        <is>
          <t>[다현 TEST] 스테이포에버_유즈모먼트</t>
        </is>
      </c>
      <c r="B5640" s="16" t="n">
        <v>44282</v>
      </c>
      <c r="C5640" s="20" t="inlineStr">
        <is>
          <t>토</t>
        </is>
      </c>
      <c r="D5640" s="20" t="inlineStr">
        <is>
          <t>페이스북/인스타그램</t>
        </is>
      </c>
      <c r="E5640" s="20" t="inlineStr">
        <is>
          <t>고체향수</t>
        </is>
      </c>
      <c r="K5640" s="20" t="n">
        <v>61049</v>
      </c>
    </row>
    <row r="5641">
      <c r="A5641" s="20" t="inlineStr">
        <is>
          <t>[성민 TEST] 스테이포에버_이미지</t>
        </is>
      </c>
      <c r="B5641" s="16" t="n">
        <v>44282</v>
      </c>
      <c r="C5641" s="20" t="inlineStr">
        <is>
          <t>토</t>
        </is>
      </c>
      <c r="D5641" s="20" t="inlineStr">
        <is>
          <t>페이스북/인스타그램</t>
        </is>
      </c>
      <c r="E5641" s="20" t="inlineStr">
        <is>
          <t>고체향수</t>
        </is>
      </c>
      <c r="K5641" s="20" t="n">
        <v>151303</v>
      </c>
    </row>
    <row r="5642">
      <c r="A5642" s="20" t="inlineStr">
        <is>
          <t>[승은 TEST] 스테이포에버_카드뉴스</t>
        </is>
      </c>
      <c r="B5642" s="16" t="n">
        <v>44282</v>
      </c>
      <c r="C5642" s="20" t="inlineStr">
        <is>
          <t>토</t>
        </is>
      </c>
      <c r="D5642" s="20" t="inlineStr">
        <is>
          <t>페이스북/인스타그램</t>
        </is>
      </c>
      <c r="E5642" s="20" t="inlineStr">
        <is>
          <t>고체향수</t>
        </is>
      </c>
      <c r="K5642" s="20" t="n">
        <v>61898</v>
      </c>
    </row>
    <row r="5643">
      <c r="A5643" s="20" t="inlineStr">
        <is>
          <t>[승무원 2] 스테이포에버_카드뉴스</t>
        </is>
      </c>
      <c r="B5643" s="16" t="n">
        <v>44282</v>
      </c>
      <c r="C5643" s="20" t="inlineStr">
        <is>
          <t>토</t>
        </is>
      </c>
      <c r="D5643" s="20" t="inlineStr">
        <is>
          <t>페이스북/인스타그램</t>
        </is>
      </c>
      <c r="E5643" s="20" t="inlineStr">
        <is>
          <t>고체향수</t>
        </is>
      </c>
      <c r="K5643" s="20" t="n">
        <v>102080</v>
      </c>
    </row>
    <row r="5644">
      <c r="A5644" s="20" t="inlineStr">
        <is>
          <t>[테스트]아줌마</t>
        </is>
      </c>
      <c r="B5644" s="16" t="n">
        <v>44282</v>
      </c>
      <c r="C5644" s="20" t="inlineStr">
        <is>
          <t>토</t>
        </is>
      </c>
      <c r="D5644" s="20" t="inlineStr">
        <is>
          <t>페이스북/인스타그램</t>
        </is>
      </c>
      <c r="E5644" s="20" t="inlineStr">
        <is>
          <t>고체향수</t>
        </is>
      </c>
      <c r="K5644" s="20" t="n">
        <v>110785</v>
      </c>
    </row>
    <row r="5645">
      <c r="A5645" s="20" t="inlineStr">
        <is>
          <t>[키워드 확장 테스트]스테이포에버_이미지</t>
        </is>
      </c>
      <c r="B5645" s="16" t="n">
        <v>44282</v>
      </c>
      <c r="C5645" s="20" t="inlineStr">
        <is>
          <t>토</t>
        </is>
      </c>
      <c r="D5645" s="20" t="inlineStr">
        <is>
          <t>페이스북/인스타그램</t>
        </is>
      </c>
      <c r="E5645" s="20" t="inlineStr">
        <is>
          <t>고체향수</t>
        </is>
      </c>
      <c r="K5645" s="20" t="n">
        <v>205078</v>
      </c>
    </row>
    <row r="5646">
      <c r="A5646" s="20" t="inlineStr">
        <is>
          <t>[재입고]스테이포에버_이미지</t>
        </is>
      </c>
      <c r="B5646" s="16" t="n">
        <v>44282</v>
      </c>
      <c r="C5646" s="20" t="inlineStr">
        <is>
          <t>토</t>
        </is>
      </c>
      <c r="D5646" s="20" t="inlineStr">
        <is>
          <t>페이스북/인스타그램</t>
        </is>
      </c>
      <c r="E5646" s="20" t="inlineStr">
        <is>
          <t>고체향수</t>
        </is>
      </c>
      <c r="K5646" s="20" t="n">
        <v>137935</v>
      </c>
    </row>
    <row r="5647">
      <c r="A5647" s="20" t="inlineStr">
        <is>
          <t>[승무원]숏폼_영상</t>
        </is>
      </c>
      <c r="B5647" s="16" t="n">
        <v>44282</v>
      </c>
      <c r="C5647" s="20" t="inlineStr">
        <is>
          <t>토</t>
        </is>
      </c>
      <c r="D5647" s="20" t="inlineStr">
        <is>
          <t>페이스북/인스타그램</t>
        </is>
      </c>
      <c r="E5647" s="20" t="inlineStr">
        <is>
          <t>고체향수</t>
        </is>
      </c>
      <c r="K5647" s="20" t="n">
        <v>50626</v>
      </c>
    </row>
    <row r="5648">
      <c r="A5648" s="20" t="inlineStr">
        <is>
          <t>[재입고]스테이포에버_영상</t>
        </is>
      </c>
      <c r="B5648" s="16" t="n">
        <v>44282</v>
      </c>
      <c r="C5648" s="20" t="inlineStr">
        <is>
          <t>토</t>
        </is>
      </c>
      <c r="D5648" s="20" t="inlineStr">
        <is>
          <t>페이스북/인스타그램</t>
        </is>
      </c>
      <c r="E5648" s="20" t="inlineStr">
        <is>
          <t>고체향수</t>
        </is>
      </c>
      <c r="K5648" s="20" t="n">
        <v>51740</v>
      </c>
    </row>
    <row r="5649">
      <c r="A5649" s="20" t="inlineStr">
        <is>
          <t>[젊줌마]스테이포에버_영상</t>
        </is>
      </c>
      <c r="B5649" s="16" t="n">
        <v>44282</v>
      </c>
      <c r="C5649" s="20" t="inlineStr">
        <is>
          <t>토</t>
        </is>
      </c>
      <c r="D5649" s="20" t="inlineStr">
        <is>
          <t>페이스북/인스타그램</t>
        </is>
      </c>
      <c r="E5649" s="20" t="inlineStr">
        <is>
          <t>고체향수</t>
        </is>
      </c>
      <c r="K5649" s="20" t="n">
        <v>27387</v>
      </c>
    </row>
    <row r="5650">
      <c r="A5650" s="20" t="inlineStr">
        <is>
          <t>[승무원]2019년썰 카드뉴스+ 향묘사_영상</t>
        </is>
      </c>
      <c r="B5650" s="16" t="n">
        <v>44282</v>
      </c>
      <c r="C5650" s="20" t="inlineStr">
        <is>
          <t>토</t>
        </is>
      </c>
      <c r="D5650" s="20" t="inlineStr">
        <is>
          <t>페이스북/인스타그램</t>
        </is>
      </c>
      <c r="E5650" s="20" t="inlineStr">
        <is>
          <t>고체향수</t>
        </is>
      </c>
      <c r="K5650" s="20" t="n">
        <v>50058</v>
      </c>
    </row>
    <row r="5651">
      <c r="A5651" s="20" t="inlineStr">
        <is>
          <t>[승무원어피]스테이포에버_이미지</t>
        </is>
      </c>
      <c r="B5651" s="16" t="n">
        <v>44282</v>
      </c>
      <c r="C5651" s="20" t="inlineStr">
        <is>
          <t>토</t>
        </is>
      </c>
      <c r="D5651" s="20" t="inlineStr">
        <is>
          <t>페이스북/인스타그램</t>
        </is>
      </c>
      <c r="E5651" s="20" t="inlineStr">
        <is>
          <t>고체향수</t>
        </is>
      </c>
      <c r="K5651" s="20" t="n">
        <v>99489</v>
      </c>
    </row>
    <row r="5652">
      <c r="A5652" s="20" t="inlineStr">
        <is>
          <t>[다현]스테이포에버_이미지</t>
        </is>
      </c>
      <c r="B5652" s="16" t="n">
        <v>44282</v>
      </c>
      <c r="C5652" s="20" t="inlineStr">
        <is>
          <t>토</t>
        </is>
      </c>
      <c r="D5652" s="20" t="inlineStr">
        <is>
          <t>페이스북/인스타그램</t>
        </is>
      </c>
      <c r="E5652" s="20" t="inlineStr">
        <is>
          <t>고체향수</t>
        </is>
      </c>
      <c r="K5652" s="20" t="n">
        <v>100436</v>
      </c>
    </row>
    <row r="5653">
      <c r="A5653" s="20" t="inlineStr">
        <is>
          <t>[승무원]스테이포에버_카드뉴스</t>
        </is>
      </c>
      <c r="B5653" s="16" t="n">
        <v>44282</v>
      </c>
      <c r="C5653" s="20" t="inlineStr">
        <is>
          <t>토</t>
        </is>
      </c>
      <c r="D5653" s="20" t="inlineStr">
        <is>
          <t>페이스북/인스타그램</t>
        </is>
      </c>
      <c r="E5653" s="20" t="inlineStr">
        <is>
          <t>고체향수</t>
        </is>
      </c>
      <c r="K5653" s="20" t="n">
        <v>100614</v>
      </c>
    </row>
    <row r="5654">
      <c r="A5654" s="20" t="inlineStr">
        <is>
          <t>[후기타입]스테이포에버_영상</t>
        </is>
      </c>
      <c r="B5654" s="16" t="n">
        <v>44282</v>
      </c>
      <c r="C5654" s="20" t="inlineStr">
        <is>
          <t>토</t>
        </is>
      </c>
      <c r="D5654" s="20" t="inlineStr">
        <is>
          <t>페이스북/인스타그램</t>
        </is>
      </c>
      <c r="E5654" s="20" t="inlineStr">
        <is>
          <t>고체향수</t>
        </is>
      </c>
      <c r="K5654" s="20" t="n">
        <v>153820</v>
      </c>
    </row>
    <row r="5655">
      <c r="A5655" s="20" t="inlineStr">
        <is>
          <t>전환_스테이포에버</t>
        </is>
      </c>
      <c r="B5655" s="16" t="n">
        <v>44282</v>
      </c>
      <c r="C5655" s="20" t="inlineStr">
        <is>
          <t>토</t>
        </is>
      </c>
      <c r="D5655" s="20" t="inlineStr">
        <is>
          <t>페이스북/인스타그램</t>
        </is>
      </c>
      <c r="E5655" s="20" t="inlineStr">
        <is>
          <t>고체향수</t>
        </is>
      </c>
      <c r="K5655" s="20" t="n">
        <v>51211</v>
      </c>
    </row>
    <row r="5656">
      <c r="A5656" s="20" t="inlineStr">
        <is>
          <t>[권태기커플]스테이포에버_영상</t>
        </is>
      </c>
      <c r="B5656" s="16" t="n">
        <v>44282</v>
      </c>
      <c r="C5656" s="20" t="inlineStr">
        <is>
          <t>토</t>
        </is>
      </c>
      <c r="D5656" s="20" t="inlineStr">
        <is>
          <t>페이스북/인스타그램</t>
        </is>
      </c>
      <c r="E5656" s="20" t="inlineStr">
        <is>
          <t>고체향수</t>
        </is>
      </c>
      <c r="K5656" s="20" t="n">
        <v>74968</v>
      </c>
    </row>
    <row r="5657">
      <c r="A5657" s="20" t="inlineStr">
        <is>
          <t>[유튜버 수지큐]스테이포에버_카드뉴스</t>
        </is>
      </c>
      <c r="B5657" s="16" t="n">
        <v>44283</v>
      </c>
      <c r="C5657" s="20" t="inlineStr">
        <is>
          <t>일</t>
        </is>
      </c>
      <c r="D5657" s="20" t="inlineStr">
        <is>
          <t>페이스북/인스타그램</t>
        </is>
      </c>
      <c r="E5657" s="20" t="inlineStr">
        <is>
          <t>고체향수</t>
        </is>
      </c>
      <c r="K5657" s="20" t="n">
        <v>30266</v>
      </c>
    </row>
    <row r="5658">
      <c r="A5658" s="20" t="inlineStr">
        <is>
          <t>[유튜버 수지큐]스테이포에버_영상</t>
        </is>
      </c>
      <c r="B5658" s="16" t="n">
        <v>44283</v>
      </c>
      <c r="C5658" s="20" t="inlineStr">
        <is>
          <t>일</t>
        </is>
      </c>
      <c r="D5658" s="20" t="inlineStr">
        <is>
          <t>페이스북/인스타그램</t>
        </is>
      </c>
      <c r="E5658" s="20" t="inlineStr">
        <is>
          <t>고체향수</t>
        </is>
      </c>
      <c r="K5658" s="20" t="n">
        <v>83288</v>
      </c>
    </row>
    <row r="5659">
      <c r="A5659" s="20" t="inlineStr">
        <is>
          <t>[승무원]수지큐2차활용_스테이포에버_이미지</t>
        </is>
      </c>
      <c r="B5659" s="16" t="n">
        <v>44283</v>
      </c>
      <c r="C5659" s="20" t="inlineStr">
        <is>
          <t>일</t>
        </is>
      </c>
      <c r="D5659" s="20" t="inlineStr">
        <is>
          <t>페이스북/인스타그램</t>
        </is>
      </c>
      <c r="E5659" s="20" t="inlineStr">
        <is>
          <t>고체향수</t>
        </is>
      </c>
      <c r="K5659" s="20" t="n">
        <v>30317</v>
      </c>
    </row>
    <row r="5660">
      <c r="A5660" s="20" t="inlineStr">
        <is>
          <t>[다현 TEST] 스테이포에버_유즈모먼트</t>
        </is>
      </c>
      <c r="B5660" s="16" t="n">
        <v>44283</v>
      </c>
      <c r="C5660" s="20" t="inlineStr">
        <is>
          <t>일</t>
        </is>
      </c>
      <c r="D5660" s="20" t="inlineStr">
        <is>
          <t>페이스북/인스타그램</t>
        </is>
      </c>
      <c r="E5660" s="20" t="inlineStr">
        <is>
          <t>고체향수</t>
        </is>
      </c>
      <c r="K5660" s="20" t="n">
        <v>60500</v>
      </c>
    </row>
    <row r="5661">
      <c r="A5661" s="20" t="inlineStr">
        <is>
          <t>[성민 TEST] 스테이포에버_이미지</t>
        </is>
      </c>
      <c r="B5661" s="16" t="n">
        <v>44283</v>
      </c>
      <c r="C5661" s="20" t="inlineStr">
        <is>
          <t>일</t>
        </is>
      </c>
      <c r="D5661" s="20" t="inlineStr">
        <is>
          <t>페이스북/인스타그램</t>
        </is>
      </c>
      <c r="E5661" s="20" t="inlineStr">
        <is>
          <t>고체향수</t>
        </is>
      </c>
      <c r="K5661" s="20" t="n">
        <v>151665</v>
      </c>
    </row>
    <row r="5662">
      <c r="A5662" s="20" t="inlineStr">
        <is>
          <t>[승은 TEST] 스테이포에버_카드뉴스</t>
        </is>
      </c>
      <c r="B5662" s="16" t="n">
        <v>44283</v>
      </c>
      <c r="C5662" s="20" t="inlineStr">
        <is>
          <t>일</t>
        </is>
      </c>
      <c r="D5662" s="20" t="inlineStr">
        <is>
          <t>페이스북/인스타그램</t>
        </is>
      </c>
      <c r="E5662" s="20" t="inlineStr">
        <is>
          <t>고체향수</t>
        </is>
      </c>
      <c r="K5662" s="20" t="n">
        <v>60397</v>
      </c>
    </row>
    <row r="5663">
      <c r="A5663" s="20" t="inlineStr">
        <is>
          <t>[승무원 2] 스테이포에버_카드뉴스</t>
        </is>
      </c>
      <c r="B5663" s="16" t="n">
        <v>44283</v>
      </c>
      <c r="C5663" s="20" t="inlineStr">
        <is>
          <t>일</t>
        </is>
      </c>
      <c r="D5663" s="20" t="inlineStr">
        <is>
          <t>페이스북/인스타그램</t>
        </is>
      </c>
      <c r="E5663" s="20" t="inlineStr">
        <is>
          <t>고체향수</t>
        </is>
      </c>
      <c r="K5663" s="20" t="n">
        <v>100380</v>
      </c>
    </row>
    <row r="5664">
      <c r="A5664" s="20" t="inlineStr">
        <is>
          <t>[테스트]아줌마</t>
        </is>
      </c>
      <c r="B5664" s="16" t="n">
        <v>44283</v>
      </c>
      <c r="C5664" s="20" t="inlineStr">
        <is>
          <t>일</t>
        </is>
      </c>
      <c r="D5664" s="20" t="inlineStr">
        <is>
          <t>페이스북/인스타그램</t>
        </is>
      </c>
      <c r="E5664" s="20" t="inlineStr">
        <is>
          <t>고체향수</t>
        </is>
      </c>
      <c r="K5664" s="20" t="n">
        <v>110897</v>
      </c>
    </row>
    <row r="5665">
      <c r="A5665" s="20" t="inlineStr">
        <is>
          <t>[키워드 확장 테스트]스테이포에버_이미지</t>
        </is>
      </c>
      <c r="B5665" s="16" t="n">
        <v>44283</v>
      </c>
      <c r="C5665" s="20" t="inlineStr">
        <is>
          <t>일</t>
        </is>
      </c>
      <c r="D5665" s="20" t="inlineStr">
        <is>
          <t>페이스북/인스타그램</t>
        </is>
      </c>
      <c r="E5665" s="20" t="inlineStr">
        <is>
          <t>고체향수</t>
        </is>
      </c>
      <c r="K5665" s="20" t="n">
        <v>211373</v>
      </c>
    </row>
    <row r="5666">
      <c r="A5666" s="20" t="inlineStr">
        <is>
          <t>[재입고]스테이포에버_이미지</t>
        </is>
      </c>
      <c r="B5666" s="16" t="n">
        <v>44283</v>
      </c>
      <c r="C5666" s="20" t="inlineStr">
        <is>
          <t>일</t>
        </is>
      </c>
      <c r="D5666" s="20" t="inlineStr">
        <is>
          <t>페이스북/인스타그램</t>
        </is>
      </c>
      <c r="E5666" s="20" t="inlineStr">
        <is>
          <t>고체향수</t>
        </is>
      </c>
      <c r="K5666" s="20" t="n">
        <v>150489</v>
      </c>
    </row>
    <row r="5667">
      <c r="A5667" s="20" t="inlineStr">
        <is>
          <t>[승무원]숏폼_영상</t>
        </is>
      </c>
      <c r="B5667" s="16" t="n">
        <v>44283</v>
      </c>
      <c r="C5667" s="20" t="inlineStr">
        <is>
          <t>일</t>
        </is>
      </c>
      <c r="D5667" s="20" t="inlineStr">
        <is>
          <t>페이스북/인스타그램</t>
        </is>
      </c>
      <c r="E5667" s="20" t="inlineStr">
        <is>
          <t>고체향수</t>
        </is>
      </c>
      <c r="K5667" s="20" t="n">
        <v>50440</v>
      </c>
    </row>
    <row r="5668">
      <c r="A5668" s="20" t="inlineStr">
        <is>
          <t>[재입고]스테이포에버_영상</t>
        </is>
      </c>
      <c r="B5668" s="16" t="n">
        <v>44283</v>
      </c>
      <c r="C5668" s="20" t="inlineStr">
        <is>
          <t>일</t>
        </is>
      </c>
      <c r="D5668" s="20" t="inlineStr">
        <is>
          <t>페이스북/인스타그램</t>
        </is>
      </c>
      <c r="E5668" s="20" t="inlineStr">
        <is>
          <t>고체향수</t>
        </is>
      </c>
      <c r="K5668" s="20" t="n">
        <v>50346</v>
      </c>
    </row>
    <row r="5669">
      <c r="A5669" s="20" t="inlineStr">
        <is>
          <t>[젊줌마]스테이포에버_영상</t>
        </is>
      </c>
      <c r="B5669" s="16" t="n">
        <v>44283</v>
      </c>
      <c r="C5669" s="20" t="inlineStr">
        <is>
          <t>일</t>
        </is>
      </c>
      <c r="D5669" s="20" t="inlineStr">
        <is>
          <t>페이스북/인스타그램</t>
        </is>
      </c>
      <c r="E5669" s="20" t="inlineStr">
        <is>
          <t>고체향수</t>
        </is>
      </c>
      <c r="K5669" s="20" t="n">
        <v>30174</v>
      </c>
    </row>
    <row r="5670">
      <c r="A5670" s="20" t="inlineStr">
        <is>
          <t>[승무원]2019년썰 카드뉴스+ 향묘사_영상</t>
        </is>
      </c>
      <c r="B5670" s="16" t="n">
        <v>44283</v>
      </c>
      <c r="C5670" s="20" t="inlineStr">
        <is>
          <t>일</t>
        </is>
      </c>
      <c r="D5670" s="20" t="inlineStr">
        <is>
          <t>페이스북/인스타그램</t>
        </is>
      </c>
      <c r="E5670" s="20" t="inlineStr">
        <is>
          <t>고체향수</t>
        </is>
      </c>
      <c r="K5670" s="20" t="n">
        <v>50471</v>
      </c>
    </row>
    <row r="5671">
      <c r="A5671" s="20" t="inlineStr">
        <is>
          <t>[승무원어피]스테이포에버_이미지</t>
        </is>
      </c>
      <c r="B5671" s="16" t="n">
        <v>44283</v>
      </c>
      <c r="C5671" s="20" t="inlineStr">
        <is>
          <t>일</t>
        </is>
      </c>
      <c r="D5671" s="20" t="inlineStr">
        <is>
          <t>페이스북/인스타그램</t>
        </is>
      </c>
      <c r="E5671" s="20" t="inlineStr">
        <is>
          <t>고체향수</t>
        </is>
      </c>
      <c r="K5671" s="20" t="n">
        <v>100800</v>
      </c>
    </row>
    <row r="5672">
      <c r="A5672" s="20" t="inlineStr">
        <is>
          <t>[다현]스테이포에버_이미지</t>
        </is>
      </c>
      <c r="B5672" s="16" t="n">
        <v>44283</v>
      </c>
      <c r="C5672" s="20" t="inlineStr">
        <is>
          <t>일</t>
        </is>
      </c>
      <c r="D5672" s="20" t="inlineStr">
        <is>
          <t>페이스북/인스타그램</t>
        </is>
      </c>
      <c r="E5672" s="20" t="inlineStr">
        <is>
          <t>고체향수</t>
        </is>
      </c>
      <c r="K5672" s="20" t="n">
        <v>100446</v>
      </c>
    </row>
    <row r="5673">
      <c r="A5673" s="20" t="inlineStr">
        <is>
          <t>[승무원]스테이포에버_카드뉴스</t>
        </is>
      </c>
      <c r="B5673" s="16" t="n">
        <v>44283</v>
      </c>
      <c r="C5673" s="20" t="inlineStr">
        <is>
          <t>일</t>
        </is>
      </c>
      <c r="D5673" s="20" t="inlineStr">
        <is>
          <t>페이스북/인스타그램</t>
        </is>
      </c>
      <c r="E5673" s="20" t="inlineStr">
        <is>
          <t>고체향수</t>
        </is>
      </c>
      <c r="K5673" s="20" t="n">
        <v>100332</v>
      </c>
    </row>
    <row r="5674">
      <c r="A5674" s="20" t="inlineStr">
        <is>
          <t>[후기타입]스테이포에버_영상</t>
        </is>
      </c>
      <c r="B5674" s="16" t="n">
        <v>44283</v>
      </c>
      <c r="C5674" s="20" t="inlineStr">
        <is>
          <t>일</t>
        </is>
      </c>
      <c r="D5674" s="20" t="inlineStr">
        <is>
          <t>페이스북/인스타그램</t>
        </is>
      </c>
      <c r="E5674" s="20" t="inlineStr">
        <is>
          <t>고체향수</t>
        </is>
      </c>
      <c r="K5674" s="20" t="n">
        <v>150120</v>
      </c>
    </row>
    <row r="5675">
      <c r="A5675" s="20" t="inlineStr">
        <is>
          <t>전환_스테이포에버</t>
        </is>
      </c>
      <c r="B5675" s="16" t="n">
        <v>44283</v>
      </c>
      <c r="C5675" s="20" t="inlineStr">
        <is>
          <t>일</t>
        </is>
      </c>
      <c r="D5675" s="20" t="inlineStr">
        <is>
          <t>페이스북/인스타그램</t>
        </is>
      </c>
      <c r="E5675" s="20" t="inlineStr">
        <is>
          <t>고체향수</t>
        </is>
      </c>
      <c r="K5675" s="20" t="n">
        <v>50267</v>
      </c>
    </row>
    <row r="5676">
      <c r="A5676" s="20" t="inlineStr">
        <is>
          <t>[권태기커플]스테이포에버_영상</t>
        </is>
      </c>
      <c r="B5676" s="16" t="n">
        <v>44283</v>
      </c>
      <c r="C5676" s="20" t="inlineStr">
        <is>
          <t>일</t>
        </is>
      </c>
      <c r="D5676" s="20" t="inlineStr">
        <is>
          <t>페이스북/인스타그램</t>
        </is>
      </c>
      <c r="E5676" s="20" t="inlineStr">
        <is>
          <t>고체향수</t>
        </is>
      </c>
      <c r="K5676" s="20" t="n">
        <v>75124</v>
      </c>
    </row>
    <row r="5677">
      <c r="A5677" s="20" t="inlineStr">
        <is>
          <t>웹사이트 트래픽 서치</t>
        </is>
      </c>
      <c r="B5677" s="16" t="n">
        <v>44281</v>
      </c>
      <c r="C5677" s="20" t="inlineStr">
        <is>
          <t>금</t>
        </is>
      </c>
      <c r="D5677" s="20" t="inlineStr">
        <is>
          <t>유튜브 광고</t>
        </is>
      </c>
      <c r="E5677" s="20" t="inlineStr">
        <is>
          <t>고체향수</t>
        </is>
      </c>
      <c r="K5677" s="20" t="n">
        <v>45824</v>
      </c>
    </row>
    <row r="5678">
      <c r="A5678" s="20" t="inlineStr">
        <is>
          <t>동영상캠페인_승무원_보이는 라디오(cpa)</t>
        </is>
      </c>
      <c r="B5678" s="16" t="n">
        <v>44281</v>
      </c>
      <c r="C5678" s="20" t="inlineStr">
        <is>
          <t>금</t>
        </is>
      </c>
      <c r="D5678" s="20" t="inlineStr">
        <is>
          <t>유튜브 광고</t>
        </is>
      </c>
      <c r="E5678" s="20" t="inlineStr">
        <is>
          <t>고체향수</t>
        </is>
      </c>
      <c r="K5678" s="20" t="n">
        <v>196965</v>
      </c>
    </row>
    <row r="5679">
      <c r="A5679" s="20" t="inlineStr">
        <is>
          <t>디스커버리 배너_승무원,할인_리마케팅</t>
        </is>
      </c>
      <c r="B5679" s="16" t="n">
        <v>44281</v>
      </c>
      <c r="C5679" s="20" t="inlineStr">
        <is>
          <t>금</t>
        </is>
      </c>
      <c r="D5679" s="20" t="inlineStr">
        <is>
          <t>유튜브 광고</t>
        </is>
      </c>
      <c r="E5679" s="20" t="inlineStr">
        <is>
          <t>고체향수</t>
        </is>
      </c>
      <c r="K5679" s="20" t="n">
        <v>326489</v>
      </c>
    </row>
    <row r="5680">
      <c r="A5680" s="20" t="inlineStr">
        <is>
          <t>동영상캠페인_승무원_써니스카이</t>
        </is>
      </c>
      <c r="B5680" s="16" t="n">
        <v>44281</v>
      </c>
      <c r="C5680" s="20" t="inlineStr">
        <is>
          <t>금</t>
        </is>
      </c>
      <c r="D5680" s="20" t="inlineStr">
        <is>
          <t>유튜브 광고</t>
        </is>
      </c>
      <c r="E5680" s="20" t="inlineStr">
        <is>
          <t>고체향수</t>
        </is>
      </c>
      <c r="K5680" s="20" t="n">
        <v>900130</v>
      </c>
    </row>
    <row r="5681">
      <c r="A5681" s="20" t="inlineStr">
        <is>
          <t>동영상캠페인_필라테스_자기관리(타겟 cpa)</t>
        </is>
      </c>
      <c r="B5681" s="16" t="n">
        <v>44281</v>
      </c>
      <c r="C5681" s="20" t="inlineStr">
        <is>
          <t>금</t>
        </is>
      </c>
      <c r="D5681" s="20" t="inlineStr">
        <is>
          <t>유튜브 광고</t>
        </is>
      </c>
      <c r="E5681" s="20" t="inlineStr">
        <is>
          <t>고체향수</t>
        </is>
      </c>
      <c r="K5681" s="20" t="n">
        <v>155100</v>
      </c>
    </row>
    <row r="5682">
      <c r="A5682" s="20" t="inlineStr">
        <is>
          <t>동영상캠페인_승무원_비누향 나는 승무원에게(cpa)</t>
        </is>
      </c>
      <c r="B5682" s="16" t="n">
        <v>44281</v>
      </c>
      <c r="C5682" s="20" t="inlineStr">
        <is>
          <t>금</t>
        </is>
      </c>
      <c r="D5682" s="20" t="inlineStr">
        <is>
          <t>유튜브 광고</t>
        </is>
      </c>
      <c r="E5682" s="20" t="inlineStr">
        <is>
          <t>고체향수</t>
        </is>
      </c>
      <c r="K5682" s="20" t="n">
        <v>98372</v>
      </c>
    </row>
    <row r="5683">
      <c r="A5683" s="20" t="inlineStr">
        <is>
          <t>동영상캠페인_유즈모먼트_2차_30대 여성 회사원(cpa)</t>
        </is>
      </c>
      <c r="B5683" s="16" t="n">
        <v>44281</v>
      </c>
      <c r="C5683" s="20" t="inlineStr">
        <is>
          <t>금</t>
        </is>
      </c>
      <c r="D5683" s="20" t="inlineStr">
        <is>
          <t>유튜브 광고</t>
        </is>
      </c>
      <c r="E5683" s="20" t="inlineStr">
        <is>
          <t>고체향수</t>
        </is>
      </c>
      <c r="K5683" s="20" t="n">
        <v>191963</v>
      </c>
    </row>
    <row r="5684">
      <c r="A5684" s="20" t="inlineStr">
        <is>
          <t>동영상캠페인_유즈모먼트_조향사 친구(cpa)</t>
        </is>
      </c>
      <c r="B5684" s="16" t="n">
        <v>44281</v>
      </c>
      <c r="C5684" s="20" t="inlineStr">
        <is>
          <t>금</t>
        </is>
      </c>
      <c r="D5684" s="20" t="inlineStr">
        <is>
          <t>유튜브 광고</t>
        </is>
      </c>
      <c r="E5684" s="20" t="inlineStr">
        <is>
          <t>고체향수</t>
        </is>
      </c>
      <c r="K5684" s="20" t="n">
        <v>81050</v>
      </c>
    </row>
    <row r="5685">
      <c r="A5685" s="20" t="inlineStr">
        <is>
          <t>동영상 캠페인_유튜버 수지큐 2차활용</t>
        </is>
      </c>
      <c r="B5685" s="16" t="n">
        <v>44281</v>
      </c>
      <c r="C5685" s="20" t="inlineStr">
        <is>
          <t>금</t>
        </is>
      </c>
      <c r="D5685" s="20" t="inlineStr">
        <is>
          <t>유튜브 광고</t>
        </is>
      </c>
      <c r="E5685" s="20" t="inlineStr">
        <is>
          <t>고체향수</t>
        </is>
      </c>
      <c r="K5685" s="20" t="n">
        <v>99302</v>
      </c>
    </row>
    <row r="5686">
      <c r="A5686" s="20" t="inlineStr">
        <is>
          <t>동영상캠페인_유즈모먼트_4화_강한향대신</t>
        </is>
      </c>
      <c r="B5686" s="16" t="n">
        <v>44281</v>
      </c>
      <c r="C5686" s="20" t="inlineStr">
        <is>
          <t>금</t>
        </is>
      </c>
      <c r="D5686" s="20" t="inlineStr">
        <is>
          <t>유튜브 광고</t>
        </is>
      </c>
      <c r="E5686" s="20" t="inlineStr">
        <is>
          <t>고체향수</t>
        </is>
      </c>
      <c r="K5686" s="20" t="n">
        <v>100054</v>
      </c>
    </row>
    <row r="5687">
      <c r="A5687" s="20" t="inlineStr">
        <is>
          <t>웹사이트 트래픽 서치</t>
        </is>
      </c>
      <c r="B5687" s="16" t="n">
        <v>44282</v>
      </c>
      <c r="C5687" s="20" t="inlineStr">
        <is>
          <t>토</t>
        </is>
      </c>
      <c r="D5687" s="20" t="inlineStr">
        <is>
          <t>유튜브 광고</t>
        </is>
      </c>
      <c r="E5687" s="20" t="inlineStr">
        <is>
          <t>고체향수</t>
        </is>
      </c>
      <c r="K5687" s="20" t="n">
        <v>67994</v>
      </c>
    </row>
    <row r="5688">
      <c r="A5688" s="20" t="inlineStr">
        <is>
          <t>동영상캠페인_승무원_보이는 라디오(cpa)</t>
        </is>
      </c>
      <c r="B5688" s="16" t="n">
        <v>44282</v>
      </c>
      <c r="C5688" s="20" t="inlineStr">
        <is>
          <t>토</t>
        </is>
      </c>
      <c r="D5688" s="20" t="inlineStr">
        <is>
          <t>유튜브 광고</t>
        </is>
      </c>
      <c r="E5688" s="20" t="inlineStr">
        <is>
          <t>고체향수</t>
        </is>
      </c>
      <c r="K5688" s="20" t="n">
        <v>197250</v>
      </c>
    </row>
    <row r="5689">
      <c r="A5689" s="20" t="inlineStr">
        <is>
          <t>디스커버리 배너_승무원,할인_리마케팅</t>
        </is>
      </c>
      <c r="B5689" s="16" t="n">
        <v>44282</v>
      </c>
      <c r="C5689" s="20" t="inlineStr">
        <is>
          <t>토</t>
        </is>
      </c>
      <c r="D5689" s="20" t="inlineStr">
        <is>
          <t>유튜브 광고</t>
        </is>
      </c>
      <c r="E5689" s="20" t="inlineStr">
        <is>
          <t>고체향수</t>
        </is>
      </c>
      <c r="K5689" s="20" t="n">
        <v>475908</v>
      </c>
    </row>
    <row r="5690">
      <c r="A5690" s="20" t="inlineStr">
        <is>
          <t>동영상캠페인_승무원_써니스카이</t>
        </is>
      </c>
      <c r="B5690" s="16" t="n">
        <v>44282</v>
      </c>
      <c r="C5690" s="20" t="inlineStr">
        <is>
          <t>토</t>
        </is>
      </c>
      <c r="D5690" s="20" t="inlineStr">
        <is>
          <t>유튜브 광고</t>
        </is>
      </c>
      <c r="E5690" s="20" t="inlineStr">
        <is>
          <t>고체향수</t>
        </is>
      </c>
      <c r="K5690" s="20" t="n">
        <v>1081941</v>
      </c>
    </row>
    <row r="5691">
      <c r="A5691" s="20" t="inlineStr">
        <is>
          <t>동영상캠페인_필라테스_자기관리(타겟 cpa)</t>
        </is>
      </c>
      <c r="B5691" s="16" t="n">
        <v>44282</v>
      </c>
      <c r="C5691" s="20" t="inlineStr">
        <is>
          <t>토</t>
        </is>
      </c>
      <c r="D5691" s="20" t="inlineStr">
        <is>
          <t>유튜브 광고</t>
        </is>
      </c>
      <c r="E5691" s="20" t="inlineStr">
        <is>
          <t>고체향수</t>
        </is>
      </c>
      <c r="K5691" s="20" t="n">
        <v>140837</v>
      </c>
    </row>
    <row r="5692">
      <c r="A5692" s="20" t="inlineStr">
        <is>
          <t>동영상캠페인_승무원_비누향 나는 승무원에게(cpa)</t>
        </is>
      </c>
      <c r="B5692" s="16" t="n">
        <v>44282</v>
      </c>
      <c r="C5692" s="20" t="inlineStr">
        <is>
          <t>토</t>
        </is>
      </c>
      <c r="D5692" s="20" t="inlineStr">
        <is>
          <t>유튜브 광고</t>
        </is>
      </c>
      <c r="E5692" s="20" t="inlineStr">
        <is>
          <t>고체향수</t>
        </is>
      </c>
      <c r="K5692" s="20" t="n">
        <v>85433</v>
      </c>
    </row>
    <row r="5693">
      <c r="A5693" s="20" t="inlineStr">
        <is>
          <t>동영상캠페인_유즈모먼트_2차_30대 여성 회사원(cpa)</t>
        </is>
      </c>
      <c r="B5693" s="16" t="n">
        <v>44282</v>
      </c>
      <c r="C5693" s="20" t="inlineStr">
        <is>
          <t>토</t>
        </is>
      </c>
      <c r="D5693" s="20" t="inlineStr">
        <is>
          <t>유튜브 광고</t>
        </is>
      </c>
      <c r="E5693" s="20" t="inlineStr">
        <is>
          <t>고체향수</t>
        </is>
      </c>
      <c r="K5693" s="20" t="n">
        <v>199462</v>
      </c>
    </row>
    <row r="5694">
      <c r="A5694" s="20" t="inlineStr">
        <is>
          <t>동영상캠페인_유즈모먼트_조향사 친구(cpa)</t>
        </is>
      </c>
      <c r="B5694" s="16" t="n">
        <v>44282</v>
      </c>
      <c r="C5694" s="20" t="inlineStr">
        <is>
          <t>토</t>
        </is>
      </c>
      <c r="D5694" s="20" t="inlineStr">
        <is>
          <t>유튜브 광고</t>
        </is>
      </c>
      <c r="E5694" s="20" t="inlineStr">
        <is>
          <t>고체향수</t>
        </is>
      </c>
      <c r="K5694" s="20" t="n">
        <v>125387</v>
      </c>
    </row>
    <row r="5695">
      <c r="A5695" s="20" t="inlineStr">
        <is>
          <t>동영상 캠페인_유튜버 수지큐 2차활용</t>
        </is>
      </c>
      <c r="B5695" s="16" t="n">
        <v>44282</v>
      </c>
      <c r="C5695" s="20" t="inlineStr">
        <is>
          <t>토</t>
        </is>
      </c>
      <c r="D5695" s="20" t="inlineStr">
        <is>
          <t>유튜브 광고</t>
        </is>
      </c>
      <c r="E5695" s="20" t="inlineStr">
        <is>
          <t>고체향수</t>
        </is>
      </c>
      <c r="K5695" s="20" t="n">
        <v>97492</v>
      </c>
    </row>
    <row r="5696">
      <c r="A5696" s="20" t="inlineStr">
        <is>
          <t>동영상캠페인_유즈모먼트_4화_강한향대신</t>
        </is>
      </c>
      <c r="B5696" s="16" t="n">
        <v>44282</v>
      </c>
      <c r="C5696" s="20" t="inlineStr">
        <is>
          <t>토</t>
        </is>
      </c>
      <c r="D5696" s="20" t="inlineStr">
        <is>
          <t>유튜브 광고</t>
        </is>
      </c>
      <c r="E5696" s="20" t="inlineStr">
        <is>
          <t>고체향수</t>
        </is>
      </c>
      <c r="K5696" s="20" t="n">
        <v>99903</v>
      </c>
    </row>
    <row r="5697">
      <c r="A5697" s="20" t="inlineStr">
        <is>
          <t>웹사이트 트래픽 서치</t>
        </is>
      </c>
      <c r="B5697" s="16" t="n">
        <v>44283</v>
      </c>
      <c r="C5697" s="20" t="inlineStr">
        <is>
          <t>일</t>
        </is>
      </c>
      <c r="D5697" s="20" t="inlineStr">
        <is>
          <t>유튜브 광고</t>
        </is>
      </c>
      <c r="E5697" s="20" t="inlineStr">
        <is>
          <t>고체향수</t>
        </is>
      </c>
      <c r="K5697" s="20" t="n">
        <v>46669</v>
      </c>
    </row>
    <row r="5698">
      <c r="A5698" s="20" t="inlineStr">
        <is>
          <t>동영상캠페인_승무원_보이는 라디오(cpa)</t>
        </is>
      </c>
      <c r="B5698" s="16" t="n">
        <v>44283</v>
      </c>
      <c r="C5698" s="20" t="inlineStr">
        <is>
          <t>일</t>
        </is>
      </c>
      <c r="D5698" s="20" t="inlineStr">
        <is>
          <t>유튜브 광고</t>
        </is>
      </c>
      <c r="E5698" s="20" t="inlineStr">
        <is>
          <t>고체향수</t>
        </is>
      </c>
      <c r="K5698" s="20" t="n">
        <v>135893</v>
      </c>
    </row>
    <row r="5699">
      <c r="A5699" s="20" t="inlineStr">
        <is>
          <t>디스커버리 배너_승무원,할인_리마케팅</t>
        </is>
      </c>
      <c r="B5699" s="16" t="n">
        <v>44283</v>
      </c>
      <c r="C5699" s="20" t="inlineStr">
        <is>
          <t>일</t>
        </is>
      </c>
      <c r="D5699" s="20" t="inlineStr">
        <is>
          <t>유튜브 광고</t>
        </is>
      </c>
      <c r="E5699" s="20" t="inlineStr">
        <is>
          <t>고체향수</t>
        </is>
      </c>
      <c r="K5699" s="20" t="n">
        <v>556418</v>
      </c>
    </row>
    <row r="5700">
      <c r="A5700" s="20" t="inlineStr">
        <is>
          <t>동영상캠페인_승무원_써니스카이</t>
        </is>
      </c>
      <c r="B5700" s="16" t="n">
        <v>44283</v>
      </c>
      <c r="C5700" s="20" t="inlineStr">
        <is>
          <t>일</t>
        </is>
      </c>
      <c r="D5700" s="20" t="inlineStr">
        <is>
          <t>유튜브 광고</t>
        </is>
      </c>
      <c r="E5700" s="20" t="inlineStr">
        <is>
          <t>고체향수</t>
        </is>
      </c>
      <c r="K5700" s="20" t="n">
        <v>1600207</v>
      </c>
    </row>
    <row r="5701">
      <c r="A5701" s="20" t="inlineStr">
        <is>
          <t>동영상캠페인_필라테스_자기관리(타겟 cpa)</t>
        </is>
      </c>
      <c r="B5701" s="16" t="n">
        <v>44283</v>
      </c>
      <c r="C5701" s="20" t="inlineStr">
        <is>
          <t>일</t>
        </is>
      </c>
      <c r="D5701" s="20" t="inlineStr">
        <is>
          <t>유튜브 광고</t>
        </is>
      </c>
      <c r="E5701" s="20" t="inlineStr">
        <is>
          <t>고체향수</t>
        </is>
      </c>
      <c r="K5701" s="20" t="n">
        <v>113816</v>
      </c>
    </row>
    <row r="5702">
      <c r="A5702" s="20" t="inlineStr">
        <is>
          <t>동영상캠페인_승무원_비누향 나는 승무원에게(cpa)</t>
        </is>
      </c>
      <c r="B5702" s="16" t="n">
        <v>44283</v>
      </c>
      <c r="C5702" s="20" t="inlineStr">
        <is>
          <t>일</t>
        </is>
      </c>
      <c r="D5702" s="20" t="inlineStr">
        <is>
          <t>유튜브 광고</t>
        </is>
      </c>
      <c r="E5702" s="20" t="inlineStr">
        <is>
          <t>고체향수</t>
        </is>
      </c>
      <c r="K5702" s="20" t="n">
        <v>87138</v>
      </c>
    </row>
    <row r="5703">
      <c r="A5703" s="20" t="inlineStr">
        <is>
          <t>동영상캠페인_유즈모먼트_2차_30대 여성 회사원(cpa)</t>
        </is>
      </c>
      <c r="B5703" s="16" t="n">
        <v>44283</v>
      </c>
      <c r="C5703" s="20" t="inlineStr">
        <is>
          <t>일</t>
        </is>
      </c>
      <c r="D5703" s="20" t="inlineStr">
        <is>
          <t>유튜브 광고</t>
        </is>
      </c>
      <c r="E5703" s="20" t="inlineStr">
        <is>
          <t>고체향수</t>
        </is>
      </c>
      <c r="K5703" s="20" t="n">
        <v>166938</v>
      </c>
    </row>
    <row r="5704">
      <c r="A5704" s="20" t="inlineStr">
        <is>
          <t>동영상캠페인_유즈모먼트_조향사 친구(cpa)</t>
        </is>
      </c>
      <c r="B5704" s="16" t="n">
        <v>44283</v>
      </c>
      <c r="C5704" s="20" t="inlineStr">
        <is>
          <t>일</t>
        </is>
      </c>
      <c r="D5704" s="20" t="inlineStr">
        <is>
          <t>유튜브 광고</t>
        </is>
      </c>
      <c r="E5704" s="20" t="inlineStr">
        <is>
          <t>고체향수</t>
        </is>
      </c>
      <c r="K5704" s="20" t="n">
        <v>105559</v>
      </c>
    </row>
    <row r="5705">
      <c r="A5705" s="20" t="inlineStr">
        <is>
          <t>동영상 캠페인_유튜버 수지큐 2차활용</t>
        </is>
      </c>
      <c r="B5705" s="16" t="n">
        <v>44283</v>
      </c>
      <c r="C5705" s="20" t="inlineStr">
        <is>
          <t>일</t>
        </is>
      </c>
      <c r="D5705" s="20" t="inlineStr">
        <is>
          <t>유튜브 광고</t>
        </is>
      </c>
      <c r="E5705" s="20" t="inlineStr">
        <is>
          <t>고체향수</t>
        </is>
      </c>
      <c r="K5705" s="20" t="n">
        <v>97608</v>
      </c>
    </row>
    <row r="5706">
      <c r="A5706" s="20" t="inlineStr">
        <is>
          <t>동영상캠페인_유즈모먼트_4화_강한향대신</t>
        </is>
      </c>
      <c r="B5706" s="16" t="n">
        <v>44283</v>
      </c>
      <c r="C5706" s="20" t="inlineStr">
        <is>
          <t>일</t>
        </is>
      </c>
      <c r="D5706" s="20" t="inlineStr">
        <is>
          <t>유튜브 광고</t>
        </is>
      </c>
      <c r="E5706" s="20" t="inlineStr">
        <is>
          <t>고체향수</t>
        </is>
      </c>
      <c r="K5706" s="20" t="n">
        <v>99838</v>
      </c>
    </row>
    <row r="5707">
      <c r="A5707" s="20" t="inlineStr">
        <is>
          <t>메인키워드</t>
        </is>
      </c>
      <c r="B5707" s="16" t="n">
        <v>44283</v>
      </c>
      <c r="C5707" s="20" t="inlineStr">
        <is>
          <t>일</t>
        </is>
      </c>
      <c r="D5707" s="20" t="inlineStr">
        <is>
          <t>네이버 쇼핑검색</t>
        </is>
      </c>
      <c r="E5707" s="20" t="inlineStr">
        <is>
          <t>고체향수</t>
        </is>
      </c>
      <c r="K5707" s="20" t="n">
        <v>14090</v>
      </c>
    </row>
    <row r="5708">
      <c r="A5708" s="20" t="inlineStr">
        <is>
          <t>세부키워드3</t>
        </is>
      </c>
      <c r="B5708" s="16" t="n">
        <v>44283</v>
      </c>
      <c r="C5708" s="20" t="inlineStr">
        <is>
          <t>일</t>
        </is>
      </c>
      <c r="D5708" s="20" t="inlineStr">
        <is>
          <t>네이버 쇼핑검색</t>
        </is>
      </c>
      <c r="E5708" s="20" t="inlineStr">
        <is>
          <t>고체향수</t>
        </is>
      </c>
      <c r="K5708" s="20" t="n">
        <v>121850</v>
      </c>
    </row>
    <row r="5709">
      <c r="A5709" s="20" t="inlineStr">
        <is>
          <t>모바일 브검</t>
        </is>
      </c>
      <c r="B5709" s="16" t="n">
        <v>44283</v>
      </c>
      <c r="C5709" s="20" t="inlineStr">
        <is>
          <t>일</t>
        </is>
      </c>
      <c r="D5709" s="20" t="inlineStr">
        <is>
          <t>네이버 브랜드검색</t>
        </is>
      </c>
      <c r="E5709" s="20" t="inlineStr">
        <is>
          <t>브랜드</t>
        </is>
      </c>
      <c r="K5709" s="20" t="n">
        <v>140000</v>
      </c>
    </row>
    <row r="5710">
      <c r="A5710" s="20" t="inlineStr">
        <is>
          <t>PC 브랜드검색</t>
        </is>
      </c>
      <c r="B5710" s="16" t="n">
        <v>44283</v>
      </c>
      <c r="C5710" s="20" t="inlineStr">
        <is>
          <t>일</t>
        </is>
      </c>
      <c r="D5710" s="20" t="inlineStr">
        <is>
          <t>네이버 브랜드검색</t>
        </is>
      </c>
      <c r="E5710" s="20" t="inlineStr">
        <is>
          <t>브랜드</t>
        </is>
      </c>
      <c r="K5710" s="20" t="n">
        <v>16700</v>
      </c>
    </row>
    <row r="5711">
      <c r="A5711" s="20" t="inlineStr">
        <is>
          <t>메인키워드</t>
        </is>
      </c>
      <c r="B5711" s="16" t="n">
        <v>44282</v>
      </c>
      <c r="C5711" s="20" t="inlineStr">
        <is>
          <t>토</t>
        </is>
      </c>
      <c r="D5711" s="20" t="inlineStr">
        <is>
          <t>네이버 쇼핑검색</t>
        </is>
      </c>
      <c r="E5711" s="20" t="inlineStr">
        <is>
          <t>고체향수</t>
        </is>
      </c>
      <c r="K5711" s="20" t="n">
        <v>9130</v>
      </c>
    </row>
    <row r="5712">
      <c r="A5712" s="20" t="inlineStr">
        <is>
          <t>세부키워드3</t>
        </is>
      </c>
      <c r="B5712" s="16" t="n">
        <v>44282</v>
      </c>
      <c r="C5712" s="20" t="inlineStr">
        <is>
          <t>토</t>
        </is>
      </c>
      <c r="D5712" s="20" t="inlineStr">
        <is>
          <t>네이버 쇼핑검색</t>
        </is>
      </c>
      <c r="E5712" s="20" t="inlineStr">
        <is>
          <t>고체향수</t>
        </is>
      </c>
      <c r="K5712" s="20" t="n">
        <v>128690</v>
      </c>
    </row>
    <row r="5713">
      <c r="A5713" s="20" t="inlineStr">
        <is>
          <t>모바일 브검</t>
        </is>
      </c>
      <c r="B5713" s="16" t="n">
        <v>44282</v>
      </c>
      <c r="C5713" s="20" t="inlineStr">
        <is>
          <t>토</t>
        </is>
      </c>
      <c r="D5713" s="20" t="inlineStr">
        <is>
          <t>네이버 브랜드검색</t>
        </is>
      </c>
      <c r="E5713" s="20" t="inlineStr">
        <is>
          <t>브랜드</t>
        </is>
      </c>
      <c r="K5713" s="20" t="n">
        <v>140000</v>
      </c>
    </row>
    <row r="5714">
      <c r="A5714" s="20" t="inlineStr">
        <is>
          <t>PC 브랜드검색</t>
        </is>
      </c>
      <c r="B5714" s="16" t="n">
        <v>44282</v>
      </c>
      <c r="C5714" s="20" t="inlineStr">
        <is>
          <t>토</t>
        </is>
      </c>
      <c r="D5714" s="20" t="inlineStr">
        <is>
          <t>네이버 브랜드검색</t>
        </is>
      </c>
      <c r="E5714" s="20" t="inlineStr">
        <is>
          <t>브랜드</t>
        </is>
      </c>
      <c r="K5714" s="20" t="n">
        <v>16700</v>
      </c>
    </row>
    <row r="5715">
      <c r="A5715" s="20" t="inlineStr">
        <is>
          <t>메인키워드</t>
        </is>
      </c>
      <c r="B5715" s="16" t="n">
        <v>44281</v>
      </c>
      <c r="C5715" s="20" t="inlineStr">
        <is>
          <t>금</t>
        </is>
      </c>
      <c r="D5715" s="20" t="inlineStr">
        <is>
          <t>네이버 쇼핑검색</t>
        </is>
      </c>
      <c r="E5715" s="20" t="inlineStr">
        <is>
          <t>고체향수</t>
        </is>
      </c>
      <c r="K5715" s="20" t="n">
        <v>19280</v>
      </c>
    </row>
    <row r="5716">
      <c r="A5716" s="20" t="inlineStr">
        <is>
          <t>세부키워드3</t>
        </is>
      </c>
      <c r="B5716" s="16" t="n">
        <v>44281</v>
      </c>
      <c r="C5716" s="20" t="inlineStr">
        <is>
          <t>금</t>
        </is>
      </c>
      <c r="D5716" s="20" t="inlineStr">
        <is>
          <t>네이버 쇼핑검색</t>
        </is>
      </c>
      <c r="E5716" s="20" t="inlineStr">
        <is>
          <t>고체향수</t>
        </is>
      </c>
      <c r="K5716" s="20" t="n">
        <v>115310</v>
      </c>
    </row>
    <row r="5717">
      <c r="A5717" s="20" t="inlineStr">
        <is>
          <t>모바일 브검</t>
        </is>
      </c>
      <c r="B5717" s="16" t="n">
        <v>44281</v>
      </c>
      <c r="C5717" s="20" t="inlineStr">
        <is>
          <t>금</t>
        </is>
      </c>
      <c r="D5717" s="20" t="inlineStr">
        <is>
          <t>네이버 브랜드검색</t>
        </is>
      </c>
      <c r="E5717" s="20" t="inlineStr">
        <is>
          <t>브랜드</t>
        </is>
      </c>
      <c r="K5717" s="20" t="n">
        <v>140000</v>
      </c>
    </row>
    <row r="5718">
      <c r="A5718" s="20" t="inlineStr">
        <is>
          <t>PC 브랜드검색</t>
        </is>
      </c>
      <c r="B5718" s="16" t="n">
        <v>44281</v>
      </c>
      <c r="C5718" s="20" t="inlineStr">
        <is>
          <t>금</t>
        </is>
      </c>
      <c r="D5718" s="20" t="inlineStr">
        <is>
          <t>네이버 브랜드검색</t>
        </is>
      </c>
      <c r="E5718" s="20" t="inlineStr">
        <is>
          <t>브랜드</t>
        </is>
      </c>
      <c r="K5718" s="20" t="n">
        <v>16700</v>
      </c>
    </row>
    <row r="5719">
      <c r="A5719" s="20" t="inlineStr">
        <is>
          <t>고체향수_승무원 어피_Npay 추적</t>
        </is>
      </c>
      <c r="B5719" s="16" t="n">
        <v>44281</v>
      </c>
      <c r="C5719" s="20" t="inlineStr">
        <is>
          <t>금</t>
        </is>
      </c>
      <c r="D5719" s="20" t="inlineStr">
        <is>
          <t>카카오 배너</t>
        </is>
      </c>
      <c r="E5719" s="20" t="inlineStr">
        <is>
          <t>고체향수</t>
        </is>
      </c>
      <c r="K5719" s="20" t="n">
        <v>181880</v>
      </c>
    </row>
    <row r="5720">
      <c r="A5720" s="20" t="inlineStr">
        <is>
          <t>고체향수_Npay 추적</t>
        </is>
      </c>
      <c r="B5720" s="16" t="n">
        <v>44281</v>
      </c>
      <c r="C5720" s="20" t="inlineStr">
        <is>
          <t>금</t>
        </is>
      </c>
      <c r="D5720" s="20" t="inlineStr">
        <is>
          <t>카카오 배너</t>
        </is>
      </c>
      <c r="E5720" s="20" t="inlineStr">
        <is>
          <t>고체향수</t>
        </is>
      </c>
      <c r="K5720" s="20" t="n">
        <v>1115520</v>
      </c>
    </row>
    <row r="5721">
      <c r="A5721" s="20" t="inlineStr">
        <is>
          <t>고체향수_승무원 어피_Npay 추적</t>
        </is>
      </c>
      <c r="B5721" s="16" t="n">
        <v>44282</v>
      </c>
      <c r="C5721" s="20" t="inlineStr">
        <is>
          <t>토</t>
        </is>
      </c>
      <c r="D5721" s="20" t="inlineStr">
        <is>
          <t>카카오 배너</t>
        </is>
      </c>
      <c r="E5721" s="20" t="inlineStr">
        <is>
          <t>고체향수</t>
        </is>
      </c>
      <c r="K5721" s="20" t="n">
        <v>182250</v>
      </c>
    </row>
    <row r="5722">
      <c r="A5722" s="20" t="inlineStr">
        <is>
          <t>고체향수_Npay 추적</t>
        </is>
      </c>
      <c r="B5722" s="16" t="n">
        <v>44282</v>
      </c>
      <c r="C5722" s="20" t="inlineStr">
        <is>
          <t>토</t>
        </is>
      </c>
      <c r="D5722" s="20" t="inlineStr">
        <is>
          <t>카카오 배너</t>
        </is>
      </c>
      <c r="E5722" s="20" t="inlineStr">
        <is>
          <t>고체향수</t>
        </is>
      </c>
      <c r="K5722" s="20" t="n">
        <v>1081740</v>
      </c>
    </row>
    <row r="5723">
      <c r="A5723" s="20" t="inlineStr">
        <is>
          <t>고체향수_승무원 어피_Npay 추적</t>
        </is>
      </c>
      <c r="B5723" s="16" t="n">
        <v>44283</v>
      </c>
      <c r="C5723" s="20" t="inlineStr">
        <is>
          <t>일</t>
        </is>
      </c>
      <c r="D5723" s="20" t="inlineStr">
        <is>
          <t>카카오 배너</t>
        </is>
      </c>
      <c r="E5723" s="20" t="inlineStr">
        <is>
          <t>고체향수</t>
        </is>
      </c>
      <c r="K5723" s="20" t="n">
        <v>182500</v>
      </c>
    </row>
    <row r="5724">
      <c r="A5724" s="20" t="inlineStr">
        <is>
          <t>고체향수_Npay 추적</t>
        </is>
      </c>
      <c r="B5724" s="16" t="n">
        <v>44283</v>
      </c>
      <c r="C5724" s="20" t="inlineStr">
        <is>
          <t>일</t>
        </is>
      </c>
      <c r="D5724" s="20" t="inlineStr">
        <is>
          <t>카카오 배너</t>
        </is>
      </c>
      <c r="E5724" s="20" t="inlineStr">
        <is>
          <t>고체향수</t>
        </is>
      </c>
      <c r="K5724" s="20" t="n">
        <v>1073900</v>
      </c>
    </row>
    <row r="5725">
      <c r="B5725" s="16" t="n">
        <v>44281</v>
      </c>
      <c r="C5725" s="20" t="inlineStr">
        <is>
          <t>금</t>
        </is>
      </c>
      <c r="E5725" s="20" t="inlineStr">
        <is>
          <t>고체향수</t>
        </is>
      </c>
      <c r="F5725" s="20" t="inlineStr">
        <is>
          <t>W컨셉</t>
        </is>
      </c>
      <c r="G5725" s="20" t="inlineStr">
        <is>
          <t>솔리드퍼퓸 이그나이트/스테이포에버 30ml (2종 택1)&lt;옵션1&gt;002 STAY FOREVER</t>
        </is>
      </c>
      <c r="H5725" s="20" t="n">
        <v>21</v>
      </c>
      <c r="I5725" s="20" t="inlineStr">
        <is>
          <t>스테이포에버</t>
        </is>
      </c>
      <c r="J5725" s="20" t="inlineStr">
        <is>
          <t>210207</t>
        </is>
      </c>
      <c r="L5725" s="20" t="n">
        <v>714000</v>
      </c>
      <c r="M5725" s="20" t="n">
        <v>499800</v>
      </c>
      <c r="N5725" s="20" t="n">
        <v>54432</v>
      </c>
      <c r="O5725" s="20" t="inlineStr">
        <is>
          <t>W컨셉고체향수솔리드퍼퓸 이그나이트/스테이포에버 30ml (2종 택1)&lt;옵션1&gt;002 STAY FOREVER210207</t>
        </is>
      </c>
    </row>
    <row r="5726">
      <c r="B5726" s="16" t="n">
        <v>44281</v>
      </c>
      <c r="C5726" s="20" t="inlineStr">
        <is>
          <t>금</t>
        </is>
      </c>
      <c r="E5726" s="20" t="inlineStr">
        <is>
          <t>고체향수</t>
        </is>
      </c>
      <c r="F5726" s="20" t="inlineStr">
        <is>
          <t>스마트스토어</t>
        </is>
      </c>
      <c r="G5726" s="20" t="inlineStr">
        <is>
          <t>유즈 고체향수 세트(유즈 스테이포에버, 유즈 이그나이트)고체향수: 스테이포에버 1개 + 이그나이트 1개</t>
        </is>
      </c>
      <c r="H5726" s="20" t="n">
        <v>3</v>
      </c>
      <c r="I5726" s="20" t="inlineStr">
        <is>
          <t>이그나이트 + 스테이포에버</t>
        </is>
      </c>
      <c r="J5726" s="20" t="inlineStr">
        <is>
          <t>210207</t>
        </is>
      </c>
      <c r="L5726" s="20" t="n">
        <v>176400</v>
      </c>
      <c r="M5726" s="20" t="n">
        <v>166080.6</v>
      </c>
      <c r="N5726" s="20" t="n">
        <v>16035</v>
      </c>
      <c r="O5726" s="20" t="inlineStr">
        <is>
          <t>스마트스토어고체향수유즈 고체향수 세트(유즈 스테이포에버, 유즈 이그나이트)고체향수: 스테이포에버 1개 + 이그나이트 1개210207</t>
        </is>
      </c>
    </row>
    <row r="5727">
      <c r="B5727" s="16" t="n">
        <v>44281</v>
      </c>
      <c r="C5727" s="20" t="inlineStr">
        <is>
          <t>금</t>
        </is>
      </c>
      <c r="E5727" s="20" t="inlineStr">
        <is>
          <t>고체향수</t>
        </is>
      </c>
      <c r="F5727" s="20" t="inlineStr">
        <is>
          <t>스마트스토어</t>
        </is>
      </c>
      <c r="G5727" s="20" t="inlineStr">
        <is>
          <t>유즈 고체향수 세트(유즈 스테이포에버, 유즈 이그나이트)고체향수: 스테이포에버 2개</t>
        </is>
      </c>
      <c r="H5727" s="20" t="n">
        <v>1</v>
      </c>
      <c r="I5727" s="20" t="inlineStr">
        <is>
          <t>스테이포에버 2set</t>
        </is>
      </c>
      <c r="J5727" s="20" t="inlineStr">
        <is>
          <t>210207</t>
        </is>
      </c>
      <c r="L5727" s="20" t="n">
        <v>58800</v>
      </c>
      <c r="M5727" s="20" t="n">
        <v>57624</v>
      </c>
      <c r="N5727" s="20" t="n">
        <v>5184</v>
      </c>
      <c r="O5727" s="20" t="inlineStr">
        <is>
          <t>스마트스토어고체향수유즈 고체향수 세트(유즈 스테이포에버, 유즈 이그나이트)고체향수: 스테이포에버 2개210207</t>
        </is>
      </c>
    </row>
    <row r="5728">
      <c r="B5728" s="16" t="n">
        <v>44281</v>
      </c>
      <c r="C5728" s="20" t="inlineStr">
        <is>
          <t>금</t>
        </is>
      </c>
      <c r="E5728" s="20" t="inlineStr">
        <is>
          <t>고체향수</t>
        </is>
      </c>
      <c r="F5728" s="20" t="inlineStr">
        <is>
          <t>스마트스토어</t>
        </is>
      </c>
      <c r="G5728" s="20" t="inlineStr">
        <is>
          <t>유즈 고체향수 스테이포에버 002고체향수: 스테이포에버 1개</t>
        </is>
      </c>
      <c r="H5728" s="20" t="n">
        <v>16</v>
      </c>
      <c r="I5728" s="20" t="inlineStr">
        <is>
          <t>스테이포에버</t>
        </is>
      </c>
      <c r="J5728" s="20" t="inlineStr">
        <is>
          <t>210207</t>
        </is>
      </c>
      <c r="L5728" s="20" t="n">
        <v>544000</v>
      </c>
      <c r="M5728" s="20" t="n">
        <v>533120</v>
      </c>
      <c r="N5728" s="20" t="n">
        <v>41472</v>
      </c>
      <c r="O5728" s="20" t="inlineStr">
        <is>
          <t>스마트스토어고체향수유즈 고체향수 스테이포에버 002고체향수: 스테이포에버 1개210207</t>
        </is>
      </c>
    </row>
    <row r="5729">
      <c r="B5729" s="16" t="n">
        <v>44281</v>
      </c>
      <c r="C5729" s="20" t="inlineStr">
        <is>
          <t>금</t>
        </is>
      </c>
      <c r="E5729" s="20" t="inlineStr">
        <is>
          <t>고체향수</t>
        </is>
      </c>
      <c r="F5729" s="20" t="inlineStr">
        <is>
          <t>카페24</t>
        </is>
      </c>
      <c r="G5729" s="20" t="inlineStr">
        <is>
          <t>솔리드퍼퓸 세트향=이그나이트 001 SOLID PERFUME, 세트 선택=1개</t>
        </is>
      </c>
      <c r="H5729" s="20" t="n">
        <v>2</v>
      </c>
      <c r="I5729" s="20" t="inlineStr">
        <is>
          <t>이그나이트</t>
        </is>
      </c>
      <c r="J5729" s="20" t="inlineStr">
        <is>
          <t>210207</t>
        </is>
      </c>
      <c r="L5729" s="20" t="n">
        <v>68000</v>
      </c>
      <c r="M5729" s="20" t="n">
        <v>64022</v>
      </c>
      <c r="N5729" s="20" t="n">
        <v>5506</v>
      </c>
      <c r="O5729" s="20" t="inlineStr">
        <is>
          <t>카페24고체향수솔리드퍼퓸 세트향=이그나이트 001 SOLID PERFUME, 세트 선택=1개210207</t>
        </is>
      </c>
    </row>
    <row r="5730">
      <c r="B5730" s="16" t="n">
        <v>44281</v>
      </c>
      <c r="C5730" s="20" t="inlineStr">
        <is>
          <t>금</t>
        </is>
      </c>
      <c r="E5730" s="20" t="inlineStr">
        <is>
          <t>고체향수</t>
        </is>
      </c>
      <c r="F5730" s="20" t="inlineStr">
        <is>
          <t>카페24</t>
        </is>
      </c>
      <c r="G5730" s="20" t="inlineStr">
        <is>
          <t>솔리드퍼퓸 세트향=스테이포에버 002 SOLID PERFUME, 세트 선택=1개</t>
        </is>
      </c>
      <c r="H5730" s="20" t="n">
        <v>5</v>
      </c>
      <c r="I5730" s="20" t="inlineStr">
        <is>
          <t>스테이포에버</t>
        </is>
      </c>
      <c r="J5730" s="20" t="inlineStr">
        <is>
          <t>210207</t>
        </is>
      </c>
      <c r="L5730" s="20" t="n">
        <v>170000</v>
      </c>
      <c r="M5730" s="20" t="n">
        <v>160055</v>
      </c>
      <c r="N5730" s="20" t="n">
        <v>12960</v>
      </c>
      <c r="O5730" s="20" t="inlineStr">
        <is>
          <t>카페24고체향수솔리드퍼퓸 세트향=스테이포에버 002 SOLID PERFUME, 세트 선택=1개210207</t>
        </is>
      </c>
    </row>
    <row r="5731">
      <c r="B5731" s="16" t="n">
        <v>44281</v>
      </c>
      <c r="C5731" s="20" t="inlineStr">
        <is>
          <t>금</t>
        </is>
      </c>
      <c r="E5731" s="20" t="inlineStr">
        <is>
          <t>고체향수</t>
        </is>
      </c>
      <c r="F5731" s="20" t="inlineStr">
        <is>
          <t>카페24</t>
        </is>
      </c>
      <c r="G5731" s="20" t="inlineStr">
        <is>
          <t>솔리드퍼퓸 세트향=스테이포에버 002 SOLID PERFUME, 세트 선택=best 2개 (28% 할인)</t>
        </is>
      </c>
      <c r="H5731" s="20" t="n">
        <v>2</v>
      </c>
      <c r="I5731" s="20" t="inlineStr">
        <is>
          <t>스테이포에버 2set</t>
        </is>
      </c>
      <c r="J5731" s="20" t="inlineStr">
        <is>
          <t>210207</t>
        </is>
      </c>
      <c r="L5731" s="20" t="n">
        <v>117600</v>
      </c>
      <c r="M5731" s="20" t="n">
        <v>110720.4</v>
      </c>
      <c r="N5731" s="20" t="n">
        <v>10368</v>
      </c>
      <c r="O5731" s="20" t="inlineStr">
        <is>
          <t>카페24고체향수솔리드퍼퓸 세트향=스테이포에버 002 SOLID PERFUME, 세트 선택=best 2개 (28% 할인)210207</t>
        </is>
      </c>
    </row>
    <row r="5732">
      <c r="B5732" s="16" t="n">
        <v>44281</v>
      </c>
      <c r="C5732" s="20" t="inlineStr">
        <is>
          <t>금</t>
        </is>
      </c>
      <c r="E5732" s="20" t="inlineStr">
        <is>
          <t>고체향수</t>
        </is>
      </c>
      <c r="F5732" s="20" t="inlineStr">
        <is>
          <t>카페24</t>
        </is>
      </c>
      <c r="G5732" s="20" t="inlineStr">
        <is>
          <t>솔리드퍼퓸 세트향=커플세트(이그나이트 + 스테이포에버), 세트 선택=1 SET</t>
        </is>
      </c>
      <c r="H5732" s="20" t="n">
        <v>9</v>
      </c>
      <c r="I5732" s="20" t="inlineStr">
        <is>
          <t>이그나이트 + 스테이포에버</t>
        </is>
      </c>
      <c r="J5732" s="20" t="inlineStr">
        <is>
          <t>210207</t>
        </is>
      </c>
      <c r="L5732" s="20" t="n">
        <v>529200</v>
      </c>
      <c r="M5732" s="20" t="n">
        <v>498241.8</v>
      </c>
      <c r="N5732" s="20" t="n">
        <v>48105</v>
      </c>
      <c r="O5732" s="20" t="inlineStr">
        <is>
          <t>카페24고체향수솔리드퍼퓸 세트향=커플세트(이그나이트 + 스테이포에버), 세트 선택=1 SET210207</t>
        </is>
      </c>
    </row>
    <row r="5733">
      <c r="B5733" s="16" t="n">
        <v>44281</v>
      </c>
      <c r="C5733" s="20" t="inlineStr">
        <is>
          <t>금</t>
        </is>
      </c>
      <c r="E5733" s="20" t="inlineStr">
        <is>
          <t>고체향수</t>
        </is>
      </c>
      <c r="F5733" s="20" t="inlineStr">
        <is>
          <t>카페24</t>
        </is>
      </c>
      <c r="G5733" s="20" t="inlineStr">
        <is>
          <t>솔리드퍼퓸 세트향=커플세트(이그나이트 + 스테이포에버), 세트 선택=2 SET (42% 할인)</t>
        </is>
      </c>
      <c r="H5733" s="20" t="n">
        <v>1</v>
      </c>
      <c r="I5733" s="20" t="inlineStr">
        <is>
          <t>이그나이트 + 스테이포에버</t>
        </is>
      </c>
      <c r="J5733" s="20" t="inlineStr">
        <is>
          <t>210207</t>
        </is>
      </c>
      <c r="L5733" s="20" t="n">
        <v>58800</v>
      </c>
      <c r="M5733" s="20" t="n">
        <v>55360.2</v>
      </c>
      <c r="N5733" s="20" t="n">
        <v>5345</v>
      </c>
      <c r="O5733" s="20" t="inlineStr">
        <is>
          <t>카페24고체향수솔리드퍼퓸 세트향=커플세트(이그나이트 + 스테이포에버), 세트 선택=2 SET (42% 할인)210207</t>
        </is>
      </c>
    </row>
    <row r="5734">
      <c r="B5734" s="16" t="n">
        <v>44281</v>
      </c>
      <c r="C5734" s="20" t="inlineStr">
        <is>
          <t>금</t>
        </is>
      </c>
      <c r="E5734" s="20" t="inlineStr">
        <is>
          <t>고체향수</t>
        </is>
      </c>
      <c r="F5734" s="20" t="inlineStr">
        <is>
          <t>카페24</t>
        </is>
      </c>
      <c r="G5734" s="20" t="inlineStr">
        <is>
          <t>솔리드퍼퓸 스테이포에버 002제품선택=스테이포에버 1개</t>
        </is>
      </c>
      <c r="H5734" s="20" t="n">
        <v>149</v>
      </c>
      <c r="I5734" s="20" t="inlineStr">
        <is>
          <t>스테이포에버</t>
        </is>
      </c>
      <c r="J5734" s="20" t="inlineStr">
        <is>
          <t>210207</t>
        </is>
      </c>
      <c r="L5734" s="20" t="n">
        <v>5066000</v>
      </c>
      <c r="M5734" s="20" t="n">
        <v>4769639</v>
      </c>
      <c r="N5734" s="20" t="n">
        <v>386208</v>
      </c>
      <c r="O5734" s="20" t="inlineStr">
        <is>
          <t>카페24고체향수솔리드퍼퓸 스테이포에버 002제품선택=스테이포에버 1개210207</t>
        </is>
      </c>
    </row>
    <row r="5735">
      <c r="B5735" s="16" t="n">
        <v>44281</v>
      </c>
      <c r="C5735" s="20" t="inlineStr">
        <is>
          <t>금</t>
        </is>
      </c>
      <c r="E5735" s="20" t="inlineStr">
        <is>
          <t>고체향수</t>
        </is>
      </c>
      <c r="F5735" s="20" t="inlineStr">
        <is>
          <t>카페24</t>
        </is>
      </c>
      <c r="G5735" s="20" t="inlineStr">
        <is>
          <t>솔리드퍼퓸 스테이포에버 002제품선택=best스테이포에버 2개[28% 할인]</t>
        </is>
      </c>
      <c r="H5735" s="20" t="n">
        <v>79</v>
      </c>
      <c r="I5735" s="20" t="inlineStr">
        <is>
          <t>스테이포에버 2set</t>
        </is>
      </c>
      <c r="J5735" s="20" t="inlineStr">
        <is>
          <t>210207</t>
        </is>
      </c>
      <c r="L5735" s="20" t="n">
        <v>4645200</v>
      </c>
      <c r="M5735" s="20" t="n">
        <v>4373455.8</v>
      </c>
      <c r="N5735" s="20" t="n">
        <v>409536</v>
      </c>
      <c r="O5735" s="20" t="inlineStr">
        <is>
          <t>카페24고체향수솔리드퍼퓸 스테이포에버 002제품선택=best스테이포에버 2개[28% 할인]210207</t>
        </is>
      </c>
    </row>
    <row r="5736">
      <c r="B5736" s="16" t="n">
        <v>44281</v>
      </c>
      <c r="C5736" s="20" t="inlineStr">
        <is>
          <t>금</t>
        </is>
      </c>
      <c r="E5736" s="20" t="inlineStr">
        <is>
          <t>고체향수</t>
        </is>
      </c>
      <c r="F5736" s="20" t="inlineStr">
        <is>
          <t>카페24</t>
        </is>
      </c>
      <c r="G5736" s="20" t="inlineStr">
        <is>
          <t>솔리드퍼퓸 스테이포에버 002제품선택=커플추천스테이포에버 + 이그나이트 세트</t>
        </is>
      </c>
      <c r="H5736" s="20" t="n">
        <v>11</v>
      </c>
      <c r="I5736" s="20" t="inlineStr">
        <is>
          <t>이그나이트 + 스테이포에버</t>
        </is>
      </c>
      <c r="J5736" s="20" t="inlineStr">
        <is>
          <t>210207</t>
        </is>
      </c>
      <c r="L5736" s="20" t="n">
        <v>646800</v>
      </c>
      <c r="M5736" s="20" t="n">
        <v>608962.2</v>
      </c>
      <c r="N5736" s="20" t="n">
        <v>58795</v>
      </c>
      <c r="O5736" s="20" t="inlineStr">
        <is>
          <t>카페24고체향수솔리드퍼퓸 스테이포에버 002제품선택=커플추천스테이포에버 + 이그나이트 세트210207</t>
        </is>
      </c>
    </row>
    <row r="5737">
      <c r="B5737" s="16" t="n">
        <v>44281</v>
      </c>
      <c r="C5737" s="20" t="inlineStr">
        <is>
          <t>금</t>
        </is>
      </c>
      <c r="E5737" s="20" t="inlineStr">
        <is>
          <t>쇼핑백</t>
        </is>
      </c>
      <c r="F5737" s="20" t="inlineStr">
        <is>
          <t>카페24</t>
        </is>
      </c>
      <c r="G5737" s="20" t="inlineStr">
        <is>
          <t>솔리드퍼퓸 스테이포에버 002쇼핑백=선물용 쇼핑백</t>
        </is>
      </c>
      <c r="H5737" s="20" t="n">
        <v>2</v>
      </c>
      <c r="I5737" s="20" t="inlineStr">
        <is>
          <t>쇼핑백</t>
        </is>
      </c>
      <c r="J5737" s="20" t="inlineStr">
        <is>
          <t>210207</t>
        </is>
      </c>
      <c r="L5737" s="20" t="n">
        <v>4000</v>
      </c>
      <c r="M5737" s="20" t="n">
        <v>3766</v>
      </c>
      <c r="N5737" s="20" t="n">
        <v>1660</v>
      </c>
      <c r="O5737" s="20" t="inlineStr">
        <is>
          <t>카페24쇼핑백솔리드퍼퓸 스테이포에버 002쇼핑백=선물용 쇼핑백210207</t>
        </is>
      </c>
    </row>
    <row r="5738">
      <c r="B5738" s="16" t="n">
        <v>44281</v>
      </c>
      <c r="C5738" s="20" t="inlineStr">
        <is>
          <t>금</t>
        </is>
      </c>
      <c r="E5738" s="20" t="inlineStr">
        <is>
          <t>고체향수</t>
        </is>
      </c>
      <c r="F5738" s="20" t="inlineStr">
        <is>
          <t>카페24</t>
        </is>
      </c>
      <c r="G5738" s="20" t="inlineStr">
        <is>
          <t>솔리드퍼퓸 이그나이트 001제품선택=이그나이트 솔리드퍼퓸 - 30ml</t>
        </is>
      </c>
      <c r="H5738" s="20" t="n">
        <v>1</v>
      </c>
      <c r="I5738" s="20" t="inlineStr">
        <is>
          <t>이그나이트</t>
        </is>
      </c>
      <c r="J5738" s="20" t="inlineStr">
        <is>
          <t>210207</t>
        </is>
      </c>
      <c r="L5738" s="20" t="n">
        <v>34000</v>
      </c>
      <c r="M5738" s="20" t="n">
        <v>32011</v>
      </c>
      <c r="N5738" s="20" t="n">
        <v>2753</v>
      </c>
      <c r="O5738" s="20" t="inlineStr">
        <is>
          <t>카페24고체향수솔리드퍼퓸 이그나이트 001제품선택=이그나이트 솔리드퍼퓸 - 30ml210207</t>
        </is>
      </c>
    </row>
    <row r="5739">
      <c r="B5739" s="16" t="n">
        <v>44282</v>
      </c>
      <c r="C5739" s="20" t="inlineStr">
        <is>
          <t>토</t>
        </is>
      </c>
      <c r="E5739" s="20" t="inlineStr">
        <is>
          <t>고체향수</t>
        </is>
      </c>
      <c r="F5739" s="20" t="inlineStr">
        <is>
          <t>스마트스토어</t>
        </is>
      </c>
      <c r="G5739" s="20" t="inlineStr">
        <is>
          <t>유즈 고체향수 세트(유즈 스테이포에버, 유즈 이그나이트)고체향수: 스테이포에버 1개</t>
        </is>
      </c>
      <c r="H5739" s="20" t="n">
        <v>1</v>
      </c>
      <c r="I5739" s="20" t="inlineStr">
        <is>
          <t>스테이포에버</t>
        </is>
      </c>
      <c r="J5739" s="20" t="inlineStr">
        <is>
          <t>210207</t>
        </is>
      </c>
      <c r="L5739" s="20" t="n">
        <v>34000</v>
      </c>
      <c r="M5739" s="20" t="n">
        <v>33320</v>
      </c>
      <c r="N5739" s="20" t="n">
        <v>2592</v>
      </c>
      <c r="O5739" s="20" t="inlineStr">
        <is>
          <t>스마트스토어고체향수유즈 고체향수 세트(유즈 스테이포에버, 유즈 이그나이트)고체향수: 스테이포에버 1개210207</t>
        </is>
      </c>
    </row>
    <row r="5740">
      <c r="B5740" s="16" t="n">
        <v>44282</v>
      </c>
      <c r="C5740" s="20" t="inlineStr">
        <is>
          <t>토</t>
        </is>
      </c>
      <c r="E5740" s="20" t="inlineStr">
        <is>
          <t>고체향수</t>
        </is>
      </c>
      <c r="F5740" s="20" t="inlineStr">
        <is>
          <t>스마트스토어</t>
        </is>
      </c>
      <c r="G5740" s="20" t="inlineStr">
        <is>
          <t>유즈 고체향수 세트(유즈 스테이포에버, 유즈 이그나이트)고체향수: 스테이포에버 1개 + 이그나이트 1개</t>
        </is>
      </c>
      <c r="H5740" s="20" t="n">
        <v>2</v>
      </c>
      <c r="I5740" s="20" t="inlineStr">
        <is>
          <t>이그나이트 + 스테이포에버</t>
        </is>
      </c>
      <c r="J5740" s="20" t="inlineStr">
        <is>
          <t>210207</t>
        </is>
      </c>
      <c r="L5740" s="20" t="n">
        <v>117600</v>
      </c>
      <c r="M5740" s="20" t="n">
        <v>110720.4</v>
      </c>
      <c r="N5740" s="20" t="n">
        <v>10690</v>
      </c>
      <c r="O5740" s="20" t="inlineStr">
        <is>
          <t>스마트스토어고체향수유즈 고체향수 세트(유즈 스테이포에버, 유즈 이그나이트)고체향수: 스테이포에버 1개 + 이그나이트 1개210207</t>
        </is>
      </c>
    </row>
    <row r="5741">
      <c r="B5741" s="16" t="n">
        <v>44282</v>
      </c>
      <c r="C5741" s="20" t="inlineStr">
        <is>
          <t>토</t>
        </is>
      </c>
      <c r="E5741" s="20" t="inlineStr">
        <is>
          <t>고체향수</t>
        </is>
      </c>
      <c r="F5741" s="20" t="inlineStr">
        <is>
          <t>스마트스토어</t>
        </is>
      </c>
      <c r="G5741" s="20" t="inlineStr">
        <is>
          <t>유즈 고체향수 세트(유즈 스테이포에버, 유즈 이그나이트)고체향수: 스테이포에버 2개</t>
        </is>
      </c>
      <c r="H5741" s="20" t="n">
        <v>1</v>
      </c>
      <c r="I5741" s="20" t="inlineStr">
        <is>
          <t>스테이포에버 2set</t>
        </is>
      </c>
      <c r="J5741" s="20" t="inlineStr">
        <is>
          <t>210207</t>
        </is>
      </c>
      <c r="L5741" s="20" t="n">
        <v>58800</v>
      </c>
      <c r="M5741" s="20" t="n">
        <v>57624</v>
      </c>
      <c r="N5741" s="20" t="n">
        <v>5184</v>
      </c>
      <c r="O5741" s="20" t="inlineStr">
        <is>
          <t>스마트스토어고체향수유즈 고체향수 세트(유즈 스테이포에버, 유즈 이그나이트)고체향수: 스테이포에버 2개210207</t>
        </is>
      </c>
    </row>
    <row r="5742">
      <c r="B5742" s="16" t="n">
        <v>44282</v>
      </c>
      <c r="C5742" s="20" t="inlineStr">
        <is>
          <t>토</t>
        </is>
      </c>
      <c r="E5742" s="20" t="inlineStr">
        <is>
          <t>고체향수</t>
        </is>
      </c>
      <c r="F5742" s="20" t="inlineStr">
        <is>
          <t>스마트스토어</t>
        </is>
      </c>
      <c r="G5742" s="20" t="inlineStr">
        <is>
          <t>유즈 고체향수 스테이포에버 002고체향수: 스테이포에버 1개</t>
        </is>
      </c>
      <c r="H5742" s="20" t="n">
        <v>16</v>
      </c>
      <c r="I5742" s="20" t="inlineStr">
        <is>
          <t>스테이포에버</t>
        </is>
      </c>
      <c r="J5742" s="20" t="inlineStr">
        <is>
          <t>210207</t>
        </is>
      </c>
      <c r="L5742" s="20" t="n">
        <v>544000</v>
      </c>
      <c r="M5742" s="20" t="n">
        <v>533120</v>
      </c>
      <c r="N5742" s="20" t="n">
        <v>41472</v>
      </c>
      <c r="O5742" s="20" t="inlineStr">
        <is>
          <t>스마트스토어고체향수유즈 고체향수 스테이포에버 002고체향수: 스테이포에버 1개210207</t>
        </is>
      </c>
    </row>
    <row r="5743">
      <c r="B5743" s="16" t="n">
        <v>44282</v>
      </c>
      <c r="C5743" s="20" t="inlineStr">
        <is>
          <t>토</t>
        </is>
      </c>
      <c r="E5743" s="20" t="inlineStr">
        <is>
          <t>고체향수</t>
        </is>
      </c>
      <c r="F5743" s="20" t="inlineStr">
        <is>
          <t>스마트스토어</t>
        </is>
      </c>
      <c r="G5743" s="20" t="inlineStr">
        <is>
          <t>유즈 고체향수 이그나이트 001고체향수: 이그나이트 1개</t>
        </is>
      </c>
      <c r="H5743" s="20" t="n">
        <v>1</v>
      </c>
      <c r="I5743" s="20" t="inlineStr">
        <is>
          <t>이그나이트</t>
        </is>
      </c>
      <c r="J5743" s="20" t="inlineStr">
        <is>
          <t>210207</t>
        </is>
      </c>
      <c r="L5743" s="20" t="n">
        <v>34000</v>
      </c>
      <c r="M5743" s="20" t="n">
        <v>33320</v>
      </c>
      <c r="N5743" s="20" t="n">
        <v>2753</v>
      </c>
      <c r="O5743" s="20" t="inlineStr">
        <is>
          <t>스마트스토어고체향수유즈 고체향수 이그나이트 001고체향수: 이그나이트 1개210207</t>
        </is>
      </c>
    </row>
    <row r="5744">
      <c r="B5744" s="16" t="n">
        <v>44282</v>
      </c>
      <c r="C5744" s="20" t="inlineStr">
        <is>
          <t>토</t>
        </is>
      </c>
      <c r="E5744" s="20" t="inlineStr">
        <is>
          <t>쇼핑백</t>
        </is>
      </c>
      <c r="F5744" s="20" t="inlineStr">
        <is>
          <t>카페24</t>
        </is>
      </c>
      <c r="G5744" s="20" t="inlineStr">
        <is>
          <t>선물용 쇼핑백</t>
        </is>
      </c>
      <c r="H5744" s="20" t="n">
        <v>1</v>
      </c>
      <c r="I5744" s="20" t="inlineStr">
        <is>
          <t>쇼핑백</t>
        </is>
      </c>
      <c r="J5744" s="20" t="inlineStr">
        <is>
          <t>210207</t>
        </is>
      </c>
      <c r="L5744" s="20" t="n">
        <v>2000</v>
      </c>
      <c r="M5744" s="20" t="n">
        <v>1883</v>
      </c>
      <c r="N5744" s="20" t="n">
        <v>830</v>
      </c>
      <c r="O5744" s="20" t="inlineStr">
        <is>
          <t>카페24쇼핑백선물용 쇼핑백210207</t>
        </is>
      </c>
    </row>
    <row r="5745">
      <c r="B5745" s="16" t="n">
        <v>44282</v>
      </c>
      <c r="C5745" s="20" t="inlineStr">
        <is>
          <t>토</t>
        </is>
      </c>
      <c r="E5745" s="20" t="inlineStr">
        <is>
          <t>고체향수</t>
        </is>
      </c>
      <c r="F5745" s="20" t="inlineStr">
        <is>
          <t>카페24</t>
        </is>
      </c>
      <c r="G5745" s="20" t="inlineStr">
        <is>
          <t>솔리드퍼퓸 세트향=이그나이트 001 SOLID PERFUME, 세트 선택=best 2개 (28% 할인)</t>
        </is>
      </c>
      <c r="H5745" s="20" t="n">
        <v>5</v>
      </c>
      <c r="I5745" s="20" t="inlineStr">
        <is>
          <t>이그나이트 2set</t>
        </is>
      </c>
      <c r="J5745" s="20" t="inlineStr">
        <is>
          <t>210207</t>
        </is>
      </c>
      <c r="L5745" s="20" t="n">
        <v>294000</v>
      </c>
      <c r="M5745" s="20" t="n">
        <v>276801</v>
      </c>
      <c r="N5745" s="20" t="n">
        <v>27530</v>
      </c>
      <c r="O5745" s="20" t="inlineStr">
        <is>
          <t>카페24고체향수솔리드퍼퓸 세트향=이그나이트 001 SOLID PERFUME, 세트 선택=best 2개 (28% 할인)210207</t>
        </is>
      </c>
    </row>
    <row r="5746">
      <c r="B5746" s="16" t="n">
        <v>44282</v>
      </c>
      <c r="C5746" s="20" t="inlineStr">
        <is>
          <t>토</t>
        </is>
      </c>
      <c r="E5746" s="20" t="inlineStr">
        <is>
          <t>고체향수</t>
        </is>
      </c>
      <c r="F5746" s="20" t="inlineStr">
        <is>
          <t>카페24</t>
        </is>
      </c>
      <c r="G5746" s="20" t="inlineStr">
        <is>
          <t>솔리드퍼퓸 세트향=스테이포에버 002 SOLID PERFUME, 세트 선택=1개</t>
        </is>
      </c>
      <c r="H5746" s="20" t="n">
        <v>5</v>
      </c>
      <c r="I5746" s="20" t="inlineStr">
        <is>
          <t>스테이포에버</t>
        </is>
      </c>
      <c r="J5746" s="20" t="inlineStr">
        <is>
          <t>210207</t>
        </is>
      </c>
      <c r="L5746" s="20" t="n">
        <v>170000</v>
      </c>
      <c r="M5746" s="20" t="n">
        <v>160055</v>
      </c>
      <c r="N5746" s="20" t="n">
        <v>12960</v>
      </c>
      <c r="O5746" s="20" t="inlineStr">
        <is>
          <t>카페24고체향수솔리드퍼퓸 세트향=스테이포에버 002 SOLID PERFUME, 세트 선택=1개210207</t>
        </is>
      </c>
    </row>
    <row r="5747">
      <c r="B5747" s="16" t="n">
        <v>44282</v>
      </c>
      <c r="C5747" s="20" t="inlineStr">
        <is>
          <t>토</t>
        </is>
      </c>
      <c r="E5747" s="20" t="inlineStr">
        <is>
          <t>고체향수</t>
        </is>
      </c>
      <c r="F5747" s="20" t="inlineStr">
        <is>
          <t>카페24</t>
        </is>
      </c>
      <c r="G5747" s="20" t="inlineStr">
        <is>
          <t>솔리드퍼퓸 세트향=스테이포에버 002 SOLID PERFUME, 세트 선택=best 2개 (28% 할인)</t>
        </is>
      </c>
      <c r="H5747" s="20" t="n">
        <v>6</v>
      </c>
      <c r="I5747" s="20" t="inlineStr">
        <is>
          <t>스테이포에버 2set</t>
        </is>
      </c>
      <c r="J5747" s="20" t="inlineStr">
        <is>
          <t>210207</t>
        </is>
      </c>
      <c r="L5747" s="20" t="n">
        <v>352800</v>
      </c>
      <c r="M5747" s="20" t="n">
        <v>332161.2</v>
      </c>
      <c r="N5747" s="20" t="n">
        <v>31104</v>
      </c>
      <c r="O5747" s="20" t="inlineStr">
        <is>
          <t>카페24고체향수솔리드퍼퓸 세트향=스테이포에버 002 SOLID PERFUME, 세트 선택=best 2개 (28% 할인)210207</t>
        </is>
      </c>
    </row>
    <row r="5748">
      <c r="B5748" s="16" t="n">
        <v>44282</v>
      </c>
      <c r="C5748" s="20" t="inlineStr">
        <is>
          <t>토</t>
        </is>
      </c>
      <c r="E5748" s="20" t="inlineStr">
        <is>
          <t>고체향수</t>
        </is>
      </c>
      <c r="F5748" s="20" t="inlineStr">
        <is>
          <t>카페24</t>
        </is>
      </c>
      <c r="G5748" s="20" t="inlineStr">
        <is>
          <t>솔리드퍼퓸 세트향=커플세트(이그나이트 + 스테이포에버), 세트 선택=1 SET</t>
        </is>
      </c>
      <c r="H5748" s="20" t="n">
        <v>16</v>
      </c>
      <c r="I5748" s="20" t="inlineStr">
        <is>
          <t>이그나이트 + 스테이포에버</t>
        </is>
      </c>
      <c r="J5748" s="20" t="inlineStr">
        <is>
          <t>210207</t>
        </is>
      </c>
      <c r="L5748" s="20" t="n">
        <v>940800</v>
      </c>
      <c r="M5748" s="20" t="n">
        <v>885763.2</v>
      </c>
      <c r="N5748" s="20" t="n">
        <v>85520</v>
      </c>
      <c r="O5748" s="20" t="inlineStr">
        <is>
          <t>카페24고체향수솔리드퍼퓸 세트향=커플세트(이그나이트 + 스테이포에버), 세트 선택=1 SET210207</t>
        </is>
      </c>
    </row>
    <row r="5749">
      <c r="B5749" s="16" t="n">
        <v>44282</v>
      </c>
      <c r="C5749" s="20" t="inlineStr">
        <is>
          <t>토</t>
        </is>
      </c>
      <c r="E5749" s="20" t="inlineStr">
        <is>
          <t>고체향수</t>
        </is>
      </c>
      <c r="F5749" s="20" t="inlineStr">
        <is>
          <t>카페24</t>
        </is>
      </c>
      <c r="G5749" s="20" t="inlineStr">
        <is>
          <t>솔리드퍼퓸 세트향=커플세트(이그나이트 + 스테이포에버), 세트 선택=2 SET (42% 할인)</t>
        </is>
      </c>
      <c r="H5749" s="20" t="n">
        <v>1</v>
      </c>
      <c r="I5749" s="20" t="inlineStr">
        <is>
          <t>이그나이트 + 스테이포에버</t>
        </is>
      </c>
      <c r="J5749" s="20" t="inlineStr">
        <is>
          <t>210207</t>
        </is>
      </c>
      <c r="L5749" s="20" t="n">
        <v>58800</v>
      </c>
      <c r="M5749" s="20" t="n">
        <v>55360.2</v>
      </c>
      <c r="N5749" s="20" t="n">
        <v>5345</v>
      </c>
      <c r="O5749" s="20" t="inlineStr">
        <is>
          <t>카페24고체향수솔리드퍼퓸 세트향=커플세트(이그나이트 + 스테이포에버), 세트 선택=2 SET (42% 할인)210207</t>
        </is>
      </c>
    </row>
    <row r="5750">
      <c r="B5750" s="16" t="n">
        <v>44282</v>
      </c>
      <c r="C5750" s="20" t="inlineStr">
        <is>
          <t>토</t>
        </is>
      </c>
      <c r="E5750" s="20" t="inlineStr">
        <is>
          <t>고체향수</t>
        </is>
      </c>
      <c r="F5750" s="20" t="inlineStr">
        <is>
          <t>카페24</t>
        </is>
      </c>
      <c r="G5750" s="20" t="inlineStr">
        <is>
          <t>솔리드퍼퓸 스테이포에버 002제품선택=스테이포에버 1개</t>
        </is>
      </c>
      <c r="H5750" s="20" t="n">
        <v>198</v>
      </c>
      <c r="I5750" s="20" t="inlineStr">
        <is>
          <t>스테이포에버</t>
        </is>
      </c>
      <c r="J5750" s="20" t="inlineStr">
        <is>
          <t>210207</t>
        </is>
      </c>
      <c r="L5750" s="20" t="n">
        <v>6732000</v>
      </c>
      <c r="M5750" s="20" t="n">
        <v>6338178</v>
      </c>
      <c r="N5750" s="20" t="n">
        <v>513216</v>
      </c>
      <c r="O5750" s="20" t="inlineStr">
        <is>
          <t>카페24고체향수솔리드퍼퓸 스테이포에버 002제품선택=스테이포에버 1개210207</t>
        </is>
      </c>
    </row>
    <row r="5751">
      <c r="B5751" s="16" t="n">
        <v>44282</v>
      </c>
      <c r="C5751" s="20" t="inlineStr">
        <is>
          <t>토</t>
        </is>
      </c>
      <c r="E5751" s="20" t="inlineStr">
        <is>
          <t>고체향수</t>
        </is>
      </c>
      <c r="F5751" s="20" t="inlineStr">
        <is>
          <t>카페24</t>
        </is>
      </c>
      <c r="G5751" s="20" t="inlineStr">
        <is>
          <t>솔리드퍼퓸 스테이포에버 002제품선택=best스테이포에버 2개[28% 할인]</t>
        </is>
      </c>
      <c r="H5751" s="20" t="n">
        <v>122</v>
      </c>
      <c r="I5751" s="20" t="inlineStr">
        <is>
          <t>스테이포에버 2set</t>
        </is>
      </c>
      <c r="J5751" s="20" t="inlineStr">
        <is>
          <t>210207</t>
        </is>
      </c>
      <c r="L5751" s="20" t="n">
        <v>7173600</v>
      </c>
      <c r="M5751" s="20" t="n">
        <v>6753944.399999999</v>
      </c>
      <c r="N5751" s="20" t="n">
        <v>632448</v>
      </c>
      <c r="O5751" s="20" t="inlineStr">
        <is>
          <t>카페24고체향수솔리드퍼퓸 스테이포에버 002제품선택=best스테이포에버 2개[28% 할인]210207</t>
        </is>
      </c>
    </row>
    <row r="5752">
      <c r="B5752" s="16" t="n">
        <v>44282</v>
      </c>
      <c r="C5752" s="20" t="inlineStr">
        <is>
          <t>토</t>
        </is>
      </c>
      <c r="E5752" s="20" t="inlineStr">
        <is>
          <t>고체향수</t>
        </is>
      </c>
      <c r="F5752" s="20" t="inlineStr">
        <is>
          <t>카페24</t>
        </is>
      </c>
      <c r="G5752" s="20" t="inlineStr">
        <is>
          <t>솔리드퍼퓸 스테이포에버 002제품선택=커플추천스테이포에버 + 이그나이트 세트</t>
        </is>
      </c>
      <c r="H5752" s="20" t="n">
        <v>14</v>
      </c>
      <c r="I5752" s="20" t="inlineStr">
        <is>
          <t>이그나이트 + 스테이포에버</t>
        </is>
      </c>
      <c r="J5752" s="20" t="inlineStr">
        <is>
          <t>210207</t>
        </is>
      </c>
      <c r="L5752" s="20" t="n">
        <v>823200</v>
      </c>
      <c r="M5752" s="20" t="n">
        <v>775042.7999999999</v>
      </c>
      <c r="N5752" s="20" t="n">
        <v>74830</v>
      </c>
      <c r="O5752" s="20" t="inlineStr">
        <is>
          <t>카페24고체향수솔리드퍼퓸 스테이포에버 002제품선택=커플추천스테이포에버 + 이그나이트 세트210207</t>
        </is>
      </c>
    </row>
    <row r="5753">
      <c r="B5753" s="16" t="n">
        <v>44282</v>
      </c>
      <c r="C5753" s="20" t="inlineStr">
        <is>
          <t>토</t>
        </is>
      </c>
      <c r="E5753" s="20" t="inlineStr">
        <is>
          <t>쇼핑백</t>
        </is>
      </c>
      <c r="F5753" s="20" t="inlineStr">
        <is>
          <t>카페24</t>
        </is>
      </c>
      <c r="G5753" s="20" t="inlineStr">
        <is>
          <t>솔리드퍼퓸 스테이포에버 002쇼핑백=선물용 쇼핑백</t>
        </is>
      </c>
      <c r="H5753" s="20" t="n">
        <v>7</v>
      </c>
      <c r="I5753" s="20" t="inlineStr">
        <is>
          <t>쇼핑백</t>
        </is>
      </c>
      <c r="J5753" s="20" t="inlineStr">
        <is>
          <t>210207</t>
        </is>
      </c>
      <c r="L5753" s="20" t="n">
        <v>14000</v>
      </c>
      <c r="M5753" s="20" t="n">
        <v>13181</v>
      </c>
      <c r="N5753" s="20" t="n">
        <v>5810</v>
      </c>
      <c r="O5753" s="20" t="inlineStr">
        <is>
          <t>카페24쇼핑백솔리드퍼퓸 스테이포에버 002쇼핑백=선물용 쇼핑백210207</t>
        </is>
      </c>
    </row>
    <row r="5754">
      <c r="B5754" s="16" t="n">
        <v>44282</v>
      </c>
      <c r="C5754" s="20" t="inlineStr">
        <is>
          <t>토</t>
        </is>
      </c>
      <c r="E5754" s="20" t="inlineStr">
        <is>
          <t>고체향수</t>
        </is>
      </c>
      <c r="F5754" s="20" t="inlineStr">
        <is>
          <t>카페24</t>
        </is>
      </c>
      <c r="G5754" s="20" t="inlineStr">
        <is>
          <t>솔리드퍼퓸 이그나이트 001제품선택=이그나이트 솔리드퍼퓸 - 30ml</t>
        </is>
      </c>
      <c r="H5754" s="20" t="n">
        <v>1</v>
      </c>
      <c r="I5754" s="20" t="inlineStr">
        <is>
          <t>이그나이트</t>
        </is>
      </c>
      <c r="J5754" s="20" t="inlineStr">
        <is>
          <t>210207</t>
        </is>
      </c>
      <c r="L5754" s="20" t="n">
        <v>34000</v>
      </c>
      <c r="M5754" s="20" t="n">
        <v>32011</v>
      </c>
      <c r="N5754" s="20" t="n">
        <v>2753</v>
      </c>
      <c r="O5754" s="20" t="inlineStr">
        <is>
          <t>카페24고체향수솔리드퍼퓸 이그나이트 001제품선택=이그나이트 솔리드퍼퓸 - 30ml210207</t>
        </is>
      </c>
    </row>
    <row r="5755">
      <c r="B5755" s="16" t="n">
        <v>44282</v>
      </c>
      <c r="C5755" s="20" t="inlineStr">
        <is>
          <t>토</t>
        </is>
      </c>
      <c r="E5755" s="20" t="inlineStr">
        <is>
          <t>고체향수</t>
        </is>
      </c>
      <c r="F5755" s="20" t="inlineStr">
        <is>
          <t>카페24</t>
        </is>
      </c>
      <c r="G5755" s="20" t="inlineStr">
        <is>
          <t>솔리드퍼퓸 이그나이트 001제품선택=이그나이트 2개 세트</t>
        </is>
      </c>
      <c r="H5755" s="20" t="n">
        <v>1</v>
      </c>
      <c r="I5755" s="20" t="inlineStr">
        <is>
          <t>이그나이트 2set</t>
        </is>
      </c>
      <c r="J5755" s="20" t="inlineStr">
        <is>
          <t>210207</t>
        </is>
      </c>
      <c r="L5755" s="20" t="n">
        <v>58800</v>
      </c>
      <c r="M5755" s="20" t="n">
        <v>55360.2</v>
      </c>
      <c r="N5755" s="20" t="n">
        <v>5506</v>
      </c>
      <c r="O5755" s="20" t="inlineStr">
        <is>
          <t>카페24고체향수솔리드퍼퓸 이그나이트 001제품선택=이그나이트 2개 세트210207</t>
        </is>
      </c>
    </row>
    <row r="5756">
      <c r="B5756" s="16" t="n">
        <v>44283</v>
      </c>
      <c r="C5756" s="20" t="inlineStr">
        <is>
          <t>일</t>
        </is>
      </c>
      <c r="E5756" s="20" t="inlineStr">
        <is>
          <t>고체향수</t>
        </is>
      </c>
      <c r="F5756" s="20" t="inlineStr">
        <is>
          <t>스마트스토어</t>
        </is>
      </c>
      <c r="G5756" s="20" t="inlineStr">
        <is>
          <t>유즈 고체향수 세트(유즈 스테이포에버, 유즈 이그나이트)고체향수: 스테이포에버 1개 + 이그나이트 1개</t>
        </is>
      </c>
      <c r="H5756" s="20" t="n">
        <v>2</v>
      </c>
      <c r="I5756" s="20" t="inlineStr">
        <is>
          <t>이그나이트 + 스테이포에버</t>
        </is>
      </c>
      <c r="J5756" s="20" t="inlineStr">
        <is>
          <t>210207</t>
        </is>
      </c>
      <c r="L5756" s="20" t="n">
        <v>117600</v>
      </c>
      <c r="M5756" s="20" t="n">
        <v>110720.4</v>
      </c>
      <c r="N5756" s="20" t="n">
        <v>10690</v>
      </c>
      <c r="O5756" s="20" t="inlineStr">
        <is>
          <t>스마트스토어고체향수유즈 고체향수 세트(유즈 스테이포에버, 유즈 이그나이트)고체향수: 스테이포에버 1개 + 이그나이트 1개210207</t>
        </is>
      </c>
    </row>
    <row r="5757">
      <c r="B5757" s="16" t="n">
        <v>44283</v>
      </c>
      <c r="C5757" s="20" t="inlineStr">
        <is>
          <t>일</t>
        </is>
      </c>
      <c r="E5757" s="20" t="inlineStr">
        <is>
          <t>고체향수</t>
        </is>
      </c>
      <c r="F5757" s="20" t="inlineStr">
        <is>
          <t>스마트스토어</t>
        </is>
      </c>
      <c r="G5757" s="20" t="inlineStr">
        <is>
          <t>유즈 고체향수 세트(유즈 스테이포에버, 유즈 이그나이트)고체향수: 스테이포에버 2개</t>
        </is>
      </c>
      <c r="H5757" s="20" t="n">
        <v>7</v>
      </c>
      <c r="I5757" s="20" t="inlineStr">
        <is>
          <t>스테이포에버 2set</t>
        </is>
      </c>
      <c r="J5757" s="20" t="inlineStr">
        <is>
          <t>210207</t>
        </is>
      </c>
      <c r="L5757" s="20" t="n">
        <v>411600</v>
      </c>
      <c r="M5757" s="20" t="n">
        <v>403368</v>
      </c>
      <c r="N5757" s="20" t="n">
        <v>36288</v>
      </c>
      <c r="O5757" s="20" t="inlineStr">
        <is>
          <t>스마트스토어고체향수유즈 고체향수 세트(유즈 스테이포에버, 유즈 이그나이트)고체향수: 스테이포에버 2개210207</t>
        </is>
      </c>
    </row>
    <row r="5758">
      <c r="B5758" s="16" t="n">
        <v>44283</v>
      </c>
      <c r="C5758" s="20" t="inlineStr">
        <is>
          <t>일</t>
        </is>
      </c>
      <c r="E5758" s="20" t="inlineStr">
        <is>
          <t>고체향수</t>
        </is>
      </c>
      <c r="F5758" s="20" t="inlineStr">
        <is>
          <t>스마트스토어</t>
        </is>
      </c>
      <c r="G5758" s="20" t="inlineStr">
        <is>
          <t>유즈 고체향수 스테이포에버 002고체향수: 스테이포에버 1개</t>
        </is>
      </c>
      <c r="H5758" s="20" t="n">
        <v>34</v>
      </c>
      <c r="I5758" s="20" t="inlineStr">
        <is>
          <t>스테이포에버</t>
        </is>
      </c>
      <c r="J5758" s="20" t="inlineStr">
        <is>
          <t>210207</t>
        </is>
      </c>
      <c r="L5758" s="20" t="n">
        <v>1156000</v>
      </c>
      <c r="M5758" s="20" t="n">
        <v>1132880</v>
      </c>
      <c r="N5758" s="20" t="n">
        <v>88128</v>
      </c>
      <c r="O5758" s="20" t="inlineStr">
        <is>
          <t>스마트스토어고체향수유즈 고체향수 스테이포에버 002고체향수: 스테이포에버 1개210207</t>
        </is>
      </c>
    </row>
    <row r="5759">
      <c r="B5759" s="16" t="n">
        <v>44283</v>
      </c>
      <c r="C5759" s="20" t="inlineStr">
        <is>
          <t>일</t>
        </is>
      </c>
      <c r="E5759" s="20" t="inlineStr">
        <is>
          <t>고체향수</t>
        </is>
      </c>
      <c r="F5759" s="20" t="inlineStr">
        <is>
          <t>카페24</t>
        </is>
      </c>
      <c r="G5759" s="20" t="inlineStr">
        <is>
          <t>솔리드퍼퓸 세트향=스테이포에버 002 SOLID PERFUME, 세트 선택=1개</t>
        </is>
      </c>
      <c r="H5759" s="20" t="n">
        <v>1</v>
      </c>
      <c r="I5759" s="20" t="inlineStr">
        <is>
          <t>스테이포에버</t>
        </is>
      </c>
      <c r="J5759" s="20" t="inlineStr">
        <is>
          <t>210207</t>
        </is>
      </c>
      <c r="L5759" s="20" t="n">
        <v>34000</v>
      </c>
      <c r="M5759" s="20" t="n">
        <v>32011</v>
      </c>
      <c r="N5759" s="20" t="n">
        <v>2592</v>
      </c>
      <c r="O5759" s="20" t="inlineStr">
        <is>
          <t>카페24고체향수솔리드퍼퓸 세트향=스테이포에버 002 SOLID PERFUME, 세트 선택=1개210207</t>
        </is>
      </c>
    </row>
    <row r="5760">
      <c r="B5760" s="16" t="n">
        <v>44283</v>
      </c>
      <c r="C5760" s="20" t="inlineStr">
        <is>
          <t>일</t>
        </is>
      </c>
      <c r="E5760" s="20" t="inlineStr">
        <is>
          <t>고체향수</t>
        </is>
      </c>
      <c r="F5760" s="20" t="inlineStr">
        <is>
          <t>카페24</t>
        </is>
      </c>
      <c r="G5760" s="20" t="inlineStr">
        <is>
          <t>솔리드퍼퓸 세트향=스테이포에버 002 SOLID PERFUME, 세트 선택=best 2개 (28% 할인)</t>
        </is>
      </c>
      <c r="H5760" s="20" t="n">
        <v>7</v>
      </c>
      <c r="I5760" s="20" t="inlineStr">
        <is>
          <t>스테이포에버 2set</t>
        </is>
      </c>
      <c r="J5760" s="20" t="inlineStr">
        <is>
          <t>210207</t>
        </is>
      </c>
      <c r="L5760" s="20" t="n">
        <v>411600</v>
      </c>
      <c r="M5760" s="20" t="n">
        <v>387521.4</v>
      </c>
      <c r="N5760" s="20" t="n">
        <v>36288</v>
      </c>
      <c r="O5760" s="20" t="inlineStr">
        <is>
          <t>카페24고체향수솔리드퍼퓸 세트향=스테이포에버 002 SOLID PERFUME, 세트 선택=best 2개 (28% 할인)210207</t>
        </is>
      </c>
    </row>
    <row r="5761">
      <c r="B5761" s="16" t="n">
        <v>44283</v>
      </c>
      <c r="C5761" s="20" t="inlineStr">
        <is>
          <t>일</t>
        </is>
      </c>
      <c r="E5761" s="20" t="inlineStr">
        <is>
          <t>고체향수</t>
        </is>
      </c>
      <c r="F5761" s="20" t="inlineStr">
        <is>
          <t>카페24</t>
        </is>
      </c>
      <c r="G5761" s="20" t="inlineStr">
        <is>
          <t>솔리드퍼퓸 세트향=커플세트(이그나이트 + 스테이포에버), 세트 선택=1 SET</t>
        </is>
      </c>
      <c r="H5761" s="20" t="n">
        <v>15</v>
      </c>
      <c r="I5761" s="20" t="inlineStr">
        <is>
          <t>이그나이트 + 스테이포에버</t>
        </is>
      </c>
      <c r="J5761" s="20" t="inlineStr">
        <is>
          <t>210207</t>
        </is>
      </c>
      <c r="L5761" s="20" t="n">
        <v>882000</v>
      </c>
      <c r="M5761" s="20" t="n">
        <v>830403</v>
      </c>
      <c r="N5761" s="20" t="n">
        <v>80175</v>
      </c>
      <c r="O5761" s="20" t="inlineStr">
        <is>
          <t>카페24고체향수솔리드퍼퓸 세트향=커플세트(이그나이트 + 스테이포에버), 세트 선택=1 SET210207</t>
        </is>
      </c>
    </row>
    <row r="5762">
      <c r="B5762" s="16" t="n">
        <v>44283</v>
      </c>
      <c r="C5762" s="20" t="inlineStr">
        <is>
          <t>일</t>
        </is>
      </c>
      <c r="E5762" s="20" t="inlineStr">
        <is>
          <t>고체향수</t>
        </is>
      </c>
      <c r="F5762" s="20" t="inlineStr">
        <is>
          <t>카페24</t>
        </is>
      </c>
      <c r="G5762" s="20" t="inlineStr">
        <is>
          <t>솔리드퍼퓸 스테이포에버 002제품선택=스테이포에버 1개</t>
        </is>
      </c>
      <c r="H5762" s="20" t="n">
        <v>211</v>
      </c>
      <c r="I5762" s="20" t="inlineStr">
        <is>
          <t>스테이포에버</t>
        </is>
      </c>
      <c r="J5762" s="20" t="inlineStr">
        <is>
          <t>210207</t>
        </is>
      </c>
      <c r="L5762" s="20" t="n">
        <v>7174000</v>
      </c>
      <c r="M5762" s="20" t="n">
        <v>6754321</v>
      </c>
      <c r="N5762" s="20" t="n">
        <v>546912</v>
      </c>
      <c r="O5762" s="20" t="inlineStr">
        <is>
          <t>카페24고체향수솔리드퍼퓸 스테이포에버 002제품선택=스테이포에버 1개210207</t>
        </is>
      </c>
    </row>
    <row r="5763">
      <c r="B5763" s="16" t="n">
        <v>44283</v>
      </c>
      <c r="C5763" s="20" t="inlineStr">
        <is>
          <t>일</t>
        </is>
      </c>
      <c r="E5763" s="20" t="inlineStr">
        <is>
          <t>고체향수</t>
        </is>
      </c>
      <c r="F5763" s="20" t="inlineStr">
        <is>
          <t>카페24</t>
        </is>
      </c>
      <c r="G5763" s="20" t="inlineStr">
        <is>
          <t>솔리드퍼퓸 스테이포에버 002제품선택=best스테이포에버 2개[28% 할인]</t>
        </is>
      </c>
      <c r="H5763" s="20" t="n">
        <v>122</v>
      </c>
      <c r="I5763" s="20" t="inlineStr">
        <is>
          <t>스테이포에버 2set</t>
        </is>
      </c>
      <c r="J5763" s="20" t="inlineStr">
        <is>
          <t>210207</t>
        </is>
      </c>
      <c r="L5763" s="20" t="n">
        <v>7173600</v>
      </c>
      <c r="M5763" s="20" t="n">
        <v>6753944.399999999</v>
      </c>
      <c r="N5763" s="20" t="n">
        <v>632448</v>
      </c>
      <c r="O5763" s="20" t="inlineStr">
        <is>
          <t>카페24고체향수솔리드퍼퓸 스테이포에버 002제품선택=best스테이포에버 2개[28% 할인]210207</t>
        </is>
      </c>
    </row>
    <row r="5764">
      <c r="B5764" s="16" t="n">
        <v>44283</v>
      </c>
      <c r="C5764" s="20" t="inlineStr">
        <is>
          <t>일</t>
        </is>
      </c>
      <c r="E5764" s="20" t="inlineStr">
        <is>
          <t>고체향수</t>
        </is>
      </c>
      <c r="F5764" s="20" t="inlineStr">
        <is>
          <t>카페24</t>
        </is>
      </c>
      <c r="G5764" s="20" t="inlineStr">
        <is>
          <t>솔리드퍼퓸 스테이포에버 002제품선택=커플추천스테이포에버 + 이그나이트 세트</t>
        </is>
      </c>
      <c r="H5764" s="20" t="n">
        <v>14</v>
      </c>
      <c r="I5764" s="20" t="inlineStr">
        <is>
          <t>이그나이트 + 스테이포에버</t>
        </is>
      </c>
      <c r="J5764" s="20" t="inlineStr">
        <is>
          <t>210207</t>
        </is>
      </c>
      <c r="L5764" s="20" t="n">
        <v>823200</v>
      </c>
      <c r="M5764" s="20" t="n">
        <v>775042.7999999999</v>
      </c>
      <c r="N5764" s="20" t="n">
        <v>74830</v>
      </c>
      <c r="O5764" s="20" t="inlineStr">
        <is>
          <t>카페24고체향수솔리드퍼퓸 스테이포에버 002제품선택=커플추천스테이포에버 + 이그나이트 세트210207</t>
        </is>
      </c>
    </row>
    <row r="5765">
      <c r="B5765" s="16" t="n">
        <v>44283</v>
      </c>
      <c r="C5765" s="20" t="inlineStr">
        <is>
          <t>일</t>
        </is>
      </c>
      <c r="E5765" s="20" t="inlineStr">
        <is>
          <t>쇼핑백</t>
        </is>
      </c>
      <c r="F5765" s="20" t="inlineStr">
        <is>
          <t>카페24</t>
        </is>
      </c>
      <c r="G5765" s="20" t="inlineStr">
        <is>
          <t>솔리드퍼퓸 스테이포에버 002쇼핑백=선물용 쇼핑백</t>
        </is>
      </c>
      <c r="H5765" s="20" t="n">
        <v>6</v>
      </c>
      <c r="I5765" s="20" t="inlineStr">
        <is>
          <t>쇼핑백</t>
        </is>
      </c>
      <c r="J5765" s="20" t="inlineStr">
        <is>
          <t>210207</t>
        </is>
      </c>
      <c r="L5765" s="20" t="n">
        <v>12000</v>
      </c>
      <c r="M5765" s="20" t="n">
        <v>11298</v>
      </c>
      <c r="N5765" s="20" t="n">
        <v>4980</v>
      </c>
      <c r="O5765" s="20" t="inlineStr">
        <is>
          <t>카페24쇼핑백솔리드퍼퓸 스테이포에버 002쇼핑백=선물용 쇼핑백210207</t>
        </is>
      </c>
    </row>
    <row r="5766">
      <c r="B5766" s="16" t="n">
        <v>44283</v>
      </c>
      <c r="C5766" s="20" t="inlineStr">
        <is>
          <t>일</t>
        </is>
      </c>
      <c r="E5766" s="20" t="inlineStr">
        <is>
          <t>고체향수</t>
        </is>
      </c>
      <c r="F5766" s="20" t="inlineStr">
        <is>
          <t>카페24</t>
        </is>
      </c>
      <c r="G5766" s="20" t="inlineStr">
        <is>
          <t>솔리드퍼퓸 이그나이트 001제품선택=이그나이트 솔리드퍼퓸 - 30ml</t>
        </is>
      </c>
      <c r="H5766" s="20" t="n">
        <v>4</v>
      </c>
      <c r="I5766" s="20" t="inlineStr">
        <is>
          <t>이그나이트</t>
        </is>
      </c>
      <c r="J5766" s="20" t="inlineStr">
        <is>
          <t>210207</t>
        </is>
      </c>
      <c r="L5766" s="20" t="n">
        <v>136000</v>
      </c>
      <c r="M5766" s="20" t="n">
        <v>128044</v>
      </c>
      <c r="N5766" s="20" t="n">
        <v>11012</v>
      </c>
      <c r="O5766" s="20" t="inlineStr">
        <is>
          <t>카페24고체향수솔리드퍼퓸 이그나이트 001제품선택=이그나이트 솔리드퍼퓸 - 30ml210207</t>
        </is>
      </c>
    </row>
    <row r="5767">
      <c r="B5767" s="16" t="n">
        <v>44283</v>
      </c>
      <c r="C5767" s="20" t="inlineStr">
        <is>
          <t>일</t>
        </is>
      </c>
      <c r="E5767" s="20" t="inlineStr">
        <is>
          <t>고체향수</t>
        </is>
      </c>
      <c r="F5767" s="20" t="inlineStr">
        <is>
          <t>카페24</t>
        </is>
      </c>
      <c r="G5767" s="20" t="inlineStr">
        <is>
          <t>솔리드퍼퓸 이그나이트 001제품선택=이그나이트 2개 세트</t>
        </is>
      </c>
      <c r="H5767" s="20" t="n">
        <v>3</v>
      </c>
      <c r="I5767" s="20" t="inlineStr">
        <is>
          <t>이그나이트 2set</t>
        </is>
      </c>
      <c r="J5767" s="20" t="inlineStr">
        <is>
          <t>210207</t>
        </is>
      </c>
      <c r="L5767" s="20" t="n">
        <v>176400</v>
      </c>
      <c r="M5767" s="20" t="n">
        <v>166080.6</v>
      </c>
      <c r="N5767" s="20" t="n">
        <v>16518</v>
      </c>
      <c r="O5767" s="20" t="inlineStr">
        <is>
          <t>카페24고체향수솔리드퍼퓸 이그나이트 001제품선택=이그나이트 2개 세트210207</t>
        </is>
      </c>
    </row>
    <row r="5768">
      <c r="B5768" s="16" t="n">
        <v>44283</v>
      </c>
      <c r="C5768" s="20" t="inlineStr">
        <is>
          <t>일</t>
        </is>
      </c>
      <c r="E5768" s="20" t="inlineStr">
        <is>
          <t>쇼핑백</t>
        </is>
      </c>
      <c r="F5768" s="20" t="inlineStr">
        <is>
          <t>카페24</t>
        </is>
      </c>
      <c r="G5768" s="20" t="inlineStr">
        <is>
          <t>솔리드퍼퓸 이그나이트 001쇼핑백=선물용 쇼핑백</t>
        </is>
      </c>
      <c r="H5768" s="20" t="n">
        <v>1</v>
      </c>
      <c r="I5768" s="20" t="inlineStr">
        <is>
          <t>쇼핑백</t>
        </is>
      </c>
      <c r="J5768" s="20" t="inlineStr">
        <is>
          <t>210207</t>
        </is>
      </c>
      <c r="L5768" s="20" t="n">
        <v>2000</v>
      </c>
      <c r="M5768" s="20" t="n">
        <v>1883</v>
      </c>
      <c r="N5768" s="20" t="n">
        <v>830</v>
      </c>
      <c r="O5768" s="20" t="inlineStr">
        <is>
          <t>카페24쇼핑백솔리드퍼퓸 이그나이트 001쇼핑백=선물용 쇼핑백210207</t>
        </is>
      </c>
    </row>
    <row r="5769">
      <c r="A5769" s="20" t="inlineStr">
        <is>
          <t>고체향수_전환추적</t>
        </is>
      </c>
      <c r="B5769" s="16" t="n">
        <v>44281</v>
      </c>
      <c r="C5769" s="20" t="inlineStr">
        <is>
          <t>금</t>
        </is>
      </c>
      <c r="D5769" s="20" t="inlineStr">
        <is>
          <t>네이버 배너</t>
        </is>
      </c>
      <c r="E5769" s="20" t="inlineStr">
        <is>
          <t>고체향수</t>
        </is>
      </c>
      <c r="K5769" s="20" t="n">
        <v>263486.3636363636</v>
      </c>
    </row>
    <row r="5770">
      <c r="A5770" s="20" t="inlineStr">
        <is>
          <t>고체향수</t>
        </is>
      </c>
      <c r="B5770" s="16" t="n">
        <v>44281</v>
      </c>
      <c r="C5770" s="20" t="inlineStr">
        <is>
          <t>금</t>
        </is>
      </c>
      <c r="D5770" s="20" t="inlineStr">
        <is>
          <t>네이버 배너</t>
        </is>
      </c>
      <c r="E5770" s="20" t="inlineStr">
        <is>
          <t>고체향수</t>
        </is>
      </c>
      <c r="K5770" s="20" t="n">
        <v>902210.9090909091</v>
      </c>
    </row>
    <row r="5771">
      <c r="A5771" s="20" t="inlineStr">
        <is>
          <t>고체향수_전환추적</t>
        </is>
      </c>
      <c r="B5771" s="16" t="n">
        <v>44282</v>
      </c>
      <c r="C5771" s="20" t="inlineStr">
        <is>
          <t>토</t>
        </is>
      </c>
      <c r="D5771" s="20" t="inlineStr">
        <is>
          <t>네이버 배너</t>
        </is>
      </c>
      <c r="E5771" s="20" t="inlineStr">
        <is>
          <t>고체향수</t>
        </is>
      </c>
      <c r="K5771" s="20" t="n">
        <v>531517.2727272727</v>
      </c>
    </row>
    <row r="5772">
      <c r="A5772" s="20" t="inlineStr">
        <is>
          <t>고체향수</t>
        </is>
      </c>
      <c r="B5772" s="16" t="n">
        <v>44282</v>
      </c>
      <c r="C5772" s="20" t="inlineStr">
        <is>
          <t>토</t>
        </is>
      </c>
      <c r="D5772" s="20" t="inlineStr">
        <is>
          <t>네이버 배너</t>
        </is>
      </c>
      <c r="E5772" s="20" t="inlineStr">
        <is>
          <t>고체향수</t>
        </is>
      </c>
      <c r="K5772" s="20" t="n">
        <v>1142369.090909091</v>
      </c>
    </row>
    <row r="5773">
      <c r="A5773" s="20" t="inlineStr">
        <is>
          <t>고체향수_전환추적</t>
        </is>
      </c>
      <c r="B5773" s="16" t="n">
        <v>44283</v>
      </c>
      <c r="C5773" s="20" t="inlineStr">
        <is>
          <t>일</t>
        </is>
      </c>
      <c r="D5773" s="20" t="inlineStr">
        <is>
          <t>네이버 배너</t>
        </is>
      </c>
      <c r="E5773" s="20" t="inlineStr">
        <is>
          <t>고체향수</t>
        </is>
      </c>
      <c r="K5773" s="20" t="n">
        <v>621906.3636363635</v>
      </c>
    </row>
    <row r="5774">
      <c r="A5774" s="20" t="inlineStr">
        <is>
          <t>고체향수</t>
        </is>
      </c>
      <c r="B5774" s="16" t="n">
        <v>44283</v>
      </c>
      <c r="C5774" s="20" t="inlineStr">
        <is>
          <t>일</t>
        </is>
      </c>
      <c r="D5774" s="20" t="inlineStr">
        <is>
          <t>네이버 배너</t>
        </is>
      </c>
      <c r="E5774" s="20" t="inlineStr">
        <is>
          <t>고체향수</t>
        </is>
      </c>
      <c r="K5774" s="20" t="n">
        <v>1196490</v>
      </c>
    </row>
    <row r="5775">
      <c r="B5775" s="16" t="n">
        <v>44281</v>
      </c>
      <c r="C5775" s="20" t="inlineStr">
        <is>
          <t>금</t>
        </is>
      </c>
      <c r="D5775" s="20" t="inlineStr">
        <is>
          <t>네이버 배너(대행사)</t>
        </is>
      </c>
      <c r="E5775" s="20" t="inlineStr">
        <is>
          <t>고체향수</t>
        </is>
      </c>
      <c r="K5775" s="20">
        <f>195030/1.1</f>
        <v/>
      </c>
    </row>
    <row r="5776">
      <c r="B5776" s="16" t="n">
        <v>44282</v>
      </c>
      <c r="C5776" s="20" t="inlineStr">
        <is>
          <t>토</t>
        </is>
      </c>
      <c r="D5776" s="20" t="inlineStr">
        <is>
          <t>네이버 배너(대행사)</t>
        </is>
      </c>
      <c r="E5776" s="20" t="inlineStr">
        <is>
          <t>고체향수</t>
        </is>
      </c>
      <c r="K5776" s="20">
        <f>267359/1.1</f>
        <v/>
      </c>
    </row>
    <row r="5777">
      <c r="B5777" s="16" t="n">
        <v>44283</v>
      </c>
      <c r="C5777" s="20" t="inlineStr">
        <is>
          <t>일</t>
        </is>
      </c>
      <c r="D5777" s="20" t="inlineStr">
        <is>
          <t>네이버 배너(대행사)</t>
        </is>
      </c>
      <c r="E5777" s="20" t="inlineStr">
        <is>
          <t>고체향수</t>
        </is>
      </c>
      <c r="K5777" s="20">
        <f>274357/1.1</f>
        <v/>
      </c>
    </row>
    <row r="5778">
      <c r="A5778" s="20" t="inlineStr">
        <is>
          <t>[유튜버 수지큐]스테이포에버_카드뉴스</t>
        </is>
      </c>
      <c r="B5778" s="16" t="n">
        <v>44284</v>
      </c>
      <c r="C5778" s="20" t="inlineStr">
        <is>
          <t>월</t>
        </is>
      </c>
      <c r="D5778" s="20" t="inlineStr">
        <is>
          <t>페이스북/인스타그램</t>
        </is>
      </c>
      <c r="E5778" s="20" t="inlineStr">
        <is>
          <t>고체향수</t>
        </is>
      </c>
      <c r="K5778" s="20" t="n">
        <v>29148</v>
      </c>
    </row>
    <row r="5779">
      <c r="A5779" s="20" t="inlineStr">
        <is>
          <t>[유튜버 수지큐]스테이포에버_영상</t>
        </is>
      </c>
      <c r="B5779" s="16" t="n">
        <v>44284</v>
      </c>
      <c r="C5779" s="20" t="inlineStr">
        <is>
          <t>월</t>
        </is>
      </c>
      <c r="D5779" s="20" t="inlineStr">
        <is>
          <t>페이스북/인스타그램</t>
        </is>
      </c>
      <c r="E5779" s="20" t="inlineStr">
        <is>
          <t>고체향수</t>
        </is>
      </c>
      <c r="K5779" s="20" t="n">
        <v>95365</v>
      </c>
    </row>
    <row r="5780">
      <c r="A5780" s="20" t="inlineStr">
        <is>
          <t>[승무원]수지큐2차활용_스테이포에버_이미지</t>
        </is>
      </c>
      <c r="B5780" s="16" t="n">
        <v>44284</v>
      </c>
      <c r="C5780" s="20" t="inlineStr">
        <is>
          <t>월</t>
        </is>
      </c>
      <c r="D5780" s="20" t="inlineStr">
        <is>
          <t>페이스북/인스타그램</t>
        </is>
      </c>
      <c r="E5780" s="20" t="inlineStr">
        <is>
          <t>고체향수</t>
        </is>
      </c>
      <c r="K5780" s="20" t="n">
        <v>28799</v>
      </c>
    </row>
    <row r="5781">
      <c r="A5781" s="20" t="inlineStr">
        <is>
          <t>[다현 TEST] 스테이포에버_유즈모먼트</t>
        </is>
      </c>
      <c r="B5781" s="16" t="n">
        <v>44284</v>
      </c>
      <c r="C5781" s="20" t="inlineStr">
        <is>
          <t>월</t>
        </is>
      </c>
      <c r="D5781" s="20" t="inlineStr">
        <is>
          <t>페이스북/인스타그램</t>
        </is>
      </c>
      <c r="E5781" s="20" t="inlineStr">
        <is>
          <t>고체향수</t>
        </is>
      </c>
      <c r="K5781" s="20" t="n">
        <v>58165</v>
      </c>
    </row>
    <row r="5782">
      <c r="A5782" s="20" t="inlineStr">
        <is>
          <t>[성민 TEST] 스테이포에버_이미지</t>
        </is>
      </c>
      <c r="B5782" s="16" t="n">
        <v>44284</v>
      </c>
      <c r="C5782" s="20" t="inlineStr">
        <is>
          <t>월</t>
        </is>
      </c>
      <c r="D5782" s="20" t="inlineStr">
        <is>
          <t>페이스북/인스타그램</t>
        </is>
      </c>
      <c r="E5782" s="20" t="inlineStr">
        <is>
          <t>고체향수</t>
        </is>
      </c>
      <c r="K5782" s="20" t="n">
        <v>137690</v>
      </c>
    </row>
    <row r="5783">
      <c r="A5783" s="20" t="inlineStr">
        <is>
          <t>[승은 TEST] 스테이포에버_카드뉴스</t>
        </is>
      </c>
      <c r="B5783" s="16" t="n">
        <v>44284</v>
      </c>
      <c r="C5783" s="20" t="inlineStr">
        <is>
          <t>월</t>
        </is>
      </c>
      <c r="D5783" s="20" t="inlineStr">
        <is>
          <t>페이스북/인스타그램</t>
        </is>
      </c>
      <c r="E5783" s="20" t="inlineStr">
        <is>
          <t>고체향수</t>
        </is>
      </c>
      <c r="K5783" s="20" t="n">
        <v>58247</v>
      </c>
    </row>
    <row r="5784">
      <c r="A5784" s="20" t="inlineStr">
        <is>
          <t>[승무원 2] 스테이포에버_카드뉴스</t>
        </is>
      </c>
      <c r="B5784" s="16" t="n">
        <v>44284</v>
      </c>
      <c r="C5784" s="20" t="inlineStr">
        <is>
          <t>월</t>
        </is>
      </c>
      <c r="D5784" s="20" t="inlineStr">
        <is>
          <t>페이스북/인스타그램</t>
        </is>
      </c>
      <c r="E5784" s="20" t="inlineStr">
        <is>
          <t>고체향수</t>
        </is>
      </c>
      <c r="K5784" s="20" t="n">
        <v>97929</v>
      </c>
    </row>
    <row r="5785">
      <c r="A5785" s="20" t="inlineStr">
        <is>
          <t>[테스트]아줌마</t>
        </is>
      </c>
      <c r="B5785" s="16" t="n">
        <v>44284</v>
      </c>
      <c r="C5785" s="20" t="inlineStr">
        <is>
          <t>월</t>
        </is>
      </c>
      <c r="D5785" s="20" t="inlineStr">
        <is>
          <t>페이스북/인스타그램</t>
        </is>
      </c>
      <c r="E5785" s="20" t="inlineStr">
        <is>
          <t>고체향수</t>
        </is>
      </c>
      <c r="K5785" s="20" t="n">
        <v>107478</v>
      </c>
    </row>
    <row r="5786">
      <c r="A5786" s="20" t="inlineStr">
        <is>
          <t>[키워드 확장 테스트]스테이포에버_이미지</t>
        </is>
      </c>
      <c r="B5786" s="16" t="n">
        <v>44284</v>
      </c>
      <c r="C5786" s="20" t="inlineStr">
        <is>
          <t>월</t>
        </is>
      </c>
      <c r="D5786" s="20" t="inlineStr">
        <is>
          <t>페이스북/인스타그램</t>
        </is>
      </c>
      <c r="E5786" s="20" t="inlineStr">
        <is>
          <t>고체향수</t>
        </is>
      </c>
      <c r="K5786" s="20" t="n">
        <v>203942</v>
      </c>
    </row>
    <row r="5787">
      <c r="A5787" s="20" t="inlineStr">
        <is>
          <t>[재입고]스테이포에버_이미지</t>
        </is>
      </c>
      <c r="B5787" s="16" t="n">
        <v>44284</v>
      </c>
      <c r="C5787" s="20" t="inlineStr">
        <is>
          <t>월</t>
        </is>
      </c>
      <c r="D5787" s="20" t="inlineStr">
        <is>
          <t>페이스북/인스타그램</t>
        </is>
      </c>
      <c r="E5787" s="20" t="inlineStr">
        <is>
          <t>고체향수</t>
        </is>
      </c>
      <c r="K5787" s="20" t="n">
        <v>144529</v>
      </c>
    </row>
    <row r="5788">
      <c r="A5788" s="20" t="inlineStr">
        <is>
          <t>[승무원]숏폼_영상</t>
        </is>
      </c>
      <c r="B5788" s="16" t="n">
        <v>44284</v>
      </c>
      <c r="C5788" s="20" t="inlineStr">
        <is>
          <t>월</t>
        </is>
      </c>
      <c r="D5788" s="20" t="inlineStr">
        <is>
          <t>페이스북/인스타그램</t>
        </is>
      </c>
      <c r="E5788" s="20" t="inlineStr">
        <is>
          <t>고체향수</t>
        </is>
      </c>
      <c r="K5788" s="20" t="n">
        <v>48528</v>
      </c>
    </row>
    <row r="5789">
      <c r="A5789" s="20" t="inlineStr">
        <is>
          <t>[재입고]스테이포에버_영상</t>
        </is>
      </c>
      <c r="B5789" s="16" t="n">
        <v>44284</v>
      </c>
      <c r="C5789" s="20" t="inlineStr">
        <is>
          <t>월</t>
        </is>
      </c>
      <c r="D5789" s="20" t="inlineStr">
        <is>
          <t>페이스북/인스타그램</t>
        </is>
      </c>
      <c r="E5789" s="20" t="inlineStr">
        <is>
          <t>고체향수</t>
        </is>
      </c>
      <c r="K5789" s="20" t="n">
        <v>48747</v>
      </c>
    </row>
    <row r="5790">
      <c r="A5790" s="20" t="inlineStr">
        <is>
          <t>[젊줌마]스테이포에버_영상</t>
        </is>
      </c>
      <c r="B5790" s="16" t="n">
        <v>44284</v>
      </c>
      <c r="C5790" s="20" t="inlineStr">
        <is>
          <t>월</t>
        </is>
      </c>
      <c r="D5790" s="20" t="inlineStr">
        <is>
          <t>페이스북/인스타그램</t>
        </is>
      </c>
      <c r="E5790" s="20" t="inlineStr">
        <is>
          <t>고체향수</t>
        </is>
      </c>
      <c r="K5790" s="20" t="n">
        <v>28882</v>
      </c>
    </row>
    <row r="5791">
      <c r="A5791" s="20" t="inlineStr">
        <is>
          <t>[승무원]2019년썰 카드뉴스+ 향묘사_영상</t>
        </is>
      </c>
      <c r="B5791" s="16" t="n">
        <v>44284</v>
      </c>
      <c r="C5791" s="20" t="inlineStr">
        <is>
          <t>월</t>
        </is>
      </c>
      <c r="D5791" s="20" t="inlineStr">
        <is>
          <t>페이스북/인스타그램</t>
        </is>
      </c>
      <c r="E5791" s="20" t="inlineStr">
        <is>
          <t>고체향수</t>
        </is>
      </c>
      <c r="K5791" s="20" t="n">
        <v>48345</v>
      </c>
    </row>
    <row r="5792">
      <c r="A5792" s="20" t="inlineStr">
        <is>
          <t>[승무원어피]스테이포에버_이미지</t>
        </is>
      </c>
      <c r="B5792" s="16" t="n">
        <v>44284</v>
      </c>
      <c r="C5792" s="20" t="inlineStr">
        <is>
          <t>월</t>
        </is>
      </c>
      <c r="D5792" s="20" t="inlineStr">
        <is>
          <t>페이스북/인스타그램</t>
        </is>
      </c>
      <c r="E5792" s="20" t="inlineStr">
        <is>
          <t>고체향수</t>
        </is>
      </c>
      <c r="K5792" s="20" t="n">
        <v>97098</v>
      </c>
    </row>
    <row r="5793">
      <c r="A5793" s="20" t="inlineStr">
        <is>
          <t>[다현]스테이포에버_이미지</t>
        </is>
      </c>
      <c r="B5793" s="16" t="n">
        <v>44284</v>
      </c>
      <c r="C5793" s="20" t="inlineStr">
        <is>
          <t>월</t>
        </is>
      </c>
      <c r="D5793" s="20" t="inlineStr">
        <is>
          <t>페이스북/인스타그램</t>
        </is>
      </c>
      <c r="E5793" s="20" t="inlineStr">
        <is>
          <t>고체향수</t>
        </is>
      </c>
      <c r="K5793" s="20" t="n">
        <v>96730</v>
      </c>
    </row>
    <row r="5794">
      <c r="A5794" s="20" t="inlineStr">
        <is>
          <t>[승무원]스테이포에버_카드뉴스</t>
        </is>
      </c>
      <c r="B5794" s="16" t="n">
        <v>44284</v>
      </c>
      <c r="C5794" s="20" t="inlineStr">
        <is>
          <t>월</t>
        </is>
      </c>
      <c r="D5794" s="20" t="inlineStr">
        <is>
          <t>페이스북/인스타그램</t>
        </is>
      </c>
      <c r="E5794" s="20" t="inlineStr">
        <is>
          <t>고체향수</t>
        </is>
      </c>
      <c r="K5794" s="20" t="n">
        <v>97152</v>
      </c>
    </row>
    <row r="5795">
      <c r="A5795" s="20" t="inlineStr">
        <is>
          <t>[후기타입]스테이포에버_영상</t>
        </is>
      </c>
      <c r="B5795" s="16" t="n">
        <v>44284</v>
      </c>
      <c r="C5795" s="20" t="inlineStr">
        <is>
          <t>월</t>
        </is>
      </c>
      <c r="D5795" s="20" t="inlineStr">
        <is>
          <t>페이스북/인스타그램</t>
        </is>
      </c>
      <c r="E5795" s="20" t="inlineStr">
        <is>
          <t>고체향수</t>
        </is>
      </c>
      <c r="K5795" s="20" t="n">
        <v>145553</v>
      </c>
    </row>
    <row r="5796">
      <c r="A5796" s="20" t="inlineStr">
        <is>
          <t>전환_스테이포에버</t>
        </is>
      </c>
      <c r="B5796" s="16" t="n">
        <v>44284</v>
      </c>
      <c r="C5796" s="20" t="inlineStr">
        <is>
          <t>월</t>
        </is>
      </c>
      <c r="D5796" s="20" t="inlineStr">
        <is>
          <t>페이스북/인스타그램</t>
        </is>
      </c>
      <c r="E5796" s="20" t="inlineStr">
        <is>
          <t>고체향수</t>
        </is>
      </c>
      <c r="K5796" s="20" t="n">
        <v>48313</v>
      </c>
    </row>
    <row r="5797">
      <c r="A5797" s="20" t="inlineStr">
        <is>
          <t>[권태기커플]스테이포에버_영상</t>
        </is>
      </c>
      <c r="B5797" s="16" t="n">
        <v>44284</v>
      </c>
      <c r="C5797" s="20" t="inlineStr">
        <is>
          <t>월</t>
        </is>
      </c>
      <c r="D5797" s="20" t="inlineStr">
        <is>
          <t>페이스북/인스타그램</t>
        </is>
      </c>
      <c r="E5797" s="20" t="inlineStr">
        <is>
          <t>고체향수</t>
        </is>
      </c>
      <c r="K5797" s="20" t="n">
        <v>73067</v>
      </c>
    </row>
    <row r="5798">
      <c r="A5798" s="20" t="inlineStr">
        <is>
          <t>웹사이트 트래픽 서치</t>
        </is>
      </c>
      <c r="B5798" s="16" t="n">
        <v>44284</v>
      </c>
      <c r="C5798" s="20" t="inlineStr">
        <is>
          <t>월</t>
        </is>
      </c>
      <c r="D5798" s="20" t="inlineStr">
        <is>
          <t>유튜브 광고</t>
        </is>
      </c>
      <c r="E5798" s="20" t="inlineStr">
        <is>
          <t>고체향수</t>
        </is>
      </c>
      <c r="K5798" s="20" t="n">
        <v>34772</v>
      </c>
    </row>
    <row r="5799">
      <c r="A5799" s="20" t="inlineStr">
        <is>
          <t>동영상캠페인_승무원_보이는 라디오(cpa)</t>
        </is>
      </c>
      <c r="B5799" s="16" t="n">
        <v>44284</v>
      </c>
      <c r="C5799" s="20" t="inlineStr">
        <is>
          <t>월</t>
        </is>
      </c>
      <c r="D5799" s="20" t="inlineStr">
        <is>
          <t>유튜브 광고</t>
        </is>
      </c>
      <c r="E5799" s="20" t="inlineStr">
        <is>
          <t>고체향수</t>
        </is>
      </c>
      <c r="K5799" s="20" t="n">
        <v>117889</v>
      </c>
    </row>
    <row r="5800">
      <c r="A5800" s="20" t="inlineStr">
        <is>
          <t>디스커버리 배너_승무원,할인_리마케팅</t>
        </is>
      </c>
      <c r="B5800" s="16" t="n">
        <v>44284</v>
      </c>
      <c r="C5800" s="20" t="inlineStr">
        <is>
          <t>월</t>
        </is>
      </c>
      <c r="D5800" s="20" t="inlineStr">
        <is>
          <t>유튜브 광고</t>
        </is>
      </c>
      <c r="E5800" s="20" t="inlineStr">
        <is>
          <t>고체향수</t>
        </is>
      </c>
      <c r="K5800" s="20" t="n">
        <v>444252</v>
      </c>
    </row>
    <row r="5801">
      <c r="A5801" s="20" t="inlineStr">
        <is>
          <t>동영상캠페인_승무원_써니스카이</t>
        </is>
      </c>
      <c r="B5801" s="16" t="n">
        <v>44284</v>
      </c>
      <c r="C5801" s="20" t="inlineStr">
        <is>
          <t>월</t>
        </is>
      </c>
      <c r="D5801" s="20" t="inlineStr">
        <is>
          <t>유튜브 광고</t>
        </is>
      </c>
      <c r="E5801" s="20" t="inlineStr">
        <is>
          <t>고체향수</t>
        </is>
      </c>
      <c r="K5801" s="20" t="n">
        <v>1010002</v>
      </c>
    </row>
    <row r="5802">
      <c r="A5802" s="20" t="inlineStr">
        <is>
          <t>동영상캠페인_필라테스_자기관리(타겟 cpa)</t>
        </is>
      </c>
      <c r="B5802" s="16" t="n">
        <v>44284</v>
      </c>
      <c r="C5802" s="20" t="inlineStr">
        <is>
          <t>월</t>
        </is>
      </c>
      <c r="D5802" s="20" t="inlineStr">
        <is>
          <t>유튜브 광고</t>
        </is>
      </c>
      <c r="E5802" s="20" t="inlineStr">
        <is>
          <t>고체향수</t>
        </is>
      </c>
      <c r="K5802" s="20" t="n">
        <v>348610</v>
      </c>
    </row>
    <row r="5803">
      <c r="A5803" s="20" t="inlineStr">
        <is>
          <t>동영상캠페인_승무원_비누향 나는 승무원에게(cpa)</t>
        </is>
      </c>
      <c r="B5803" s="16" t="n">
        <v>44284</v>
      </c>
      <c r="C5803" s="20" t="inlineStr">
        <is>
          <t>월</t>
        </is>
      </c>
      <c r="D5803" s="20" t="inlineStr">
        <is>
          <t>유튜브 광고</t>
        </is>
      </c>
      <c r="E5803" s="20" t="inlineStr">
        <is>
          <t>고체향수</t>
        </is>
      </c>
      <c r="K5803" s="20" t="n">
        <v>62651</v>
      </c>
    </row>
    <row r="5804">
      <c r="A5804" s="20" t="inlineStr">
        <is>
          <t>동영상캠페인_유즈모먼트_2차_30대 여성 회사원(cpa)</t>
        </is>
      </c>
      <c r="B5804" s="16" t="n">
        <v>44284</v>
      </c>
      <c r="C5804" s="20" t="inlineStr">
        <is>
          <t>월</t>
        </is>
      </c>
      <c r="D5804" s="20" t="inlineStr">
        <is>
          <t>유튜브 광고</t>
        </is>
      </c>
      <c r="E5804" s="20" t="inlineStr">
        <is>
          <t>고체향수</t>
        </is>
      </c>
      <c r="K5804" s="20" t="n">
        <v>145851</v>
      </c>
    </row>
    <row r="5805">
      <c r="A5805" s="20" t="inlineStr">
        <is>
          <t>동영상캠페인_유즈모먼트_조향사 친구(cpa)</t>
        </is>
      </c>
      <c r="B5805" s="16" t="n">
        <v>44284</v>
      </c>
      <c r="C5805" s="20" t="inlineStr">
        <is>
          <t>월</t>
        </is>
      </c>
      <c r="D5805" s="20" t="inlineStr">
        <is>
          <t>유튜브 광고</t>
        </is>
      </c>
      <c r="E5805" s="20" t="inlineStr">
        <is>
          <t>고체향수</t>
        </is>
      </c>
      <c r="K5805" s="20" t="n">
        <v>103532</v>
      </c>
    </row>
    <row r="5806">
      <c r="A5806" s="20" t="inlineStr">
        <is>
          <t>동영상 캠페인_유튜버 수지큐 2차활용</t>
        </is>
      </c>
      <c r="B5806" s="16" t="n">
        <v>44284</v>
      </c>
      <c r="C5806" s="20" t="inlineStr">
        <is>
          <t>월</t>
        </is>
      </c>
      <c r="D5806" s="20" t="inlineStr">
        <is>
          <t>유튜브 광고</t>
        </is>
      </c>
      <c r="E5806" s="20" t="inlineStr">
        <is>
          <t>고체향수</t>
        </is>
      </c>
      <c r="K5806" s="20" t="n">
        <v>98661</v>
      </c>
    </row>
    <row r="5807">
      <c r="A5807" s="20" t="inlineStr">
        <is>
          <t>동영상캠페인_유즈모먼트_4화_강한향대신</t>
        </is>
      </c>
      <c r="B5807" s="16" t="n">
        <v>44284</v>
      </c>
      <c r="C5807" s="20" t="inlineStr">
        <is>
          <t>월</t>
        </is>
      </c>
      <c r="D5807" s="20" t="inlineStr">
        <is>
          <t>유튜브 광고</t>
        </is>
      </c>
      <c r="E5807" s="20" t="inlineStr">
        <is>
          <t>고체향수</t>
        </is>
      </c>
      <c r="K5807" s="20" t="n">
        <v>101011</v>
      </c>
    </row>
    <row r="5808">
      <c r="A5808" s="20" t="inlineStr">
        <is>
          <t>메인키워드</t>
        </is>
      </c>
      <c r="B5808" s="16" t="n">
        <v>44284</v>
      </c>
      <c r="C5808" s="20" t="inlineStr">
        <is>
          <t>월</t>
        </is>
      </c>
      <c r="D5808" s="20" t="inlineStr">
        <is>
          <t>네이버 쇼핑검색</t>
        </is>
      </c>
      <c r="E5808" s="20" t="inlineStr">
        <is>
          <t>고체향수</t>
        </is>
      </c>
      <c r="K5808" s="20" t="n">
        <v>28610</v>
      </c>
    </row>
    <row r="5809">
      <c r="A5809" s="20" t="inlineStr">
        <is>
          <t>세부키워드1</t>
        </is>
      </c>
      <c r="B5809" s="16" t="n">
        <v>44284</v>
      </c>
      <c r="C5809" s="20" t="inlineStr">
        <is>
          <t>월</t>
        </is>
      </c>
      <c r="D5809" s="20" t="inlineStr">
        <is>
          <t>네이버 쇼핑검색</t>
        </is>
      </c>
      <c r="E5809" s="20" t="inlineStr">
        <is>
          <t>고체향수</t>
        </is>
      </c>
      <c r="K5809" s="20" t="n">
        <v>36700</v>
      </c>
    </row>
    <row r="5810">
      <c r="A5810" s="20" t="inlineStr">
        <is>
          <t>세부키워드3</t>
        </is>
      </c>
      <c r="B5810" s="16" t="n">
        <v>44284</v>
      </c>
      <c r="C5810" s="20" t="inlineStr">
        <is>
          <t>월</t>
        </is>
      </c>
      <c r="D5810" s="20" t="inlineStr">
        <is>
          <t>네이버 쇼핑검색</t>
        </is>
      </c>
      <c r="E5810" s="20" t="inlineStr">
        <is>
          <t>고체향수</t>
        </is>
      </c>
      <c r="K5810" s="20" t="n">
        <v>45059.99999999999</v>
      </c>
    </row>
    <row r="5811">
      <c r="A5811" s="20" t="inlineStr">
        <is>
          <t>모바일 브검</t>
        </is>
      </c>
      <c r="B5811" s="16" t="n">
        <v>44284</v>
      </c>
      <c r="C5811" s="20" t="inlineStr">
        <is>
          <t>월</t>
        </is>
      </c>
      <c r="D5811" s="20" t="inlineStr">
        <is>
          <t>네이버 브랜드검색</t>
        </is>
      </c>
      <c r="E5811" s="20" t="inlineStr">
        <is>
          <t>브랜드</t>
        </is>
      </c>
      <c r="K5811" s="20" t="n">
        <v>140000</v>
      </c>
    </row>
    <row r="5812">
      <c r="A5812" s="20" t="inlineStr">
        <is>
          <t>PC 브랜드검색</t>
        </is>
      </c>
      <c r="B5812" s="16" t="n">
        <v>44284</v>
      </c>
      <c r="C5812" s="20" t="inlineStr">
        <is>
          <t>월</t>
        </is>
      </c>
      <c r="D5812" s="20" t="inlineStr">
        <is>
          <t>네이버 브랜드검색</t>
        </is>
      </c>
      <c r="E5812" s="20" t="inlineStr">
        <is>
          <t>브랜드</t>
        </is>
      </c>
      <c r="K5812" s="20" t="n">
        <v>16700</v>
      </c>
    </row>
    <row r="5813">
      <c r="A5813" s="20" t="inlineStr">
        <is>
          <t>고체향수_승무원 어피_Npay 추적</t>
        </is>
      </c>
      <c r="B5813" s="16" t="n">
        <v>44284</v>
      </c>
      <c r="C5813" s="20" t="inlineStr">
        <is>
          <t>월</t>
        </is>
      </c>
      <c r="D5813" s="20" t="inlineStr">
        <is>
          <t>카카오 배너</t>
        </is>
      </c>
      <c r="E5813" s="20" t="inlineStr">
        <is>
          <t>고체향수</t>
        </is>
      </c>
      <c r="K5813" s="20" t="n">
        <v>181970</v>
      </c>
    </row>
    <row r="5814">
      <c r="A5814" s="20" t="inlineStr">
        <is>
          <t>고체향수_Npay 추적</t>
        </is>
      </c>
      <c r="B5814" s="16" t="n">
        <v>44284</v>
      </c>
      <c r="C5814" s="20" t="inlineStr">
        <is>
          <t>월</t>
        </is>
      </c>
      <c r="D5814" s="20" t="inlineStr">
        <is>
          <t>카카오 배너</t>
        </is>
      </c>
      <c r="E5814" s="20" t="inlineStr">
        <is>
          <t>고체향수</t>
        </is>
      </c>
      <c r="K5814" s="20" t="n">
        <v>1029360</v>
      </c>
    </row>
    <row r="5815">
      <c r="B5815" s="16" t="n">
        <v>44284</v>
      </c>
      <c r="C5815" s="20" t="inlineStr">
        <is>
          <t>월</t>
        </is>
      </c>
      <c r="E5815" s="20" t="inlineStr">
        <is>
          <t>고체향수</t>
        </is>
      </c>
      <c r="F5815" s="20" t="inlineStr">
        <is>
          <t>W컨셉</t>
        </is>
      </c>
      <c r="G5815" s="20" t="inlineStr">
        <is>
          <t>솔리드퍼퓸 이그나이트/스테이포에버 30ml (2종 택1)&lt;옵션1&gt;001 IGNITE</t>
        </is>
      </c>
      <c r="H5815" s="20" t="n">
        <v>5</v>
      </c>
      <c r="I5815" s="20" t="inlineStr">
        <is>
          <t>이그나이트</t>
        </is>
      </c>
      <c r="J5815" s="20" t="inlineStr">
        <is>
          <t>210207</t>
        </is>
      </c>
      <c r="L5815" s="20" t="n">
        <v>170000</v>
      </c>
      <c r="M5815" s="20" t="n">
        <v>119000</v>
      </c>
      <c r="N5815" s="20" t="n">
        <v>13765</v>
      </c>
      <c r="O5815" s="20" t="inlineStr">
        <is>
          <t>W컨셉고체향수솔리드퍼퓸 이그나이트/스테이포에버 30ml (2종 택1)&lt;옵션1&gt;001 IGNITE210207</t>
        </is>
      </c>
    </row>
    <row r="5816">
      <c r="B5816" s="16" t="n">
        <v>44284</v>
      </c>
      <c r="C5816" s="20" t="inlineStr">
        <is>
          <t>월</t>
        </is>
      </c>
      <c r="E5816" s="20" t="inlineStr">
        <is>
          <t>고체향수</t>
        </is>
      </c>
      <c r="F5816" s="20" t="inlineStr">
        <is>
          <t>W컨셉</t>
        </is>
      </c>
      <c r="G5816" s="20" t="inlineStr">
        <is>
          <t>솔리드퍼퓸 이그나이트/스테이포에버 30ml (2종 택1)&lt;옵션1&gt;002 STAY FOREVER</t>
        </is>
      </c>
      <c r="H5816" s="20" t="n">
        <v>20</v>
      </c>
      <c r="I5816" s="20" t="inlineStr">
        <is>
          <t>스테이포에버</t>
        </is>
      </c>
      <c r="J5816" s="20" t="inlineStr">
        <is>
          <t>210207</t>
        </is>
      </c>
      <c r="L5816" s="20" t="n">
        <v>680000</v>
      </c>
      <c r="M5816" s="20" t="n">
        <v>476000</v>
      </c>
      <c r="N5816" s="20" t="n">
        <v>51840</v>
      </c>
      <c r="O5816" s="20" t="inlineStr">
        <is>
          <t>W컨셉고체향수솔리드퍼퓸 이그나이트/스테이포에버 30ml (2종 택1)&lt;옵션1&gt;002 STAY FOREVER210207</t>
        </is>
      </c>
    </row>
    <row r="5817">
      <c r="B5817" s="16" t="n">
        <v>44284</v>
      </c>
      <c r="C5817" s="20" t="inlineStr">
        <is>
          <t>월</t>
        </is>
      </c>
      <c r="E5817" s="20" t="inlineStr">
        <is>
          <t>고체향수</t>
        </is>
      </c>
      <c r="F5817" s="20" t="inlineStr">
        <is>
          <t>W컨셉</t>
        </is>
      </c>
      <c r="G5817" s="20" t="inlineStr">
        <is>
          <t>솔리드퍼퓸 이그나이트/스테이포에버 30ml (2종 택1)&lt;옵션1&gt;IGNITE + STAY FOREVER</t>
        </is>
      </c>
      <c r="H5817" s="20" t="n">
        <v>1</v>
      </c>
      <c r="I5817" s="20" t="inlineStr">
        <is>
          <t>이그나이트 + 스테이포에버</t>
        </is>
      </c>
      <c r="J5817" s="20" t="inlineStr">
        <is>
          <t>210207</t>
        </is>
      </c>
      <c r="L5817" s="20" t="n">
        <v>58800</v>
      </c>
      <c r="M5817" s="20" t="n">
        <v>47040</v>
      </c>
      <c r="N5817" s="20" t="n">
        <v>5345</v>
      </c>
      <c r="O5817" s="20" t="inlineStr">
        <is>
          <t>W컨셉고체향수솔리드퍼퓸 이그나이트/스테이포에버 30ml (2종 택1)&lt;옵션1&gt;IGNITE + STAY FOREVER210207</t>
        </is>
      </c>
    </row>
    <row r="5818">
      <c r="B5818" s="16" t="n">
        <v>44284</v>
      </c>
      <c r="C5818" s="20" t="inlineStr">
        <is>
          <t>월</t>
        </is>
      </c>
      <c r="E5818" s="20" t="inlineStr">
        <is>
          <t>고체향수</t>
        </is>
      </c>
      <c r="F5818" s="20" t="inlineStr">
        <is>
          <t>스마트스토어</t>
        </is>
      </c>
      <c r="G5818" s="20" t="inlineStr">
        <is>
          <t>유즈 고체향수 세트(유즈 스테이포에버, 유즈 이그나이트)고체향수: 스테이포에버 1개</t>
        </is>
      </c>
      <c r="H5818" s="20" t="n">
        <v>1</v>
      </c>
      <c r="I5818" s="20" t="inlineStr">
        <is>
          <t>스테이포에버</t>
        </is>
      </c>
      <c r="J5818" s="20" t="inlineStr">
        <is>
          <t>210207</t>
        </is>
      </c>
      <c r="L5818" s="20" t="n">
        <v>34000</v>
      </c>
      <c r="M5818" s="20" t="n">
        <v>33320</v>
      </c>
      <c r="N5818" s="20" t="n">
        <v>2592</v>
      </c>
      <c r="O5818" s="20" t="inlineStr">
        <is>
          <t>스마트스토어고체향수유즈 고체향수 세트(유즈 스테이포에버, 유즈 이그나이트)고체향수: 스테이포에버 1개210207</t>
        </is>
      </c>
    </row>
    <row r="5819">
      <c r="B5819" s="16" t="n">
        <v>44284</v>
      </c>
      <c r="C5819" s="20" t="inlineStr">
        <is>
          <t>월</t>
        </is>
      </c>
      <c r="E5819" s="20" t="inlineStr">
        <is>
          <t>고체향수</t>
        </is>
      </c>
      <c r="F5819" s="20" t="inlineStr">
        <is>
          <t>스마트스토어</t>
        </is>
      </c>
      <c r="G5819" s="20" t="inlineStr">
        <is>
          <t>유즈 고체향수 세트(유즈 스테이포에버, 유즈 이그나이트)고체향수: 스테이포에버 1개 + 이그나이트 1개</t>
        </is>
      </c>
      <c r="H5819" s="20" t="n">
        <v>1</v>
      </c>
      <c r="I5819" s="20" t="inlineStr">
        <is>
          <t>이그나이트 + 스테이포에버</t>
        </is>
      </c>
      <c r="J5819" s="20" t="inlineStr">
        <is>
          <t>210207</t>
        </is>
      </c>
      <c r="L5819" s="20" t="n">
        <v>58800</v>
      </c>
      <c r="M5819" s="20" t="n">
        <v>55360.2</v>
      </c>
      <c r="N5819" s="20" t="n">
        <v>5345</v>
      </c>
      <c r="O5819" s="20" t="inlineStr">
        <is>
          <t>스마트스토어고체향수유즈 고체향수 세트(유즈 스테이포에버, 유즈 이그나이트)고체향수: 스테이포에버 1개 + 이그나이트 1개210207</t>
        </is>
      </c>
    </row>
    <row r="5820">
      <c r="B5820" s="16" t="n">
        <v>44284</v>
      </c>
      <c r="C5820" s="20" t="inlineStr">
        <is>
          <t>월</t>
        </is>
      </c>
      <c r="E5820" s="20" t="inlineStr">
        <is>
          <t>고체향수</t>
        </is>
      </c>
      <c r="F5820" s="20" t="inlineStr">
        <is>
          <t>스마트스토어</t>
        </is>
      </c>
      <c r="G5820" s="20" t="inlineStr">
        <is>
          <t>유즈 고체향수 세트(유즈 스테이포에버, 유즈 이그나이트)고체향수: 스테이포에버 2개</t>
        </is>
      </c>
      <c r="H5820" s="20" t="n">
        <v>2</v>
      </c>
      <c r="I5820" s="20" t="inlineStr">
        <is>
          <t>스테이포에버 2set</t>
        </is>
      </c>
      <c r="J5820" s="20" t="inlineStr">
        <is>
          <t>210207</t>
        </is>
      </c>
      <c r="L5820" s="20" t="n">
        <v>117600</v>
      </c>
      <c r="M5820" s="20" t="n">
        <v>115248</v>
      </c>
      <c r="N5820" s="20" t="n">
        <v>10368</v>
      </c>
      <c r="O5820" s="20" t="inlineStr">
        <is>
          <t>스마트스토어고체향수유즈 고체향수 세트(유즈 스테이포에버, 유즈 이그나이트)고체향수: 스테이포에버 2개210207</t>
        </is>
      </c>
    </row>
    <row r="5821">
      <c r="B5821" s="16" t="n">
        <v>44284</v>
      </c>
      <c r="C5821" s="20" t="inlineStr">
        <is>
          <t>월</t>
        </is>
      </c>
      <c r="E5821" s="20" t="inlineStr">
        <is>
          <t>고체향수</t>
        </is>
      </c>
      <c r="F5821" s="20" t="inlineStr">
        <is>
          <t>스마트스토어</t>
        </is>
      </c>
      <c r="G5821" s="20" t="inlineStr">
        <is>
          <t>유즈 고체향수 스테이포에버 002고체향수: 스테이포에버 1개</t>
        </is>
      </c>
      <c r="H5821" s="20" t="n">
        <v>20</v>
      </c>
      <c r="I5821" s="20" t="inlineStr">
        <is>
          <t>스테이포에버</t>
        </is>
      </c>
      <c r="J5821" s="20" t="inlineStr">
        <is>
          <t>210207</t>
        </is>
      </c>
      <c r="L5821" s="20" t="n">
        <v>680000</v>
      </c>
      <c r="M5821" s="20" t="n">
        <v>666400</v>
      </c>
      <c r="N5821" s="20" t="n">
        <v>51840</v>
      </c>
      <c r="O5821" s="20" t="inlineStr">
        <is>
          <t>스마트스토어고체향수유즈 고체향수 스테이포에버 002고체향수: 스테이포에버 1개210207</t>
        </is>
      </c>
    </row>
    <row r="5822">
      <c r="B5822" s="16" t="n">
        <v>44284</v>
      </c>
      <c r="C5822" s="20" t="inlineStr">
        <is>
          <t>월</t>
        </is>
      </c>
      <c r="E5822" s="20" t="inlineStr">
        <is>
          <t>고체향수</t>
        </is>
      </c>
      <c r="F5822" s="20" t="inlineStr">
        <is>
          <t>스마트스토어</t>
        </is>
      </c>
      <c r="G5822" s="20" t="inlineStr">
        <is>
          <t>유즈 고체향수 이그나이트 001고체향수: 이그나이트 1개</t>
        </is>
      </c>
      <c r="H5822" s="20" t="n">
        <v>3</v>
      </c>
      <c r="I5822" s="20" t="inlineStr">
        <is>
          <t>이그나이트</t>
        </is>
      </c>
      <c r="J5822" s="20" t="inlineStr">
        <is>
          <t>210207</t>
        </is>
      </c>
      <c r="L5822" s="20" t="n">
        <v>102000</v>
      </c>
      <c r="M5822" s="20" t="n">
        <v>99960</v>
      </c>
      <c r="N5822" s="20" t="n">
        <v>8259</v>
      </c>
      <c r="O5822" s="20" t="inlineStr">
        <is>
          <t>스마트스토어고체향수유즈 고체향수 이그나이트 001고체향수: 이그나이트 1개210207</t>
        </is>
      </c>
    </row>
    <row r="5823">
      <c r="B5823" s="16" t="n">
        <v>44284</v>
      </c>
      <c r="C5823" s="20" t="inlineStr">
        <is>
          <t>월</t>
        </is>
      </c>
      <c r="E5823" s="20" t="inlineStr">
        <is>
          <t>쇼핑백</t>
        </is>
      </c>
      <c r="F5823" s="20" t="inlineStr">
        <is>
          <t>카페24</t>
        </is>
      </c>
      <c r="G5823" s="20" t="inlineStr">
        <is>
          <t>선물용 쇼핑백</t>
        </is>
      </c>
      <c r="H5823" s="20" t="n">
        <v>2</v>
      </c>
      <c r="I5823" s="20" t="inlineStr">
        <is>
          <t>쇼핑백</t>
        </is>
      </c>
      <c r="J5823" s="20" t="inlineStr">
        <is>
          <t>210207</t>
        </is>
      </c>
      <c r="L5823" s="20" t="n">
        <v>4000</v>
      </c>
      <c r="M5823" s="20" t="n">
        <v>3766</v>
      </c>
      <c r="N5823" s="20" t="n">
        <v>1660</v>
      </c>
      <c r="O5823" s="20" t="inlineStr">
        <is>
          <t>카페24쇼핑백선물용 쇼핑백210207</t>
        </is>
      </c>
    </row>
    <row r="5824">
      <c r="B5824" s="16" t="n">
        <v>44284</v>
      </c>
      <c r="C5824" s="20" t="inlineStr">
        <is>
          <t>월</t>
        </is>
      </c>
      <c r="E5824" s="20" t="inlineStr">
        <is>
          <t>고체향수</t>
        </is>
      </c>
      <c r="F5824" s="20" t="inlineStr">
        <is>
          <t>카페24</t>
        </is>
      </c>
      <c r="G5824" s="20" t="inlineStr">
        <is>
          <t>솔리드퍼퓸 세트향=이그나이트 001 SOLID PERFUME, 세트 선택=best 2개 (28% 할인)</t>
        </is>
      </c>
      <c r="H5824" s="20" t="n">
        <v>1</v>
      </c>
      <c r="I5824" s="20" t="inlineStr">
        <is>
          <t>이그나이트 2set</t>
        </is>
      </c>
      <c r="J5824" s="20" t="inlineStr">
        <is>
          <t>210207</t>
        </is>
      </c>
      <c r="L5824" s="20" t="n">
        <v>58800</v>
      </c>
      <c r="M5824" s="20" t="n">
        <v>55360.2</v>
      </c>
      <c r="N5824" s="20" t="n">
        <v>5506</v>
      </c>
      <c r="O5824" s="20" t="inlineStr">
        <is>
          <t>카페24고체향수솔리드퍼퓸 세트향=이그나이트 001 SOLID PERFUME, 세트 선택=best 2개 (28% 할인)210207</t>
        </is>
      </c>
    </row>
    <row r="5825">
      <c r="B5825" s="16" t="n">
        <v>44284</v>
      </c>
      <c r="C5825" s="20" t="inlineStr">
        <is>
          <t>월</t>
        </is>
      </c>
      <c r="E5825" s="20" t="inlineStr">
        <is>
          <t>고체향수</t>
        </is>
      </c>
      <c r="F5825" s="20" t="inlineStr">
        <is>
          <t>카페24</t>
        </is>
      </c>
      <c r="G5825" s="20" t="inlineStr">
        <is>
          <t>솔리드퍼퓸 세트향=스테이포에버 002 SOLID PERFUME, 세트 선택=1개</t>
        </is>
      </c>
      <c r="H5825" s="20" t="n">
        <v>6</v>
      </c>
      <c r="I5825" s="20" t="inlineStr">
        <is>
          <t>스테이포에버</t>
        </is>
      </c>
      <c r="J5825" s="20" t="inlineStr">
        <is>
          <t>210207</t>
        </is>
      </c>
      <c r="L5825" s="20" t="n">
        <v>204000</v>
      </c>
      <c r="M5825" s="20" t="n">
        <v>192066</v>
      </c>
      <c r="N5825" s="20" t="n">
        <v>15552</v>
      </c>
      <c r="O5825" s="20" t="inlineStr">
        <is>
          <t>카페24고체향수솔리드퍼퓸 세트향=스테이포에버 002 SOLID PERFUME, 세트 선택=1개210207</t>
        </is>
      </c>
    </row>
    <row r="5826">
      <c r="B5826" s="16" t="n">
        <v>44284</v>
      </c>
      <c r="C5826" s="20" t="inlineStr">
        <is>
          <t>월</t>
        </is>
      </c>
      <c r="E5826" s="20" t="inlineStr">
        <is>
          <t>고체향수</t>
        </is>
      </c>
      <c r="F5826" s="20" t="inlineStr">
        <is>
          <t>카페24</t>
        </is>
      </c>
      <c r="G5826" s="20" t="inlineStr">
        <is>
          <t>솔리드퍼퓸 세트향=스테이포에버 002 SOLID PERFUME, 세트 선택=best 2개 (28% 할인)</t>
        </is>
      </c>
      <c r="H5826" s="20" t="n">
        <v>6</v>
      </c>
      <c r="I5826" s="20" t="inlineStr">
        <is>
          <t>스테이포에버 2set</t>
        </is>
      </c>
      <c r="J5826" s="20" t="inlineStr">
        <is>
          <t>210207</t>
        </is>
      </c>
      <c r="L5826" s="20" t="n">
        <v>352800</v>
      </c>
      <c r="M5826" s="20" t="n">
        <v>332161.2</v>
      </c>
      <c r="N5826" s="20" t="n">
        <v>31104</v>
      </c>
      <c r="O5826" s="20" t="inlineStr">
        <is>
          <t>카페24고체향수솔리드퍼퓸 세트향=스테이포에버 002 SOLID PERFUME, 세트 선택=best 2개 (28% 할인)210207</t>
        </is>
      </c>
    </row>
    <row r="5827">
      <c r="B5827" s="16" t="n">
        <v>44284</v>
      </c>
      <c r="C5827" s="20" t="inlineStr">
        <is>
          <t>월</t>
        </is>
      </c>
      <c r="E5827" s="20" t="inlineStr">
        <is>
          <t>고체향수</t>
        </is>
      </c>
      <c r="F5827" s="20" t="inlineStr">
        <is>
          <t>카페24</t>
        </is>
      </c>
      <c r="G5827" s="20" t="inlineStr">
        <is>
          <t>솔리드퍼퓸 세트향=커플세트(이그나이트 + 스테이포에버), 세트 선택=1 SET</t>
        </is>
      </c>
      <c r="H5827" s="20" t="n">
        <v>11</v>
      </c>
      <c r="I5827" s="20" t="inlineStr">
        <is>
          <t>이그나이트 + 스테이포에버</t>
        </is>
      </c>
      <c r="J5827" s="20" t="inlineStr">
        <is>
          <t>210207</t>
        </is>
      </c>
      <c r="L5827" s="20" t="n">
        <v>646800</v>
      </c>
      <c r="M5827" s="20" t="n">
        <v>608962.2</v>
      </c>
      <c r="N5827" s="20" t="n">
        <v>58795</v>
      </c>
      <c r="O5827" s="20" t="inlineStr">
        <is>
          <t>카페24고체향수솔리드퍼퓸 세트향=커플세트(이그나이트 + 스테이포에버), 세트 선택=1 SET210207</t>
        </is>
      </c>
    </row>
    <row r="5828">
      <c r="B5828" s="16" t="n">
        <v>44284</v>
      </c>
      <c r="C5828" s="20" t="inlineStr">
        <is>
          <t>월</t>
        </is>
      </c>
      <c r="E5828" s="20" t="inlineStr">
        <is>
          <t>고체향수</t>
        </is>
      </c>
      <c r="F5828" s="20" t="inlineStr">
        <is>
          <t>카페24</t>
        </is>
      </c>
      <c r="G5828" s="20" t="inlineStr">
        <is>
          <t>솔리드퍼퓸 세트향=커플세트(이그나이트 + 스테이포에버), 세트 선택=2 SET (42% 할인)</t>
        </is>
      </c>
      <c r="H5828" s="20" t="n">
        <v>1</v>
      </c>
      <c r="I5828" s="20" t="inlineStr">
        <is>
          <t>이그나이트 + 스테이포에버</t>
        </is>
      </c>
      <c r="J5828" s="20" t="inlineStr">
        <is>
          <t>210207</t>
        </is>
      </c>
      <c r="L5828" s="20" t="n">
        <v>58800</v>
      </c>
      <c r="M5828" s="20" t="n">
        <v>55360.2</v>
      </c>
      <c r="N5828" s="20" t="n">
        <v>5345</v>
      </c>
      <c r="O5828" s="20" t="inlineStr">
        <is>
          <t>카페24고체향수솔리드퍼퓸 세트향=커플세트(이그나이트 + 스테이포에버), 세트 선택=2 SET (42% 할인)210207</t>
        </is>
      </c>
    </row>
    <row r="5829">
      <c r="B5829" s="16" t="n">
        <v>44284</v>
      </c>
      <c r="C5829" s="20" t="inlineStr">
        <is>
          <t>월</t>
        </is>
      </c>
      <c r="E5829" s="20" t="inlineStr">
        <is>
          <t>고체향수</t>
        </is>
      </c>
      <c r="F5829" s="20" t="inlineStr">
        <is>
          <t>카페24</t>
        </is>
      </c>
      <c r="G5829" s="20" t="inlineStr">
        <is>
          <t>솔리드퍼퓸 스테이포에버 002제품선택=스테이포에버 1개</t>
        </is>
      </c>
      <c r="H5829" s="20" t="n">
        <v>180</v>
      </c>
      <c r="I5829" s="20" t="inlineStr">
        <is>
          <t>스테이포에버</t>
        </is>
      </c>
      <c r="J5829" s="20" t="inlineStr">
        <is>
          <t>210207</t>
        </is>
      </c>
      <c r="L5829" s="20" t="n">
        <v>6120000</v>
      </c>
      <c r="M5829" s="20" t="n">
        <v>5761980</v>
      </c>
      <c r="N5829" s="20" t="n">
        <v>466560</v>
      </c>
      <c r="O5829" s="20" t="inlineStr">
        <is>
          <t>카페24고체향수솔리드퍼퓸 스테이포에버 002제품선택=스테이포에버 1개210207</t>
        </is>
      </c>
    </row>
    <row r="5830">
      <c r="B5830" s="16" t="n">
        <v>44284</v>
      </c>
      <c r="C5830" s="20" t="inlineStr">
        <is>
          <t>월</t>
        </is>
      </c>
      <c r="E5830" s="20" t="inlineStr">
        <is>
          <t>고체향수</t>
        </is>
      </c>
      <c r="F5830" s="20" t="inlineStr">
        <is>
          <t>카페24</t>
        </is>
      </c>
      <c r="G5830" s="20" t="inlineStr">
        <is>
          <t>솔리드퍼퓸 스테이포에버 002제품선택=best스테이포에버 2개[28% 할인]</t>
        </is>
      </c>
      <c r="H5830" s="20" t="n">
        <v>88</v>
      </c>
      <c r="I5830" s="20" t="inlineStr">
        <is>
          <t>스테이포에버 2set</t>
        </is>
      </c>
      <c r="J5830" s="20" t="inlineStr">
        <is>
          <t>210207</t>
        </is>
      </c>
      <c r="L5830" s="20" t="n">
        <v>5174400</v>
      </c>
      <c r="M5830" s="20" t="n">
        <v>4871697.6</v>
      </c>
      <c r="N5830" s="20" t="n">
        <v>456192</v>
      </c>
      <c r="O5830" s="20" t="inlineStr">
        <is>
          <t>카페24고체향수솔리드퍼퓸 스테이포에버 002제품선택=best스테이포에버 2개[28% 할인]210207</t>
        </is>
      </c>
    </row>
    <row r="5831">
      <c r="B5831" s="16" t="n">
        <v>44284</v>
      </c>
      <c r="C5831" s="20" t="inlineStr">
        <is>
          <t>월</t>
        </is>
      </c>
      <c r="E5831" s="20" t="inlineStr">
        <is>
          <t>고체향수</t>
        </is>
      </c>
      <c r="F5831" s="20" t="inlineStr">
        <is>
          <t>카페24</t>
        </is>
      </c>
      <c r="G5831" s="20" t="inlineStr">
        <is>
          <t>솔리드퍼퓸 스테이포에버 002제품선택=커플추천스테이포에버 + 이그나이트 세트</t>
        </is>
      </c>
      <c r="H5831" s="20" t="n">
        <v>8</v>
      </c>
      <c r="I5831" s="20" t="inlineStr">
        <is>
          <t>이그나이트 + 스테이포에버</t>
        </is>
      </c>
      <c r="J5831" s="20" t="inlineStr">
        <is>
          <t>210207</t>
        </is>
      </c>
      <c r="L5831" s="20" t="n">
        <v>470400</v>
      </c>
      <c r="M5831" s="20" t="n">
        <v>442881.6</v>
      </c>
      <c r="N5831" s="20" t="n">
        <v>42760</v>
      </c>
      <c r="O5831" s="20" t="inlineStr">
        <is>
          <t>카페24고체향수솔리드퍼퓸 스테이포에버 002제품선택=커플추천스테이포에버 + 이그나이트 세트210207</t>
        </is>
      </c>
    </row>
    <row r="5832">
      <c r="B5832" s="16" t="n">
        <v>44284</v>
      </c>
      <c r="C5832" s="20" t="inlineStr">
        <is>
          <t>월</t>
        </is>
      </c>
      <c r="E5832" s="20" t="inlineStr">
        <is>
          <t>쇼핑백</t>
        </is>
      </c>
      <c r="F5832" s="20" t="inlineStr">
        <is>
          <t>카페24</t>
        </is>
      </c>
      <c r="G5832" s="20" t="inlineStr">
        <is>
          <t>솔리드퍼퓸 스테이포에버 002쇼핑백=선물용 쇼핑백</t>
        </is>
      </c>
      <c r="H5832" s="20" t="n">
        <v>8</v>
      </c>
      <c r="I5832" s="20" t="inlineStr">
        <is>
          <t>쇼핑백</t>
        </is>
      </c>
      <c r="J5832" s="20" t="inlineStr">
        <is>
          <t>210207</t>
        </is>
      </c>
      <c r="L5832" s="20" t="n">
        <v>16000</v>
      </c>
      <c r="M5832" s="20" t="n">
        <v>15064</v>
      </c>
      <c r="N5832" s="20" t="n">
        <v>6640</v>
      </c>
      <c r="O5832" s="20" t="inlineStr">
        <is>
          <t>카페24쇼핑백솔리드퍼퓸 스테이포에버 002쇼핑백=선물용 쇼핑백210207</t>
        </is>
      </c>
    </row>
    <row r="5833">
      <c r="B5833" s="16" t="n">
        <v>44284</v>
      </c>
      <c r="C5833" s="20" t="inlineStr">
        <is>
          <t>월</t>
        </is>
      </c>
      <c r="E5833" s="20" t="inlineStr">
        <is>
          <t>고체향수</t>
        </is>
      </c>
      <c r="F5833" s="20" t="inlineStr">
        <is>
          <t>카페24</t>
        </is>
      </c>
      <c r="G5833" s="20" t="inlineStr">
        <is>
          <t>솔리드퍼퓸 이그나이트 001제품선택=이그나이트 솔리드퍼퓸 - 30ml</t>
        </is>
      </c>
      <c r="H5833" s="20" t="n">
        <v>1</v>
      </c>
      <c r="I5833" s="20" t="inlineStr">
        <is>
          <t>이그나이트</t>
        </is>
      </c>
      <c r="J5833" s="20" t="inlineStr">
        <is>
          <t>210207</t>
        </is>
      </c>
      <c r="L5833" s="20" t="n">
        <v>34000</v>
      </c>
      <c r="M5833" s="20" t="n">
        <v>32011</v>
      </c>
      <c r="N5833" s="20" t="n">
        <v>2753</v>
      </c>
      <c r="O5833" s="20" t="inlineStr">
        <is>
          <t>카페24고체향수솔리드퍼퓸 이그나이트 001제품선택=이그나이트 솔리드퍼퓸 - 30ml210207</t>
        </is>
      </c>
    </row>
    <row r="5834">
      <c r="B5834" s="16" t="n">
        <v>44284</v>
      </c>
      <c r="C5834" s="20" t="inlineStr">
        <is>
          <t>월</t>
        </is>
      </c>
      <c r="E5834" s="20" t="inlineStr">
        <is>
          <t>고체향수</t>
        </is>
      </c>
      <c r="F5834" s="20" t="inlineStr">
        <is>
          <t>카페24</t>
        </is>
      </c>
      <c r="G5834" s="20" t="inlineStr">
        <is>
          <t>솔리드퍼퓸 이그나이트 001제품선택=이그나이트 2개 세트</t>
        </is>
      </c>
      <c r="H5834" s="20" t="n">
        <v>1</v>
      </c>
      <c r="I5834" s="20" t="inlineStr">
        <is>
          <t>이그나이트 2set</t>
        </is>
      </c>
      <c r="J5834" s="20" t="inlineStr">
        <is>
          <t>210207</t>
        </is>
      </c>
      <c r="L5834" s="20" t="n">
        <v>58800</v>
      </c>
      <c r="M5834" s="20" t="n">
        <v>55360.2</v>
      </c>
      <c r="N5834" s="20" t="n">
        <v>5506</v>
      </c>
      <c r="O5834" s="20" t="inlineStr">
        <is>
          <t>카페24고체향수솔리드퍼퓸 이그나이트 001제품선택=이그나이트 2개 세트210207</t>
        </is>
      </c>
    </row>
    <row r="5835">
      <c r="B5835" s="16" t="n">
        <v>44284</v>
      </c>
      <c r="C5835" s="20" t="inlineStr">
        <is>
          <t>월</t>
        </is>
      </c>
      <c r="E5835" s="20" t="inlineStr">
        <is>
          <t>쇼핑백</t>
        </is>
      </c>
      <c r="F5835" s="20" t="inlineStr">
        <is>
          <t>카페24</t>
        </is>
      </c>
      <c r="G5835" s="20" t="inlineStr">
        <is>
          <t>솔리드퍼퓸 이그나이트 001쇼핑백=선물용 쇼핑백</t>
        </is>
      </c>
      <c r="H5835" s="20" t="n">
        <v>1</v>
      </c>
      <c r="I5835" s="20" t="inlineStr">
        <is>
          <t>쇼핑백</t>
        </is>
      </c>
      <c r="J5835" s="20" t="inlineStr">
        <is>
          <t>210207</t>
        </is>
      </c>
      <c r="L5835" s="20" t="n">
        <v>2000</v>
      </c>
      <c r="M5835" s="20" t="n">
        <v>1883</v>
      </c>
      <c r="N5835" s="20" t="n">
        <v>830</v>
      </c>
      <c r="O5835" s="20" t="inlineStr">
        <is>
          <t>카페24쇼핑백솔리드퍼퓸 이그나이트 001쇼핑백=선물용 쇼핑백210207</t>
        </is>
      </c>
    </row>
    <row r="5836">
      <c r="B5836" s="16" t="n">
        <v>44284</v>
      </c>
      <c r="C5836" s="20" t="inlineStr">
        <is>
          <t>월</t>
        </is>
      </c>
      <c r="E5836" s="20" t="inlineStr">
        <is>
          <t>고체향수</t>
        </is>
      </c>
      <c r="F5836" s="20" t="inlineStr">
        <is>
          <t>카페24</t>
        </is>
      </c>
      <c r="G5836" s="20" t="inlineStr">
        <is>
          <t>유즈 솔리드퍼퓸 세트향=스테이포에버 002 SOLID PERFUME, 세트 선택=best 2개 (28% 할인)</t>
        </is>
      </c>
      <c r="H5836" s="20" t="n">
        <v>1</v>
      </c>
      <c r="I5836" s="20" t="inlineStr">
        <is>
          <t>스테이포에버 2set</t>
        </is>
      </c>
      <c r="J5836" s="20" t="inlineStr">
        <is>
          <t>210207</t>
        </is>
      </c>
      <c r="L5836" s="20" t="n">
        <v>58800</v>
      </c>
      <c r="M5836" s="20" t="n">
        <v>55360.2</v>
      </c>
      <c r="N5836" s="20" t="n">
        <v>5184</v>
      </c>
      <c r="O5836" s="20" t="inlineStr">
        <is>
          <t>카페24고체향수유즈 솔리드퍼퓸 세트향=스테이포에버 002 SOLID PERFUME, 세트 선택=best 2개 (28% 할인)210207</t>
        </is>
      </c>
    </row>
    <row r="5837">
      <c r="B5837" s="16" t="n">
        <v>44284</v>
      </c>
      <c r="C5837" s="20" t="inlineStr">
        <is>
          <t>월</t>
        </is>
      </c>
      <c r="E5837" s="20" t="inlineStr">
        <is>
          <t>고체향수</t>
        </is>
      </c>
      <c r="F5837" s="20" t="inlineStr">
        <is>
          <t>카페24</t>
        </is>
      </c>
      <c r="G5837" s="20" t="inlineStr">
        <is>
          <t>유즈 솔리드퍼퓸 세트향=커플세트(이그나이트 + 스테이포에버), 세트 선택=1 SET</t>
        </is>
      </c>
      <c r="H5837" s="20" t="n">
        <v>1</v>
      </c>
      <c r="I5837" s="20" t="inlineStr">
        <is>
          <t>이그나이트 + 스테이포에버</t>
        </is>
      </c>
      <c r="J5837" s="20" t="inlineStr">
        <is>
          <t>210207</t>
        </is>
      </c>
      <c r="L5837" s="20" t="n">
        <v>58800</v>
      </c>
      <c r="M5837" s="20" t="n">
        <v>55360.2</v>
      </c>
      <c r="N5837" s="20" t="n">
        <v>5345</v>
      </c>
      <c r="O5837" s="20" t="inlineStr">
        <is>
          <t>카페24고체향수유즈 솔리드퍼퓸 세트향=커플세트(이그나이트 + 스테이포에버), 세트 선택=1 SET210207</t>
        </is>
      </c>
    </row>
    <row r="5838">
      <c r="A5838" s="20" t="inlineStr">
        <is>
          <t>고체향수_전환추적</t>
        </is>
      </c>
      <c r="B5838" s="16" t="n">
        <v>44284</v>
      </c>
      <c r="C5838" s="20" t="inlineStr">
        <is>
          <t>월</t>
        </is>
      </c>
      <c r="D5838" s="20" t="inlineStr">
        <is>
          <t>네이버 배너</t>
        </is>
      </c>
      <c r="E5838" s="20" t="inlineStr">
        <is>
          <t>고체향수</t>
        </is>
      </c>
      <c r="K5838" s="20" t="n">
        <v>271005.4545454545</v>
      </c>
    </row>
    <row r="5839">
      <c r="A5839" s="20" t="inlineStr">
        <is>
          <t>고체향수</t>
        </is>
      </c>
      <c r="B5839" s="16" t="n">
        <v>44284</v>
      </c>
      <c r="C5839" s="20" t="inlineStr">
        <is>
          <t>월</t>
        </is>
      </c>
      <c r="D5839" s="20" t="inlineStr">
        <is>
          <t>네이버 배너</t>
        </is>
      </c>
      <c r="E5839" s="20" t="inlineStr">
        <is>
          <t>고체향수</t>
        </is>
      </c>
      <c r="K5839" s="20" t="n">
        <v>1121365.454545454</v>
      </c>
    </row>
    <row r="5840">
      <c r="B5840" s="16" t="n">
        <v>44284</v>
      </c>
      <c r="C5840" s="20" t="inlineStr">
        <is>
          <t>월</t>
        </is>
      </c>
      <c r="D5840" s="20" t="inlineStr">
        <is>
          <t>네이버 배너(대행사)</t>
        </is>
      </c>
      <c r="E5840" s="20" t="inlineStr">
        <is>
          <t>고체향수</t>
        </is>
      </c>
      <c r="K5840" s="20">
        <f>218723/1.1</f>
        <v/>
      </c>
    </row>
    <row r="5841">
      <c r="A5841" s="20" t="inlineStr">
        <is>
          <t>[유튜버 수지큐]스테이포에버_카드뉴스</t>
        </is>
      </c>
      <c r="B5841" s="16" t="n">
        <v>44285</v>
      </c>
      <c r="C5841" s="20" t="inlineStr">
        <is>
          <t>화</t>
        </is>
      </c>
      <c r="D5841" s="20" t="inlineStr">
        <is>
          <t>페이스북/인스타그램</t>
        </is>
      </c>
      <c r="E5841" s="20" t="inlineStr">
        <is>
          <t>고체향수</t>
        </is>
      </c>
      <c r="K5841" s="20" t="n">
        <v>29682</v>
      </c>
    </row>
    <row r="5842">
      <c r="A5842" s="20" t="inlineStr">
        <is>
          <t>[유튜버 수지큐]스테이포에버_영상</t>
        </is>
      </c>
      <c r="B5842" s="16" t="n">
        <v>44285</v>
      </c>
      <c r="C5842" s="20" t="inlineStr">
        <is>
          <t>화</t>
        </is>
      </c>
      <c r="D5842" s="20" t="inlineStr">
        <is>
          <t>페이스북/인스타그램</t>
        </is>
      </c>
      <c r="E5842" s="20" t="inlineStr">
        <is>
          <t>고체향수</t>
        </is>
      </c>
      <c r="K5842" s="20" t="n">
        <v>69778</v>
      </c>
    </row>
    <row r="5843">
      <c r="A5843" s="20" t="inlineStr">
        <is>
          <t>[승무원]수지큐2차활용_스테이포에버_이미지</t>
        </is>
      </c>
      <c r="B5843" s="16" t="n">
        <v>44285</v>
      </c>
      <c r="C5843" s="20" t="inlineStr">
        <is>
          <t>화</t>
        </is>
      </c>
      <c r="D5843" s="20" t="inlineStr">
        <is>
          <t>페이스북/인스타그램</t>
        </is>
      </c>
      <c r="E5843" s="20" t="inlineStr">
        <is>
          <t>고체향수</t>
        </is>
      </c>
      <c r="K5843" s="20" t="n">
        <v>29072</v>
      </c>
    </row>
    <row r="5844">
      <c r="A5844" s="20" t="inlineStr">
        <is>
          <t>[다현 TEST] 스테이포에버_유즈모먼트</t>
        </is>
      </c>
      <c r="B5844" s="16" t="n">
        <v>44285</v>
      </c>
      <c r="C5844" s="20" t="inlineStr">
        <is>
          <t>화</t>
        </is>
      </c>
      <c r="D5844" s="20" t="inlineStr">
        <is>
          <t>페이스북/인스타그램</t>
        </is>
      </c>
      <c r="E5844" s="20" t="inlineStr">
        <is>
          <t>고체향수</t>
        </is>
      </c>
      <c r="K5844" s="20" t="n">
        <v>58715</v>
      </c>
    </row>
    <row r="5845">
      <c r="A5845" s="20" t="inlineStr">
        <is>
          <t>[성민 TEST] 스테이포에버_이미지</t>
        </is>
      </c>
      <c r="B5845" s="16" t="n">
        <v>44285</v>
      </c>
      <c r="C5845" s="20" t="inlineStr">
        <is>
          <t>화</t>
        </is>
      </c>
      <c r="D5845" s="20" t="inlineStr">
        <is>
          <t>페이스북/인스타그램</t>
        </is>
      </c>
      <c r="E5845" s="20" t="inlineStr">
        <is>
          <t>고체향수</t>
        </is>
      </c>
      <c r="K5845" s="20" t="n">
        <v>138155</v>
      </c>
    </row>
    <row r="5846">
      <c r="A5846" s="20" t="inlineStr">
        <is>
          <t>[승은 TEST] 스테이포에버_카드뉴스</t>
        </is>
      </c>
      <c r="B5846" s="16" t="n">
        <v>44285</v>
      </c>
      <c r="C5846" s="20" t="inlineStr">
        <is>
          <t>화</t>
        </is>
      </c>
      <c r="D5846" s="20" t="inlineStr">
        <is>
          <t>페이스북/인스타그램</t>
        </is>
      </c>
      <c r="E5846" s="20" t="inlineStr">
        <is>
          <t>고체향수</t>
        </is>
      </c>
      <c r="K5846" s="20" t="n">
        <v>67909</v>
      </c>
    </row>
    <row r="5847">
      <c r="A5847" s="20" t="inlineStr">
        <is>
          <t>[승무원 2] 스테이포에버_카드뉴스</t>
        </is>
      </c>
      <c r="B5847" s="16" t="n">
        <v>44285</v>
      </c>
      <c r="C5847" s="20" t="inlineStr">
        <is>
          <t>화</t>
        </is>
      </c>
      <c r="D5847" s="20" t="inlineStr">
        <is>
          <t>페이스북/인스타그램</t>
        </is>
      </c>
      <c r="E5847" s="20" t="inlineStr">
        <is>
          <t>고체향수</t>
        </is>
      </c>
      <c r="K5847" s="20" t="n">
        <v>97733</v>
      </c>
    </row>
    <row r="5848">
      <c r="A5848" s="20" t="inlineStr">
        <is>
          <t>[테스트]아줌마</t>
        </is>
      </c>
      <c r="B5848" s="16" t="n">
        <v>44285</v>
      </c>
      <c r="C5848" s="20" t="inlineStr">
        <is>
          <t>화</t>
        </is>
      </c>
      <c r="D5848" s="20" t="inlineStr">
        <is>
          <t>페이스북/인스타그램</t>
        </is>
      </c>
      <c r="E5848" s="20" t="inlineStr">
        <is>
          <t>고체향수</t>
        </is>
      </c>
      <c r="K5848" s="20" t="n">
        <v>107309</v>
      </c>
    </row>
    <row r="5849">
      <c r="A5849" s="20" t="inlineStr">
        <is>
          <t>[키워드 확장 테스트]스테이포에버_이미지</t>
        </is>
      </c>
      <c r="B5849" s="16" t="n">
        <v>44285</v>
      </c>
      <c r="C5849" s="20" t="inlineStr">
        <is>
          <t>화</t>
        </is>
      </c>
      <c r="D5849" s="20" t="inlineStr">
        <is>
          <t>페이스북/인스타그램</t>
        </is>
      </c>
      <c r="E5849" s="20" t="inlineStr">
        <is>
          <t>고체향수</t>
        </is>
      </c>
      <c r="K5849" s="20" t="n">
        <v>206336</v>
      </c>
    </row>
    <row r="5850">
      <c r="A5850" s="20" t="inlineStr">
        <is>
          <t>[재입고]스테이포에버_이미지</t>
        </is>
      </c>
      <c r="B5850" s="16" t="n">
        <v>44285</v>
      </c>
      <c r="C5850" s="20" t="inlineStr">
        <is>
          <t>화</t>
        </is>
      </c>
      <c r="D5850" s="20" t="inlineStr">
        <is>
          <t>페이스북/인스타그램</t>
        </is>
      </c>
      <c r="E5850" s="20" t="inlineStr">
        <is>
          <t>고체향수</t>
        </is>
      </c>
      <c r="K5850" s="20" t="n">
        <v>147019</v>
      </c>
    </row>
    <row r="5851">
      <c r="A5851" s="20" t="inlineStr">
        <is>
          <t>[승무원]숏폼_영상</t>
        </is>
      </c>
      <c r="B5851" s="16" t="n">
        <v>44285</v>
      </c>
      <c r="C5851" s="20" t="inlineStr">
        <is>
          <t>화</t>
        </is>
      </c>
      <c r="D5851" s="20" t="inlineStr">
        <is>
          <t>페이스북/인스타그램</t>
        </is>
      </c>
      <c r="E5851" s="20" t="inlineStr">
        <is>
          <t>고체향수</t>
        </is>
      </c>
      <c r="K5851" s="20" t="n">
        <v>49091</v>
      </c>
    </row>
    <row r="5852">
      <c r="A5852" s="20" t="inlineStr">
        <is>
          <t>[재입고]스테이포에버_영상</t>
        </is>
      </c>
      <c r="B5852" s="16" t="n">
        <v>44285</v>
      </c>
      <c r="C5852" s="20" t="inlineStr">
        <is>
          <t>화</t>
        </is>
      </c>
      <c r="D5852" s="20" t="inlineStr">
        <is>
          <t>페이스북/인스타그램</t>
        </is>
      </c>
      <c r="E5852" s="20" t="inlineStr">
        <is>
          <t>고체향수</t>
        </is>
      </c>
      <c r="K5852" s="20" t="n">
        <v>48960</v>
      </c>
    </row>
    <row r="5853">
      <c r="A5853" s="20" t="inlineStr">
        <is>
          <t>[젊줌마]스테이포에버_영상</t>
        </is>
      </c>
      <c r="B5853" s="16" t="n">
        <v>44285</v>
      </c>
      <c r="C5853" s="20" t="inlineStr">
        <is>
          <t>화</t>
        </is>
      </c>
      <c r="D5853" s="20" t="inlineStr">
        <is>
          <t>페이스북/인스타그램</t>
        </is>
      </c>
      <c r="E5853" s="20" t="inlineStr">
        <is>
          <t>고체향수</t>
        </is>
      </c>
      <c r="K5853" s="20" t="n">
        <v>29181</v>
      </c>
    </row>
    <row r="5854">
      <c r="A5854" s="20" t="inlineStr">
        <is>
          <t>[승무원]2019년썰 카드뉴스+ 향묘사_영상</t>
        </is>
      </c>
      <c r="B5854" s="16" t="n">
        <v>44285</v>
      </c>
      <c r="C5854" s="20" t="inlineStr">
        <is>
          <t>화</t>
        </is>
      </c>
      <c r="D5854" s="20" t="inlineStr">
        <is>
          <t>페이스북/인스타그램</t>
        </is>
      </c>
      <c r="E5854" s="20" t="inlineStr">
        <is>
          <t>고체향수</t>
        </is>
      </c>
      <c r="K5854" s="20" t="n">
        <v>48688</v>
      </c>
    </row>
    <row r="5855">
      <c r="A5855" s="20" t="inlineStr">
        <is>
          <t>[승무원어피]스테이포에버_이미지</t>
        </is>
      </c>
      <c r="B5855" s="16" t="n">
        <v>44285</v>
      </c>
      <c r="C5855" s="20" t="inlineStr">
        <is>
          <t>화</t>
        </is>
      </c>
      <c r="D5855" s="20" t="inlineStr">
        <is>
          <t>페이스북/인스타그램</t>
        </is>
      </c>
      <c r="E5855" s="20" t="inlineStr">
        <is>
          <t>고체향수</t>
        </is>
      </c>
      <c r="K5855" s="20" t="n">
        <v>98137</v>
      </c>
    </row>
    <row r="5856">
      <c r="A5856" s="20" t="inlineStr">
        <is>
          <t>[다현]스테이포에버_이미지</t>
        </is>
      </c>
      <c r="B5856" s="16" t="n">
        <v>44285</v>
      </c>
      <c r="C5856" s="20" t="inlineStr">
        <is>
          <t>화</t>
        </is>
      </c>
      <c r="D5856" s="20" t="inlineStr">
        <is>
          <t>페이스북/인스타그램</t>
        </is>
      </c>
      <c r="E5856" s="20" t="inlineStr">
        <is>
          <t>고체향수</t>
        </is>
      </c>
      <c r="K5856" s="20" t="n">
        <v>99369</v>
      </c>
    </row>
    <row r="5857">
      <c r="A5857" s="20" t="inlineStr">
        <is>
          <t>[승무원]스테이포에버_카드뉴스</t>
        </is>
      </c>
      <c r="B5857" s="16" t="n">
        <v>44285</v>
      </c>
      <c r="C5857" s="20" t="inlineStr">
        <is>
          <t>화</t>
        </is>
      </c>
      <c r="D5857" s="20" t="inlineStr">
        <is>
          <t>페이스북/인스타그램</t>
        </is>
      </c>
      <c r="E5857" s="20" t="inlineStr">
        <is>
          <t>고체향수</t>
        </is>
      </c>
      <c r="K5857" s="20" t="n">
        <v>97388</v>
      </c>
    </row>
    <row r="5858">
      <c r="A5858" s="20" t="inlineStr">
        <is>
          <t>[후기타입]스테이포에버_영상</t>
        </is>
      </c>
      <c r="B5858" s="16" t="n">
        <v>44285</v>
      </c>
      <c r="C5858" s="20" t="inlineStr">
        <is>
          <t>화</t>
        </is>
      </c>
      <c r="D5858" s="20" t="inlineStr">
        <is>
          <t>페이스북/인스타그램</t>
        </is>
      </c>
      <c r="E5858" s="20" t="inlineStr">
        <is>
          <t>고체향수</t>
        </is>
      </c>
      <c r="K5858" s="20" t="n">
        <v>147403</v>
      </c>
    </row>
    <row r="5859">
      <c r="A5859" s="20" t="inlineStr">
        <is>
          <t>전환_스테이포에버</t>
        </is>
      </c>
      <c r="B5859" s="16" t="n">
        <v>44285</v>
      </c>
      <c r="C5859" s="20" t="inlineStr">
        <is>
          <t>화</t>
        </is>
      </c>
      <c r="D5859" s="20" t="inlineStr">
        <is>
          <t>페이스북/인스타그램</t>
        </is>
      </c>
      <c r="E5859" s="20" t="inlineStr">
        <is>
          <t>고체향수</t>
        </is>
      </c>
      <c r="K5859" s="20" t="n">
        <v>49131</v>
      </c>
    </row>
    <row r="5860">
      <c r="A5860" s="20" t="inlineStr">
        <is>
          <t>[권태기커플]스테이포에버_영상</t>
        </is>
      </c>
      <c r="B5860" s="16" t="n">
        <v>44285</v>
      </c>
      <c r="C5860" s="20" t="inlineStr">
        <is>
          <t>화</t>
        </is>
      </c>
      <c r="D5860" s="20" t="inlineStr">
        <is>
          <t>페이스북/인스타그램</t>
        </is>
      </c>
      <c r="E5860" s="20" t="inlineStr">
        <is>
          <t>고체향수</t>
        </is>
      </c>
      <c r="K5860" s="20" t="n">
        <v>73936</v>
      </c>
    </row>
    <row r="5861">
      <c r="A5861" s="20" t="inlineStr">
        <is>
          <t>웹사이트 트래픽 서치</t>
        </is>
      </c>
      <c r="B5861" s="16" t="n">
        <v>44285</v>
      </c>
      <c r="C5861" s="20" t="inlineStr">
        <is>
          <t>화</t>
        </is>
      </c>
      <c r="D5861" s="20" t="inlineStr">
        <is>
          <t>유튜브 광고</t>
        </is>
      </c>
      <c r="E5861" s="20" t="inlineStr">
        <is>
          <t>고체향수</t>
        </is>
      </c>
      <c r="K5861" s="20" t="n">
        <v>29158</v>
      </c>
    </row>
    <row r="5862">
      <c r="A5862" s="20" t="inlineStr">
        <is>
          <t>동영상캠페인_승무원_보이는 라디오(cpa)</t>
        </is>
      </c>
      <c r="B5862" s="16" t="n">
        <v>44285</v>
      </c>
      <c r="C5862" s="20" t="inlineStr">
        <is>
          <t>화</t>
        </is>
      </c>
      <c r="D5862" s="20" t="inlineStr">
        <is>
          <t>유튜브 광고</t>
        </is>
      </c>
      <c r="E5862" s="20" t="inlineStr">
        <is>
          <t>고체향수</t>
        </is>
      </c>
      <c r="K5862" s="20" t="n">
        <v>52047</v>
      </c>
    </row>
    <row r="5863">
      <c r="A5863" s="20" t="inlineStr">
        <is>
          <t>디스커버리 배너_승무원,할인_리마케팅</t>
        </is>
      </c>
      <c r="B5863" s="16" t="n">
        <v>44285</v>
      </c>
      <c r="C5863" s="20" t="inlineStr">
        <is>
          <t>화</t>
        </is>
      </c>
      <c r="D5863" s="20" t="inlineStr">
        <is>
          <t>유튜브 광고</t>
        </is>
      </c>
      <c r="E5863" s="20" t="inlineStr">
        <is>
          <t>고체향수</t>
        </is>
      </c>
      <c r="K5863" s="20" t="n">
        <v>492578</v>
      </c>
    </row>
    <row r="5864">
      <c r="A5864" s="20" t="inlineStr">
        <is>
          <t>동영상캠페인_승무원_써니스카이</t>
        </is>
      </c>
      <c r="B5864" s="16" t="n">
        <v>44285</v>
      </c>
      <c r="C5864" s="20" t="inlineStr">
        <is>
          <t>화</t>
        </is>
      </c>
      <c r="D5864" s="20" t="inlineStr">
        <is>
          <t>유튜브 광고</t>
        </is>
      </c>
      <c r="E5864" s="20" t="inlineStr">
        <is>
          <t>고체향수</t>
        </is>
      </c>
      <c r="K5864" s="20" t="n">
        <v>900141</v>
      </c>
    </row>
    <row r="5865">
      <c r="A5865" s="20" t="inlineStr">
        <is>
          <t>동영상캠페인_필라테스_자기관리(타겟 cpa)</t>
        </is>
      </c>
      <c r="B5865" s="16" t="n">
        <v>44285</v>
      </c>
      <c r="C5865" s="20" t="inlineStr">
        <is>
          <t>화</t>
        </is>
      </c>
      <c r="D5865" s="20" t="inlineStr">
        <is>
          <t>유튜브 광고</t>
        </is>
      </c>
      <c r="E5865" s="20" t="inlineStr">
        <is>
          <t>고체향수</t>
        </is>
      </c>
      <c r="K5865" s="20" t="n">
        <v>499698</v>
      </c>
    </row>
    <row r="5866">
      <c r="A5866" s="20" t="inlineStr">
        <is>
          <t>동영상캠페인_승무원_비누향 나는 승무원에게(cpa)</t>
        </is>
      </c>
      <c r="B5866" s="16" t="n">
        <v>44285</v>
      </c>
      <c r="C5866" s="20" t="inlineStr">
        <is>
          <t>화</t>
        </is>
      </c>
      <c r="D5866" s="20" t="inlineStr">
        <is>
          <t>유튜브 광고</t>
        </is>
      </c>
      <c r="E5866" s="20" t="inlineStr">
        <is>
          <t>고체향수</t>
        </is>
      </c>
      <c r="K5866" s="20" t="n">
        <v>29251</v>
      </c>
    </row>
    <row r="5867">
      <c r="A5867" s="20" t="inlineStr">
        <is>
          <t>동영상캠페인_유즈모먼트_2차_30대 여성 회사원(cpa)</t>
        </is>
      </c>
      <c r="B5867" s="16" t="n">
        <v>44285</v>
      </c>
      <c r="C5867" s="20" t="inlineStr">
        <is>
          <t>화</t>
        </is>
      </c>
      <c r="D5867" s="20" t="inlineStr">
        <is>
          <t>유튜브 광고</t>
        </is>
      </c>
      <c r="E5867" s="20" t="inlineStr">
        <is>
          <t>고체향수</t>
        </is>
      </c>
      <c r="K5867" s="20" t="n">
        <v>175467</v>
      </c>
    </row>
    <row r="5868">
      <c r="A5868" s="20" t="inlineStr">
        <is>
          <t>동영상캠페인_유즈모먼트_조향사 친구(cpa)</t>
        </is>
      </c>
      <c r="B5868" s="16" t="n">
        <v>44285</v>
      </c>
      <c r="C5868" s="20" t="inlineStr">
        <is>
          <t>화</t>
        </is>
      </c>
      <c r="D5868" s="20" t="inlineStr">
        <is>
          <t>유튜브 광고</t>
        </is>
      </c>
      <c r="E5868" s="20" t="inlineStr">
        <is>
          <t>고체향수</t>
        </is>
      </c>
      <c r="K5868" s="20" t="n">
        <v>97741</v>
      </c>
    </row>
    <row r="5869">
      <c r="A5869" s="20" t="inlineStr">
        <is>
          <t>동영상 캠페인_유튜버 수지큐 2차활용</t>
        </is>
      </c>
      <c r="B5869" s="16" t="n">
        <v>44285</v>
      </c>
      <c r="C5869" s="20" t="inlineStr">
        <is>
          <t>화</t>
        </is>
      </c>
      <c r="D5869" s="20" t="inlineStr">
        <is>
          <t>유튜브 광고</t>
        </is>
      </c>
      <c r="E5869" s="20" t="inlineStr">
        <is>
          <t>고체향수</t>
        </is>
      </c>
      <c r="K5869" s="20" t="n">
        <v>97101</v>
      </c>
    </row>
    <row r="5870">
      <c r="A5870" s="20" t="inlineStr">
        <is>
          <t>동영상캠페인_유즈모먼트_4화_강한향대신</t>
        </is>
      </c>
      <c r="B5870" s="16" t="n">
        <v>44285</v>
      </c>
      <c r="C5870" s="20" t="inlineStr">
        <is>
          <t>화</t>
        </is>
      </c>
      <c r="D5870" s="20" t="inlineStr">
        <is>
          <t>유튜브 광고</t>
        </is>
      </c>
      <c r="E5870" s="20" t="inlineStr">
        <is>
          <t>고체향수</t>
        </is>
      </c>
      <c r="K5870" s="20" t="n">
        <v>99461</v>
      </c>
    </row>
    <row r="5871">
      <c r="A5871" s="20" t="inlineStr">
        <is>
          <t>메인키워드</t>
        </is>
      </c>
      <c r="B5871" s="16" t="n">
        <v>44285</v>
      </c>
      <c r="C5871" s="20" t="inlineStr">
        <is>
          <t>화</t>
        </is>
      </c>
      <c r="D5871" s="20" t="inlineStr">
        <is>
          <t>네이버 쇼핑검색</t>
        </is>
      </c>
      <c r="E5871" s="20" t="inlineStr">
        <is>
          <t>고체향수</t>
        </is>
      </c>
      <c r="K5871" s="20" t="n">
        <v>31570</v>
      </c>
    </row>
    <row r="5872">
      <c r="A5872" s="20" t="inlineStr">
        <is>
          <t>세부키워드1</t>
        </is>
      </c>
      <c r="B5872" s="16" t="n">
        <v>44285</v>
      </c>
      <c r="C5872" s="20" t="inlineStr">
        <is>
          <t>화</t>
        </is>
      </c>
      <c r="D5872" s="20" t="inlineStr">
        <is>
          <t>네이버 쇼핑검색</t>
        </is>
      </c>
      <c r="E5872" s="20" t="inlineStr">
        <is>
          <t>고체향수</t>
        </is>
      </c>
      <c r="K5872" s="20" t="n">
        <v>2670</v>
      </c>
    </row>
    <row r="5873">
      <c r="A5873" s="20" t="inlineStr">
        <is>
          <t>세부키워드3</t>
        </is>
      </c>
      <c r="B5873" s="16" t="n">
        <v>44285</v>
      </c>
      <c r="C5873" s="20" t="inlineStr">
        <is>
          <t>화</t>
        </is>
      </c>
      <c r="D5873" s="20" t="inlineStr">
        <is>
          <t>네이버 쇼핑검색</t>
        </is>
      </c>
      <c r="E5873" s="20" t="inlineStr">
        <is>
          <t>고체향수</t>
        </is>
      </c>
      <c r="K5873" s="20" t="n">
        <v>102050</v>
      </c>
    </row>
    <row r="5874">
      <c r="A5874" s="20" t="inlineStr">
        <is>
          <t>모바일 브검</t>
        </is>
      </c>
      <c r="B5874" s="16" t="n">
        <v>44285</v>
      </c>
      <c r="C5874" s="20" t="inlineStr">
        <is>
          <t>화</t>
        </is>
      </c>
      <c r="D5874" s="20" t="inlineStr">
        <is>
          <t>네이버 브랜드검색</t>
        </is>
      </c>
      <c r="E5874" s="20" t="inlineStr">
        <is>
          <t>브랜드</t>
        </is>
      </c>
      <c r="K5874" s="20" t="n">
        <v>0</v>
      </c>
    </row>
    <row r="5875">
      <c r="A5875" s="20" t="inlineStr">
        <is>
          <t>PC 브랜드검색</t>
        </is>
      </c>
      <c r="B5875" s="16" t="n">
        <v>44285</v>
      </c>
      <c r="C5875" s="20" t="inlineStr">
        <is>
          <t>화</t>
        </is>
      </c>
      <c r="D5875" s="20" t="inlineStr">
        <is>
          <t>네이버 브랜드검색</t>
        </is>
      </c>
      <c r="E5875" s="20" t="inlineStr">
        <is>
          <t>브랜드</t>
        </is>
      </c>
      <c r="K5875" s="20" t="n">
        <v>0</v>
      </c>
    </row>
    <row r="5876">
      <c r="A5876" s="20" t="inlineStr">
        <is>
          <t>고체향수_승무원 어피_Npay 추적</t>
        </is>
      </c>
      <c r="B5876" s="16" t="n">
        <v>44285</v>
      </c>
      <c r="C5876" s="20" t="inlineStr">
        <is>
          <t>화</t>
        </is>
      </c>
      <c r="D5876" s="20" t="inlineStr">
        <is>
          <t>카카오 배너</t>
        </is>
      </c>
      <c r="E5876" s="20" t="inlineStr">
        <is>
          <t>고체향수</t>
        </is>
      </c>
      <c r="K5876" s="20" t="n">
        <v>182210</v>
      </c>
    </row>
    <row r="5877">
      <c r="A5877" s="20" t="inlineStr">
        <is>
          <t>고체향수_Npay 추적</t>
        </is>
      </c>
      <c r="B5877" s="16" t="n">
        <v>44285</v>
      </c>
      <c r="C5877" s="20" t="inlineStr">
        <is>
          <t>화</t>
        </is>
      </c>
      <c r="D5877" s="20" t="inlineStr">
        <is>
          <t>카카오 배너</t>
        </is>
      </c>
      <c r="E5877" s="20" t="inlineStr">
        <is>
          <t>고체향수</t>
        </is>
      </c>
      <c r="K5877" s="20" t="n">
        <v>958089.9999999999</v>
      </c>
    </row>
    <row r="5878">
      <c r="B5878" s="16" t="n">
        <v>44285</v>
      </c>
      <c r="C5878" s="20" t="inlineStr">
        <is>
          <t>화</t>
        </is>
      </c>
      <c r="E5878" s="20" t="inlineStr">
        <is>
          <t>고체향수</t>
        </is>
      </c>
      <c r="F5878" s="20" t="inlineStr">
        <is>
          <t>W컨셉</t>
        </is>
      </c>
      <c r="G5878" s="20" t="inlineStr">
        <is>
          <t>솔리드퍼퓸 이그나이트/스테이포에버 30ml (2종 택1)&lt;옵션1&gt;001 IGNITE</t>
        </is>
      </c>
      <c r="H5878" s="20" t="n">
        <v>1</v>
      </c>
      <c r="I5878" s="20" t="inlineStr">
        <is>
          <t>이그나이트</t>
        </is>
      </c>
      <c r="J5878" s="20" t="inlineStr">
        <is>
          <t>210207</t>
        </is>
      </c>
      <c r="L5878" s="20" t="n">
        <v>34000</v>
      </c>
      <c r="M5878" s="20" t="n">
        <v>23800</v>
      </c>
      <c r="N5878" s="20" t="n">
        <v>2753</v>
      </c>
      <c r="O5878" s="20" t="inlineStr">
        <is>
          <t>W컨셉고체향수솔리드퍼퓸 이그나이트/스테이포에버 30ml (2종 택1)&lt;옵션1&gt;001 IGNITE210207</t>
        </is>
      </c>
    </row>
    <row r="5879">
      <c r="B5879" s="16" t="n">
        <v>44285</v>
      </c>
      <c r="C5879" s="20" t="inlineStr">
        <is>
          <t>화</t>
        </is>
      </c>
      <c r="E5879" s="20" t="inlineStr">
        <is>
          <t>고체향수</t>
        </is>
      </c>
      <c r="F5879" s="20" t="inlineStr">
        <is>
          <t>W컨셉</t>
        </is>
      </c>
      <c r="G5879" s="20" t="inlineStr">
        <is>
          <t>솔리드퍼퓸 이그나이트/스테이포에버 30ml (2종 택1)&lt;옵션1&gt;002 STAY FOREVER</t>
        </is>
      </c>
      <c r="H5879" s="20" t="n">
        <v>8</v>
      </c>
      <c r="I5879" s="20" t="inlineStr">
        <is>
          <t>스테이포에버</t>
        </is>
      </c>
      <c r="J5879" s="20" t="inlineStr">
        <is>
          <t>210207</t>
        </is>
      </c>
      <c r="L5879" s="20" t="n">
        <v>272000</v>
      </c>
      <c r="M5879" s="20" t="n">
        <v>190400</v>
      </c>
      <c r="N5879" s="20" t="n">
        <v>20736</v>
      </c>
      <c r="O5879" s="20" t="inlineStr">
        <is>
          <t>W컨셉고체향수솔리드퍼퓸 이그나이트/스테이포에버 30ml (2종 택1)&lt;옵션1&gt;002 STAY FOREVER210207</t>
        </is>
      </c>
    </row>
    <row r="5880">
      <c r="B5880" s="16" t="n">
        <v>44285</v>
      </c>
      <c r="C5880" s="20" t="inlineStr">
        <is>
          <t>화</t>
        </is>
      </c>
      <c r="E5880" s="20" t="inlineStr">
        <is>
          <t>고체향수</t>
        </is>
      </c>
      <c r="F5880" s="20" t="inlineStr">
        <is>
          <t>W컨셉</t>
        </is>
      </c>
      <c r="G5880" s="20" t="inlineStr">
        <is>
          <t>솔리드퍼퓸 이그나이트/스테이포에버 30ml (2종 택1)&lt;옵션1&gt;IGNITE + STAY FOREVER</t>
        </is>
      </c>
      <c r="H5880" s="20" t="n">
        <v>1</v>
      </c>
      <c r="I5880" s="20" t="inlineStr">
        <is>
          <t>이그나이트 + 스테이포에버</t>
        </is>
      </c>
      <c r="J5880" s="20" t="inlineStr">
        <is>
          <t>210207</t>
        </is>
      </c>
      <c r="L5880" s="20" t="n">
        <v>58800</v>
      </c>
      <c r="M5880" s="20" t="n">
        <v>47040</v>
      </c>
      <c r="N5880" s="20" t="n">
        <v>5345</v>
      </c>
      <c r="O5880" s="20" t="inlineStr">
        <is>
          <t>W컨셉고체향수솔리드퍼퓸 이그나이트/스테이포에버 30ml (2종 택1)&lt;옵션1&gt;IGNITE + STAY FOREVER210207</t>
        </is>
      </c>
    </row>
    <row r="5881">
      <c r="B5881" s="16" t="n">
        <v>44285</v>
      </c>
      <c r="C5881" s="20" t="inlineStr">
        <is>
          <t>화</t>
        </is>
      </c>
      <c r="E5881" s="20" t="inlineStr">
        <is>
          <t>고체향수</t>
        </is>
      </c>
      <c r="F5881" s="20" t="inlineStr">
        <is>
          <t>스마트스토어</t>
        </is>
      </c>
      <c r="G5881" s="20" t="inlineStr">
        <is>
          <t>유즈 고체향수 세트(유즈 스테이포에버, 유즈 이그나이트)고체향수: 스테이포에버 1개</t>
        </is>
      </c>
      <c r="H5881" s="20" t="n">
        <v>1</v>
      </c>
      <c r="I5881" s="20" t="inlineStr">
        <is>
          <t>스테이포에버</t>
        </is>
      </c>
      <c r="J5881" s="20" t="inlineStr">
        <is>
          <t>210207</t>
        </is>
      </c>
      <c r="L5881" s="20" t="n">
        <v>34000</v>
      </c>
      <c r="M5881" s="20" t="n">
        <v>33320</v>
      </c>
      <c r="N5881" s="20" t="n">
        <v>2592</v>
      </c>
      <c r="O5881" s="20" t="inlineStr">
        <is>
          <t>스마트스토어고체향수유즈 고체향수 세트(유즈 스테이포에버, 유즈 이그나이트)고체향수: 스테이포에버 1개210207</t>
        </is>
      </c>
    </row>
    <row r="5882">
      <c r="B5882" s="16" t="n">
        <v>44285</v>
      </c>
      <c r="C5882" s="20" t="inlineStr">
        <is>
          <t>화</t>
        </is>
      </c>
      <c r="E5882" s="20" t="inlineStr">
        <is>
          <t>고체향수</t>
        </is>
      </c>
      <c r="F5882" s="20" t="inlineStr">
        <is>
          <t>스마트스토어</t>
        </is>
      </c>
      <c r="G5882" s="20" t="inlineStr">
        <is>
          <t>유즈 고체향수 세트(유즈 스테이포에버, 유즈 이그나이트)고체향수: 스테이포에버 1개 + 이그나이트 1개</t>
        </is>
      </c>
      <c r="H5882" s="20" t="n">
        <v>4</v>
      </c>
      <c r="I5882" s="20" t="inlineStr">
        <is>
          <t>이그나이트 + 스테이포에버</t>
        </is>
      </c>
      <c r="J5882" s="20" t="inlineStr">
        <is>
          <t>210207</t>
        </is>
      </c>
      <c r="L5882" s="20" t="n">
        <v>235200</v>
      </c>
      <c r="M5882" s="20" t="n">
        <v>221440.8</v>
      </c>
      <c r="N5882" s="20" t="n">
        <v>21380</v>
      </c>
      <c r="O5882" s="20" t="inlineStr">
        <is>
          <t>스마트스토어고체향수유즈 고체향수 세트(유즈 스테이포에버, 유즈 이그나이트)고체향수: 스테이포에버 1개 + 이그나이트 1개210207</t>
        </is>
      </c>
    </row>
    <row r="5883">
      <c r="B5883" s="16" t="n">
        <v>44285</v>
      </c>
      <c r="C5883" s="20" t="inlineStr">
        <is>
          <t>화</t>
        </is>
      </c>
      <c r="E5883" s="20" t="inlineStr">
        <is>
          <t>고체향수</t>
        </is>
      </c>
      <c r="F5883" s="20" t="inlineStr">
        <is>
          <t>스마트스토어</t>
        </is>
      </c>
      <c r="G5883" s="20" t="inlineStr">
        <is>
          <t>유즈 고체향수 세트(유즈 스테이포에버, 유즈 이그나이트)고체향수: 스테이포에버 2개</t>
        </is>
      </c>
      <c r="H5883" s="20" t="n">
        <v>4</v>
      </c>
      <c r="I5883" s="20" t="inlineStr">
        <is>
          <t>스테이포에버 2set</t>
        </is>
      </c>
      <c r="J5883" s="20" t="inlineStr">
        <is>
          <t>210207</t>
        </is>
      </c>
      <c r="L5883" s="20" t="n">
        <v>235200</v>
      </c>
      <c r="M5883" s="20" t="n">
        <v>230496</v>
      </c>
      <c r="N5883" s="20" t="n">
        <v>20736</v>
      </c>
      <c r="O5883" s="20" t="inlineStr">
        <is>
          <t>스마트스토어고체향수유즈 고체향수 세트(유즈 스테이포에버, 유즈 이그나이트)고체향수: 스테이포에버 2개210207</t>
        </is>
      </c>
    </row>
    <row r="5884">
      <c r="B5884" s="16" t="n">
        <v>44285</v>
      </c>
      <c r="C5884" s="20" t="inlineStr">
        <is>
          <t>화</t>
        </is>
      </c>
      <c r="E5884" s="20" t="inlineStr">
        <is>
          <t>고체향수</t>
        </is>
      </c>
      <c r="F5884" s="20" t="inlineStr">
        <is>
          <t>스마트스토어</t>
        </is>
      </c>
      <c r="G5884" s="20" t="inlineStr">
        <is>
          <t>유즈 고체향수 스테이포에버 002고체향수: 스테이포에버 1개</t>
        </is>
      </c>
      <c r="H5884" s="20" t="n">
        <v>23</v>
      </c>
      <c r="I5884" s="20" t="inlineStr">
        <is>
          <t>스테이포에버</t>
        </is>
      </c>
      <c r="J5884" s="20" t="inlineStr">
        <is>
          <t>210207</t>
        </is>
      </c>
      <c r="L5884" s="20" t="n">
        <v>782000</v>
      </c>
      <c r="M5884" s="20" t="n">
        <v>766360</v>
      </c>
      <c r="N5884" s="20" t="n">
        <v>59616</v>
      </c>
      <c r="O5884" s="20" t="inlineStr">
        <is>
          <t>스마트스토어고체향수유즈 고체향수 스테이포에버 002고체향수: 스테이포에버 1개210207</t>
        </is>
      </c>
    </row>
    <row r="5885">
      <c r="B5885" s="16" t="n">
        <v>44285</v>
      </c>
      <c r="C5885" s="20" t="inlineStr">
        <is>
          <t>화</t>
        </is>
      </c>
      <c r="E5885" s="20" t="inlineStr">
        <is>
          <t>고체향수</t>
        </is>
      </c>
      <c r="F5885" s="20" t="inlineStr">
        <is>
          <t>유즈 CS</t>
        </is>
      </c>
      <c r="G5885" s="20" t="inlineStr">
        <is>
          <t>솔리드퍼퓸 스테이포에버 002 30ml</t>
        </is>
      </c>
      <c r="H5885" s="20" t="n">
        <v>42</v>
      </c>
      <c r="I5885" s="20" t="inlineStr">
        <is>
          <t>스테이포에버</t>
        </is>
      </c>
      <c r="J5885" s="20" t="inlineStr">
        <is>
          <t>210207</t>
        </is>
      </c>
      <c r="L5885" s="20" t="n">
        <v>0</v>
      </c>
      <c r="M5885" s="20" t="n">
        <v>0</v>
      </c>
      <c r="N5885" s="20" t="n">
        <v>108864</v>
      </c>
      <c r="O5885" s="20" t="inlineStr">
        <is>
          <t>유즈 CS고체향수솔리드퍼퓸 스테이포에버 002 30ml210207</t>
        </is>
      </c>
    </row>
    <row r="5886">
      <c r="B5886" s="16" t="n">
        <v>44285</v>
      </c>
      <c r="C5886" s="20" t="inlineStr">
        <is>
          <t>화</t>
        </is>
      </c>
      <c r="E5886" s="20" t="inlineStr">
        <is>
          <t>고체향수</t>
        </is>
      </c>
      <c r="F5886" s="20" t="inlineStr">
        <is>
          <t>카페24</t>
        </is>
      </c>
      <c r="G5886" s="20" t="inlineStr">
        <is>
          <t>솔리드퍼퓸 세트향=스테이포에버 002 SOLID PERFUME, 세트 선택=1개</t>
        </is>
      </c>
      <c r="H5886" s="20" t="n">
        <v>8</v>
      </c>
      <c r="I5886" s="20" t="inlineStr">
        <is>
          <t>스테이포에버</t>
        </is>
      </c>
      <c r="J5886" s="20" t="inlineStr">
        <is>
          <t>210207</t>
        </is>
      </c>
      <c r="L5886" s="20" t="n">
        <v>272000</v>
      </c>
      <c r="M5886" s="20" t="n">
        <v>256088</v>
      </c>
      <c r="N5886" s="20" t="n">
        <v>20736</v>
      </c>
      <c r="O5886" s="20" t="inlineStr">
        <is>
          <t>카페24고체향수솔리드퍼퓸 세트향=스테이포에버 002 SOLID PERFUME, 세트 선택=1개210207</t>
        </is>
      </c>
    </row>
    <row r="5887">
      <c r="B5887" s="16" t="n">
        <v>44285</v>
      </c>
      <c r="C5887" s="20" t="inlineStr">
        <is>
          <t>화</t>
        </is>
      </c>
      <c r="E5887" s="20" t="inlineStr">
        <is>
          <t>고체향수</t>
        </is>
      </c>
      <c r="F5887" s="20" t="inlineStr">
        <is>
          <t>카페24</t>
        </is>
      </c>
      <c r="G5887" s="20" t="inlineStr">
        <is>
          <t>솔리드퍼퓸 세트향=스테이포에버 002 SOLID PERFUME, 세트 선택=best 2개 (28% 할인)</t>
        </is>
      </c>
      <c r="H5887" s="20" t="n">
        <v>7</v>
      </c>
      <c r="I5887" s="20" t="inlineStr">
        <is>
          <t>스테이포에버 2set</t>
        </is>
      </c>
      <c r="J5887" s="20" t="inlineStr">
        <is>
          <t>210207</t>
        </is>
      </c>
      <c r="L5887" s="20" t="n">
        <v>411600</v>
      </c>
      <c r="M5887" s="20" t="n">
        <v>387521.4</v>
      </c>
      <c r="N5887" s="20" t="n">
        <v>36288</v>
      </c>
      <c r="O5887" s="20" t="inlineStr">
        <is>
          <t>카페24고체향수솔리드퍼퓸 세트향=스테이포에버 002 SOLID PERFUME, 세트 선택=best 2개 (28% 할인)210207</t>
        </is>
      </c>
    </row>
    <row r="5888">
      <c r="B5888" s="16" t="n">
        <v>44285</v>
      </c>
      <c r="C5888" s="20" t="inlineStr">
        <is>
          <t>화</t>
        </is>
      </c>
      <c r="E5888" s="20" t="inlineStr">
        <is>
          <t>고체향수</t>
        </is>
      </c>
      <c r="F5888" s="20" t="inlineStr">
        <is>
          <t>카페24</t>
        </is>
      </c>
      <c r="G5888" s="20" t="inlineStr">
        <is>
          <t>솔리드퍼퓸 세트향=커플세트(이그나이트 + 스테이포에버), 세트 선택=1 SET</t>
        </is>
      </c>
      <c r="H5888" s="20" t="n">
        <v>8</v>
      </c>
      <c r="I5888" s="20" t="inlineStr">
        <is>
          <t>이그나이트 + 스테이포에버</t>
        </is>
      </c>
      <c r="J5888" s="20" t="inlineStr">
        <is>
          <t>210207</t>
        </is>
      </c>
      <c r="L5888" s="20" t="n">
        <v>470400</v>
      </c>
      <c r="M5888" s="20" t="n">
        <v>442881.6</v>
      </c>
      <c r="N5888" s="20" t="n">
        <v>42760</v>
      </c>
      <c r="O5888" s="20" t="inlineStr">
        <is>
          <t>카페24고체향수솔리드퍼퓸 세트향=커플세트(이그나이트 + 스테이포에버), 세트 선택=1 SET210207</t>
        </is>
      </c>
    </row>
    <row r="5889">
      <c r="B5889" s="16" t="n">
        <v>44285</v>
      </c>
      <c r="C5889" s="20" t="inlineStr">
        <is>
          <t>화</t>
        </is>
      </c>
      <c r="E5889" s="20" t="inlineStr">
        <is>
          <t>고체향수</t>
        </is>
      </c>
      <c r="F5889" s="20" t="inlineStr">
        <is>
          <t>카페24</t>
        </is>
      </c>
      <c r="G5889" s="20" t="inlineStr">
        <is>
          <t>솔리드퍼퓸 세트향=커플세트(이그나이트 + 스테이포에버), 세트 선택=2 SET (42% 할인)</t>
        </is>
      </c>
      <c r="H5889" s="20" t="n">
        <v>1</v>
      </c>
      <c r="I5889" s="20" t="inlineStr">
        <is>
          <t>이그나이트 + 스테이포에버</t>
        </is>
      </c>
      <c r="J5889" s="20" t="inlineStr">
        <is>
          <t>210207</t>
        </is>
      </c>
      <c r="L5889" s="20" t="n">
        <v>58800</v>
      </c>
      <c r="M5889" s="20" t="n">
        <v>55360.2</v>
      </c>
      <c r="N5889" s="20" t="n">
        <v>5345</v>
      </c>
      <c r="O5889" s="20" t="inlineStr">
        <is>
          <t>카페24고체향수솔리드퍼퓸 세트향=커플세트(이그나이트 + 스테이포에버), 세트 선택=2 SET (42% 할인)210207</t>
        </is>
      </c>
    </row>
    <row r="5890">
      <c r="B5890" s="16" t="n">
        <v>44285</v>
      </c>
      <c r="C5890" s="20" t="inlineStr">
        <is>
          <t>화</t>
        </is>
      </c>
      <c r="E5890" s="20" t="inlineStr">
        <is>
          <t>고체향수</t>
        </is>
      </c>
      <c r="F5890" s="20" t="inlineStr">
        <is>
          <t>카페24</t>
        </is>
      </c>
      <c r="G5890" s="20" t="inlineStr">
        <is>
          <t>솔리드퍼퓸 스테이포에버 002제품선택=스테이포에버 1개</t>
        </is>
      </c>
      <c r="H5890" s="20" t="n">
        <v>169</v>
      </c>
      <c r="I5890" s="20" t="inlineStr">
        <is>
          <t>스테이포에버</t>
        </is>
      </c>
      <c r="J5890" s="20" t="inlineStr">
        <is>
          <t>210207</t>
        </is>
      </c>
      <c r="L5890" s="20" t="n">
        <v>5746000</v>
      </c>
      <c r="M5890" s="20" t="n">
        <v>5409859</v>
      </c>
      <c r="N5890" s="20" t="n">
        <v>438048</v>
      </c>
      <c r="O5890" s="20" t="inlineStr">
        <is>
          <t>카페24고체향수솔리드퍼퓸 스테이포에버 002제품선택=스테이포에버 1개210207</t>
        </is>
      </c>
    </row>
    <row r="5891">
      <c r="B5891" s="16" t="n">
        <v>44285</v>
      </c>
      <c r="C5891" s="20" t="inlineStr">
        <is>
          <t>화</t>
        </is>
      </c>
      <c r="E5891" s="20" t="inlineStr">
        <is>
          <t>고체향수</t>
        </is>
      </c>
      <c r="F5891" s="20" t="inlineStr">
        <is>
          <t>카페24</t>
        </is>
      </c>
      <c r="G5891" s="20" t="inlineStr">
        <is>
          <t>솔리드퍼퓸 스테이포에버 002제품선택=best스테이포에버 2개[28% 할인]</t>
        </is>
      </c>
      <c r="H5891" s="20" t="n">
        <v>94</v>
      </c>
      <c r="I5891" s="20" t="inlineStr">
        <is>
          <t>스테이포에버 2set</t>
        </is>
      </c>
      <c r="J5891" s="20" t="inlineStr">
        <is>
          <t>210207</t>
        </is>
      </c>
      <c r="L5891" s="20" t="n">
        <v>5527200</v>
      </c>
      <c r="M5891" s="20" t="n">
        <v>5203858.8</v>
      </c>
      <c r="N5891" s="20" t="n">
        <v>487296</v>
      </c>
      <c r="O5891" s="20" t="inlineStr">
        <is>
          <t>카페24고체향수솔리드퍼퓸 스테이포에버 002제품선택=best스테이포에버 2개[28% 할인]210207</t>
        </is>
      </c>
    </row>
    <row r="5892">
      <c r="B5892" s="16" t="n">
        <v>44285</v>
      </c>
      <c r="C5892" s="20" t="inlineStr">
        <is>
          <t>화</t>
        </is>
      </c>
      <c r="E5892" s="20" t="inlineStr">
        <is>
          <t>고체향수</t>
        </is>
      </c>
      <c r="F5892" s="20" t="inlineStr">
        <is>
          <t>카페24</t>
        </is>
      </c>
      <c r="G5892" s="20" t="inlineStr">
        <is>
          <t>솔리드퍼퓸 스테이포에버 002제품선택=커플추천스테이포에버 + 이그나이트 세트</t>
        </is>
      </c>
      <c r="H5892" s="20" t="n">
        <v>9</v>
      </c>
      <c r="I5892" s="20" t="inlineStr">
        <is>
          <t>이그나이트 + 스테이포에버</t>
        </is>
      </c>
      <c r="J5892" s="20" t="inlineStr">
        <is>
          <t>210207</t>
        </is>
      </c>
      <c r="L5892" s="20" t="n">
        <v>529200</v>
      </c>
      <c r="M5892" s="20" t="n">
        <v>498241.8</v>
      </c>
      <c r="N5892" s="20" t="n">
        <v>48105</v>
      </c>
      <c r="O5892" s="20" t="inlineStr">
        <is>
          <t>카페24고체향수솔리드퍼퓸 스테이포에버 002제품선택=커플추천스테이포에버 + 이그나이트 세트210207</t>
        </is>
      </c>
    </row>
    <row r="5893">
      <c r="B5893" s="16" t="n">
        <v>44285</v>
      </c>
      <c r="C5893" s="20" t="inlineStr">
        <is>
          <t>화</t>
        </is>
      </c>
      <c r="E5893" s="20" t="inlineStr">
        <is>
          <t>쇼핑백</t>
        </is>
      </c>
      <c r="F5893" s="20" t="inlineStr">
        <is>
          <t>카페24</t>
        </is>
      </c>
      <c r="G5893" s="20" t="inlineStr">
        <is>
          <t>솔리드퍼퓸 스테이포에버 002쇼핑백=선물용 쇼핑백</t>
        </is>
      </c>
      <c r="H5893" s="20" t="n">
        <v>4</v>
      </c>
      <c r="I5893" s="20" t="inlineStr">
        <is>
          <t>쇼핑백</t>
        </is>
      </c>
      <c r="J5893" s="20" t="inlineStr">
        <is>
          <t>210207</t>
        </is>
      </c>
      <c r="L5893" s="20" t="n">
        <v>8000</v>
      </c>
      <c r="M5893" s="20" t="n">
        <v>7532</v>
      </c>
      <c r="N5893" s="20" t="n">
        <v>3320</v>
      </c>
      <c r="O5893" s="20" t="inlineStr">
        <is>
          <t>카페24쇼핑백솔리드퍼퓸 스테이포에버 002쇼핑백=선물용 쇼핑백210207</t>
        </is>
      </c>
    </row>
    <row r="5894">
      <c r="B5894" s="16" t="n">
        <v>44285</v>
      </c>
      <c r="C5894" s="20" t="inlineStr">
        <is>
          <t>화</t>
        </is>
      </c>
      <c r="E5894" s="20" t="inlineStr">
        <is>
          <t>고체향수</t>
        </is>
      </c>
      <c r="F5894" s="20" t="inlineStr">
        <is>
          <t>카페24</t>
        </is>
      </c>
      <c r="G5894" s="20" t="inlineStr">
        <is>
          <t>솔리드퍼퓸 이그나이트 001제품선택=이그나이트 솔리드퍼퓸 - 30ml</t>
        </is>
      </c>
      <c r="H5894" s="20" t="n">
        <v>1</v>
      </c>
      <c r="I5894" s="20" t="inlineStr">
        <is>
          <t>이그나이트</t>
        </is>
      </c>
      <c r="J5894" s="20" t="inlineStr">
        <is>
          <t>210207</t>
        </is>
      </c>
      <c r="L5894" s="20" t="n">
        <v>34000</v>
      </c>
      <c r="M5894" s="20" t="n">
        <v>32011</v>
      </c>
      <c r="N5894" s="20" t="n">
        <v>2753</v>
      </c>
      <c r="O5894" s="20" t="inlineStr">
        <is>
          <t>카페24고체향수솔리드퍼퓸 이그나이트 001제품선택=이그나이트 솔리드퍼퓸 - 30ml210207</t>
        </is>
      </c>
    </row>
    <row r="5895">
      <c r="B5895" s="16" t="n">
        <v>44285</v>
      </c>
      <c r="C5895" s="20" t="inlineStr">
        <is>
          <t>화</t>
        </is>
      </c>
      <c r="E5895" s="20" t="inlineStr">
        <is>
          <t>고체향수</t>
        </is>
      </c>
      <c r="F5895" s="20" t="inlineStr">
        <is>
          <t>카페24</t>
        </is>
      </c>
      <c r="G5895" s="20" t="inlineStr">
        <is>
          <t>솔리드퍼퓸 이그나이트 001제품선택=이그나이트 2개 세트</t>
        </is>
      </c>
      <c r="H5895" s="20" t="n">
        <v>2</v>
      </c>
      <c r="I5895" s="20" t="inlineStr">
        <is>
          <t>이그나이트 2set</t>
        </is>
      </c>
      <c r="J5895" s="20" t="inlineStr">
        <is>
          <t>210207</t>
        </is>
      </c>
      <c r="L5895" s="20" t="n">
        <v>117600</v>
      </c>
      <c r="M5895" s="20" t="n">
        <v>110720.4</v>
      </c>
      <c r="N5895" s="20" t="n">
        <v>11012</v>
      </c>
      <c r="O5895" s="20" t="inlineStr">
        <is>
          <t>카페24고체향수솔리드퍼퓸 이그나이트 001제품선택=이그나이트 2개 세트210207</t>
        </is>
      </c>
    </row>
    <row r="5896">
      <c r="B5896" s="16" t="n">
        <v>44285</v>
      </c>
      <c r="C5896" s="20" t="inlineStr">
        <is>
          <t>화</t>
        </is>
      </c>
      <c r="E5896" s="20" t="inlineStr">
        <is>
          <t>고체향수</t>
        </is>
      </c>
      <c r="F5896" s="20" t="inlineStr">
        <is>
          <t>카페24</t>
        </is>
      </c>
      <c r="G5896" s="20" t="inlineStr">
        <is>
          <t>유즈 솔리드퍼퓸 세트향=스테이포에버 002 SOLID PERFUME, 세트 선택=1개</t>
        </is>
      </c>
      <c r="H5896" s="20" t="n">
        <v>2</v>
      </c>
      <c r="I5896" s="20" t="inlineStr">
        <is>
          <t>스테이포에버</t>
        </is>
      </c>
      <c r="J5896" s="20" t="inlineStr">
        <is>
          <t>210207</t>
        </is>
      </c>
      <c r="L5896" s="20" t="n">
        <v>68000</v>
      </c>
      <c r="M5896" s="20" t="n">
        <v>64022</v>
      </c>
      <c r="N5896" s="20" t="n">
        <v>5184</v>
      </c>
      <c r="O5896" s="20" t="inlineStr">
        <is>
          <t>카페24고체향수유즈 솔리드퍼퓸 세트향=스테이포에버 002 SOLID PERFUME, 세트 선택=1개210207</t>
        </is>
      </c>
    </row>
    <row r="5897">
      <c r="B5897" s="16" t="n">
        <v>44285</v>
      </c>
      <c r="C5897" s="20" t="inlineStr">
        <is>
          <t>화</t>
        </is>
      </c>
      <c r="E5897" s="20" t="inlineStr">
        <is>
          <t>고체향수</t>
        </is>
      </c>
      <c r="F5897" s="20" t="inlineStr">
        <is>
          <t>카페24</t>
        </is>
      </c>
      <c r="G5897" s="20" t="inlineStr">
        <is>
          <t>유즈 솔리드퍼퓸 세트향=스테이포에버 002 SOLID PERFUME, 세트 선택=best 2개 (28% 할인)</t>
        </is>
      </c>
      <c r="H5897" s="20" t="n">
        <v>2</v>
      </c>
      <c r="I5897" s="20" t="inlineStr">
        <is>
          <t>스테이포에버 2set</t>
        </is>
      </c>
      <c r="J5897" s="20" t="inlineStr">
        <is>
          <t>210207</t>
        </is>
      </c>
      <c r="L5897" s="20" t="n">
        <v>117600</v>
      </c>
      <c r="M5897" s="20" t="n">
        <v>110720.4</v>
      </c>
      <c r="N5897" s="20" t="n">
        <v>10368</v>
      </c>
      <c r="O5897" s="20" t="inlineStr">
        <is>
          <t>카페24고체향수유즈 솔리드퍼퓸 세트향=스테이포에버 002 SOLID PERFUME, 세트 선택=best 2개 (28% 할인)210207</t>
        </is>
      </c>
    </row>
    <row r="5898">
      <c r="A5898" s="20" t="inlineStr">
        <is>
          <t>고체향수_전환추적</t>
        </is>
      </c>
      <c r="B5898" s="16" t="n">
        <v>44285</v>
      </c>
      <c r="C5898" s="20" t="inlineStr">
        <is>
          <t>화</t>
        </is>
      </c>
      <c r="D5898" s="20" t="inlineStr">
        <is>
          <t>네이버 배너</t>
        </is>
      </c>
      <c r="E5898" s="20" t="inlineStr">
        <is>
          <t>고체향수</t>
        </is>
      </c>
      <c r="K5898" s="20" t="n">
        <v>269887.2727272727</v>
      </c>
    </row>
    <row r="5899">
      <c r="A5899" s="20" t="inlineStr">
        <is>
          <t>고체향수</t>
        </is>
      </c>
      <c r="B5899" s="16" t="n">
        <v>44285</v>
      </c>
      <c r="C5899" s="20" t="inlineStr">
        <is>
          <t>화</t>
        </is>
      </c>
      <c r="D5899" s="20" t="inlineStr">
        <is>
          <t>네이버 배너</t>
        </is>
      </c>
      <c r="E5899" s="20" t="inlineStr">
        <is>
          <t>고체향수</t>
        </is>
      </c>
      <c r="K5899" s="20" t="n">
        <v>1242486.363636364</v>
      </c>
    </row>
    <row r="5900">
      <c r="A5900" s="20" t="inlineStr">
        <is>
          <t>[유튜버 수지큐]스테이포에버_카드뉴스</t>
        </is>
      </c>
      <c r="B5900" s="16" t="n">
        <v>44286</v>
      </c>
      <c r="C5900" s="20" t="inlineStr">
        <is>
          <t>수</t>
        </is>
      </c>
      <c r="D5900" s="20" t="inlineStr">
        <is>
          <t>페이스북/인스타그램</t>
        </is>
      </c>
      <c r="E5900" s="20" t="inlineStr">
        <is>
          <t>고체향수</t>
        </is>
      </c>
      <c r="K5900" s="20" t="n">
        <v>30243</v>
      </c>
    </row>
    <row r="5901">
      <c r="A5901" s="20" t="inlineStr">
        <is>
          <t>[유튜버 수지큐]스테이포에버_영상</t>
        </is>
      </c>
      <c r="B5901" s="16" t="n">
        <v>44286</v>
      </c>
      <c r="C5901" s="20" t="inlineStr">
        <is>
          <t>수</t>
        </is>
      </c>
      <c r="D5901" s="20" t="inlineStr">
        <is>
          <t>페이스북/인스타그램</t>
        </is>
      </c>
      <c r="E5901" s="20" t="inlineStr">
        <is>
          <t>고체향수</t>
        </is>
      </c>
      <c r="K5901" s="20" t="n">
        <v>57704</v>
      </c>
    </row>
    <row r="5902">
      <c r="A5902" s="20" t="inlineStr">
        <is>
          <t>[승무원]수지큐2차활용_스테이포에버_이미지</t>
        </is>
      </c>
      <c r="B5902" s="16" t="n">
        <v>44286</v>
      </c>
      <c r="C5902" s="20" t="inlineStr">
        <is>
          <t>수</t>
        </is>
      </c>
      <c r="D5902" s="20" t="inlineStr">
        <is>
          <t>페이스북/인스타그램</t>
        </is>
      </c>
      <c r="E5902" s="20" t="inlineStr">
        <is>
          <t>고체향수</t>
        </is>
      </c>
      <c r="K5902" s="20" t="n">
        <v>30043</v>
      </c>
    </row>
    <row r="5903">
      <c r="A5903" s="20" t="inlineStr">
        <is>
          <t>[다현 TEST] 스테이포에버_유즈모먼트</t>
        </is>
      </c>
      <c r="B5903" s="16" t="n">
        <v>44286</v>
      </c>
      <c r="C5903" s="20" t="inlineStr">
        <is>
          <t>수</t>
        </is>
      </c>
      <c r="D5903" s="20" t="inlineStr">
        <is>
          <t>페이스북/인스타그램</t>
        </is>
      </c>
      <c r="E5903" s="20" t="inlineStr">
        <is>
          <t>고체향수</t>
        </is>
      </c>
      <c r="K5903" s="20" t="n">
        <v>60404</v>
      </c>
    </row>
    <row r="5904">
      <c r="A5904" s="20" t="inlineStr">
        <is>
          <t>[성민 TEST] 스테이포에버_이미지</t>
        </is>
      </c>
      <c r="B5904" s="16" t="n">
        <v>44286</v>
      </c>
      <c r="C5904" s="20" t="inlineStr">
        <is>
          <t>수</t>
        </is>
      </c>
      <c r="D5904" s="20" t="inlineStr">
        <is>
          <t>페이스북/인스타그램</t>
        </is>
      </c>
      <c r="E5904" s="20" t="inlineStr">
        <is>
          <t>고체향수</t>
        </is>
      </c>
      <c r="K5904" s="20" t="n">
        <v>149060</v>
      </c>
    </row>
    <row r="5905">
      <c r="A5905" s="20" t="inlineStr">
        <is>
          <t>[승은 TEST] 스테이포에버_카드뉴스</t>
        </is>
      </c>
      <c r="B5905" s="16" t="n">
        <v>44286</v>
      </c>
      <c r="C5905" s="20" t="inlineStr">
        <is>
          <t>수</t>
        </is>
      </c>
      <c r="D5905" s="20" t="inlineStr">
        <is>
          <t>페이스북/인스타그램</t>
        </is>
      </c>
      <c r="E5905" s="20" t="inlineStr">
        <is>
          <t>고체향수</t>
        </is>
      </c>
      <c r="K5905" s="20" t="n">
        <v>75319</v>
      </c>
    </row>
    <row r="5906">
      <c r="A5906" s="20" t="inlineStr">
        <is>
          <t>[승무원 2] 스테이포에버_카드뉴스</t>
        </is>
      </c>
      <c r="B5906" s="16" t="n">
        <v>44286</v>
      </c>
      <c r="C5906" s="20" t="inlineStr">
        <is>
          <t>수</t>
        </is>
      </c>
      <c r="D5906" s="20" t="inlineStr">
        <is>
          <t>페이스북/인스타그램</t>
        </is>
      </c>
      <c r="E5906" s="20" t="inlineStr">
        <is>
          <t>고체향수</t>
        </is>
      </c>
      <c r="K5906" s="20" t="n">
        <v>101098</v>
      </c>
    </row>
    <row r="5907">
      <c r="A5907" s="20" t="inlineStr">
        <is>
          <t>[테스트]아줌마</t>
        </is>
      </c>
      <c r="B5907" s="16" t="n">
        <v>44286</v>
      </c>
      <c r="C5907" s="20" t="inlineStr">
        <is>
          <t>수</t>
        </is>
      </c>
      <c r="D5907" s="20" t="inlineStr">
        <is>
          <t>페이스북/인스타그램</t>
        </is>
      </c>
      <c r="E5907" s="20" t="inlineStr">
        <is>
          <t>고체향수</t>
        </is>
      </c>
      <c r="K5907" s="20" t="n">
        <v>111310</v>
      </c>
    </row>
    <row r="5908">
      <c r="A5908" s="20" t="inlineStr">
        <is>
          <t>[키워드 확장 테스트]스테이포에버_이미지</t>
        </is>
      </c>
      <c r="B5908" s="16" t="n">
        <v>44286</v>
      </c>
      <c r="C5908" s="20" t="inlineStr">
        <is>
          <t>수</t>
        </is>
      </c>
      <c r="D5908" s="20" t="inlineStr">
        <is>
          <t>페이스북/인스타그램</t>
        </is>
      </c>
      <c r="E5908" s="20" t="inlineStr">
        <is>
          <t>고체향수</t>
        </is>
      </c>
      <c r="K5908" s="20" t="n">
        <v>213019</v>
      </c>
    </row>
    <row r="5909">
      <c r="A5909" s="20" t="inlineStr">
        <is>
          <t>[재입고]스테이포에버_이미지</t>
        </is>
      </c>
      <c r="B5909" s="16" t="n">
        <v>44286</v>
      </c>
      <c r="C5909" s="20" t="inlineStr">
        <is>
          <t>수</t>
        </is>
      </c>
      <c r="D5909" s="20" t="inlineStr">
        <is>
          <t>페이스북/인스타그램</t>
        </is>
      </c>
      <c r="E5909" s="20" t="inlineStr">
        <is>
          <t>고체향수</t>
        </is>
      </c>
      <c r="K5909" s="20" t="n">
        <v>150664</v>
      </c>
    </row>
    <row r="5910">
      <c r="A5910" s="20" t="inlineStr">
        <is>
          <t>[승무원]숏폼_영상</t>
        </is>
      </c>
      <c r="B5910" s="16" t="n">
        <v>44286</v>
      </c>
      <c r="C5910" s="20" t="inlineStr">
        <is>
          <t>수</t>
        </is>
      </c>
      <c r="D5910" s="20" t="inlineStr">
        <is>
          <t>페이스북/인스타그램</t>
        </is>
      </c>
      <c r="E5910" s="20" t="inlineStr">
        <is>
          <t>고체향수</t>
        </is>
      </c>
      <c r="K5910" s="20" t="n">
        <v>50426</v>
      </c>
    </row>
    <row r="5911">
      <c r="A5911" s="20" t="inlineStr">
        <is>
          <t>[재입고]스테이포에버_영상</t>
        </is>
      </c>
      <c r="B5911" s="16" t="n">
        <v>44286</v>
      </c>
      <c r="C5911" s="20" t="inlineStr">
        <is>
          <t>수</t>
        </is>
      </c>
      <c r="D5911" s="20" t="inlineStr">
        <is>
          <t>페이스북/인스타그램</t>
        </is>
      </c>
      <c r="E5911" s="20" t="inlineStr">
        <is>
          <t>고체향수</t>
        </is>
      </c>
      <c r="K5911" s="20" t="n">
        <v>49852</v>
      </c>
    </row>
    <row r="5912">
      <c r="A5912" s="20" t="inlineStr">
        <is>
          <t>[젊줌마]스테이포에버_영상</t>
        </is>
      </c>
      <c r="B5912" s="16" t="n">
        <v>44286</v>
      </c>
      <c r="C5912" s="20" t="inlineStr">
        <is>
          <t>수</t>
        </is>
      </c>
      <c r="D5912" s="20" t="inlineStr">
        <is>
          <t>페이스북/인스타그램</t>
        </is>
      </c>
      <c r="E5912" s="20" t="inlineStr">
        <is>
          <t>고체향수</t>
        </is>
      </c>
      <c r="K5912" s="20" t="n">
        <v>30564</v>
      </c>
    </row>
    <row r="5913">
      <c r="A5913" s="20" t="inlineStr">
        <is>
          <t>[승무원]2019년썰 카드뉴스+ 향묘사_영상</t>
        </is>
      </c>
      <c r="B5913" s="16" t="n">
        <v>44286</v>
      </c>
      <c r="C5913" s="20" t="inlineStr">
        <is>
          <t>수</t>
        </is>
      </c>
      <c r="D5913" s="20" t="inlineStr">
        <is>
          <t>페이스북/인스타그램</t>
        </is>
      </c>
      <c r="E5913" s="20" t="inlineStr">
        <is>
          <t>고체향수</t>
        </is>
      </c>
      <c r="K5913" s="20" t="n">
        <v>50477</v>
      </c>
    </row>
    <row r="5914">
      <c r="A5914" s="20" t="inlineStr">
        <is>
          <t>[승무원어피]스테이포에버_이미지</t>
        </is>
      </c>
      <c r="B5914" s="16" t="n">
        <v>44286</v>
      </c>
      <c r="C5914" s="20" t="inlineStr">
        <is>
          <t>수</t>
        </is>
      </c>
      <c r="D5914" s="20" t="inlineStr">
        <is>
          <t>페이스북/인스타그램</t>
        </is>
      </c>
      <c r="E5914" s="20" t="inlineStr">
        <is>
          <t>고체향수</t>
        </is>
      </c>
      <c r="K5914" s="20" t="n">
        <v>100837</v>
      </c>
    </row>
    <row r="5915">
      <c r="A5915" s="20" t="inlineStr">
        <is>
          <t>[다현]스테이포에버_이미지</t>
        </is>
      </c>
      <c r="B5915" s="16" t="n">
        <v>44286</v>
      </c>
      <c r="C5915" s="20" t="inlineStr">
        <is>
          <t>수</t>
        </is>
      </c>
      <c r="D5915" s="20" t="inlineStr">
        <is>
          <t>페이스북/인스타그램</t>
        </is>
      </c>
      <c r="E5915" s="20" t="inlineStr">
        <is>
          <t>고체향수</t>
        </is>
      </c>
      <c r="K5915" s="20" t="n">
        <v>99991</v>
      </c>
    </row>
    <row r="5916">
      <c r="A5916" s="20" t="inlineStr">
        <is>
          <t>[승무원]스테이포에버_카드뉴스</t>
        </is>
      </c>
      <c r="B5916" s="16" t="n">
        <v>44286</v>
      </c>
      <c r="C5916" s="20" t="inlineStr">
        <is>
          <t>수</t>
        </is>
      </c>
      <c r="D5916" s="20" t="inlineStr">
        <is>
          <t>페이스북/인스타그램</t>
        </is>
      </c>
      <c r="E5916" s="20" t="inlineStr">
        <is>
          <t>고체향수</t>
        </is>
      </c>
      <c r="K5916" s="20" t="n">
        <v>100882</v>
      </c>
    </row>
    <row r="5917">
      <c r="A5917" s="20" t="inlineStr">
        <is>
          <t>[후기타입]스테이포에버_영상</t>
        </is>
      </c>
      <c r="B5917" s="16" t="n">
        <v>44286</v>
      </c>
      <c r="C5917" s="20" t="inlineStr">
        <is>
          <t>수</t>
        </is>
      </c>
      <c r="D5917" s="20" t="inlineStr">
        <is>
          <t>페이스북/인스타그램</t>
        </is>
      </c>
      <c r="E5917" s="20" t="inlineStr">
        <is>
          <t>고체향수</t>
        </is>
      </c>
      <c r="K5917" s="20" t="n">
        <v>151655</v>
      </c>
    </row>
    <row r="5918">
      <c r="A5918" s="20" t="inlineStr">
        <is>
          <t>전환_스테이포에버</t>
        </is>
      </c>
      <c r="B5918" s="16" t="n">
        <v>44286</v>
      </c>
      <c r="C5918" s="20" t="inlineStr">
        <is>
          <t>수</t>
        </is>
      </c>
      <c r="D5918" s="20" t="inlineStr">
        <is>
          <t>페이스북/인스타그램</t>
        </is>
      </c>
      <c r="E5918" s="20" t="inlineStr">
        <is>
          <t>고체향수</t>
        </is>
      </c>
      <c r="K5918" s="20" t="n">
        <v>50743</v>
      </c>
    </row>
    <row r="5919">
      <c r="A5919" s="20" t="inlineStr">
        <is>
          <t>[권태기커플]스테이포에버_영상</t>
        </is>
      </c>
      <c r="B5919" s="16" t="n">
        <v>44286</v>
      </c>
      <c r="C5919" s="20" t="inlineStr">
        <is>
          <t>수</t>
        </is>
      </c>
      <c r="D5919" s="20" t="inlineStr">
        <is>
          <t>페이스북/인스타그램</t>
        </is>
      </c>
      <c r="E5919" s="20" t="inlineStr">
        <is>
          <t>고체향수</t>
        </is>
      </c>
      <c r="K5919" s="20" t="n">
        <v>75856</v>
      </c>
    </row>
    <row r="5920">
      <c r="A5920" s="20" t="inlineStr">
        <is>
          <t>웹사이트 트래픽 서치</t>
        </is>
      </c>
      <c r="B5920" s="16" t="n">
        <v>44286</v>
      </c>
      <c r="C5920" s="20" t="inlineStr">
        <is>
          <t>수</t>
        </is>
      </c>
      <c r="D5920" s="20" t="inlineStr">
        <is>
          <t>유튜브 광고</t>
        </is>
      </c>
      <c r="E5920" s="20" t="inlineStr">
        <is>
          <t>고체향수</t>
        </is>
      </c>
      <c r="K5920" s="20" t="n">
        <v>22117</v>
      </c>
    </row>
    <row r="5921">
      <c r="A5921" s="20" t="inlineStr">
        <is>
          <t>동영상캠페인_승무원_보이는 라디오(cpa)</t>
        </is>
      </c>
      <c r="B5921" s="16" t="n">
        <v>44286</v>
      </c>
      <c r="C5921" s="20" t="inlineStr">
        <is>
          <t>수</t>
        </is>
      </c>
      <c r="D5921" s="20" t="inlineStr">
        <is>
          <t>유튜브 광고</t>
        </is>
      </c>
      <c r="E5921" s="20" t="inlineStr">
        <is>
          <t>고체향수</t>
        </is>
      </c>
      <c r="K5921" s="20" t="n">
        <v>47214</v>
      </c>
    </row>
    <row r="5922">
      <c r="A5922" s="20" t="inlineStr">
        <is>
          <t>디스커버리 배너_승무원,할인_리마케팅</t>
        </is>
      </c>
      <c r="B5922" s="16" t="n">
        <v>44286</v>
      </c>
      <c r="C5922" s="20" t="inlineStr">
        <is>
          <t>수</t>
        </is>
      </c>
      <c r="D5922" s="20" t="inlineStr">
        <is>
          <t>유튜브 광고</t>
        </is>
      </c>
      <c r="E5922" s="20" t="inlineStr">
        <is>
          <t>고체향수</t>
        </is>
      </c>
      <c r="K5922" s="20" t="n">
        <v>301694</v>
      </c>
    </row>
    <row r="5923">
      <c r="A5923" s="20" t="inlineStr">
        <is>
          <t>동영상캠페인_승무원_써니스카이</t>
        </is>
      </c>
      <c r="B5923" s="16" t="n">
        <v>44286</v>
      </c>
      <c r="C5923" s="20" t="inlineStr">
        <is>
          <t>수</t>
        </is>
      </c>
      <c r="D5923" s="20" t="inlineStr">
        <is>
          <t>유튜브 광고</t>
        </is>
      </c>
      <c r="E5923" s="20" t="inlineStr">
        <is>
          <t>고체향수</t>
        </is>
      </c>
      <c r="K5923" s="20" t="n">
        <v>499951</v>
      </c>
    </row>
    <row r="5924">
      <c r="A5924" s="20" t="inlineStr">
        <is>
          <t>동영상캠페인_필라테스_자기관리(타겟 cpa)</t>
        </is>
      </c>
      <c r="B5924" s="16" t="n">
        <v>44286</v>
      </c>
      <c r="C5924" s="20" t="inlineStr">
        <is>
          <t>수</t>
        </is>
      </c>
      <c r="D5924" s="20" t="inlineStr">
        <is>
          <t>유튜브 광고</t>
        </is>
      </c>
      <c r="E5924" s="20" t="inlineStr">
        <is>
          <t>고체향수</t>
        </is>
      </c>
      <c r="K5924" s="20" t="n">
        <v>300659</v>
      </c>
    </row>
    <row r="5925">
      <c r="A5925" s="20" t="inlineStr">
        <is>
          <t>동영상캠페인_승무원_비누향 나는 승무원에게(cpa)</t>
        </is>
      </c>
      <c r="B5925" s="16" t="n">
        <v>44286</v>
      </c>
      <c r="C5925" s="20" t="inlineStr">
        <is>
          <t>수</t>
        </is>
      </c>
      <c r="D5925" s="20" t="inlineStr">
        <is>
          <t>유튜브 광고</t>
        </is>
      </c>
      <c r="E5925" s="20" t="inlineStr">
        <is>
          <t>고체향수</t>
        </is>
      </c>
      <c r="K5925" s="20" t="n">
        <v>13802</v>
      </c>
    </row>
    <row r="5926">
      <c r="A5926" s="20" t="inlineStr">
        <is>
          <t>동영상캠페인_유즈모먼트_2차_30대 여성 회사원(cpa)</t>
        </is>
      </c>
      <c r="B5926" s="16" t="n">
        <v>44286</v>
      </c>
      <c r="C5926" s="20" t="inlineStr">
        <is>
          <t>수</t>
        </is>
      </c>
      <c r="D5926" s="20" t="inlineStr">
        <is>
          <t>유튜브 광고</t>
        </is>
      </c>
      <c r="E5926" s="20" t="inlineStr">
        <is>
          <t>고체향수</t>
        </is>
      </c>
      <c r="K5926" s="20" t="n">
        <v>105135</v>
      </c>
    </row>
    <row r="5927">
      <c r="A5927" s="20" t="inlineStr">
        <is>
          <t>동영상캠페인_유즈모먼트_조향사 친구(cpa)</t>
        </is>
      </c>
      <c r="B5927" s="16" t="n">
        <v>44286</v>
      </c>
      <c r="C5927" s="20" t="inlineStr">
        <is>
          <t>수</t>
        </is>
      </c>
      <c r="D5927" s="20" t="inlineStr">
        <is>
          <t>유튜브 광고</t>
        </is>
      </c>
      <c r="E5927" s="20" t="inlineStr">
        <is>
          <t>고체향수</t>
        </is>
      </c>
      <c r="K5927" s="20" t="n">
        <v>83353</v>
      </c>
    </row>
    <row r="5928">
      <c r="A5928" s="20" t="inlineStr">
        <is>
          <t>동영상 캠페인_유튜버 수지큐 2차활용</t>
        </is>
      </c>
      <c r="B5928" s="16" t="n">
        <v>44286</v>
      </c>
      <c r="C5928" s="20" t="inlineStr">
        <is>
          <t>수</t>
        </is>
      </c>
      <c r="D5928" s="20" t="inlineStr">
        <is>
          <t>유튜브 광고</t>
        </is>
      </c>
      <c r="E5928" s="20" t="inlineStr">
        <is>
          <t>고체향수</t>
        </is>
      </c>
      <c r="K5928" s="20" t="n">
        <v>199970</v>
      </c>
    </row>
    <row r="5929">
      <c r="A5929" s="20" t="inlineStr">
        <is>
          <t>동영상캠페인_유즈모먼트_4화_강한향대신</t>
        </is>
      </c>
      <c r="B5929" s="16" t="n">
        <v>44286</v>
      </c>
      <c r="C5929" s="20" t="inlineStr">
        <is>
          <t>수</t>
        </is>
      </c>
      <c r="D5929" s="20" t="inlineStr">
        <is>
          <t>유튜브 광고</t>
        </is>
      </c>
      <c r="E5929" s="20" t="inlineStr">
        <is>
          <t>고체향수</t>
        </is>
      </c>
      <c r="K5929" s="20" t="n">
        <v>99566</v>
      </c>
    </row>
    <row r="5930">
      <c r="A5930" s="20" t="inlineStr">
        <is>
          <t>[5화자] 동영상 캠페인_커리어임팩트</t>
        </is>
      </c>
      <c r="B5930" s="16" t="n">
        <v>44286</v>
      </c>
      <c r="C5930" s="20" t="inlineStr">
        <is>
          <t>수</t>
        </is>
      </c>
      <c r="D5930" s="20">
        <f>VLOOKUP($A5930,매칭테이블!$B$548:$D$1048576,2,0)</f>
        <v/>
      </c>
      <c r="E5930" s="20" t="inlineStr">
        <is>
          <t>고체향수</t>
        </is>
      </c>
      <c r="K5930" s="20" t="n">
        <v>100915</v>
      </c>
    </row>
    <row r="5931">
      <c r="A5931" s="20" t="inlineStr">
        <is>
          <t>[5화자] 동영상 캠페인_비행하고 여행하는 은선씨</t>
        </is>
      </c>
      <c r="B5931" s="16" t="n">
        <v>44286</v>
      </c>
      <c r="C5931" s="20" t="inlineStr">
        <is>
          <t>수</t>
        </is>
      </c>
      <c r="D5931" s="20">
        <f>VLOOKUP($A5931,매칭테이블!$B$548:$D$1048576,2,0)</f>
        <v/>
      </c>
      <c r="E5931" s="20" t="inlineStr">
        <is>
          <t>고체향수</t>
        </is>
      </c>
      <c r="K5931" s="20" t="n">
        <v>100135</v>
      </c>
    </row>
    <row r="5932">
      <c r="A5932" s="20" t="inlineStr">
        <is>
          <t>[5화자] 동영상 캠페인_벨라의 비행일기</t>
        </is>
      </c>
      <c r="B5932" s="16" t="n">
        <v>44286</v>
      </c>
      <c r="C5932" s="20" t="inlineStr">
        <is>
          <t>수</t>
        </is>
      </c>
      <c r="D5932" s="20">
        <f>VLOOKUP($A5932,매칭테이블!$B$548:$D$1048576,2,0)</f>
        <v/>
      </c>
      <c r="E5932" s="20" t="inlineStr">
        <is>
          <t>고체향수</t>
        </is>
      </c>
      <c r="K5932" s="20" t="n">
        <v>100034</v>
      </c>
    </row>
    <row r="5933">
      <c r="A5933" s="20" t="inlineStr">
        <is>
          <t>[5화자] 동영상 캠페인_비행하는 제니</t>
        </is>
      </c>
      <c r="B5933" s="16" t="n">
        <v>44286</v>
      </c>
      <c r="C5933" s="20" t="inlineStr">
        <is>
          <t>수</t>
        </is>
      </c>
      <c r="D5933" s="20">
        <f>VLOOKUP($A5933,매칭테이블!$B$548:$D$1048576,2,0)</f>
        <v/>
      </c>
      <c r="E5933" s="20" t="inlineStr">
        <is>
          <t>고체향수</t>
        </is>
      </c>
      <c r="K5933" s="20" t="n">
        <v>100110</v>
      </c>
    </row>
    <row r="5934">
      <c r="A5934" s="20" t="inlineStr">
        <is>
          <t>[5화자] 동영상 캠페인_스위트 플라이트</t>
        </is>
      </c>
      <c r="B5934" s="16" t="n">
        <v>44286</v>
      </c>
      <c r="C5934" s="20" t="inlineStr">
        <is>
          <t>수</t>
        </is>
      </c>
      <c r="D5934" s="20">
        <f>VLOOKUP($A5934,매칭테이블!$B$548:$D$1048576,2,0)</f>
        <v/>
      </c>
      <c r="E5934" s="20" t="inlineStr">
        <is>
          <t>고체향수</t>
        </is>
      </c>
      <c r="K5934" s="20" t="n">
        <v>100123</v>
      </c>
    </row>
    <row r="5935">
      <c r="A5935" s="20" t="inlineStr">
        <is>
          <t>메인키워드</t>
        </is>
      </c>
      <c r="B5935" s="16" t="n">
        <v>44286</v>
      </c>
      <c r="C5935" s="20" t="inlineStr">
        <is>
          <t>수</t>
        </is>
      </c>
      <c r="D5935" s="20" t="inlineStr">
        <is>
          <t>네이버 쇼핑검색</t>
        </is>
      </c>
      <c r="E5935" s="20" t="inlineStr">
        <is>
          <t>고체향수</t>
        </is>
      </c>
      <c r="K5935" s="20" t="n">
        <v>38680</v>
      </c>
    </row>
    <row r="5936">
      <c r="A5936" s="20" t="inlineStr">
        <is>
          <t>세부키워드1</t>
        </is>
      </c>
      <c r="B5936" s="16" t="n">
        <v>44286</v>
      </c>
      <c r="C5936" s="20" t="inlineStr">
        <is>
          <t>수</t>
        </is>
      </c>
      <c r="D5936" s="20" t="inlineStr">
        <is>
          <t>네이버 쇼핑검색</t>
        </is>
      </c>
      <c r="E5936" s="20" t="inlineStr">
        <is>
          <t>고체향수</t>
        </is>
      </c>
      <c r="K5936" s="20" t="n">
        <v>230</v>
      </c>
    </row>
    <row r="5937">
      <c r="A5937" s="20" t="inlineStr">
        <is>
          <t>세부키워드3</t>
        </is>
      </c>
      <c r="B5937" s="16" t="n">
        <v>44286</v>
      </c>
      <c r="C5937" s="20" t="inlineStr">
        <is>
          <t>수</t>
        </is>
      </c>
      <c r="D5937" s="20" t="inlineStr">
        <is>
          <t>네이버 쇼핑검색</t>
        </is>
      </c>
      <c r="E5937" s="20" t="inlineStr">
        <is>
          <t>고체향수</t>
        </is>
      </c>
      <c r="K5937" s="20" t="n">
        <v>98589.99999999999</v>
      </c>
    </row>
    <row r="5938">
      <c r="A5938" s="20" t="inlineStr">
        <is>
          <t>모바일 브검</t>
        </is>
      </c>
      <c r="B5938" s="16" t="n">
        <v>44286</v>
      </c>
      <c r="C5938" s="20" t="inlineStr">
        <is>
          <t>수</t>
        </is>
      </c>
      <c r="D5938" s="20" t="inlineStr">
        <is>
          <t>네이버 브랜드검색</t>
        </is>
      </c>
      <c r="E5938" s="20" t="inlineStr">
        <is>
          <t>브랜드</t>
        </is>
      </c>
      <c r="K5938" s="20" t="n">
        <v>140000</v>
      </c>
    </row>
    <row r="5939">
      <c r="A5939" s="20" t="inlineStr">
        <is>
          <t>PC 브랜드검색</t>
        </is>
      </c>
      <c r="B5939" s="16" t="n">
        <v>44286</v>
      </c>
      <c r="C5939" s="20" t="inlineStr">
        <is>
          <t>수</t>
        </is>
      </c>
      <c r="D5939" s="20" t="inlineStr">
        <is>
          <t>네이버 브랜드검색</t>
        </is>
      </c>
      <c r="E5939" s="20" t="inlineStr">
        <is>
          <t>브랜드</t>
        </is>
      </c>
      <c r="K5939" s="20" t="n">
        <v>16700</v>
      </c>
    </row>
    <row r="5940">
      <c r="A5940" s="20" t="inlineStr">
        <is>
          <t>고체향수_승무원 어피_Npay 추적</t>
        </is>
      </c>
      <c r="B5940" s="16" t="n">
        <v>44286</v>
      </c>
      <c r="C5940" s="20" t="inlineStr">
        <is>
          <t>수</t>
        </is>
      </c>
      <c r="D5940" s="20" t="inlineStr">
        <is>
          <t>카카오 배너</t>
        </is>
      </c>
      <c r="E5940" s="20" t="inlineStr">
        <is>
          <t>고체향수</t>
        </is>
      </c>
      <c r="K5940" s="20" t="n">
        <v>181970</v>
      </c>
    </row>
    <row r="5941">
      <c r="A5941" s="20" t="inlineStr">
        <is>
          <t>고체향수_Npay 추적</t>
        </is>
      </c>
      <c r="B5941" s="16" t="n">
        <v>44286</v>
      </c>
      <c r="C5941" s="20" t="inlineStr">
        <is>
          <t>수</t>
        </is>
      </c>
      <c r="D5941" s="20" t="inlineStr">
        <is>
          <t>카카오 배너</t>
        </is>
      </c>
      <c r="E5941" s="20" t="inlineStr">
        <is>
          <t>고체향수</t>
        </is>
      </c>
      <c r="K5941" s="20" t="n">
        <v>917369.9999999999</v>
      </c>
    </row>
    <row r="5942">
      <c r="B5942" s="16" t="n">
        <v>44286</v>
      </c>
      <c r="C5942" s="20" t="inlineStr">
        <is>
          <t>수</t>
        </is>
      </c>
      <c r="E5942" s="20" t="inlineStr">
        <is>
          <t>고체향수</t>
        </is>
      </c>
      <c r="F5942" s="20" t="inlineStr">
        <is>
          <t>W컨셉</t>
        </is>
      </c>
      <c r="G5942" s="20" t="inlineStr">
        <is>
          <t>솔리드퍼퓸 이그나이트/스테이포에버 30ml (2종 택1)&lt;옵션1&gt;002 STAY FOREVER</t>
        </is>
      </c>
      <c r="H5942" s="20" t="n">
        <v>6</v>
      </c>
      <c r="I5942" s="20" t="inlineStr">
        <is>
          <t>스테이포에버</t>
        </is>
      </c>
      <c r="J5942" s="20" t="inlineStr">
        <is>
          <t>210207</t>
        </is>
      </c>
      <c r="L5942" s="20" t="n">
        <v>204000</v>
      </c>
      <c r="M5942" s="20" t="n">
        <v>142800</v>
      </c>
      <c r="N5942" s="20" t="n">
        <v>15552</v>
      </c>
      <c r="O5942" s="20" t="inlineStr">
        <is>
          <t>W컨셉고체향수솔리드퍼퓸 이그나이트/스테이포에버 30ml (2종 택1)&lt;옵션1&gt;002 STAY FOREVER210207</t>
        </is>
      </c>
    </row>
    <row r="5943">
      <c r="B5943" s="16" t="n">
        <v>44286</v>
      </c>
      <c r="C5943" s="20" t="inlineStr">
        <is>
          <t>수</t>
        </is>
      </c>
      <c r="E5943" s="20" t="inlineStr">
        <is>
          <t>고체향수</t>
        </is>
      </c>
      <c r="F5943" s="20" t="inlineStr">
        <is>
          <t>스마트스토어</t>
        </is>
      </c>
      <c r="G5943" s="20" t="inlineStr">
        <is>
          <t>유즈 고체향수 세트(유즈 스테이포에버, 유즈 이그나이트)고체향수: 스테이포에버 1개</t>
        </is>
      </c>
      <c r="H5943" s="20" t="n">
        <v>1</v>
      </c>
      <c r="I5943" s="20" t="inlineStr">
        <is>
          <t>스테이포에버</t>
        </is>
      </c>
      <c r="J5943" s="20" t="inlineStr">
        <is>
          <t>210207</t>
        </is>
      </c>
      <c r="L5943" s="20" t="n">
        <v>34000</v>
      </c>
      <c r="M5943" s="20" t="n">
        <v>33320</v>
      </c>
      <c r="N5943" s="20" t="n">
        <v>2592</v>
      </c>
      <c r="O5943" s="20" t="inlineStr">
        <is>
          <t>스마트스토어고체향수유즈 고체향수 세트(유즈 스테이포에버, 유즈 이그나이트)고체향수: 스테이포에버 1개210207</t>
        </is>
      </c>
    </row>
    <row r="5944">
      <c r="B5944" s="16" t="n">
        <v>44286</v>
      </c>
      <c r="C5944" s="20" t="inlineStr">
        <is>
          <t>수</t>
        </is>
      </c>
      <c r="E5944" s="20" t="inlineStr">
        <is>
          <t>고체향수</t>
        </is>
      </c>
      <c r="F5944" s="20" t="inlineStr">
        <is>
          <t>스마트스토어</t>
        </is>
      </c>
      <c r="G5944" s="20" t="inlineStr">
        <is>
          <t>유즈 고체향수 세트(유즈 스테이포에버, 유즈 이그나이트)고체향수: 스테이포에버 1개 + 이그나이트 1개</t>
        </is>
      </c>
      <c r="H5944" s="20" t="n">
        <v>2</v>
      </c>
      <c r="I5944" s="20" t="inlineStr">
        <is>
          <t>이그나이트 + 스테이포에버</t>
        </is>
      </c>
      <c r="J5944" s="20" t="inlineStr">
        <is>
          <t>210207</t>
        </is>
      </c>
      <c r="L5944" s="20" t="n">
        <v>117600</v>
      </c>
      <c r="M5944" s="20" t="n">
        <v>110720.4</v>
      </c>
      <c r="N5944" s="20" t="n">
        <v>10690</v>
      </c>
      <c r="O5944" s="20" t="inlineStr">
        <is>
          <t>스마트스토어고체향수유즈 고체향수 세트(유즈 스테이포에버, 유즈 이그나이트)고체향수: 스테이포에버 1개 + 이그나이트 1개210207</t>
        </is>
      </c>
    </row>
    <row r="5945">
      <c r="B5945" s="16" t="n">
        <v>44286</v>
      </c>
      <c r="C5945" s="20" t="inlineStr">
        <is>
          <t>수</t>
        </is>
      </c>
      <c r="E5945" s="20" t="inlineStr">
        <is>
          <t>고체향수</t>
        </is>
      </c>
      <c r="F5945" s="20" t="inlineStr">
        <is>
          <t>스마트스토어</t>
        </is>
      </c>
      <c r="G5945" s="20" t="inlineStr">
        <is>
          <t>유즈 고체향수 세트(유즈 스테이포에버, 유즈 이그나이트)고체향수: 스테이포에버 2개</t>
        </is>
      </c>
      <c r="H5945" s="20" t="n">
        <v>3</v>
      </c>
      <c r="I5945" s="20" t="inlineStr">
        <is>
          <t>스테이포에버 2set</t>
        </is>
      </c>
      <c r="J5945" s="20" t="inlineStr">
        <is>
          <t>210207</t>
        </is>
      </c>
      <c r="L5945" s="20" t="n">
        <v>176400</v>
      </c>
      <c r="M5945" s="20" t="n">
        <v>172872</v>
      </c>
      <c r="N5945" s="20" t="n">
        <v>15552</v>
      </c>
      <c r="O5945" s="20" t="inlineStr">
        <is>
          <t>스마트스토어고체향수유즈 고체향수 세트(유즈 스테이포에버, 유즈 이그나이트)고체향수: 스테이포에버 2개210207</t>
        </is>
      </c>
    </row>
    <row r="5946">
      <c r="B5946" s="16" t="n">
        <v>44286</v>
      </c>
      <c r="C5946" s="20" t="inlineStr">
        <is>
          <t>수</t>
        </is>
      </c>
      <c r="E5946" s="20" t="inlineStr">
        <is>
          <t>고체향수</t>
        </is>
      </c>
      <c r="F5946" s="20" t="inlineStr">
        <is>
          <t>스마트스토어</t>
        </is>
      </c>
      <c r="G5946" s="20" t="inlineStr">
        <is>
          <t>유즈 고체향수 스테이포에버 002고체향수: 스테이포에버 1개</t>
        </is>
      </c>
      <c r="H5946" s="20" t="n">
        <v>23</v>
      </c>
      <c r="I5946" s="20" t="inlineStr">
        <is>
          <t>스테이포에버</t>
        </is>
      </c>
      <c r="J5946" s="20" t="inlineStr">
        <is>
          <t>210207</t>
        </is>
      </c>
      <c r="L5946" s="20" t="n">
        <v>782000</v>
      </c>
      <c r="M5946" s="20" t="n">
        <v>766360</v>
      </c>
      <c r="N5946" s="20" t="n">
        <v>59616</v>
      </c>
      <c r="O5946" s="20" t="inlineStr">
        <is>
          <t>스마트스토어고체향수유즈 고체향수 스테이포에버 002고체향수: 스테이포에버 1개210207</t>
        </is>
      </c>
    </row>
    <row r="5947">
      <c r="B5947" s="16" t="n">
        <v>44286</v>
      </c>
      <c r="C5947" s="20" t="inlineStr">
        <is>
          <t>수</t>
        </is>
      </c>
      <c r="E5947" s="20" t="inlineStr">
        <is>
          <t>고체향수</t>
        </is>
      </c>
      <c r="F5947" s="20" t="inlineStr">
        <is>
          <t>카페24</t>
        </is>
      </c>
      <c r="G5947" s="20" t="inlineStr">
        <is>
          <t>솔리드퍼퓸 세트향=이그나이트 001 SOLID PERFUME, 세트 선택=1개</t>
        </is>
      </c>
      <c r="H5947" s="20" t="n">
        <v>1</v>
      </c>
      <c r="I5947" s="20" t="inlineStr">
        <is>
          <t>이그나이트</t>
        </is>
      </c>
      <c r="J5947" s="20" t="inlineStr">
        <is>
          <t>210207</t>
        </is>
      </c>
      <c r="L5947" s="20" t="n">
        <v>34000</v>
      </c>
      <c r="M5947" s="20" t="n">
        <v>32011</v>
      </c>
      <c r="N5947" s="20" t="n">
        <v>2753</v>
      </c>
      <c r="O5947" s="20" t="inlineStr">
        <is>
          <t>카페24고체향수솔리드퍼퓸 세트향=이그나이트 001 SOLID PERFUME, 세트 선택=1개210207</t>
        </is>
      </c>
    </row>
    <row r="5948">
      <c r="B5948" s="16" t="n">
        <v>44286</v>
      </c>
      <c r="C5948" s="20" t="inlineStr">
        <is>
          <t>수</t>
        </is>
      </c>
      <c r="E5948" s="20" t="inlineStr">
        <is>
          <t>고체향수</t>
        </is>
      </c>
      <c r="F5948" s="20" t="inlineStr">
        <is>
          <t>카페24</t>
        </is>
      </c>
      <c r="G5948" s="20" t="inlineStr">
        <is>
          <t>솔리드퍼퓸 세트향=스테이포에버 002 SOLID PERFUME, 세트 선택=1개</t>
        </is>
      </c>
      <c r="H5948" s="20" t="n">
        <v>3</v>
      </c>
      <c r="I5948" s="20" t="inlineStr">
        <is>
          <t>스테이포에버</t>
        </is>
      </c>
      <c r="J5948" s="20" t="inlineStr">
        <is>
          <t>210207</t>
        </is>
      </c>
      <c r="L5948" s="20" t="n">
        <v>102000</v>
      </c>
      <c r="M5948" s="20" t="n">
        <v>96033</v>
      </c>
      <c r="N5948" s="20" t="n">
        <v>7776</v>
      </c>
      <c r="O5948" s="20" t="inlineStr">
        <is>
          <t>카페24고체향수솔리드퍼퓸 세트향=스테이포에버 002 SOLID PERFUME, 세트 선택=1개210207</t>
        </is>
      </c>
    </row>
    <row r="5949">
      <c r="B5949" s="16" t="n">
        <v>44286</v>
      </c>
      <c r="C5949" s="20" t="inlineStr">
        <is>
          <t>수</t>
        </is>
      </c>
      <c r="E5949" s="20" t="inlineStr">
        <is>
          <t>고체향수</t>
        </is>
      </c>
      <c r="F5949" s="20" t="inlineStr">
        <is>
          <t>카페24</t>
        </is>
      </c>
      <c r="G5949" s="20" t="inlineStr">
        <is>
          <t>솔리드퍼퓸 세트향=스테이포에버 002 SOLID PERFUME, 세트 선택=best 2개 (28% 할인)</t>
        </is>
      </c>
      <c r="H5949" s="20" t="n">
        <v>7</v>
      </c>
      <c r="I5949" s="20" t="inlineStr">
        <is>
          <t>스테이포에버 2set</t>
        </is>
      </c>
      <c r="J5949" s="20" t="inlineStr">
        <is>
          <t>210207</t>
        </is>
      </c>
      <c r="L5949" s="20" t="n">
        <v>411600</v>
      </c>
      <c r="M5949" s="20" t="n">
        <v>387521.4</v>
      </c>
      <c r="N5949" s="20" t="n">
        <v>36288</v>
      </c>
      <c r="O5949" s="20" t="inlineStr">
        <is>
          <t>카페24고체향수솔리드퍼퓸 세트향=스테이포에버 002 SOLID PERFUME, 세트 선택=best 2개 (28% 할인)210207</t>
        </is>
      </c>
    </row>
    <row r="5950">
      <c r="B5950" s="16" t="n">
        <v>44286</v>
      </c>
      <c r="C5950" s="20" t="inlineStr">
        <is>
          <t>수</t>
        </is>
      </c>
      <c r="E5950" s="20" t="inlineStr">
        <is>
          <t>고체향수</t>
        </is>
      </c>
      <c r="F5950" s="20" t="inlineStr">
        <is>
          <t>카페24</t>
        </is>
      </c>
      <c r="G5950" s="20" t="inlineStr">
        <is>
          <t>솔리드퍼퓸 세트향=커플세트(이그나이트 + 스테이포에버), 세트 선택=1 SET</t>
        </is>
      </c>
      <c r="H5950" s="20" t="n">
        <v>6</v>
      </c>
      <c r="I5950" s="20" t="inlineStr">
        <is>
          <t>이그나이트 + 스테이포에버</t>
        </is>
      </c>
      <c r="J5950" s="20" t="inlineStr">
        <is>
          <t>210207</t>
        </is>
      </c>
      <c r="L5950" s="20" t="n">
        <v>352800</v>
      </c>
      <c r="M5950" s="20" t="n">
        <v>332161.2</v>
      </c>
      <c r="N5950" s="20" t="n">
        <v>32070</v>
      </c>
      <c r="O5950" s="20" t="inlineStr">
        <is>
          <t>카페24고체향수솔리드퍼퓸 세트향=커플세트(이그나이트 + 스테이포에버), 세트 선택=1 SET210207</t>
        </is>
      </c>
    </row>
    <row r="5951">
      <c r="B5951" s="16" t="n">
        <v>44286</v>
      </c>
      <c r="C5951" s="20" t="inlineStr">
        <is>
          <t>수</t>
        </is>
      </c>
      <c r="E5951" s="20" t="inlineStr">
        <is>
          <t>고체향수</t>
        </is>
      </c>
      <c r="F5951" s="20" t="inlineStr">
        <is>
          <t>카페24</t>
        </is>
      </c>
      <c r="G5951" s="20" t="inlineStr">
        <is>
          <t>솔리드퍼퓸 세트향=커플세트(이그나이트 + 스테이포에버), 세트 선택=2 SET (42% 할인)</t>
        </is>
      </c>
      <c r="H5951" s="20" t="n">
        <v>4</v>
      </c>
      <c r="I5951" s="20" t="inlineStr">
        <is>
          <t>이그나이트 + 스테이포에버</t>
        </is>
      </c>
      <c r="J5951" s="20" t="inlineStr">
        <is>
          <t>210207</t>
        </is>
      </c>
      <c r="L5951" s="20" t="n">
        <v>235200</v>
      </c>
      <c r="M5951" s="20" t="n">
        <v>221440.8</v>
      </c>
      <c r="N5951" s="20" t="n">
        <v>21380</v>
      </c>
      <c r="O5951" s="20" t="inlineStr">
        <is>
          <t>카페24고체향수솔리드퍼퓸 세트향=커플세트(이그나이트 + 스테이포에버), 세트 선택=2 SET (42% 할인)210207</t>
        </is>
      </c>
    </row>
    <row r="5952">
      <c r="B5952" s="16" t="n">
        <v>44286</v>
      </c>
      <c r="C5952" s="20" t="inlineStr">
        <is>
          <t>수</t>
        </is>
      </c>
      <c r="E5952" s="20" t="inlineStr">
        <is>
          <t>고체향수</t>
        </is>
      </c>
      <c r="F5952" s="20" t="inlineStr">
        <is>
          <t>카페24</t>
        </is>
      </c>
      <c r="G5952" s="20" t="inlineStr">
        <is>
          <t>솔리드퍼퓸 스테이포에버 002제품선택=스테이포에버 1개</t>
        </is>
      </c>
      <c r="H5952" s="20" t="n">
        <v>148</v>
      </c>
      <c r="I5952" s="20" t="inlineStr">
        <is>
          <t>스테이포에버</t>
        </is>
      </c>
      <c r="J5952" s="20" t="inlineStr">
        <is>
          <t>210207</t>
        </is>
      </c>
      <c r="L5952" s="20" t="n">
        <v>5032000</v>
      </c>
      <c r="M5952" s="20" t="n">
        <v>4737628</v>
      </c>
      <c r="N5952" s="20" t="n">
        <v>383616</v>
      </c>
      <c r="O5952" s="20" t="inlineStr">
        <is>
          <t>카페24고체향수솔리드퍼퓸 스테이포에버 002제품선택=스테이포에버 1개210207</t>
        </is>
      </c>
    </row>
    <row r="5953">
      <c r="B5953" s="16" t="n">
        <v>44286</v>
      </c>
      <c r="C5953" s="20" t="inlineStr">
        <is>
          <t>수</t>
        </is>
      </c>
      <c r="E5953" s="20" t="inlineStr">
        <is>
          <t>고체향수</t>
        </is>
      </c>
      <c r="F5953" s="20" t="inlineStr">
        <is>
          <t>카페24</t>
        </is>
      </c>
      <c r="G5953" s="20" t="inlineStr">
        <is>
          <t>솔리드퍼퓸 스테이포에버 002제품선택=best스테이포에버 2개[28% 할인]</t>
        </is>
      </c>
      <c r="H5953" s="20" t="n">
        <v>68</v>
      </c>
      <c r="I5953" s="20" t="inlineStr">
        <is>
          <t>스테이포에버 2set</t>
        </is>
      </c>
      <c r="J5953" s="20" t="inlineStr">
        <is>
          <t>210207</t>
        </is>
      </c>
      <c r="L5953" s="20" t="n">
        <v>3998400</v>
      </c>
      <c r="M5953" s="20" t="n">
        <v>3764493.6</v>
      </c>
      <c r="N5953" s="20" t="n">
        <v>352512</v>
      </c>
      <c r="O5953" s="20" t="inlineStr">
        <is>
          <t>카페24고체향수솔리드퍼퓸 스테이포에버 002제품선택=best스테이포에버 2개[28% 할인]210207</t>
        </is>
      </c>
    </row>
    <row r="5954">
      <c r="B5954" s="16" t="n">
        <v>44286</v>
      </c>
      <c r="C5954" s="20" t="inlineStr">
        <is>
          <t>수</t>
        </is>
      </c>
      <c r="E5954" s="20" t="inlineStr">
        <is>
          <t>고체향수</t>
        </is>
      </c>
      <c r="F5954" s="20" t="inlineStr">
        <is>
          <t>카페24</t>
        </is>
      </c>
      <c r="G5954" s="20" t="inlineStr">
        <is>
          <t>솔리드퍼퓸 스테이포에버 002제품선택=커플추천스테이포에버 + 이그나이트 세트</t>
        </is>
      </c>
      <c r="H5954" s="20" t="n">
        <v>14</v>
      </c>
      <c r="I5954" s="20" t="inlineStr">
        <is>
          <t>이그나이트 + 스테이포에버</t>
        </is>
      </c>
      <c r="J5954" s="20" t="inlineStr">
        <is>
          <t>210207</t>
        </is>
      </c>
      <c r="L5954" s="20" t="n">
        <v>823200</v>
      </c>
      <c r="M5954" s="20" t="n">
        <v>775042.7999999999</v>
      </c>
      <c r="N5954" s="20" t="n">
        <v>74830</v>
      </c>
      <c r="O5954" s="20" t="inlineStr">
        <is>
          <t>카페24고체향수솔리드퍼퓸 스테이포에버 002제품선택=커플추천스테이포에버 + 이그나이트 세트210207</t>
        </is>
      </c>
    </row>
    <row r="5955">
      <c r="B5955" s="16" t="n">
        <v>44286</v>
      </c>
      <c r="C5955" s="20" t="inlineStr">
        <is>
          <t>수</t>
        </is>
      </c>
      <c r="E5955" s="20" t="inlineStr">
        <is>
          <t>쇼핑백</t>
        </is>
      </c>
      <c r="F5955" s="20" t="inlineStr">
        <is>
          <t>카페24</t>
        </is>
      </c>
      <c r="G5955" s="20" t="inlineStr">
        <is>
          <t>솔리드퍼퓸 스테이포에버 002쇼핑백=선물용 쇼핑백</t>
        </is>
      </c>
      <c r="H5955" s="20" t="n">
        <v>5</v>
      </c>
      <c r="I5955" s="20" t="inlineStr">
        <is>
          <t>쇼핑백</t>
        </is>
      </c>
      <c r="J5955" s="20" t="inlineStr">
        <is>
          <t>210207</t>
        </is>
      </c>
      <c r="L5955" s="20" t="n">
        <v>10000</v>
      </c>
      <c r="M5955" s="20" t="n">
        <v>9415</v>
      </c>
      <c r="N5955" s="20" t="n">
        <v>4150</v>
      </c>
      <c r="O5955" s="20" t="inlineStr">
        <is>
          <t>카페24쇼핑백솔리드퍼퓸 스테이포에버 002쇼핑백=선물용 쇼핑백210207</t>
        </is>
      </c>
    </row>
    <row r="5956">
      <c r="B5956" s="16" t="n">
        <v>44286</v>
      </c>
      <c r="C5956" s="20" t="inlineStr">
        <is>
          <t>수</t>
        </is>
      </c>
      <c r="E5956" s="20" t="inlineStr">
        <is>
          <t>고체향수</t>
        </is>
      </c>
      <c r="F5956" s="20" t="inlineStr">
        <is>
          <t>카페24</t>
        </is>
      </c>
      <c r="G5956" s="20" t="inlineStr">
        <is>
          <t>솔리드퍼퓸 이그나이트 001제품선택=이그나이트 솔리드퍼퓸 - 30ml</t>
        </is>
      </c>
      <c r="H5956" s="20" t="n">
        <v>2</v>
      </c>
      <c r="I5956" s="20" t="inlineStr">
        <is>
          <t>이그나이트</t>
        </is>
      </c>
      <c r="J5956" s="20" t="inlineStr">
        <is>
          <t>210207</t>
        </is>
      </c>
      <c r="L5956" s="20" t="n">
        <v>68000</v>
      </c>
      <c r="M5956" s="20" t="n">
        <v>64022</v>
      </c>
      <c r="N5956" s="20" t="n">
        <v>5506</v>
      </c>
      <c r="O5956" s="20" t="inlineStr">
        <is>
          <t>카페24고체향수솔리드퍼퓸 이그나이트 001제품선택=이그나이트 솔리드퍼퓸 - 30ml210207</t>
        </is>
      </c>
    </row>
    <row r="5957">
      <c r="B5957" s="16" t="n">
        <v>44286</v>
      </c>
      <c r="C5957" s="20" t="inlineStr">
        <is>
          <t>수</t>
        </is>
      </c>
      <c r="E5957" s="20" t="inlineStr">
        <is>
          <t>고체향수</t>
        </is>
      </c>
      <c r="F5957" s="20" t="inlineStr">
        <is>
          <t>카페24</t>
        </is>
      </c>
      <c r="G5957" s="20" t="inlineStr">
        <is>
          <t>솔리드퍼퓸 이그나이트 001제품선택=이그나이트 2개 세트</t>
        </is>
      </c>
      <c r="H5957" s="20" t="n">
        <v>1</v>
      </c>
      <c r="I5957" s="20" t="inlineStr">
        <is>
          <t>이그나이트 2set</t>
        </is>
      </c>
      <c r="J5957" s="20" t="inlineStr">
        <is>
          <t>210207</t>
        </is>
      </c>
      <c r="L5957" s="20" t="n">
        <v>58800</v>
      </c>
      <c r="M5957" s="20" t="n">
        <v>55360.2</v>
      </c>
      <c r="N5957" s="20" t="n">
        <v>5506</v>
      </c>
      <c r="O5957" s="20" t="inlineStr">
        <is>
          <t>카페24고체향수솔리드퍼퓸 이그나이트 001제품선택=이그나이트 2개 세트210207</t>
        </is>
      </c>
    </row>
    <row r="5958">
      <c r="B5958" s="16" t="n">
        <v>44286</v>
      </c>
      <c r="C5958" s="20" t="inlineStr">
        <is>
          <t>수</t>
        </is>
      </c>
      <c r="E5958" s="20" t="inlineStr">
        <is>
          <t>고체향수</t>
        </is>
      </c>
      <c r="F5958" s="20" t="inlineStr">
        <is>
          <t>카페24</t>
        </is>
      </c>
      <c r="G5958" s="20" t="inlineStr">
        <is>
          <t>유즈 솔리드퍼퓸 세트향=커플세트(이그나이트 + 스테이포에버), 세트 선택=1 SET</t>
        </is>
      </c>
      <c r="H5958" s="20" t="n">
        <v>1</v>
      </c>
      <c r="I5958" s="20" t="inlineStr">
        <is>
          <t>이그나이트 + 스테이포에버</t>
        </is>
      </c>
      <c r="J5958" s="20" t="inlineStr">
        <is>
          <t>210207</t>
        </is>
      </c>
      <c r="L5958" s="20" t="n">
        <v>58800</v>
      </c>
      <c r="M5958" s="20" t="n">
        <v>55360.2</v>
      </c>
      <c r="N5958" s="20" t="n">
        <v>5345</v>
      </c>
      <c r="O5958" s="20" t="inlineStr">
        <is>
          <t>카페24고체향수유즈 솔리드퍼퓸 세트향=커플세트(이그나이트 + 스테이포에버), 세트 선택=1 SET210207</t>
        </is>
      </c>
    </row>
    <row r="5959">
      <c r="B5959" s="16" t="n">
        <v>44286</v>
      </c>
      <c r="C5959" s="20" t="inlineStr">
        <is>
          <t>수</t>
        </is>
      </c>
    </row>
    <row r="5961">
      <c r="A5961" s="20" t="inlineStr">
        <is>
          <t>[유튜버 수지큐]스테이포에버_카드뉴스</t>
        </is>
      </c>
      <c r="B5961" s="16" t="n">
        <v>44287</v>
      </c>
      <c r="C5961" s="20" t="inlineStr">
        <is>
          <t>목</t>
        </is>
      </c>
      <c r="D5961" s="20" t="inlineStr">
        <is>
          <t>페이스북/인스타그램</t>
        </is>
      </c>
      <c r="E5961" s="20" t="inlineStr">
        <is>
          <t>고체향수</t>
        </is>
      </c>
      <c r="K5961" s="20" t="n">
        <v>29364</v>
      </c>
    </row>
    <row r="5962">
      <c r="A5962" s="20" t="inlineStr">
        <is>
          <t>[유튜버 수지큐]스테이포에버_영상</t>
        </is>
      </c>
      <c r="B5962" s="16" t="n">
        <v>44287</v>
      </c>
      <c r="C5962" s="20" t="inlineStr">
        <is>
          <t>목</t>
        </is>
      </c>
      <c r="D5962" s="20" t="inlineStr">
        <is>
          <t>페이스북/인스타그램</t>
        </is>
      </c>
      <c r="E5962" s="20" t="inlineStr">
        <is>
          <t>고체향수</t>
        </is>
      </c>
      <c r="K5962" s="20" t="n">
        <v>60301</v>
      </c>
    </row>
    <row r="5963">
      <c r="A5963" s="20" t="inlineStr">
        <is>
          <t>[승무원]수지큐2차활용_스테이포에버_이미지</t>
        </is>
      </c>
      <c r="B5963" s="16" t="n">
        <v>44287</v>
      </c>
      <c r="C5963" s="20" t="inlineStr">
        <is>
          <t>목</t>
        </is>
      </c>
      <c r="D5963" s="20" t="inlineStr">
        <is>
          <t>페이스북/인스타그램</t>
        </is>
      </c>
      <c r="E5963" s="20" t="inlineStr">
        <is>
          <t>고체향수</t>
        </is>
      </c>
      <c r="K5963" s="20" t="n">
        <v>30674</v>
      </c>
    </row>
    <row r="5964">
      <c r="A5964" s="20" t="inlineStr">
        <is>
          <t>[다현 TEST] 스테이포에버_유즈모먼트</t>
        </is>
      </c>
      <c r="B5964" s="16" t="n">
        <v>44287</v>
      </c>
      <c r="C5964" s="20" t="inlineStr">
        <is>
          <t>목</t>
        </is>
      </c>
      <c r="D5964" s="20" t="inlineStr">
        <is>
          <t>페이스북/인스타그램</t>
        </is>
      </c>
      <c r="E5964" s="20" t="inlineStr">
        <is>
          <t>고체향수</t>
        </is>
      </c>
      <c r="K5964" s="20" t="n">
        <v>60022</v>
      </c>
    </row>
    <row r="5965">
      <c r="A5965" s="20" t="inlineStr">
        <is>
          <t>[성민 TEST] 스테이포에버_이미지</t>
        </is>
      </c>
      <c r="B5965" s="16" t="n">
        <v>44287</v>
      </c>
      <c r="C5965" s="20" t="inlineStr">
        <is>
          <t>목</t>
        </is>
      </c>
      <c r="D5965" s="20" t="inlineStr">
        <is>
          <t>페이스북/인스타그램</t>
        </is>
      </c>
      <c r="E5965" s="20" t="inlineStr">
        <is>
          <t>고체향수</t>
        </is>
      </c>
      <c r="K5965" s="20" t="n">
        <v>162005</v>
      </c>
    </row>
    <row r="5966">
      <c r="A5966" s="20" t="inlineStr">
        <is>
          <t>[승은 TEST] 스테이포에버_카드뉴스</t>
        </is>
      </c>
      <c r="B5966" s="16" t="n">
        <v>44287</v>
      </c>
      <c r="C5966" s="20" t="inlineStr">
        <is>
          <t>목</t>
        </is>
      </c>
      <c r="D5966" s="20" t="inlineStr">
        <is>
          <t>페이스북/인스타그램</t>
        </is>
      </c>
      <c r="E5966" s="20" t="inlineStr">
        <is>
          <t>고체향수</t>
        </is>
      </c>
      <c r="K5966" s="20" t="n">
        <v>50404</v>
      </c>
    </row>
    <row r="5967">
      <c r="A5967" s="20" t="inlineStr">
        <is>
          <t>[승무원 2] 스테이포에버_카드뉴스</t>
        </is>
      </c>
      <c r="B5967" s="16" t="n">
        <v>44287</v>
      </c>
      <c r="C5967" s="20" t="inlineStr">
        <is>
          <t>목</t>
        </is>
      </c>
      <c r="D5967" s="20" t="inlineStr">
        <is>
          <t>페이스북/인스타그램</t>
        </is>
      </c>
      <c r="E5967" s="20" t="inlineStr">
        <is>
          <t>고체향수</t>
        </is>
      </c>
      <c r="K5967" s="20" t="n">
        <v>100845</v>
      </c>
    </row>
    <row r="5968">
      <c r="A5968" s="20" t="inlineStr">
        <is>
          <t>[테스트]아줌마</t>
        </is>
      </c>
      <c r="B5968" s="16" t="n">
        <v>44287</v>
      </c>
      <c r="C5968" s="20" t="inlineStr">
        <is>
          <t>목</t>
        </is>
      </c>
      <c r="D5968" s="20" t="inlineStr">
        <is>
          <t>페이스북/인스타그램</t>
        </is>
      </c>
      <c r="E5968" s="20" t="inlineStr">
        <is>
          <t>고체향수</t>
        </is>
      </c>
      <c r="K5968" s="20" t="n">
        <v>110689</v>
      </c>
    </row>
    <row r="5969">
      <c r="A5969" s="20" t="inlineStr">
        <is>
          <t>[다양한 키워드] 스테이포에버_이미지</t>
        </is>
      </c>
      <c r="B5969" s="16" t="n">
        <v>44287</v>
      </c>
      <c r="C5969" s="20" t="inlineStr">
        <is>
          <t>목</t>
        </is>
      </c>
      <c r="D5969" s="20">
        <f>VLOOKUP($A5969,매칭테이블!$B$548:$D$1048576,2,0)</f>
        <v/>
      </c>
      <c r="E5969" s="20" t="inlineStr">
        <is>
          <t>고체향수</t>
        </is>
      </c>
      <c r="K5969" s="20" t="n">
        <v>211164</v>
      </c>
    </row>
    <row r="5970">
      <c r="A5970" s="20" t="inlineStr">
        <is>
          <t>[재입고]스테이포에버_이미지</t>
        </is>
      </c>
      <c r="B5970" s="16" t="n">
        <v>44287</v>
      </c>
      <c r="C5970" s="20" t="inlineStr">
        <is>
          <t>목</t>
        </is>
      </c>
      <c r="D5970" s="20" t="inlineStr">
        <is>
          <t>페이스북/인스타그램</t>
        </is>
      </c>
      <c r="E5970" s="20" t="inlineStr">
        <is>
          <t>고체향수</t>
        </is>
      </c>
      <c r="K5970" s="20" t="n">
        <v>169015</v>
      </c>
    </row>
    <row r="5971">
      <c r="A5971" s="20" t="inlineStr">
        <is>
          <t>[승무원]숏폼_영상</t>
        </is>
      </c>
      <c r="B5971" s="16" t="n">
        <v>44287</v>
      </c>
      <c r="C5971" s="20" t="inlineStr">
        <is>
          <t>목</t>
        </is>
      </c>
      <c r="D5971" s="20" t="inlineStr">
        <is>
          <t>페이스북/인스타그램</t>
        </is>
      </c>
      <c r="E5971" s="20" t="inlineStr">
        <is>
          <t>고체향수</t>
        </is>
      </c>
      <c r="K5971" s="20" t="n">
        <v>49561</v>
      </c>
    </row>
    <row r="5972">
      <c r="A5972" s="20" t="inlineStr">
        <is>
          <t>[재입고]스테이포에버_영상</t>
        </is>
      </c>
      <c r="B5972" s="16" t="n">
        <v>44287</v>
      </c>
      <c r="C5972" s="20" t="inlineStr">
        <is>
          <t>목</t>
        </is>
      </c>
      <c r="D5972" s="20" t="inlineStr">
        <is>
          <t>페이스북/인스타그램</t>
        </is>
      </c>
      <c r="E5972" s="20" t="inlineStr">
        <is>
          <t>고체향수</t>
        </is>
      </c>
      <c r="K5972" s="20" t="n">
        <v>79972</v>
      </c>
    </row>
    <row r="5973">
      <c r="A5973" s="20" t="inlineStr">
        <is>
          <t>[젊줌마]스테이포에버_영상</t>
        </is>
      </c>
      <c r="B5973" s="16" t="n">
        <v>44287</v>
      </c>
      <c r="C5973" s="20" t="inlineStr">
        <is>
          <t>목</t>
        </is>
      </c>
      <c r="D5973" s="20" t="inlineStr">
        <is>
          <t>페이스북/인스타그램</t>
        </is>
      </c>
      <c r="E5973" s="20" t="inlineStr">
        <is>
          <t>고체향수</t>
        </is>
      </c>
      <c r="K5973" s="20" t="n">
        <v>8439</v>
      </c>
    </row>
    <row r="5974">
      <c r="A5974" s="20" t="inlineStr">
        <is>
          <t>[승무원]2019년썰 카드뉴스+ 향묘사_영상</t>
        </is>
      </c>
      <c r="B5974" s="16" t="n">
        <v>44287</v>
      </c>
      <c r="C5974" s="20" t="inlineStr">
        <is>
          <t>목</t>
        </is>
      </c>
      <c r="D5974" s="20" t="inlineStr">
        <is>
          <t>페이스북/인스타그램</t>
        </is>
      </c>
      <c r="E5974" s="20" t="inlineStr">
        <is>
          <t>고체향수</t>
        </is>
      </c>
      <c r="K5974" s="20" t="n">
        <v>49730</v>
      </c>
    </row>
    <row r="5975">
      <c r="A5975" s="20" t="inlineStr">
        <is>
          <t>[승무원어피]스테이포에버_이미지</t>
        </is>
      </c>
      <c r="B5975" s="16" t="n">
        <v>44287</v>
      </c>
      <c r="C5975" s="20" t="inlineStr">
        <is>
          <t>목</t>
        </is>
      </c>
      <c r="D5975" s="20" t="inlineStr">
        <is>
          <t>페이스북/인스타그램</t>
        </is>
      </c>
      <c r="E5975" s="20" t="inlineStr">
        <is>
          <t>고체향수</t>
        </is>
      </c>
      <c r="K5975" s="20" t="n">
        <v>100121</v>
      </c>
    </row>
    <row r="5976">
      <c r="A5976" s="20" t="inlineStr">
        <is>
          <t>[다현]스테이포에버_이미지</t>
        </is>
      </c>
      <c r="B5976" s="16" t="n">
        <v>44287</v>
      </c>
      <c r="C5976" s="20" t="inlineStr">
        <is>
          <t>목</t>
        </is>
      </c>
      <c r="D5976" s="20" t="inlineStr">
        <is>
          <t>페이스북/인스타그램</t>
        </is>
      </c>
      <c r="E5976" s="20" t="inlineStr">
        <is>
          <t>고체향수</t>
        </is>
      </c>
      <c r="K5976" s="20" t="n">
        <v>99966</v>
      </c>
    </row>
    <row r="5977">
      <c r="A5977" s="20" t="inlineStr">
        <is>
          <t>[승무원]스테이포에버_카드뉴스</t>
        </is>
      </c>
      <c r="B5977" s="16" t="n">
        <v>44287</v>
      </c>
      <c r="C5977" s="20" t="inlineStr">
        <is>
          <t>목</t>
        </is>
      </c>
      <c r="D5977" s="20" t="inlineStr">
        <is>
          <t>페이스북/인스타그램</t>
        </is>
      </c>
      <c r="E5977" s="20" t="inlineStr">
        <is>
          <t>고체향수</t>
        </is>
      </c>
      <c r="K5977" s="20" t="n">
        <v>99930</v>
      </c>
    </row>
    <row r="5978">
      <c r="A5978" s="20" t="inlineStr">
        <is>
          <t>[후기타입]스테이포에버_영상</t>
        </is>
      </c>
      <c r="B5978" s="16" t="n">
        <v>44287</v>
      </c>
      <c r="C5978" s="20" t="inlineStr">
        <is>
          <t>목</t>
        </is>
      </c>
      <c r="D5978" s="20" t="inlineStr">
        <is>
          <t>페이스북/인스타그램</t>
        </is>
      </c>
      <c r="E5978" s="20" t="inlineStr">
        <is>
          <t>고체향수</t>
        </is>
      </c>
      <c r="K5978" s="20" t="n">
        <v>151797</v>
      </c>
    </row>
    <row r="5979">
      <c r="A5979" s="20" t="inlineStr">
        <is>
          <t>전환_스테이포에버</t>
        </is>
      </c>
      <c r="B5979" s="16" t="n">
        <v>44287</v>
      </c>
      <c r="C5979" s="20" t="inlineStr">
        <is>
          <t>목</t>
        </is>
      </c>
      <c r="D5979" s="20" t="inlineStr">
        <is>
          <t>페이스북/인스타그램</t>
        </is>
      </c>
      <c r="E5979" s="20" t="inlineStr">
        <is>
          <t>고체향수</t>
        </is>
      </c>
      <c r="K5979" s="20" t="n">
        <v>50163</v>
      </c>
    </row>
    <row r="5980">
      <c r="A5980" s="20" t="inlineStr">
        <is>
          <t>[권태기커플]스테이포에버_영상</t>
        </is>
      </c>
      <c r="B5980" s="16" t="n">
        <v>44287</v>
      </c>
      <c r="C5980" s="20" t="inlineStr">
        <is>
          <t>목</t>
        </is>
      </c>
      <c r="D5980" s="20" t="inlineStr">
        <is>
          <t>페이스북/인스타그램</t>
        </is>
      </c>
      <c r="E5980" s="20" t="inlineStr">
        <is>
          <t>고체향수</t>
        </is>
      </c>
      <c r="K5980" s="20" t="n">
        <v>75777</v>
      </c>
    </row>
    <row r="5981">
      <c r="A5981" s="20" t="inlineStr">
        <is>
          <t>웹사이트 트래픽 서치</t>
        </is>
      </c>
      <c r="B5981" s="16" t="n">
        <v>44287</v>
      </c>
      <c r="C5981" s="20" t="inlineStr">
        <is>
          <t>목</t>
        </is>
      </c>
      <c r="D5981" s="20" t="inlineStr">
        <is>
          <t>유튜브 광고</t>
        </is>
      </c>
      <c r="E5981" s="20" t="inlineStr">
        <is>
          <t>고체향수</t>
        </is>
      </c>
      <c r="K5981" s="20" t="n">
        <v>23090</v>
      </c>
    </row>
    <row r="5982">
      <c r="A5982" s="20" t="inlineStr">
        <is>
          <t>동영상캠페인_승무원_보이는 라디오(cpa)</t>
        </is>
      </c>
      <c r="B5982" s="16" t="n">
        <v>44287</v>
      </c>
      <c r="C5982" s="20" t="inlineStr">
        <is>
          <t>목</t>
        </is>
      </c>
      <c r="D5982" s="20" t="inlineStr">
        <is>
          <t>유튜브 광고</t>
        </is>
      </c>
      <c r="E5982" s="20" t="inlineStr">
        <is>
          <t>고체향수</t>
        </is>
      </c>
      <c r="K5982" s="20" t="n">
        <v>35304</v>
      </c>
    </row>
    <row r="5983">
      <c r="A5983" s="20" t="inlineStr">
        <is>
          <t>디스커버리 배너_승무원,할인_리마케팅</t>
        </is>
      </c>
      <c r="B5983" s="16" t="n">
        <v>44287</v>
      </c>
      <c r="C5983" s="20" t="inlineStr">
        <is>
          <t>목</t>
        </is>
      </c>
      <c r="D5983" s="20" t="inlineStr">
        <is>
          <t>유튜브 광고</t>
        </is>
      </c>
      <c r="E5983" s="20" t="inlineStr">
        <is>
          <t>고체향수</t>
        </is>
      </c>
      <c r="K5983" s="20" t="n">
        <v>456081</v>
      </c>
    </row>
    <row r="5984">
      <c r="A5984" s="20" t="inlineStr">
        <is>
          <t>동영상캠페인_승무원_써니스카이</t>
        </is>
      </c>
      <c r="B5984" s="16" t="n">
        <v>44287</v>
      </c>
      <c r="C5984" s="20" t="inlineStr">
        <is>
          <t>목</t>
        </is>
      </c>
      <c r="D5984" s="20" t="inlineStr">
        <is>
          <t>유튜브 광고</t>
        </is>
      </c>
      <c r="E5984" s="20" t="inlineStr">
        <is>
          <t>고체향수</t>
        </is>
      </c>
      <c r="K5984" s="20" t="n">
        <v>511824</v>
      </c>
    </row>
    <row r="5985">
      <c r="A5985" s="20" t="inlineStr">
        <is>
          <t>동영상캠페인_필라테스_자기관리(타겟 cpa)</t>
        </is>
      </c>
      <c r="B5985" s="16" t="n">
        <v>44287</v>
      </c>
      <c r="C5985" s="20" t="inlineStr">
        <is>
          <t>목</t>
        </is>
      </c>
      <c r="D5985" s="20" t="inlineStr">
        <is>
          <t>유튜브 광고</t>
        </is>
      </c>
      <c r="E5985" s="20" t="inlineStr">
        <is>
          <t>고체향수</t>
        </is>
      </c>
      <c r="K5985" s="20" t="n">
        <v>237837</v>
      </c>
    </row>
    <row r="5986">
      <c r="A5986" s="20" t="inlineStr">
        <is>
          <t>동영상캠페인_승무원_비누향 나는 승무원에게(cpa)</t>
        </is>
      </c>
      <c r="B5986" s="16" t="n">
        <v>44287</v>
      </c>
      <c r="C5986" s="20" t="inlineStr">
        <is>
          <t>목</t>
        </is>
      </c>
      <c r="D5986" s="20" t="inlineStr">
        <is>
          <t>유튜브 광고</t>
        </is>
      </c>
      <c r="E5986" s="20" t="inlineStr">
        <is>
          <t>고체향수</t>
        </is>
      </c>
      <c r="K5986" s="20" t="n">
        <v>4980</v>
      </c>
    </row>
    <row r="5987">
      <c r="A5987" s="20" t="inlineStr">
        <is>
          <t>동영상캠페인_유즈모먼트_2차_30대 여성 회사원(cpa)</t>
        </is>
      </c>
      <c r="B5987" s="16" t="n">
        <v>44287</v>
      </c>
      <c r="C5987" s="20" t="inlineStr">
        <is>
          <t>목</t>
        </is>
      </c>
      <c r="D5987" s="20" t="inlineStr">
        <is>
          <t>유튜브 광고</t>
        </is>
      </c>
      <c r="E5987" s="20" t="inlineStr">
        <is>
          <t>고체향수</t>
        </is>
      </c>
      <c r="K5987" s="20" t="n">
        <v>118548</v>
      </c>
    </row>
    <row r="5988">
      <c r="A5988" s="20" t="inlineStr">
        <is>
          <t>동영상캠페인_유즈모먼트_조향사 친구(cpa)</t>
        </is>
      </c>
      <c r="B5988" s="16" t="n">
        <v>44287</v>
      </c>
      <c r="C5988" s="20" t="inlineStr">
        <is>
          <t>목</t>
        </is>
      </c>
      <c r="D5988" s="20" t="inlineStr">
        <is>
          <t>유튜브 광고</t>
        </is>
      </c>
      <c r="E5988" s="20" t="inlineStr">
        <is>
          <t>고체향수</t>
        </is>
      </c>
      <c r="K5988" s="20" t="n">
        <v>110573</v>
      </c>
    </row>
    <row r="5989">
      <c r="A5989" s="20" t="inlineStr">
        <is>
          <t>동영상 캠페인_유튜버 수지큐 2차활용</t>
        </is>
      </c>
      <c r="B5989" s="16" t="n">
        <v>44287</v>
      </c>
      <c r="C5989" s="20" t="inlineStr">
        <is>
          <t>목</t>
        </is>
      </c>
      <c r="D5989" s="20" t="inlineStr">
        <is>
          <t>유튜브 광고</t>
        </is>
      </c>
      <c r="E5989" s="20" t="inlineStr">
        <is>
          <t>고체향수</t>
        </is>
      </c>
      <c r="K5989" s="20" t="n">
        <v>204707</v>
      </c>
    </row>
    <row r="5990">
      <c r="A5990" s="20" t="inlineStr">
        <is>
          <t>동영상캠페인_유즈모먼트_4화_강한향대신</t>
        </is>
      </c>
      <c r="B5990" s="16" t="n">
        <v>44287</v>
      </c>
      <c r="C5990" s="20" t="inlineStr">
        <is>
          <t>목</t>
        </is>
      </c>
      <c r="D5990" s="20" t="inlineStr">
        <is>
          <t>유튜브 광고</t>
        </is>
      </c>
      <c r="E5990" s="20" t="inlineStr">
        <is>
          <t>고체향수</t>
        </is>
      </c>
      <c r="K5990" s="20" t="n">
        <v>102381</v>
      </c>
    </row>
    <row r="5991">
      <c r="A5991" s="20" t="inlineStr">
        <is>
          <t>[5화자] 동영상 캠페인_커리어임팩트</t>
        </is>
      </c>
      <c r="B5991" s="16" t="n">
        <v>44287</v>
      </c>
      <c r="C5991" s="20" t="inlineStr">
        <is>
          <t>목</t>
        </is>
      </c>
      <c r="D5991" s="20">
        <f>VLOOKUP($A5991,매칭테이블!$B$548:$D$1048576,2,0)</f>
        <v/>
      </c>
      <c r="E5991" s="20" t="inlineStr">
        <is>
          <t>고체향수</t>
        </is>
      </c>
      <c r="K5991" s="20" t="n">
        <v>72426</v>
      </c>
    </row>
    <row r="5992">
      <c r="A5992" s="20" t="inlineStr">
        <is>
          <t>[5화자] 동영상 캠페인_벨라의 비행일기</t>
        </is>
      </c>
      <c r="B5992" s="16" t="n">
        <v>44287</v>
      </c>
      <c r="C5992" s="20" t="inlineStr">
        <is>
          <t>목</t>
        </is>
      </c>
      <c r="D5992" s="20">
        <f>VLOOKUP($A5992,매칭테이블!$B$548:$D$1048576,2,0)</f>
        <v/>
      </c>
      <c r="E5992" s="20" t="inlineStr">
        <is>
          <t>고체향수</t>
        </is>
      </c>
      <c r="K5992" s="20" t="n">
        <v>102347</v>
      </c>
    </row>
    <row r="5993">
      <c r="A5993" s="20" t="inlineStr">
        <is>
          <t>[5화자] 동영상 캠페인_비행하는 제니</t>
        </is>
      </c>
      <c r="B5993" s="16" t="n">
        <v>44287</v>
      </c>
      <c r="C5993" s="20" t="inlineStr">
        <is>
          <t>목</t>
        </is>
      </c>
      <c r="D5993" s="20">
        <f>VLOOKUP($A5993,매칭테이블!$B$548:$D$1048576,2,0)</f>
        <v/>
      </c>
      <c r="E5993" s="20" t="inlineStr">
        <is>
          <t>고체향수</t>
        </is>
      </c>
      <c r="K5993" s="20" t="n">
        <v>62645</v>
      </c>
    </row>
    <row r="5994">
      <c r="A5994" s="20" t="inlineStr">
        <is>
          <t>[5화자] 동영상 캠페인_비행하고 여행하는 은선씨</t>
        </is>
      </c>
      <c r="B5994" s="16" t="n">
        <v>44287</v>
      </c>
      <c r="C5994" s="20" t="inlineStr">
        <is>
          <t>목</t>
        </is>
      </c>
      <c r="D5994" s="20">
        <f>VLOOKUP($A5994,매칭테이블!$B$548:$D$1048576,2,0)</f>
        <v/>
      </c>
      <c r="E5994" s="20" t="inlineStr">
        <is>
          <t>고체향수</t>
        </is>
      </c>
      <c r="K5994" s="20" t="n">
        <v>102358</v>
      </c>
    </row>
    <row r="5995">
      <c r="A5995" s="20" t="inlineStr">
        <is>
          <t>[5화자] 동영상 캠페인_스위트 플라이트</t>
        </is>
      </c>
      <c r="B5995" s="16" t="n">
        <v>44287</v>
      </c>
      <c r="C5995" s="20" t="inlineStr">
        <is>
          <t>목</t>
        </is>
      </c>
      <c r="D5995" s="20">
        <f>VLOOKUP($A5995,매칭테이블!$B$548:$D$1048576,2,0)</f>
        <v/>
      </c>
      <c r="E5995" s="20" t="inlineStr">
        <is>
          <t>고체향수</t>
        </is>
      </c>
      <c r="K5995" s="20" t="n">
        <v>51775</v>
      </c>
    </row>
    <row r="5996">
      <c r="A5996" s="20" t="inlineStr">
        <is>
          <t>메인키워드</t>
        </is>
      </c>
      <c r="B5996" s="16" t="n">
        <v>44287</v>
      </c>
      <c r="C5996" s="20" t="inlineStr">
        <is>
          <t>목</t>
        </is>
      </c>
      <c r="D5996" s="20" t="inlineStr">
        <is>
          <t>네이버 쇼핑검색</t>
        </is>
      </c>
      <c r="E5996" s="20" t="inlineStr">
        <is>
          <t>고체향수</t>
        </is>
      </c>
      <c r="K5996" s="20" t="n">
        <v>20170</v>
      </c>
    </row>
    <row r="5997">
      <c r="A5997" s="20" t="inlineStr">
        <is>
          <t>세부키워드1</t>
        </is>
      </c>
      <c r="B5997" s="16" t="n">
        <v>44287</v>
      </c>
      <c r="C5997" s="20" t="inlineStr">
        <is>
          <t>목</t>
        </is>
      </c>
      <c r="D5997" s="20" t="inlineStr">
        <is>
          <t>네이버 쇼핑검색</t>
        </is>
      </c>
      <c r="E5997" s="20" t="inlineStr">
        <is>
          <t>고체향수</t>
        </is>
      </c>
      <c r="K5997" s="20" t="n">
        <v>0</v>
      </c>
    </row>
    <row r="5998">
      <c r="A5998" s="20" t="inlineStr">
        <is>
          <t>세부키워드3</t>
        </is>
      </c>
      <c r="B5998" s="16" t="n">
        <v>44287</v>
      </c>
      <c r="C5998" s="20" t="inlineStr">
        <is>
          <t>목</t>
        </is>
      </c>
      <c r="D5998" s="20" t="inlineStr">
        <is>
          <t>네이버 쇼핑검색</t>
        </is>
      </c>
      <c r="E5998" s="20" t="inlineStr">
        <is>
          <t>고체향수</t>
        </is>
      </c>
      <c r="K5998" s="20" t="n">
        <v>111990</v>
      </c>
    </row>
    <row r="5999">
      <c r="A5999" s="20" t="inlineStr">
        <is>
          <t>모바일 브검</t>
        </is>
      </c>
      <c r="B5999" s="16" t="n">
        <v>44287</v>
      </c>
      <c r="C5999" s="20" t="inlineStr">
        <is>
          <t>목</t>
        </is>
      </c>
      <c r="D5999" s="20" t="inlineStr">
        <is>
          <t>네이버 브랜드검색</t>
        </is>
      </c>
      <c r="E5999" s="20" t="inlineStr">
        <is>
          <t>브랜드</t>
        </is>
      </c>
      <c r="K5999" s="20" t="n">
        <v>140000</v>
      </c>
    </row>
    <row r="6000">
      <c r="A6000" s="20" t="inlineStr">
        <is>
          <t>PC 브랜드검색</t>
        </is>
      </c>
      <c r="B6000" s="16" t="n">
        <v>44287</v>
      </c>
      <c r="C6000" s="20" t="inlineStr">
        <is>
          <t>목</t>
        </is>
      </c>
      <c r="D6000" s="20" t="inlineStr">
        <is>
          <t>네이버 브랜드검색</t>
        </is>
      </c>
      <c r="E6000" s="20" t="inlineStr">
        <is>
          <t>브랜드</t>
        </is>
      </c>
      <c r="K6000" s="20" t="n">
        <v>16700</v>
      </c>
    </row>
    <row r="6001">
      <c r="A6001" s="20" t="inlineStr">
        <is>
          <t>고체향수_승무원 어피_Npay 추적</t>
        </is>
      </c>
      <c r="B6001" s="16" t="n">
        <v>44287</v>
      </c>
      <c r="C6001" s="20" t="inlineStr">
        <is>
          <t>목</t>
        </is>
      </c>
      <c r="D6001" s="20" t="inlineStr">
        <is>
          <t>카카오 배너</t>
        </is>
      </c>
      <c r="E6001" s="20" t="inlineStr">
        <is>
          <t>고체향수</t>
        </is>
      </c>
      <c r="K6001" s="20" t="n">
        <v>182040</v>
      </c>
    </row>
    <row r="6002">
      <c r="A6002" s="20" t="inlineStr">
        <is>
          <t>고체향수_Npay 추적</t>
        </is>
      </c>
      <c r="B6002" s="16" t="n">
        <v>44287</v>
      </c>
      <c r="C6002" s="20" t="inlineStr">
        <is>
          <t>목</t>
        </is>
      </c>
      <c r="D6002" s="20" t="inlineStr">
        <is>
          <t>카카오 배너</t>
        </is>
      </c>
      <c r="E6002" s="20" t="inlineStr">
        <is>
          <t>고체향수</t>
        </is>
      </c>
      <c r="K6002" s="20" t="n">
        <v>911469.9999999999</v>
      </c>
    </row>
    <row r="6003">
      <c r="B6003" s="16" t="n">
        <v>44287</v>
      </c>
      <c r="C6003" s="20" t="inlineStr">
        <is>
          <t>목</t>
        </is>
      </c>
      <c r="E6003" s="20" t="inlineStr">
        <is>
          <t>고체향수</t>
        </is>
      </c>
      <c r="F6003" s="20" t="inlineStr">
        <is>
          <t>W컨셉</t>
        </is>
      </c>
      <c r="G6003" s="20" t="inlineStr">
        <is>
          <t>솔리드퍼퓸 이그나이트/스테이포에버 30ml (2종 택1)&lt;옵션1&gt;002 STAY FOREVER</t>
        </is>
      </c>
      <c r="H6003" s="20" t="n">
        <v>9</v>
      </c>
      <c r="I6003" s="20" t="inlineStr">
        <is>
          <t>스테이포에버</t>
        </is>
      </c>
      <c r="J6003" s="20" t="inlineStr">
        <is>
          <t>210207</t>
        </is>
      </c>
      <c r="L6003" s="20" t="n">
        <v>306000</v>
      </c>
      <c r="M6003" s="20" t="n">
        <v>214200</v>
      </c>
      <c r="N6003" s="20" t="n">
        <v>23328</v>
      </c>
      <c r="O6003" s="20" t="inlineStr">
        <is>
          <t>W컨셉고체향수솔리드퍼퓸 이그나이트/스테이포에버 30ml (2종 택1)&lt;옵션1&gt;002 STAY FOREVER210207</t>
        </is>
      </c>
    </row>
    <row r="6004">
      <c r="B6004" s="16" t="n">
        <v>44287</v>
      </c>
      <c r="C6004" s="20" t="inlineStr">
        <is>
          <t>목</t>
        </is>
      </c>
      <c r="E6004" s="20" t="inlineStr">
        <is>
          <t>고체향수</t>
        </is>
      </c>
      <c r="F6004" s="20" t="inlineStr">
        <is>
          <t>스마트스토어</t>
        </is>
      </c>
      <c r="G6004" s="20" t="inlineStr">
        <is>
          <t>유즈 고체향수 세트(유즈 스테이포에버, 유즈 이그나이트)고체향수: 스테이포에버 1개 + 이그나이트 1개</t>
        </is>
      </c>
      <c r="H6004" s="20" t="n">
        <v>3</v>
      </c>
      <c r="I6004" s="20" t="inlineStr">
        <is>
          <t>이그나이트 + 스테이포에버</t>
        </is>
      </c>
      <c r="J6004" s="20" t="inlineStr">
        <is>
          <t>210207</t>
        </is>
      </c>
      <c r="L6004" s="20" t="n">
        <v>176400</v>
      </c>
      <c r="M6004" s="20" t="n">
        <v>166080.6</v>
      </c>
      <c r="N6004" s="20" t="n">
        <v>16035</v>
      </c>
      <c r="O6004" s="20" t="inlineStr">
        <is>
          <t>스마트스토어고체향수유즈 고체향수 세트(유즈 스테이포에버, 유즈 이그나이트)고체향수: 스테이포에버 1개 + 이그나이트 1개210207</t>
        </is>
      </c>
    </row>
    <row r="6005">
      <c r="B6005" s="16" t="n">
        <v>44287</v>
      </c>
      <c r="C6005" s="20" t="inlineStr">
        <is>
          <t>목</t>
        </is>
      </c>
      <c r="E6005" s="20" t="inlineStr">
        <is>
          <t>고체향수</t>
        </is>
      </c>
      <c r="F6005" s="20" t="inlineStr">
        <is>
          <t>스마트스토어</t>
        </is>
      </c>
      <c r="G6005" s="20" t="inlineStr">
        <is>
          <t>유즈 고체향수 세트(유즈 스테이포에버, 유즈 이그나이트)고체향수: 스테이포에버 2개</t>
        </is>
      </c>
      <c r="H6005" s="20" t="n">
        <v>2</v>
      </c>
      <c r="I6005" s="20" t="inlineStr">
        <is>
          <t>스테이포에버 2set</t>
        </is>
      </c>
      <c r="J6005" s="20" t="inlineStr">
        <is>
          <t>210207</t>
        </is>
      </c>
      <c r="L6005" s="20" t="n">
        <v>117600</v>
      </c>
      <c r="M6005" s="20" t="n">
        <v>115248</v>
      </c>
      <c r="N6005" s="20" t="n">
        <v>10368</v>
      </c>
      <c r="O6005" s="20" t="inlineStr">
        <is>
          <t>스마트스토어고체향수유즈 고체향수 세트(유즈 스테이포에버, 유즈 이그나이트)고체향수: 스테이포에버 2개210207</t>
        </is>
      </c>
    </row>
    <row r="6006">
      <c r="B6006" s="16" t="n">
        <v>44287</v>
      </c>
      <c r="C6006" s="20" t="inlineStr">
        <is>
          <t>목</t>
        </is>
      </c>
      <c r="E6006" s="20" t="inlineStr">
        <is>
          <t>고체향수</t>
        </is>
      </c>
      <c r="F6006" s="20" t="inlineStr">
        <is>
          <t>스마트스토어</t>
        </is>
      </c>
      <c r="G6006" s="20" t="inlineStr">
        <is>
          <t>유즈 고체향수 스테이포에버 002고체향수: 스테이포에버 1개</t>
        </is>
      </c>
      <c r="H6006" s="20" t="n">
        <v>17</v>
      </c>
      <c r="I6006" s="20" t="inlineStr">
        <is>
          <t>스테이포에버</t>
        </is>
      </c>
      <c r="J6006" s="20" t="inlineStr">
        <is>
          <t>210207</t>
        </is>
      </c>
      <c r="L6006" s="20" t="n">
        <v>578000</v>
      </c>
      <c r="M6006" s="20" t="n">
        <v>566440</v>
      </c>
      <c r="N6006" s="20" t="n">
        <v>44064</v>
      </c>
      <c r="O6006" s="20" t="inlineStr">
        <is>
          <t>스마트스토어고체향수유즈 고체향수 스테이포에버 002고체향수: 스테이포에버 1개210207</t>
        </is>
      </c>
    </row>
    <row r="6007">
      <c r="B6007" s="16" t="n">
        <v>44287</v>
      </c>
      <c r="C6007" s="20" t="inlineStr">
        <is>
          <t>목</t>
        </is>
      </c>
      <c r="E6007" s="20" t="inlineStr">
        <is>
          <t>고체향수</t>
        </is>
      </c>
      <c r="F6007" s="20" t="inlineStr">
        <is>
          <t>카페24</t>
        </is>
      </c>
      <c r="G6007" s="20" t="inlineStr">
        <is>
          <t>솔리드퍼퓸 세트향=이그나이트 001 SOLID PERFUME, 세트 선택=1개</t>
        </is>
      </c>
      <c r="H6007" s="20" t="n">
        <v>2</v>
      </c>
      <c r="I6007" s="20" t="inlineStr">
        <is>
          <t>이그나이트</t>
        </is>
      </c>
      <c r="J6007" s="20" t="inlineStr">
        <is>
          <t>210207</t>
        </is>
      </c>
      <c r="L6007" s="20" t="n">
        <v>68000</v>
      </c>
      <c r="M6007" s="20" t="n">
        <v>64022</v>
      </c>
      <c r="N6007" s="20" t="n">
        <v>5506</v>
      </c>
      <c r="O6007" s="20" t="inlineStr">
        <is>
          <t>카페24고체향수솔리드퍼퓸 세트향=이그나이트 001 SOLID PERFUME, 세트 선택=1개210207</t>
        </is>
      </c>
    </row>
    <row r="6008">
      <c r="B6008" s="16" t="n">
        <v>44287</v>
      </c>
      <c r="C6008" s="20" t="inlineStr">
        <is>
          <t>목</t>
        </is>
      </c>
      <c r="E6008" s="20" t="inlineStr">
        <is>
          <t>고체향수</t>
        </is>
      </c>
      <c r="F6008" s="20" t="inlineStr">
        <is>
          <t>카페24</t>
        </is>
      </c>
      <c r="G6008" s="20" t="inlineStr">
        <is>
          <t>솔리드퍼퓸 세트향=스테이포에버 002 SOLID PERFUME, 세트 선택=1개</t>
        </is>
      </c>
      <c r="H6008" s="20" t="n">
        <v>8</v>
      </c>
      <c r="I6008" s="20" t="inlineStr">
        <is>
          <t>스테이포에버</t>
        </is>
      </c>
      <c r="J6008" s="20" t="inlineStr">
        <is>
          <t>210207</t>
        </is>
      </c>
      <c r="L6008" s="20" t="n">
        <v>272000</v>
      </c>
      <c r="M6008" s="20" t="n">
        <v>256088</v>
      </c>
      <c r="N6008" s="20" t="n">
        <v>20736</v>
      </c>
      <c r="O6008" s="20" t="inlineStr">
        <is>
          <t>카페24고체향수솔리드퍼퓸 세트향=스테이포에버 002 SOLID PERFUME, 세트 선택=1개210207</t>
        </is>
      </c>
    </row>
    <row r="6009">
      <c r="B6009" s="16" t="n">
        <v>44287</v>
      </c>
      <c r="C6009" s="20" t="inlineStr">
        <is>
          <t>목</t>
        </is>
      </c>
      <c r="E6009" s="20" t="inlineStr">
        <is>
          <t>고체향수</t>
        </is>
      </c>
      <c r="F6009" s="20" t="inlineStr">
        <is>
          <t>카페24</t>
        </is>
      </c>
      <c r="G6009" s="20" t="inlineStr">
        <is>
          <t>솔리드퍼퓸 세트향=스테이포에버 002 SOLID PERFUME, 세트 선택=best 2개 (28% 할인)</t>
        </is>
      </c>
      <c r="H6009" s="20" t="n">
        <v>7</v>
      </c>
      <c r="I6009" s="20" t="inlineStr">
        <is>
          <t>스테이포에버 2set</t>
        </is>
      </c>
      <c r="J6009" s="20" t="inlineStr">
        <is>
          <t>210207</t>
        </is>
      </c>
      <c r="L6009" s="20" t="n">
        <v>411600</v>
      </c>
      <c r="M6009" s="20" t="n">
        <v>387521.4</v>
      </c>
      <c r="N6009" s="20" t="n">
        <v>36288</v>
      </c>
      <c r="O6009" s="20" t="inlineStr">
        <is>
          <t>카페24고체향수솔리드퍼퓸 세트향=스테이포에버 002 SOLID PERFUME, 세트 선택=best 2개 (28% 할인)210207</t>
        </is>
      </c>
    </row>
    <row r="6010">
      <c r="B6010" s="16" t="n">
        <v>44287</v>
      </c>
      <c r="C6010" s="20" t="inlineStr">
        <is>
          <t>목</t>
        </is>
      </c>
      <c r="E6010" s="20" t="inlineStr">
        <is>
          <t>고체향수</t>
        </is>
      </c>
      <c r="F6010" s="20" t="inlineStr">
        <is>
          <t>카페24</t>
        </is>
      </c>
      <c r="G6010" s="20" t="inlineStr">
        <is>
          <t>솔리드퍼퓸 세트향=커플세트(이그나이트 + 스테이포에버), 세트 선택=1 SET</t>
        </is>
      </c>
      <c r="H6010" s="20" t="n">
        <v>12</v>
      </c>
      <c r="I6010" s="20" t="inlineStr">
        <is>
          <t>이그나이트 + 스테이포에버</t>
        </is>
      </c>
      <c r="J6010" s="20" t="inlineStr">
        <is>
          <t>210207</t>
        </is>
      </c>
      <c r="L6010" s="20" t="n">
        <v>705600</v>
      </c>
      <c r="M6010" s="20" t="n">
        <v>664322.3999999999</v>
      </c>
      <c r="N6010" s="20" t="n">
        <v>64140</v>
      </c>
      <c r="O6010" s="20" t="inlineStr">
        <is>
          <t>카페24고체향수솔리드퍼퓸 세트향=커플세트(이그나이트 + 스테이포에버), 세트 선택=1 SET210207</t>
        </is>
      </c>
    </row>
    <row r="6011">
      <c r="B6011" s="16" t="n">
        <v>44287</v>
      </c>
      <c r="C6011" s="20" t="inlineStr">
        <is>
          <t>목</t>
        </is>
      </c>
      <c r="E6011" s="20" t="inlineStr">
        <is>
          <t>고체향수</t>
        </is>
      </c>
      <c r="F6011" s="20" t="inlineStr">
        <is>
          <t>카페24</t>
        </is>
      </c>
      <c r="G6011" s="20" t="inlineStr">
        <is>
          <t>솔리드퍼퓸 세트향=커플세트(이그나이트 + 스테이포에버), 세트 선택=2 SET (42% 할인)</t>
        </is>
      </c>
      <c r="H6011" s="20" t="n">
        <v>3</v>
      </c>
      <c r="I6011" s="20" t="inlineStr">
        <is>
          <t>이그나이트 + 스테이포에버</t>
        </is>
      </c>
      <c r="J6011" s="20" t="inlineStr">
        <is>
          <t>210207</t>
        </is>
      </c>
      <c r="L6011" s="20" t="n">
        <v>176400</v>
      </c>
      <c r="M6011" s="20" t="n">
        <v>166080.6</v>
      </c>
      <c r="N6011" s="20" t="n">
        <v>16035</v>
      </c>
      <c r="O6011" s="20" t="inlineStr">
        <is>
          <t>카페24고체향수솔리드퍼퓸 세트향=커플세트(이그나이트 + 스테이포에버), 세트 선택=2 SET (42% 할인)210207</t>
        </is>
      </c>
    </row>
    <row r="6012">
      <c r="B6012" s="16" t="n">
        <v>44287</v>
      </c>
      <c r="C6012" s="20" t="inlineStr">
        <is>
          <t>목</t>
        </is>
      </c>
      <c r="E6012" s="20" t="inlineStr">
        <is>
          <t>고체향수</t>
        </is>
      </c>
      <c r="F6012" s="20" t="inlineStr">
        <is>
          <t>카페24</t>
        </is>
      </c>
      <c r="G6012" s="20" t="inlineStr">
        <is>
          <t>솔리드퍼퓸 스테이포에버 002제품선택=스테이포에버 1개</t>
        </is>
      </c>
      <c r="H6012" s="20" t="n">
        <v>162</v>
      </c>
      <c r="I6012" s="20" t="inlineStr">
        <is>
          <t>스테이포에버</t>
        </is>
      </c>
      <c r="J6012" s="20" t="inlineStr">
        <is>
          <t>210207</t>
        </is>
      </c>
      <c r="L6012" s="20" t="n">
        <v>5508000</v>
      </c>
      <c r="M6012" s="20" t="n">
        <v>5185782</v>
      </c>
      <c r="N6012" s="20" t="n">
        <v>419904</v>
      </c>
      <c r="O6012" s="20" t="inlineStr">
        <is>
          <t>카페24고체향수솔리드퍼퓸 스테이포에버 002제품선택=스테이포에버 1개210207</t>
        </is>
      </c>
    </row>
    <row r="6013">
      <c r="B6013" s="16" t="n">
        <v>44287</v>
      </c>
      <c r="C6013" s="20" t="inlineStr">
        <is>
          <t>목</t>
        </is>
      </c>
      <c r="E6013" s="20" t="inlineStr">
        <is>
          <t>고체향수</t>
        </is>
      </c>
      <c r="F6013" s="20" t="inlineStr">
        <is>
          <t>카페24</t>
        </is>
      </c>
      <c r="G6013" s="20" t="inlineStr">
        <is>
          <t>솔리드퍼퓸 스테이포에버 002제품선택=best스테이포에버 2개[28% 할인]</t>
        </is>
      </c>
      <c r="H6013" s="20" t="n">
        <v>132</v>
      </c>
      <c r="I6013" s="20" t="inlineStr">
        <is>
          <t>스테이포에버 2set</t>
        </is>
      </c>
      <c r="J6013" s="20" t="inlineStr">
        <is>
          <t>210207</t>
        </is>
      </c>
      <c r="L6013" s="20" t="n">
        <v>7761600</v>
      </c>
      <c r="M6013" s="20" t="n">
        <v>7307546.399999999</v>
      </c>
      <c r="N6013" s="20" t="n">
        <v>684288</v>
      </c>
      <c r="O6013" s="20" t="inlineStr">
        <is>
          <t>카페24고체향수솔리드퍼퓸 스테이포에버 002제품선택=best스테이포에버 2개[28% 할인]210207</t>
        </is>
      </c>
    </row>
    <row r="6014">
      <c r="B6014" s="16" t="n">
        <v>44287</v>
      </c>
      <c r="C6014" s="20" t="inlineStr">
        <is>
          <t>목</t>
        </is>
      </c>
      <c r="E6014" s="20" t="inlineStr">
        <is>
          <t>고체향수</t>
        </is>
      </c>
      <c r="F6014" s="20" t="inlineStr">
        <is>
          <t>카페24</t>
        </is>
      </c>
      <c r="G6014" s="20" t="inlineStr">
        <is>
          <t>솔리드퍼퓸 스테이포에버 002제품선택=커플추천스테이포에버 + 이그나이트 세트</t>
        </is>
      </c>
      <c r="H6014" s="20" t="n">
        <v>13</v>
      </c>
      <c r="I6014" s="20" t="inlineStr">
        <is>
          <t>이그나이트 + 스테이포에버</t>
        </is>
      </c>
      <c r="J6014" s="20" t="inlineStr">
        <is>
          <t>210207</t>
        </is>
      </c>
      <c r="L6014" s="20" t="n">
        <v>764400</v>
      </c>
      <c r="M6014" s="20" t="n">
        <v>719682.6</v>
      </c>
      <c r="N6014" s="20" t="n">
        <v>69485</v>
      </c>
      <c r="O6014" s="20" t="inlineStr">
        <is>
          <t>카페24고체향수솔리드퍼퓸 스테이포에버 002제품선택=커플추천스테이포에버 + 이그나이트 세트210207</t>
        </is>
      </c>
    </row>
    <row r="6015">
      <c r="B6015" s="16" t="n">
        <v>44287</v>
      </c>
      <c r="C6015" s="20" t="inlineStr">
        <is>
          <t>목</t>
        </is>
      </c>
      <c r="E6015" s="20" t="inlineStr">
        <is>
          <t>쇼핑백</t>
        </is>
      </c>
      <c r="F6015" s="20" t="inlineStr">
        <is>
          <t>카페24</t>
        </is>
      </c>
      <c r="G6015" s="20" t="inlineStr">
        <is>
          <t>솔리드퍼퓸 스테이포에버 002쇼핑백=선물용 쇼핑백</t>
        </is>
      </c>
      <c r="H6015" s="20" t="n">
        <v>8</v>
      </c>
      <c r="I6015" s="20" t="inlineStr">
        <is>
          <t>쇼핑백</t>
        </is>
      </c>
      <c r="J6015" s="20" t="inlineStr">
        <is>
          <t>210207</t>
        </is>
      </c>
      <c r="L6015" s="20" t="n">
        <v>16000</v>
      </c>
      <c r="M6015" s="20" t="n">
        <v>15064</v>
      </c>
      <c r="N6015" s="20" t="n">
        <v>6640</v>
      </c>
      <c r="O6015" s="20" t="inlineStr">
        <is>
          <t>카페24쇼핑백솔리드퍼퓸 스테이포에버 002쇼핑백=선물용 쇼핑백210207</t>
        </is>
      </c>
    </row>
    <row r="6016">
      <c r="B6016" s="16" t="n">
        <v>44287</v>
      </c>
      <c r="C6016" s="20" t="inlineStr">
        <is>
          <t>목</t>
        </is>
      </c>
      <c r="E6016" s="20" t="inlineStr">
        <is>
          <t>고체향수</t>
        </is>
      </c>
      <c r="F6016" s="20" t="inlineStr">
        <is>
          <t>카페24</t>
        </is>
      </c>
      <c r="G6016" s="20" t="inlineStr">
        <is>
          <t>솔리드퍼퓸 이그나이트 001제품선택=이그나이트 솔리드퍼퓸 - 30ml</t>
        </is>
      </c>
      <c r="H6016" s="20" t="n">
        <v>3</v>
      </c>
      <c r="I6016" s="20" t="inlineStr">
        <is>
          <t>이그나이트</t>
        </is>
      </c>
      <c r="J6016" s="20" t="inlineStr">
        <is>
          <t>210207</t>
        </is>
      </c>
      <c r="L6016" s="20" t="n">
        <v>102000</v>
      </c>
      <c r="M6016" s="20" t="n">
        <v>96033</v>
      </c>
      <c r="N6016" s="20" t="n">
        <v>8259</v>
      </c>
      <c r="O6016" s="20" t="inlineStr">
        <is>
          <t>카페24고체향수솔리드퍼퓸 이그나이트 001제품선택=이그나이트 솔리드퍼퓸 - 30ml210207</t>
        </is>
      </c>
    </row>
    <row r="6017">
      <c r="B6017" s="16" t="n">
        <v>44287</v>
      </c>
      <c r="C6017" s="20" t="inlineStr">
        <is>
          <t>목</t>
        </is>
      </c>
      <c r="E6017" s="20" t="inlineStr">
        <is>
          <t>고체향수</t>
        </is>
      </c>
      <c r="F6017" s="20" t="inlineStr">
        <is>
          <t>카페24</t>
        </is>
      </c>
      <c r="G6017" s="20" t="inlineStr">
        <is>
          <t>솔리드퍼퓸 이그나이트 001제품선택=이그나이트 2개 세트</t>
        </is>
      </c>
      <c r="H6017" s="20" t="n">
        <v>2</v>
      </c>
      <c r="I6017" s="20" t="inlineStr">
        <is>
          <t>이그나이트 2set</t>
        </is>
      </c>
      <c r="J6017" s="20" t="inlineStr">
        <is>
          <t>210207</t>
        </is>
      </c>
      <c r="L6017" s="20" t="n">
        <v>117600</v>
      </c>
      <c r="M6017" s="20" t="n">
        <v>110720.4</v>
      </c>
      <c r="N6017" s="20" t="n">
        <v>11012</v>
      </c>
      <c r="O6017" s="20" t="inlineStr">
        <is>
          <t>카페24고체향수솔리드퍼퓸 이그나이트 001제품선택=이그나이트 2개 세트210207</t>
        </is>
      </c>
    </row>
    <row r="6018">
      <c r="B6018" s="16" t="n">
        <v>44287</v>
      </c>
      <c r="C6018" s="20" t="inlineStr">
        <is>
          <t>목</t>
        </is>
      </c>
      <c r="E6018" s="20" t="inlineStr">
        <is>
          <t>고체향수</t>
        </is>
      </c>
      <c r="F6018" s="20" t="inlineStr">
        <is>
          <t>카페24</t>
        </is>
      </c>
      <c r="G6018" s="20" t="inlineStr">
        <is>
          <t>유즈 솔리드퍼퓸 세트향=스테이포에버 002 SOLID PERFUME, 세트 선택=1개</t>
        </is>
      </c>
      <c r="H6018" s="20" t="n">
        <v>1</v>
      </c>
      <c r="I6018" s="20" t="inlineStr">
        <is>
          <t>스테이포에버</t>
        </is>
      </c>
      <c r="J6018" s="20" t="inlineStr">
        <is>
          <t>210207</t>
        </is>
      </c>
      <c r="L6018" s="20" t="n">
        <v>34000</v>
      </c>
      <c r="M6018" s="20" t="n">
        <v>32011</v>
      </c>
      <c r="N6018" s="20" t="n">
        <v>2592</v>
      </c>
      <c r="O6018" s="20" t="inlineStr">
        <is>
          <t>카페24고체향수유즈 솔리드퍼퓸 세트향=스테이포에버 002 SOLID PERFUME, 세트 선택=1개210207</t>
        </is>
      </c>
    </row>
    <row r="6019">
      <c r="A6019" s="20" t="inlineStr">
        <is>
          <t>고체향수_전환추적</t>
        </is>
      </c>
      <c r="B6019" s="16" t="n">
        <v>44287</v>
      </c>
      <c r="C6019" s="20" t="inlineStr">
        <is>
          <t>목</t>
        </is>
      </c>
      <c r="D6019" s="20" t="inlineStr">
        <is>
          <t>네이버 배너</t>
        </is>
      </c>
      <c r="E6019" s="20" t="inlineStr">
        <is>
          <t>고체향수</t>
        </is>
      </c>
      <c r="K6019" s="20" t="n">
        <v>314808.1818181818</v>
      </c>
    </row>
    <row r="6020">
      <c r="A6020" s="20" t="inlineStr">
        <is>
          <t>고체향수</t>
        </is>
      </c>
      <c r="B6020" s="16" t="n">
        <v>44287</v>
      </c>
      <c r="C6020" s="20" t="inlineStr">
        <is>
          <t>목</t>
        </is>
      </c>
      <c r="D6020" s="20" t="inlineStr">
        <is>
          <t>네이버 배너</t>
        </is>
      </c>
      <c r="E6020" s="20" t="inlineStr">
        <is>
          <t>고체향수</t>
        </is>
      </c>
      <c r="K6020" s="20" t="n">
        <v>1186510.909090909</v>
      </c>
    </row>
    <row r="6021">
      <c r="A6021" s="20" t="inlineStr">
        <is>
          <t>[승무원]틱톡커_영상</t>
        </is>
      </c>
      <c r="B6021" s="16" t="n">
        <v>44288</v>
      </c>
      <c r="C6021" s="20" t="inlineStr">
        <is>
          <t>금</t>
        </is>
      </c>
      <c r="D6021" s="20">
        <f>VLOOKUP($A6021,매칭테이블!$B$548:$D$1048576,2,0)</f>
        <v/>
      </c>
      <c r="E6021" s="20" t="inlineStr">
        <is>
          <t>고체향수</t>
        </is>
      </c>
      <c r="K6021" s="20" t="n">
        <v>30855</v>
      </c>
    </row>
    <row r="6022">
      <c r="A6022" s="20" t="inlineStr">
        <is>
          <t>[유튜버 수지큐]스테이포에버_카드뉴스</t>
        </is>
      </c>
      <c r="B6022" s="16" t="n">
        <v>44288</v>
      </c>
      <c r="C6022" s="20" t="inlineStr">
        <is>
          <t>금</t>
        </is>
      </c>
      <c r="D6022" s="20" t="inlineStr">
        <is>
          <t>페이스북/인스타그램</t>
        </is>
      </c>
      <c r="E6022" s="20" t="inlineStr">
        <is>
          <t>고체향수</t>
        </is>
      </c>
      <c r="K6022" s="20" t="n">
        <v>29715</v>
      </c>
    </row>
    <row r="6023">
      <c r="A6023" s="20" t="inlineStr">
        <is>
          <t>[유튜버 수지큐]스테이포에버_영상</t>
        </is>
      </c>
      <c r="B6023" s="16" t="n">
        <v>44288</v>
      </c>
      <c r="C6023" s="20" t="inlineStr">
        <is>
          <t>금</t>
        </is>
      </c>
      <c r="D6023" s="20" t="inlineStr">
        <is>
          <t>페이스북/인스타그램</t>
        </is>
      </c>
      <c r="E6023" s="20" t="inlineStr">
        <is>
          <t>고체향수</t>
        </is>
      </c>
      <c r="K6023" s="20" t="n">
        <v>58603</v>
      </c>
    </row>
    <row r="6024">
      <c r="A6024" s="20" t="inlineStr">
        <is>
          <t>[승무원]수지큐2차활용_스테이포에버_이미지</t>
        </is>
      </c>
      <c r="B6024" s="16" t="n">
        <v>44288</v>
      </c>
      <c r="C6024" s="20" t="inlineStr">
        <is>
          <t>금</t>
        </is>
      </c>
      <c r="D6024" s="20" t="inlineStr">
        <is>
          <t>페이스북/인스타그램</t>
        </is>
      </c>
      <c r="E6024" s="20" t="inlineStr">
        <is>
          <t>고체향수</t>
        </is>
      </c>
      <c r="K6024" s="20" t="n">
        <v>30171</v>
      </c>
    </row>
    <row r="6025">
      <c r="A6025" s="20" t="inlineStr">
        <is>
          <t>[다현 TEST] 스테이포에버_유즈모먼트</t>
        </is>
      </c>
      <c r="B6025" s="16" t="n">
        <v>44288</v>
      </c>
      <c r="C6025" s="20" t="inlineStr">
        <is>
          <t>금</t>
        </is>
      </c>
      <c r="D6025" s="20" t="inlineStr">
        <is>
          <t>페이스북/인스타그램</t>
        </is>
      </c>
      <c r="E6025" s="20" t="inlineStr">
        <is>
          <t>고체향수</t>
        </is>
      </c>
      <c r="K6025" s="20" t="n">
        <v>59502</v>
      </c>
    </row>
    <row r="6026">
      <c r="A6026" s="20" t="inlineStr">
        <is>
          <t>[성민 TEST] 스테이포에버_이미지</t>
        </is>
      </c>
      <c r="B6026" s="16" t="n">
        <v>44288</v>
      </c>
      <c r="C6026" s="20" t="inlineStr">
        <is>
          <t>금</t>
        </is>
      </c>
      <c r="D6026" s="20" t="inlineStr">
        <is>
          <t>페이스북/인스타그램</t>
        </is>
      </c>
      <c r="E6026" s="20" t="inlineStr">
        <is>
          <t>고체향수</t>
        </is>
      </c>
      <c r="K6026" s="20" t="n">
        <v>176874</v>
      </c>
    </row>
    <row r="6027">
      <c r="A6027" s="20" t="inlineStr">
        <is>
          <t>[승은 TEST] 스테이포에버_카드뉴스</t>
        </is>
      </c>
      <c r="B6027" s="16" t="n">
        <v>44288</v>
      </c>
      <c r="C6027" s="20" t="inlineStr">
        <is>
          <t>금</t>
        </is>
      </c>
      <c r="D6027" s="20" t="inlineStr">
        <is>
          <t>페이스북/인스타그램</t>
        </is>
      </c>
      <c r="E6027" s="20" t="inlineStr">
        <is>
          <t>고체향수</t>
        </is>
      </c>
      <c r="K6027" s="20" t="n">
        <v>46913</v>
      </c>
    </row>
    <row r="6028">
      <c r="A6028" s="20" t="inlineStr">
        <is>
          <t>[승무원 2] 스테이포에버_카드뉴스</t>
        </is>
      </c>
      <c r="B6028" s="16" t="n">
        <v>44288</v>
      </c>
      <c r="C6028" s="20" t="inlineStr">
        <is>
          <t>금</t>
        </is>
      </c>
      <c r="D6028" s="20" t="inlineStr">
        <is>
          <t>페이스북/인스타그램</t>
        </is>
      </c>
      <c r="E6028" s="20" t="inlineStr">
        <is>
          <t>고체향수</t>
        </is>
      </c>
      <c r="K6028" s="20" t="n">
        <v>100857</v>
      </c>
    </row>
    <row r="6029">
      <c r="A6029" s="20" t="inlineStr">
        <is>
          <t>[테스트]아줌마</t>
        </is>
      </c>
      <c r="B6029" s="16" t="n">
        <v>44288</v>
      </c>
      <c r="C6029" s="20" t="inlineStr">
        <is>
          <t>금</t>
        </is>
      </c>
      <c r="D6029" s="20" t="inlineStr">
        <is>
          <t>페이스북/인스타그램</t>
        </is>
      </c>
      <c r="E6029" s="20" t="inlineStr">
        <is>
          <t>고체향수</t>
        </is>
      </c>
      <c r="K6029" s="20" t="n">
        <v>111150</v>
      </c>
    </row>
    <row r="6030">
      <c r="A6030" s="20" t="inlineStr">
        <is>
          <t>[다양한 키워드] 스테이포에버_이미지</t>
        </is>
      </c>
      <c r="B6030" s="16" t="n">
        <v>44288</v>
      </c>
      <c r="C6030" s="20" t="inlineStr">
        <is>
          <t>금</t>
        </is>
      </c>
      <c r="D6030" s="20">
        <f>VLOOKUP($A6030,매칭테이블!$B$548:$D$1048576,2,0)</f>
        <v/>
      </c>
      <c r="E6030" s="20" t="inlineStr">
        <is>
          <t>고체향수</t>
        </is>
      </c>
      <c r="K6030" s="20" t="n">
        <v>209477</v>
      </c>
    </row>
    <row r="6031">
      <c r="A6031" s="20" t="inlineStr">
        <is>
          <t>[재입고]스테이포에버_이미지</t>
        </is>
      </c>
      <c r="B6031" s="16" t="n">
        <v>44288</v>
      </c>
      <c r="C6031" s="20" t="inlineStr">
        <is>
          <t>금</t>
        </is>
      </c>
      <c r="D6031" s="20" t="inlineStr">
        <is>
          <t>페이스북/인스타그램</t>
        </is>
      </c>
      <c r="E6031" s="20" t="inlineStr">
        <is>
          <t>고체향수</t>
        </is>
      </c>
      <c r="K6031" s="20" t="n">
        <v>186191</v>
      </c>
    </row>
    <row r="6032">
      <c r="A6032" s="20" t="inlineStr">
        <is>
          <t>[승무원]숏폼_영상</t>
        </is>
      </c>
      <c r="B6032" s="16" t="n">
        <v>44288</v>
      </c>
      <c r="C6032" s="20" t="inlineStr">
        <is>
          <t>금</t>
        </is>
      </c>
      <c r="D6032" s="20" t="inlineStr">
        <is>
          <t>페이스북/인스타그램</t>
        </is>
      </c>
      <c r="E6032" s="20" t="inlineStr">
        <is>
          <t>고체향수</t>
        </is>
      </c>
      <c r="K6032" s="20" t="n">
        <v>49887</v>
      </c>
    </row>
    <row r="6033">
      <c r="A6033" s="20" t="inlineStr">
        <is>
          <t>[재입고]스테이포에버_영상</t>
        </is>
      </c>
      <c r="B6033" s="16" t="n">
        <v>44288</v>
      </c>
      <c r="C6033" s="20" t="inlineStr">
        <is>
          <t>금</t>
        </is>
      </c>
      <c r="D6033" s="20" t="inlineStr">
        <is>
          <t>페이스북/인스타그램</t>
        </is>
      </c>
      <c r="E6033" s="20" t="inlineStr">
        <is>
          <t>고체향수</t>
        </is>
      </c>
      <c r="K6033" s="20" t="n">
        <v>93313</v>
      </c>
    </row>
    <row r="6034">
      <c r="A6034" s="20" t="inlineStr">
        <is>
          <t>[승무원]2019년썰 카드뉴스+ 향묘사_영상</t>
        </is>
      </c>
      <c r="B6034" s="16" t="n">
        <v>44288</v>
      </c>
      <c r="C6034" s="20" t="inlineStr">
        <is>
          <t>금</t>
        </is>
      </c>
      <c r="D6034" s="20" t="inlineStr">
        <is>
          <t>페이스북/인스타그램</t>
        </is>
      </c>
      <c r="E6034" s="20" t="inlineStr">
        <is>
          <t>고체향수</t>
        </is>
      </c>
      <c r="K6034" s="20" t="n">
        <v>49880</v>
      </c>
    </row>
    <row r="6035">
      <c r="A6035" s="20" t="inlineStr">
        <is>
          <t>[승무원어피]스테이포에버_이미지</t>
        </is>
      </c>
      <c r="B6035" s="16" t="n">
        <v>44288</v>
      </c>
      <c r="C6035" s="20" t="inlineStr">
        <is>
          <t>금</t>
        </is>
      </c>
      <c r="D6035" s="20" t="inlineStr">
        <is>
          <t>페이스북/인스타그램</t>
        </is>
      </c>
      <c r="E6035" s="20" t="inlineStr">
        <is>
          <t>고체향수</t>
        </is>
      </c>
      <c r="K6035" s="20" t="n">
        <v>99259</v>
      </c>
    </row>
    <row r="6036">
      <c r="A6036" s="20" t="inlineStr">
        <is>
          <t>[다현]스테이포에버_이미지</t>
        </is>
      </c>
      <c r="B6036" s="16" t="n">
        <v>44288</v>
      </c>
      <c r="C6036" s="20" t="inlineStr">
        <is>
          <t>금</t>
        </is>
      </c>
      <c r="D6036" s="20" t="inlineStr">
        <is>
          <t>페이스북/인스타그램</t>
        </is>
      </c>
      <c r="E6036" s="20" t="inlineStr">
        <is>
          <t>고체향수</t>
        </is>
      </c>
      <c r="K6036" s="20" t="n">
        <v>98782</v>
      </c>
    </row>
    <row r="6037">
      <c r="A6037" s="20" t="inlineStr">
        <is>
          <t>[승무원]스테이포에버_카드뉴스</t>
        </is>
      </c>
      <c r="B6037" s="16" t="n">
        <v>44288</v>
      </c>
      <c r="C6037" s="20" t="inlineStr">
        <is>
          <t>금</t>
        </is>
      </c>
      <c r="D6037" s="20" t="inlineStr">
        <is>
          <t>페이스북/인스타그램</t>
        </is>
      </c>
      <c r="E6037" s="20" t="inlineStr">
        <is>
          <t>고체향수</t>
        </is>
      </c>
      <c r="K6037" s="20" t="n">
        <v>99159</v>
      </c>
    </row>
    <row r="6038">
      <c r="A6038" s="20" t="inlineStr">
        <is>
          <t>[후기타입]스테이포에버_영상</t>
        </is>
      </c>
      <c r="B6038" s="16" t="n">
        <v>44288</v>
      </c>
      <c r="C6038" s="20" t="inlineStr">
        <is>
          <t>금</t>
        </is>
      </c>
      <c r="D6038" s="20" t="inlineStr">
        <is>
          <t>페이스북/인스타그램</t>
        </is>
      </c>
      <c r="E6038" s="20" t="inlineStr">
        <is>
          <t>고체향수</t>
        </is>
      </c>
      <c r="K6038" s="20" t="n">
        <v>148045</v>
      </c>
    </row>
    <row r="6039">
      <c r="A6039" s="20" t="inlineStr">
        <is>
          <t>전환_스테이포에버</t>
        </is>
      </c>
      <c r="B6039" s="16" t="n">
        <v>44288</v>
      </c>
      <c r="C6039" s="20" t="inlineStr">
        <is>
          <t>금</t>
        </is>
      </c>
      <c r="D6039" s="20" t="inlineStr">
        <is>
          <t>페이스북/인스타그램</t>
        </is>
      </c>
      <c r="E6039" s="20" t="inlineStr">
        <is>
          <t>고체향수</t>
        </is>
      </c>
      <c r="K6039" s="20" t="n">
        <v>49466</v>
      </c>
    </row>
    <row r="6040">
      <c r="A6040" s="20" t="inlineStr">
        <is>
          <t>[권태기커플]스테이포에버_영상</t>
        </is>
      </c>
      <c r="B6040" s="16" t="n">
        <v>44288</v>
      </c>
      <c r="C6040" s="20" t="inlineStr">
        <is>
          <t>금</t>
        </is>
      </c>
      <c r="D6040" s="20" t="inlineStr">
        <is>
          <t>페이스북/인스타그램</t>
        </is>
      </c>
      <c r="E6040" s="20" t="inlineStr">
        <is>
          <t>고체향수</t>
        </is>
      </c>
      <c r="K6040" s="20" t="n">
        <v>74113</v>
      </c>
    </row>
    <row r="6041">
      <c r="A6041" s="20" t="inlineStr">
        <is>
          <t>[승무원]틱톡커_영상</t>
        </is>
      </c>
      <c r="B6041" s="16" t="n">
        <v>44289</v>
      </c>
      <c r="C6041" s="20" t="inlineStr">
        <is>
          <t>토</t>
        </is>
      </c>
      <c r="D6041" s="20">
        <f>VLOOKUP($A6041,매칭테이블!$B$548:$D$1048576,2,0)</f>
        <v/>
      </c>
      <c r="E6041" s="20" t="inlineStr">
        <is>
          <t>고체향수</t>
        </is>
      </c>
      <c r="K6041" s="20" t="n">
        <v>45787</v>
      </c>
    </row>
    <row r="6042">
      <c r="A6042" s="20" t="inlineStr">
        <is>
          <t>[유튜버 수지큐]스테이포에버_카드뉴스</t>
        </is>
      </c>
      <c r="B6042" s="16" t="n">
        <v>44289</v>
      </c>
      <c r="C6042" s="20" t="inlineStr">
        <is>
          <t>토</t>
        </is>
      </c>
      <c r="D6042" s="20" t="inlineStr">
        <is>
          <t>페이스북/인스타그램</t>
        </is>
      </c>
      <c r="E6042" s="20" t="inlineStr">
        <is>
          <t>고체향수</t>
        </is>
      </c>
      <c r="K6042" s="20" t="n">
        <v>31187</v>
      </c>
    </row>
    <row r="6043">
      <c r="A6043" s="20" t="inlineStr">
        <is>
          <t>[유튜버 수지큐]스테이포에버_영상</t>
        </is>
      </c>
      <c r="B6043" s="16" t="n">
        <v>44289</v>
      </c>
      <c r="C6043" s="20" t="inlineStr">
        <is>
          <t>토</t>
        </is>
      </c>
      <c r="D6043" s="20" t="inlineStr">
        <is>
          <t>페이스북/인스타그램</t>
        </is>
      </c>
      <c r="E6043" s="20" t="inlineStr">
        <is>
          <t>고체향수</t>
        </is>
      </c>
      <c r="K6043" s="20" t="n">
        <v>61969</v>
      </c>
    </row>
    <row r="6044">
      <c r="A6044" s="20" t="inlineStr">
        <is>
          <t>[승무원]수지큐2차활용_스테이포에버_이미지</t>
        </is>
      </c>
      <c r="B6044" s="16" t="n">
        <v>44289</v>
      </c>
      <c r="C6044" s="20" t="inlineStr">
        <is>
          <t>토</t>
        </is>
      </c>
      <c r="D6044" s="20" t="inlineStr">
        <is>
          <t>페이스북/인스타그램</t>
        </is>
      </c>
      <c r="E6044" s="20" t="inlineStr">
        <is>
          <t>고체향수</t>
        </is>
      </c>
      <c r="K6044" s="20" t="n">
        <v>30687</v>
      </c>
    </row>
    <row r="6045">
      <c r="A6045" s="20" t="inlineStr">
        <is>
          <t>[다현 TEST] 스테이포에버_유즈모먼트</t>
        </is>
      </c>
      <c r="B6045" s="16" t="n">
        <v>44289</v>
      </c>
      <c r="C6045" s="20" t="inlineStr">
        <is>
          <t>토</t>
        </is>
      </c>
      <c r="D6045" s="20" t="inlineStr">
        <is>
          <t>페이스북/인스타그램</t>
        </is>
      </c>
      <c r="E6045" s="20" t="inlineStr">
        <is>
          <t>고체향수</t>
        </is>
      </c>
      <c r="K6045" s="20" t="n">
        <v>62605</v>
      </c>
    </row>
    <row r="6046">
      <c r="A6046" s="20" t="inlineStr">
        <is>
          <t>[성민 TEST] 스테이포에버_이미지</t>
        </is>
      </c>
      <c r="B6046" s="16" t="n">
        <v>44289</v>
      </c>
      <c r="C6046" s="20" t="inlineStr">
        <is>
          <t>토</t>
        </is>
      </c>
      <c r="D6046" s="20" t="inlineStr">
        <is>
          <t>페이스북/인스타그램</t>
        </is>
      </c>
      <c r="E6046" s="20" t="inlineStr">
        <is>
          <t>고체향수</t>
        </is>
      </c>
      <c r="K6046" s="20" t="n">
        <v>181246</v>
      </c>
    </row>
    <row r="6047">
      <c r="A6047" s="20" t="inlineStr">
        <is>
          <t>[승은 TEST] 스테이포에버_카드뉴스</t>
        </is>
      </c>
      <c r="B6047" s="16" t="n">
        <v>44289</v>
      </c>
      <c r="C6047" s="20" t="inlineStr">
        <is>
          <t>토</t>
        </is>
      </c>
      <c r="D6047" s="20" t="inlineStr">
        <is>
          <t>페이스북/인스타그램</t>
        </is>
      </c>
      <c r="E6047" s="20" t="inlineStr">
        <is>
          <t>고체향수</t>
        </is>
      </c>
      <c r="K6047" s="20" t="n">
        <v>48939</v>
      </c>
    </row>
    <row r="6048">
      <c r="A6048" s="20" t="inlineStr">
        <is>
          <t>[승무원 2] 스테이포에버_카드뉴스</t>
        </is>
      </c>
      <c r="B6048" s="16" t="n">
        <v>44289</v>
      </c>
      <c r="C6048" s="20" t="inlineStr">
        <is>
          <t>토</t>
        </is>
      </c>
      <c r="D6048" s="20" t="inlineStr">
        <is>
          <t>페이스북/인스타그램</t>
        </is>
      </c>
      <c r="E6048" s="20" t="inlineStr">
        <is>
          <t>고체향수</t>
        </is>
      </c>
      <c r="K6048" s="20" t="n">
        <v>100749</v>
      </c>
    </row>
    <row r="6049">
      <c r="A6049" s="20" t="inlineStr">
        <is>
          <t>[테스트]아줌마</t>
        </is>
      </c>
      <c r="B6049" s="16" t="n">
        <v>44289</v>
      </c>
      <c r="C6049" s="20" t="inlineStr">
        <is>
          <t>토</t>
        </is>
      </c>
      <c r="D6049" s="20" t="inlineStr">
        <is>
          <t>페이스북/인스타그램</t>
        </is>
      </c>
      <c r="E6049" s="20" t="inlineStr">
        <is>
          <t>고체향수</t>
        </is>
      </c>
      <c r="K6049" s="20" t="n">
        <v>110494</v>
      </c>
    </row>
    <row r="6050">
      <c r="A6050" s="20" t="inlineStr">
        <is>
          <t>[다양한 키워드] 스테이포에버_이미지</t>
        </is>
      </c>
      <c r="B6050" s="16" t="n">
        <v>44289</v>
      </c>
      <c r="C6050" s="20" t="inlineStr">
        <is>
          <t>토</t>
        </is>
      </c>
      <c r="D6050" s="20">
        <f>VLOOKUP($A6050,매칭테이블!$B$548:$D$1048576,2,0)</f>
        <v/>
      </c>
      <c r="E6050" s="20" t="inlineStr">
        <is>
          <t>고체향수</t>
        </is>
      </c>
      <c r="K6050" s="20" t="n">
        <v>214094</v>
      </c>
    </row>
    <row r="6051">
      <c r="A6051" s="20" t="inlineStr">
        <is>
          <t>[재입고]스테이포에버_이미지</t>
        </is>
      </c>
      <c r="B6051" s="16" t="n">
        <v>44289</v>
      </c>
      <c r="C6051" s="20" t="inlineStr">
        <is>
          <t>토</t>
        </is>
      </c>
      <c r="D6051" s="20" t="inlineStr">
        <is>
          <t>페이스북/인스타그램</t>
        </is>
      </c>
      <c r="E6051" s="20" t="inlineStr">
        <is>
          <t>고체향수</t>
        </is>
      </c>
      <c r="K6051" s="20" t="n">
        <v>196238</v>
      </c>
    </row>
    <row r="6052">
      <c r="A6052" s="20" t="inlineStr">
        <is>
          <t>[승무원]숏폼_영상</t>
        </is>
      </c>
      <c r="B6052" s="16" t="n">
        <v>44289</v>
      </c>
      <c r="C6052" s="20" t="inlineStr">
        <is>
          <t>토</t>
        </is>
      </c>
      <c r="D6052" s="20" t="inlineStr">
        <is>
          <t>페이스북/인스타그램</t>
        </is>
      </c>
      <c r="E6052" s="20" t="inlineStr">
        <is>
          <t>고체향수</t>
        </is>
      </c>
      <c r="K6052" s="20" t="n">
        <v>51517</v>
      </c>
    </row>
    <row r="6053">
      <c r="A6053" s="20" t="inlineStr">
        <is>
          <t>[재입고]스테이포에버_영상</t>
        </is>
      </c>
      <c r="B6053" s="16" t="n">
        <v>44289</v>
      </c>
      <c r="C6053" s="20" t="inlineStr">
        <is>
          <t>토</t>
        </is>
      </c>
      <c r="D6053" s="20" t="inlineStr">
        <is>
          <t>페이스북/인스타그램</t>
        </is>
      </c>
      <c r="E6053" s="20" t="inlineStr">
        <is>
          <t>고체향수</t>
        </is>
      </c>
      <c r="K6053" s="20" t="n">
        <v>97856</v>
      </c>
    </row>
    <row r="6054">
      <c r="A6054" s="20" t="inlineStr">
        <is>
          <t>[승무원]2019년썰 카드뉴스+ 향묘사_영상</t>
        </is>
      </c>
      <c r="B6054" s="16" t="n">
        <v>44289</v>
      </c>
      <c r="C6054" s="20" t="inlineStr">
        <is>
          <t>토</t>
        </is>
      </c>
      <c r="D6054" s="20" t="inlineStr">
        <is>
          <t>페이스북/인스타그램</t>
        </is>
      </c>
      <c r="E6054" s="20" t="inlineStr">
        <is>
          <t>고체향수</t>
        </is>
      </c>
      <c r="K6054" s="20" t="n">
        <v>52180</v>
      </c>
    </row>
    <row r="6055">
      <c r="A6055" s="20" t="inlineStr">
        <is>
          <t>[승무원어피]스테이포에버_이미지</t>
        </is>
      </c>
      <c r="B6055" s="16" t="n">
        <v>44289</v>
      </c>
      <c r="C6055" s="20" t="inlineStr">
        <is>
          <t>토</t>
        </is>
      </c>
      <c r="D6055" s="20" t="inlineStr">
        <is>
          <t>페이스북/인스타그램</t>
        </is>
      </c>
      <c r="E6055" s="20" t="inlineStr">
        <is>
          <t>고체향수</t>
        </is>
      </c>
      <c r="K6055" s="20" t="n">
        <v>103106</v>
      </c>
    </row>
    <row r="6056">
      <c r="A6056" s="20" t="inlineStr">
        <is>
          <t>[다현]스테이포에버_이미지</t>
        </is>
      </c>
      <c r="B6056" s="16" t="n">
        <v>44289</v>
      </c>
      <c r="C6056" s="20" t="inlineStr">
        <is>
          <t>토</t>
        </is>
      </c>
      <c r="D6056" s="20" t="inlineStr">
        <is>
          <t>페이스북/인스타그램</t>
        </is>
      </c>
      <c r="E6056" s="20" t="inlineStr">
        <is>
          <t>고체향수</t>
        </is>
      </c>
      <c r="K6056" s="20" t="n">
        <v>103707</v>
      </c>
    </row>
    <row r="6057">
      <c r="A6057" s="20" t="inlineStr">
        <is>
          <t>[승무원]스테이포에버_카드뉴스</t>
        </is>
      </c>
      <c r="B6057" s="16" t="n">
        <v>44289</v>
      </c>
      <c r="C6057" s="20" t="inlineStr">
        <is>
          <t>토</t>
        </is>
      </c>
      <c r="D6057" s="20" t="inlineStr">
        <is>
          <t>페이스북/인스타그램</t>
        </is>
      </c>
      <c r="E6057" s="20" t="inlineStr">
        <is>
          <t>고체향수</t>
        </is>
      </c>
      <c r="K6057" s="20" t="n">
        <v>105030</v>
      </c>
    </row>
    <row r="6058">
      <c r="A6058" s="20" t="inlineStr">
        <is>
          <t>[후기타입]스테이포에버_영상</t>
        </is>
      </c>
      <c r="B6058" s="16" t="n">
        <v>44289</v>
      </c>
      <c r="C6058" s="20" t="inlineStr">
        <is>
          <t>토</t>
        </is>
      </c>
      <c r="D6058" s="20" t="inlineStr">
        <is>
          <t>페이스북/인스타그램</t>
        </is>
      </c>
      <c r="E6058" s="20" t="inlineStr">
        <is>
          <t>고체향수</t>
        </is>
      </c>
      <c r="K6058" s="20" t="n">
        <v>155039</v>
      </c>
    </row>
    <row r="6059">
      <c r="A6059" s="20" t="inlineStr">
        <is>
          <t>전환_스테이포에버</t>
        </is>
      </c>
      <c r="B6059" s="16" t="n">
        <v>44289</v>
      </c>
      <c r="C6059" s="20" t="inlineStr">
        <is>
          <t>토</t>
        </is>
      </c>
      <c r="D6059" s="20" t="inlineStr">
        <is>
          <t>페이스북/인스타그램</t>
        </is>
      </c>
      <c r="E6059" s="20" t="inlineStr">
        <is>
          <t>고체향수</t>
        </is>
      </c>
      <c r="K6059" s="20" t="n">
        <v>51775</v>
      </c>
    </row>
    <row r="6060">
      <c r="A6060" s="20" t="inlineStr">
        <is>
          <t>[권태기커플]스테이포에버_영상</t>
        </is>
      </c>
      <c r="B6060" s="16" t="n">
        <v>44289</v>
      </c>
      <c r="C6060" s="20" t="inlineStr">
        <is>
          <t>토</t>
        </is>
      </c>
      <c r="D6060" s="20" t="inlineStr">
        <is>
          <t>페이스북/인스타그램</t>
        </is>
      </c>
      <c r="E6060" s="20" t="inlineStr">
        <is>
          <t>고체향수</t>
        </is>
      </c>
      <c r="K6060" s="20" t="n">
        <v>76998</v>
      </c>
    </row>
    <row r="6061">
      <c r="A6061" s="20" t="inlineStr">
        <is>
          <t>[승무원]틱톡커_영상</t>
        </is>
      </c>
      <c r="B6061" s="16" t="n">
        <v>44290</v>
      </c>
      <c r="C6061" s="20" t="inlineStr">
        <is>
          <t>일</t>
        </is>
      </c>
      <c r="D6061" s="20">
        <f>VLOOKUP($A6061,매칭테이블!$B$548:$D$1048576,2,0)</f>
        <v/>
      </c>
      <c r="E6061" s="20" t="inlineStr">
        <is>
          <t>고체향수</t>
        </is>
      </c>
      <c r="K6061" s="20" t="n">
        <v>50493</v>
      </c>
    </row>
    <row r="6062">
      <c r="A6062" s="20" t="inlineStr">
        <is>
          <t>[유튜버 수지큐]스테이포에버_카드뉴스</t>
        </is>
      </c>
      <c r="B6062" s="16" t="n">
        <v>44290</v>
      </c>
      <c r="C6062" s="20" t="inlineStr">
        <is>
          <t>일</t>
        </is>
      </c>
      <c r="D6062" s="20" t="inlineStr">
        <is>
          <t>페이스북/인스타그램</t>
        </is>
      </c>
      <c r="E6062" s="20" t="inlineStr">
        <is>
          <t>고체향수</t>
        </is>
      </c>
      <c r="K6062" s="20" t="n">
        <v>30275</v>
      </c>
    </row>
    <row r="6063">
      <c r="A6063" s="20" t="inlineStr">
        <is>
          <t>[유튜버 수지큐]스테이포에버_영상</t>
        </is>
      </c>
      <c r="B6063" s="16" t="n">
        <v>44290</v>
      </c>
      <c r="C6063" s="20" t="inlineStr">
        <is>
          <t>일</t>
        </is>
      </c>
      <c r="D6063" s="20" t="inlineStr">
        <is>
          <t>페이스북/인스타그램</t>
        </is>
      </c>
      <c r="E6063" s="20" t="inlineStr">
        <is>
          <t>고체향수</t>
        </is>
      </c>
      <c r="K6063" s="20" t="n">
        <v>60070</v>
      </c>
    </row>
    <row r="6064">
      <c r="A6064" s="20" t="inlineStr">
        <is>
          <t>[승무원]수지큐2차활용_스테이포에버_이미지</t>
        </is>
      </c>
      <c r="B6064" s="16" t="n">
        <v>44290</v>
      </c>
      <c r="C6064" s="20" t="inlineStr">
        <is>
          <t>일</t>
        </is>
      </c>
      <c r="D6064" s="20" t="inlineStr">
        <is>
          <t>페이스북/인스타그램</t>
        </is>
      </c>
      <c r="E6064" s="20" t="inlineStr">
        <is>
          <t>고체향수</t>
        </is>
      </c>
      <c r="K6064" s="20" t="n">
        <v>30274</v>
      </c>
    </row>
    <row r="6065">
      <c r="A6065" s="20" t="inlineStr">
        <is>
          <t>[다현 TEST] 스테이포에버_유즈모먼트</t>
        </is>
      </c>
      <c r="B6065" s="16" t="n">
        <v>44290</v>
      </c>
      <c r="C6065" s="20" t="inlineStr">
        <is>
          <t>일</t>
        </is>
      </c>
      <c r="D6065" s="20" t="inlineStr">
        <is>
          <t>페이스북/인스타그램</t>
        </is>
      </c>
      <c r="E6065" s="20" t="inlineStr">
        <is>
          <t>고체향수</t>
        </is>
      </c>
      <c r="K6065" s="20" t="n">
        <v>60415</v>
      </c>
    </row>
    <row r="6066">
      <c r="A6066" s="20" t="inlineStr">
        <is>
          <t>[성민 TEST] 스테이포에버_이미지</t>
        </is>
      </c>
      <c r="B6066" s="16" t="n">
        <v>44290</v>
      </c>
      <c r="C6066" s="20" t="inlineStr">
        <is>
          <t>일</t>
        </is>
      </c>
      <c r="D6066" s="20" t="inlineStr">
        <is>
          <t>페이스북/인스타그램</t>
        </is>
      </c>
      <c r="E6066" s="20" t="inlineStr">
        <is>
          <t>고체향수</t>
        </is>
      </c>
      <c r="K6066" s="20" t="n">
        <v>180613</v>
      </c>
    </row>
    <row r="6067">
      <c r="A6067" s="20" t="inlineStr">
        <is>
          <t>[승은 TEST] 스테이포에버_카드뉴스</t>
        </is>
      </c>
      <c r="B6067" s="16" t="n">
        <v>44290</v>
      </c>
      <c r="C6067" s="20" t="inlineStr">
        <is>
          <t>일</t>
        </is>
      </c>
      <c r="D6067" s="20" t="inlineStr">
        <is>
          <t>페이스북/인스타그램</t>
        </is>
      </c>
      <c r="E6067" s="20" t="inlineStr">
        <is>
          <t>고체향수</t>
        </is>
      </c>
      <c r="K6067" s="20" t="n">
        <v>50391</v>
      </c>
    </row>
    <row r="6068">
      <c r="A6068" s="20" t="inlineStr">
        <is>
          <t>[승무원 2] 스테이포에버_카드뉴스</t>
        </is>
      </c>
      <c r="B6068" s="16" t="n">
        <v>44290</v>
      </c>
      <c r="C6068" s="20" t="inlineStr">
        <is>
          <t>일</t>
        </is>
      </c>
      <c r="D6068" s="20" t="inlineStr">
        <is>
          <t>페이스북/인스타그램</t>
        </is>
      </c>
      <c r="E6068" s="20" t="inlineStr">
        <is>
          <t>고체향수</t>
        </is>
      </c>
      <c r="K6068" s="20" t="n">
        <v>100162</v>
      </c>
    </row>
    <row r="6069">
      <c r="A6069" s="20" t="inlineStr">
        <is>
          <t>[테스트]아줌마</t>
        </is>
      </c>
      <c r="B6069" s="16" t="n">
        <v>44290</v>
      </c>
      <c r="C6069" s="20" t="inlineStr">
        <is>
          <t>일</t>
        </is>
      </c>
      <c r="D6069" s="20" t="inlineStr">
        <is>
          <t>페이스북/인스타그램</t>
        </is>
      </c>
      <c r="E6069" s="20" t="inlineStr">
        <is>
          <t>고체향수</t>
        </is>
      </c>
      <c r="K6069" s="20" t="n">
        <v>110816</v>
      </c>
    </row>
    <row r="6070">
      <c r="A6070" s="20" t="inlineStr">
        <is>
          <t>[다양한 키워드] 스테이포에버_이미지</t>
        </is>
      </c>
      <c r="B6070" s="16" t="n">
        <v>44290</v>
      </c>
      <c r="C6070" s="20" t="inlineStr">
        <is>
          <t>일</t>
        </is>
      </c>
      <c r="D6070" s="20">
        <f>VLOOKUP($A6070,매칭테이블!$B$548:$D$1048576,2,0)</f>
        <v/>
      </c>
      <c r="E6070" s="20" t="inlineStr">
        <is>
          <t>고체향수</t>
        </is>
      </c>
      <c r="K6070" s="20" t="n">
        <v>210795</v>
      </c>
    </row>
    <row r="6071">
      <c r="A6071" s="20" t="inlineStr">
        <is>
          <t>[재입고]스테이포에버_이미지</t>
        </is>
      </c>
      <c r="B6071" s="16" t="n">
        <v>44290</v>
      </c>
      <c r="C6071" s="20" t="inlineStr">
        <is>
          <t>일</t>
        </is>
      </c>
      <c r="D6071" s="20" t="inlineStr">
        <is>
          <t>페이스북/인스타그램</t>
        </is>
      </c>
      <c r="E6071" s="20" t="inlineStr">
        <is>
          <t>고체향수</t>
        </is>
      </c>
      <c r="K6071" s="20" t="n">
        <v>200526</v>
      </c>
    </row>
    <row r="6072">
      <c r="A6072" s="20" t="inlineStr">
        <is>
          <t>[승무원]숏폼_영상</t>
        </is>
      </c>
      <c r="B6072" s="16" t="n">
        <v>44290</v>
      </c>
      <c r="C6072" s="20" t="inlineStr">
        <is>
          <t>일</t>
        </is>
      </c>
      <c r="D6072" s="20" t="inlineStr">
        <is>
          <t>페이스북/인스타그램</t>
        </is>
      </c>
      <c r="E6072" s="20" t="inlineStr">
        <is>
          <t>고체향수</t>
        </is>
      </c>
      <c r="K6072" s="20" t="n">
        <v>50162</v>
      </c>
    </row>
    <row r="6073">
      <c r="A6073" s="20" t="inlineStr">
        <is>
          <t>[재입고]스테이포에버_영상</t>
        </is>
      </c>
      <c r="B6073" s="16" t="n">
        <v>44290</v>
      </c>
      <c r="C6073" s="20" t="inlineStr">
        <is>
          <t>일</t>
        </is>
      </c>
      <c r="D6073" s="20" t="inlineStr">
        <is>
          <t>페이스북/인스타그램</t>
        </is>
      </c>
      <c r="E6073" s="20" t="inlineStr">
        <is>
          <t>고체향수</t>
        </is>
      </c>
      <c r="K6073" s="20" t="n">
        <v>100038</v>
      </c>
    </row>
    <row r="6074">
      <c r="A6074" s="20" t="inlineStr">
        <is>
          <t>[승무원]2019년썰 카드뉴스+ 향묘사_영상</t>
        </is>
      </c>
      <c r="B6074" s="16" t="n">
        <v>44290</v>
      </c>
      <c r="C6074" s="20" t="inlineStr">
        <is>
          <t>일</t>
        </is>
      </c>
      <c r="D6074" s="20" t="inlineStr">
        <is>
          <t>페이스북/인스타그램</t>
        </is>
      </c>
      <c r="E6074" s="20" t="inlineStr">
        <is>
          <t>고체향수</t>
        </is>
      </c>
      <c r="K6074" s="20" t="n">
        <v>50136</v>
      </c>
    </row>
    <row r="6075">
      <c r="A6075" s="20" t="inlineStr">
        <is>
          <t>[승무원어피]스테이포에버_이미지</t>
        </is>
      </c>
      <c r="B6075" s="16" t="n">
        <v>44290</v>
      </c>
      <c r="C6075" s="20" t="inlineStr">
        <is>
          <t>일</t>
        </is>
      </c>
      <c r="D6075" s="20" t="inlineStr">
        <is>
          <t>페이스북/인스타그램</t>
        </is>
      </c>
      <c r="E6075" s="20" t="inlineStr">
        <is>
          <t>고체향수</t>
        </is>
      </c>
      <c r="K6075" s="20" t="n">
        <v>100475</v>
      </c>
    </row>
    <row r="6076">
      <c r="A6076" s="20" t="inlineStr">
        <is>
          <t>[다현]스테이포에버_이미지</t>
        </is>
      </c>
      <c r="B6076" s="16" t="n">
        <v>44290</v>
      </c>
      <c r="C6076" s="20" t="inlineStr">
        <is>
          <t>일</t>
        </is>
      </c>
      <c r="D6076" s="20" t="inlineStr">
        <is>
          <t>페이스북/인스타그램</t>
        </is>
      </c>
      <c r="E6076" s="20" t="inlineStr">
        <is>
          <t>고체향수</t>
        </is>
      </c>
      <c r="K6076" s="20" t="n">
        <v>100679</v>
      </c>
    </row>
    <row r="6077">
      <c r="A6077" s="20" t="inlineStr">
        <is>
          <t>[승무원]스테이포에버_카드뉴스</t>
        </is>
      </c>
      <c r="B6077" s="16" t="n">
        <v>44290</v>
      </c>
      <c r="C6077" s="20" t="inlineStr">
        <is>
          <t>일</t>
        </is>
      </c>
      <c r="D6077" s="20" t="inlineStr">
        <is>
          <t>페이스북/인스타그램</t>
        </is>
      </c>
      <c r="E6077" s="20" t="inlineStr">
        <is>
          <t>고체향수</t>
        </is>
      </c>
      <c r="K6077" s="20" t="n">
        <v>101225</v>
      </c>
    </row>
    <row r="6078">
      <c r="A6078" s="20" t="inlineStr">
        <is>
          <t>[후기타입]스테이포에버_영상</t>
        </is>
      </c>
      <c r="B6078" s="16" t="n">
        <v>44290</v>
      </c>
      <c r="C6078" s="20" t="inlineStr">
        <is>
          <t>일</t>
        </is>
      </c>
      <c r="D6078" s="20" t="inlineStr">
        <is>
          <t>페이스북/인스타그램</t>
        </is>
      </c>
      <c r="E6078" s="20" t="inlineStr">
        <is>
          <t>고체향수</t>
        </is>
      </c>
      <c r="K6078" s="20" t="n">
        <v>150388</v>
      </c>
    </row>
    <row r="6079">
      <c r="A6079" s="20" t="inlineStr">
        <is>
          <t>전환_스테이포에버</t>
        </is>
      </c>
      <c r="B6079" s="16" t="n">
        <v>44290</v>
      </c>
      <c r="C6079" s="20" t="inlineStr">
        <is>
          <t>일</t>
        </is>
      </c>
      <c r="D6079" s="20" t="inlineStr">
        <is>
          <t>페이스북/인스타그램</t>
        </is>
      </c>
      <c r="E6079" s="20" t="inlineStr">
        <is>
          <t>고체향수</t>
        </is>
      </c>
      <c r="K6079" s="20" t="n">
        <v>50037</v>
      </c>
    </row>
    <row r="6080">
      <c r="A6080" s="20" t="inlineStr">
        <is>
          <t>[권태기커플]스테이포에버_영상</t>
        </is>
      </c>
      <c r="B6080" s="16" t="n">
        <v>44290</v>
      </c>
      <c r="C6080" s="20" t="inlineStr">
        <is>
          <t>일</t>
        </is>
      </c>
      <c r="D6080" s="20" t="inlineStr">
        <is>
          <t>페이스북/인스타그램</t>
        </is>
      </c>
      <c r="E6080" s="20" t="inlineStr">
        <is>
          <t>고체향수</t>
        </is>
      </c>
      <c r="K6080" s="20" t="n">
        <v>75103</v>
      </c>
    </row>
    <row r="6081">
      <c r="A6081" s="20" t="inlineStr">
        <is>
          <t>웹사이트 트래픽 서치</t>
        </is>
      </c>
      <c r="B6081" s="16" t="n">
        <v>44288</v>
      </c>
      <c r="C6081" s="20" t="inlineStr">
        <is>
          <t>금</t>
        </is>
      </c>
      <c r="D6081" s="20" t="inlineStr">
        <is>
          <t>유튜브 광고</t>
        </is>
      </c>
      <c r="E6081" s="20" t="inlineStr">
        <is>
          <t>고체향수</t>
        </is>
      </c>
      <c r="K6081" s="20" t="n">
        <v>34462</v>
      </c>
    </row>
    <row r="6082">
      <c r="A6082" s="20" t="inlineStr">
        <is>
          <t>동영상캠페인_승무원_보이는 라디오(cpa)</t>
        </is>
      </c>
      <c r="B6082" s="16" t="n">
        <v>44288</v>
      </c>
      <c r="C6082" s="20" t="inlineStr">
        <is>
          <t>금</t>
        </is>
      </c>
      <c r="D6082" s="20" t="inlineStr">
        <is>
          <t>유튜브 광고</t>
        </is>
      </c>
      <c r="E6082" s="20" t="inlineStr">
        <is>
          <t>고체향수</t>
        </is>
      </c>
      <c r="K6082" s="20" t="n">
        <v>49712</v>
      </c>
    </row>
    <row r="6083">
      <c r="A6083" s="20" t="inlineStr">
        <is>
          <t>디스커버리 배너_승무원,할인_리마케팅</t>
        </is>
      </c>
      <c r="B6083" s="16" t="n">
        <v>44288</v>
      </c>
      <c r="C6083" s="20" t="inlineStr">
        <is>
          <t>금</t>
        </is>
      </c>
      <c r="D6083" s="20" t="inlineStr">
        <is>
          <t>유튜브 광고</t>
        </is>
      </c>
      <c r="E6083" s="20" t="inlineStr">
        <is>
          <t>고체향수</t>
        </is>
      </c>
      <c r="K6083" s="20" t="n">
        <v>536993</v>
      </c>
    </row>
    <row r="6084">
      <c r="A6084" s="20" t="inlineStr">
        <is>
          <t>동영상캠페인_승무원_써니스카이</t>
        </is>
      </c>
      <c r="B6084" s="16" t="n">
        <v>44288</v>
      </c>
      <c r="C6084" s="20" t="inlineStr">
        <is>
          <t>금</t>
        </is>
      </c>
      <c r="D6084" s="20" t="inlineStr">
        <is>
          <t>유튜브 광고</t>
        </is>
      </c>
      <c r="E6084" s="20" t="inlineStr">
        <is>
          <t>고체향수</t>
        </is>
      </c>
      <c r="K6084" s="20" t="n">
        <v>506420</v>
      </c>
    </row>
    <row r="6085">
      <c r="A6085" s="20" t="inlineStr">
        <is>
          <t>동영상캠페인_필라테스_자기관리(타겟 cpa)</t>
        </is>
      </c>
      <c r="B6085" s="16" t="n">
        <v>44288</v>
      </c>
      <c r="C6085" s="20" t="inlineStr">
        <is>
          <t>금</t>
        </is>
      </c>
      <c r="D6085" s="20" t="inlineStr">
        <is>
          <t>유튜브 광고</t>
        </is>
      </c>
      <c r="E6085" s="20" t="inlineStr">
        <is>
          <t>고체향수</t>
        </is>
      </c>
      <c r="K6085" s="20" t="n">
        <v>151046</v>
      </c>
    </row>
    <row r="6086">
      <c r="A6086" s="20" t="inlineStr">
        <is>
          <t>동영상캠페인_승무원_비누향 나는 승무원에게(cpa)</t>
        </is>
      </c>
      <c r="B6086" s="16" t="n">
        <v>44288</v>
      </c>
      <c r="C6086" s="20" t="inlineStr">
        <is>
          <t>금</t>
        </is>
      </c>
      <c r="D6086" s="20" t="inlineStr">
        <is>
          <t>유튜브 광고</t>
        </is>
      </c>
      <c r="E6086" s="20" t="inlineStr">
        <is>
          <t>고체향수</t>
        </is>
      </c>
      <c r="K6086" s="20" t="n">
        <v>4020</v>
      </c>
    </row>
    <row r="6087">
      <c r="A6087" s="20" t="inlineStr">
        <is>
          <t>동영상캠페인_유즈모먼트_2차_30대 여성 회사원(cpa)</t>
        </is>
      </c>
      <c r="B6087" s="16" t="n">
        <v>44288</v>
      </c>
      <c r="C6087" s="20" t="inlineStr">
        <is>
          <t>금</t>
        </is>
      </c>
      <c r="D6087" s="20" t="inlineStr">
        <is>
          <t>유튜브 광고</t>
        </is>
      </c>
      <c r="E6087" s="20" t="inlineStr">
        <is>
          <t>고체향수</t>
        </is>
      </c>
      <c r="K6087" s="20" t="n">
        <v>110863</v>
      </c>
    </row>
    <row r="6088">
      <c r="A6088" s="20" t="inlineStr">
        <is>
          <t>동영상캠페인_유즈모먼트_조향사 친구(cpa)</t>
        </is>
      </c>
      <c r="B6088" s="16" t="n">
        <v>44288</v>
      </c>
      <c r="C6088" s="20" t="inlineStr">
        <is>
          <t>금</t>
        </is>
      </c>
      <c r="D6088" s="20" t="inlineStr">
        <is>
          <t>유튜브 광고</t>
        </is>
      </c>
      <c r="E6088" s="20" t="inlineStr">
        <is>
          <t>고체향수</t>
        </is>
      </c>
      <c r="K6088" s="20" t="n">
        <v>109003</v>
      </c>
    </row>
    <row r="6089">
      <c r="A6089" s="20" t="inlineStr">
        <is>
          <t>동영상 캠페인_유튜버 수지큐 2차활용</t>
        </is>
      </c>
      <c r="B6089" s="16" t="n">
        <v>44288</v>
      </c>
      <c r="C6089" s="20" t="inlineStr">
        <is>
          <t>금</t>
        </is>
      </c>
      <c r="D6089" s="20" t="inlineStr">
        <is>
          <t>유튜브 광고</t>
        </is>
      </c>
      <c r="E6089" s="20" t="inlineStr">
        <is>
          <t>고체향수</t>
        </is>
      </c>
      <c r="K6089" s="20" t="n">
        <v>299255</v>
      </c>
    </row>
    <row r="6090">
      <c r="A6090" s="20" t="inlineStr">
        <is>
          <t>동영상캠페인_유즈모먼트_4화_강한향대신</t>
        </is>
      </c>
      <c r="B6090" s="16" t="n">
        <v>44288</v>
      </c>
      <c r="C6090" s="20" t="inlineStr">
        <is>
          <t>금</t>
        </is>
      </c>
      <c r="D6090" s="20" t="inlineStr">
        <is>
          <t>유튜브 광고</t>
        </is>
      </c>
      <c r="E6090" s="20" t="inlineStr">
        <is>
          <t>고체향수</t>
        </is>
      </c>
      <c r="K6090" s="20" t="n">
        <v>101151</v>
      </c>
    </row>
    <row r="6091">
      <c r="A6091" s="20" t="inlineStr">
        <is>
          <t>[5화자] 동영상 캠페인_벨라의 비행일기</t>
        </is>
      </c>
      <c r="B6091" s="16" t="n">
        <v>44288</v>
      </c>
      <c r="C6091" s="20" t="inlineStr">
        <is>
          <t>금</t>
        </is>
      </c>
      <c r="D6091" s="20">
        <f>VLOOKUP($A6091,매칭테이블!$B$548:$D$1048576,2,0)</f>
        <v/>
      </c>
      <c r="E6091" s="20" t="inlineStr">
        <is>
          <t>고체향수</t>
        </is>
      </c>
      <c r="K6091" s="20" t="n">
        <v>101217</v>
      </c>
    </row>
    <row r="6092">
      <c r="A6092" s="20" t="inlineStr">
        <is>
          <t>[5화자] 동영상 캠페인_비행하고 여행하는 은선씨</t>
        </is>
      </c>
      <c r="B6092" s="16" t="n">
        <v>44288</v>
      </c>
      <c r="C6092" s="20" t="inlineStr">
        <is>
          <t>금</t>
        </is>
      </c>
      <c r="D6092" s="20">
        <f>VLOOKUP($A6092,매칭테이블!$B$548:$D$1048576,2,0)</f>
        <v/>
      </c>
      <c r="E6092" s="20" t="inlineStr">
        <is>
          <t>고체향수</t>
        </is>
      </c>
      <c r="K6092" s="20" t="n">
        <v>101473</v>
      </c>
    </row>
    <row r="6093">
      <c r="A6093" s="20" t="inlineStr">
        <is>
          <t>웹사이트 트래픽 서치</t>
        </is>
      </c>
      <c r="B6093" s="16" t="n">
        <v>44289</v>
      </c>
      <c r="C6093" s="20" t="inlineStr">
        <is>
          <t>토</t>
        </is>
      </c>
      <c r="D6093" s="20">
        <f>VLOOKUP($A6093,매칭테이블!$B$548:$D$1048576,2,0)</f>
        <v/>
      </c>
      <c r="E6093" s="20" t="inlineStr">
        <is>
          <t>고체향수</t>
        </is>
      </c>
      <c r="K6093" s="20" t="n">
        <v>43898</v>
      </c>
    </row>
    <row r="6094">
      <c r="A6094" s="20" t="inlineStr">
        <is>
          <t>동영상캠페인_승무원_보이는 라디오(cpa)</t>
        </is>
      </c>
      <c r="B6094" s="16" t="n">
        <v>44289</v>
      </c>
      <c r="C6094" s="20" t="inlineStr">
        <is>
          <t>토</t>
        </is>
      </c>
      <c r="D6094" s="20" t="inlineStr">
        <is>
          <t>유튜브 광고</t>
        </is>
      </c>
      <c r="E6094" s="20" t="inlineStr">
        <is>
          <t>고체향수</t>
        </is>
      </c>
      <c r="K6094" s="20" t="n">
        <v>192728</v>
      </c>
    </row>
    <row r="6095">
      <c r="A6095" s="20" t="inlineStr">
        <is>
          <t>디스커버리 배너_승무원,할인_리마케팅</t>
        </is>
      </c>
      <c r="B6095" s="16" t="n">
        <v>44289</v>
      </c>
      <c r="C6095" s="20" t="inlineStr">
        <is>
          <t>토</t>
        </is>
      </c>
      <c r="D6095" s="20" t="inlineStr">
        <is>
          <t>유튜브 광고</t>
        </is>
      </c>
      <c r="E6095" s="20" t="inlineStr">
        <is>
          <t>고체향수</t>
        </is>
      </c>
      <c r="K6095" s="20" t="n">
        <v>518683</v>
      </c>
    </row>
    <row r="6096">
      <c r="A6096" s="20" t="inlineStr">
        <is>
          <t>동영상캠페인_승무원_써니스카이</t>
        </is>
      </c>
      <c r="B6096" s="16" t="n">
        <v>44289</v>
      </c>
      <c r="C6096" s="20" t="inlineStr">
        <is>
          <t>토</t>
        </is>
      </c>
      <c r="D6096" s="20" t="inlineStr">
        <is>
          <t>유튜브 광고</t>
        </is>
      </c>
      <c r="E6096" s="20" t="inlineStr">
        <is>
          <t>고체향수</t>
        </is>
      </c>
      <c r="K6096" s="20" t="n">
        <v>506427</v>
      </c>
    </row>
    <row r="6097">
      <c r="A6097" s="20" t="inlineStr">
        <is>
          <t>동영상캠페인_필라테스_자기관리(타겟 cpa)</t>
        </is>
      </c>
      <c r="B6097" s="16" t="n">
        <v>44289</v>
      </c>
      <c r="C6097" s="20" t="inlineStr">
        <is>
          <t>토</t>
        </is>
      </c>
      <c r="D6097" s="20" t="inlineStr">
        <is>
          <t>유튜브 광고</t>
        </is>
      </c>
      <c r="E6097" s="20" t="inlineStr">
        <is>
          <t>고체향수</t>
        </is>
      </c>
      <c r="K6097" s="20" t="n">
        <v>146466</v>
      </c>
    </row>
    <row r="6098">
      <c r="A6098" s="20" t="inlineStr">
        <is>
          <t>동영상캠페인_승무원_비누향 나는 승무원에게(cpa)</t>
        </is>
      </c>
      <c r="B6098" s="16" t="n">
        <v>44289</v>
      </c>
      <c r="C6098" s="20" t="inlineStr">
        <is>
          <t>토</t>
        </is>
      </c>
      <c r="D6098" s="20" t="inlineStr">
        <is>
          <t>유튜브 광고</t>
        </is>
      </c>
      <c r="E6098" s="20" t="inlineStr">
        <is>
          <t>고체향수</t>
        </is>
      </c>
      <c r="K6098" s="20" t="n">
        <v>37156</v>
      </c>
    </row>
    <row r="6099">
      <c r="A6099" s="20" t="inlineStr">
        <is>
          <t>동영상캠페인_유즈모먼트_2차_30대 여성 회사원(cpa)</t>
        </is>
      </c>
      <c r="B6099" s="16" t="n">
        <v>44289</v>
      </c>
      <c r="C6099" s="20" t="inlineStr">
        <is>
          <t>토</t>
        </is>
      </c>
      <c r="D6099" s="20" t="inlineStr">
        <is>
          <t>유튜브 광고</t>
        </is>
      </c>
      <c r="E6099" s="20" t="inlineStr">
        <is>
          <t>고체향수</t>
        </is>
      </c>
      <c r="K6099" s="20" t="n">
        <v>109696</v>
      </c>
    </row>
    <row r="6100">
      <c r="A6100" s="20" t="inlineStr">
        <is>
          <t>동영상캠페인_유즈모먼트_조향사 친구(cpa)</t>
        </is>
      </c>
      <c r="B6100" s="16" t="n">
        <v>44289</v>
      </c>
      <c r="C6100" s="20" t="inlineStr">
        <is>
          <t>토</t>
        </is>
      </c>
      <c r="D6100" s="20" t="inlineStr">
        <is>
          <t>유튜브 광고</t>
        </is>
      </c>
      <c r="E6100" s="20" t="inlineStr">
        <is>
          <t>고체향수</t>
        </is>
      </c>
      <c r="K6100" s="20" t="n">
        <v>104588</v>
      </c>
    </row>
    <row r="6101">
      <c r="A6101" s="20" t="inlineStr">
        <is>
          <t>동영상 캠페인_유튜버 수지큐 2차활용</t>
        </is>
      </c>
      <c r="B6101" s="16" t="n">
        <v>44289</v>
      </c>
      <c r="C6101" s="20" t="inlineStr">
        <is>
          <t>토</t>
        </is>
      </c>
      <c r="D6101" s="20" t="inlineStr">
        <is>
          <t>유튜브 광고</t>
        </is>
      </c>
      <c r="E6101" s="20" t="inlineStr">
        <is>
          <t>고체향수</t>
        </is>
      </c>
      <c r="K6101" s="20" t="n">
        <v>299926</v>
      </c>
    </row>
    <row r="6102">
      <c r="A6102" s="20" t="inlineStr">
        <is>
          <t>동영상캠페인_유즈모먼트_4화_강한향대신</t>
        </is>
      </c>
      <c r="B6102" s="16" t="n">
        <v>44289</v>
      </c>
      <c r="C6102" s="20" t="inlineStr">
        <is>
          <t>토</t>
        </is>
      </c>
      <c r="D6102" s="20" t="inlineStr">
        <is>
          <t>유튜브 광고</t>
        </is>
      </c>
      <c r="E6102" s="20" t="inlineStr">
        <is>
          <t>고체향수</t>
        </is>
      </c>
      <c r="K6102" s="20" t="n">
        <v>101237</v>
      </c>
    </row>
    <row r="6103">
      <c r="A6103" s="20" t="inlineStr">
        <is>
          <t>[5화자] 동영상 캠페인_벨라의 비행일기</t>
        </is>
      </c>
      <c r="B6103" s="16" t="n">
        <v>44289</v>
      </c>
      <c r="C6103" s="20" t="inlineStr">
        <is>
          <t>토</t>
        </is>
      </c>
      <c r="D6103" s="20">
        <f>VLOOKUP($A6103,매칭테이블!$B$548:$D$1048576,2,0)</f>
        <v/>
      </c>
      <c r="E6103" s="20" t="inlineStr">
        <is>
          <t>고체향수</t>
        </is>
      </c>
      <c r="K6103" s="20" t="n">
        <v>101207</v>
      </c>
    </row>
    <row r="6104">
      <c r="A6104" s="20" t="inlineStr">
        <is>
          <t>[5화자] 동영상 캠페인_비행하고 여행하는 은선씨</t>
        </is>
      </c>
      <c r="B6104" s="16" t="n">
        <v>44289</v>
      </c>
      <c r="C6104" s="20" t="inlineStr">
        <is>
          <t>토</t>
        </is>
      </c>
      <c r="D6104" s="20">
        <f>VLOOKUP($A6104,매칭테이블!$B$548:$D$1048576,2,0)</f>
        <v/>
      </c>
      <c r="E6104" s="20" t="inlineStr">
        <is>
          <t>고체향수</t>
        </is>
      </c>
      <c r="K6104" s="20" t="n">
        <v>101329</v>
      </c>
    </row>
    <row r="6105">
      <c r="A6105" s="20" t="inlineStr">
        <is>
          <t>웹사이트 트래픽 서치</t>
        </is>
      </c>
      <c r="B6105" s="16" t="n">
        <v>44290</v>
      </c>
      <c r="C6105" s="20" t="inlineStr">
        <is>
          <t>일</t>
        </is>
      </c>
      <c r="D6105" s="20" t="inlineStr">
        <is>
          <t>유튜브 광고</t>
        </is>
      </c>
      <c r="E6105" s="20" t="inlineStr">
        <is>
          <t>고체향수</t>
        </is>
      </c>
      <c r="K6105" s="20" t="n">
        <v>32018</v>
      </c>
    </row>
    <row r="6106">
      <c r="A6106" s="20" t="inlineStr">
        <is>
          <t>동영상캠페인_승무원_보이는 라디오(cpa)</t>
        </is>
      </c>
      <c r="B6106" s="16" t="n">
        <v>44290</v>
      </c>
      <c r="C6106" s="20" t="inlineStr">
        <is>
          <t>일</t>
        </is>
      </c>
      <c r="D6106" s="20" t="inlineStr">
        <is>
          <t>유튜브 광고</t>
        </is>
      </c>
      <c r="E6106" s="20" t="inlineStr">
        <is>
          <t>고체향수</t>
        </is>
      </c>
      <c r="K6106" s="20" t="n">
        <v>207156</v>
      </c>
    </row>
    <row r="6107">
      <c r="A6107" s="20" t="inlineStr">
        <is>
          <t>디스커버리 배너_승무원,할인_리마케팅</t>
        </is>
      </c>
      <c r="B6107" s="16" t="n">
        <v>44290</v>
      </c>
      <c r="C6107" s="20" t="inlineStr">
        <is>
          <t>일</t>
        </is>
      </c>
      <c r="D6107" s="20" t="inlineStr">
        <is>
          <t>유튜브 광고</t>
        </is>
      </c>
      <c r="E6107" s="20" t="inlineStr">
        <is>
          <t>고체향수</t>
        </is>
      </c>
      <c r="K6107" s="20" t="n">
        <v>482545</v>
      </c>
    </row>
    <row r="6108">
      <c r="A6108" s="20" t="inlineStr">
        <is>
          <t>동영상캠페인_승무원_써니스카이</t>
        </is>
      </c>
      <c r="B6108" s="16" t="n">
        <v>44290</v>
      </c>
      <c r="C6108" s="20" t="inlineStr">
        <is>
          <t>일</t>
        </is>
      </c>
      <c r="D6108" s="20" t="inlineStr">
        <is>
          <t>유튜브 광고</t>
        </is>
      </c>
      <c r="E6108" s="20" t="inlineStr">
        <is>
          <t>고체향수</t>
        </is>
      </c>
      <c r="K6108" s="20" t="n">
        <v>507016</v>
      </c>
    </row>
    <row r="6109">
      <c r="A6109" s="20" t="inlineStr">
        <is>
          <t>동영상캠페인_필라테스_자기관리(타겟 cpa)</t>
        </is>
      </c>
      <c r="B6109" s="16" t="n">
        <v>44290</v>
      </c>
      <c r="C6109" s="20" t="inlineStr">
        <is>
          <t>일</t>
        </is>
      </c>
      <c r="D6109" s="20" t="inlineStr">
        <is>
          <t>유튜브 광고</t>
        </is>
      </c>
      <c r="E6109" s="20" t="inlineStr">
        <is>
          <t>고체향수</t>
        </is>
      </c>
      <c r="K6109" s="20" t="n">
        <v>115954</v>
      </c>
    </row>
    <row r="6110">
      <c r="A6110" s="20" t="inlineStr">
        <is>
          <t>동영상캠페인_승무원_비누향 나는 승무원에게(cpa)</t>
        </is>
      </c>
      <c r="B6110" s="16" t="n">
        <v>44290</v>
      </c>
      <c r="C6110" s="20" t="inlineStr">
        <is>
          <t>일</t>
        </is>
      </c>
      <c r="D6110" s="20" t="inlineStr">
        <is>
          <t>유튜브 광고</t>
        </is>
      </c>
      <c r="E6110" s="20" t="inlineStr">
        <is>
          <t>고체향수</t>
        </is>
      </c>
      <c r="K6110" s="20" t="n">
        <v>19633</v>
      </c>
    </row>
    <row r="6111">
      <c r="A6111" s="20" t="inlineStr">
        <is>
          <t>동영상캠페인_유즈모먼트_2차_30대 여성 회사원(cpa)</t>
        </is>
      </c>
      <c r="B6111" s="16" t="n">
        <v>44290</v>
      </c>
      <c r="C6111" s="20" t="inlineStr">
        <is>
          <t>일</t>
        </is>
      </c>
      <c r="D6111" s="20" t="inlineStr">
        <is>
          <t>유튜브 광고</t>
        </is>
      </c>
      <c r="E6111" s="20" t="inlineStr">
        <is>
          <t>고체향수</t>
        </is>
      </c>
      <c r="K6111" s="20" t="n">
        <v>109321</v>
      </c>
    </row>
    <row r="6112">
      <c r="A6112" s="20" t="inlineStr">
        <is>
          <t>동영상캠페인_유즈모먼트_조향사 친구(cpa)</t>
        </is>
      </c>
      <c r="B6112" s="16" t="n">
        <v>44290</v>
      </c>
      <c r="C6112" s="20" t="inlineStr">
        <is>
          <t>일</t>
        </is>
      </c>
      <c r="D6112" s="20" t="inlineStr">
        <is>
          <t>유튜브 광고</t>
        </is>
      </c>
      <c r="E6112" s="20" t="inlineStr">
        <is>
          <t>고체향수</t>
        </is>
      </c>
      <c r="K6112" s="20" t="n">
        <v>100496</v>
      </c>
    </row>
    <row r="6113">
      <c r="A6113" s="20" t="inlineStr">
        <is>
          <t>동영상 캠페인_유튜버 수지큐 2차활용</t>
        </is>
      </c>
      <c r="B6113" s="16" t="n">
        <v>44290</v>
      </c>
      <c r="C6113" s="20" t="inlineStr">
        <is>
          <t>일</t>
        </is>
      </c>
      <c r="D6113" s="20" t="inlineStr">
        <is>
          <t>유튜브 광고</t>
        </is>
      </c>
      <c r="E6113" s="20" t="inlineStr">
        <is>
          <t>고체향수</t>
        </is>
      </c>
      <c r="K6113" s="20" t="n">
        <v>300429</v>
      </c>
    </row>
    <row r="6114">
      <c r="A6114" s="20" t="inlineStr">
        <is>
          <t>동영상캠페인_유즈모먼트_4화_강한향대신</t>
        </is>
      </c>
      <c r="B6114" s="16" t="n">
        <v>44290</v>
      </c>
      <c r="C6114" s="20" t="inlineStr">
        <is>
          <t>일</t>
        </is>
      </c>
      <c r="D6114" s="20" t="inlineStr">
        <is>
          <t>유튜브 광고</t>
        </is>
      </c>
      <c r="E6114" s="20" t="inlineStr">
        <is>
          <t>고체향수</t>
        </is>
      </c>
      <c r="K6114" s="20" t="n">
        <v>101518</v>
      </c>
    </row>
    <row r="6115">
      <c r="A6115" s="20" t="inlineStr">
        <is>
          <t>[5화자] 동영상 캠페인_벨라의 비행일기</t>
        </is>
      </c>
      <c r="B6115" s="16" t="n">
        <v>44290</v>
      </c>
      <c r="C6115" s="20" t="inlineStr">
        <is>
          <t>일</t>
        </is>
      </c>
      <c r="D6115" s="20">
        <f>VLOOKUP($A6115,매칭테이블!$B$548:$D$1048576,2,0)</f>
        <v/>
      </c>
      <c r="E6115" s="20" t="inlineStr">
        <is>
          <t>고체향수</t>
        </is>
      </c>
      <c r="K6115" s="20" t="n">
        <v>101273</v>
      </c>
    </row>
    <row r="6116">
      <c r="A6116" s="20" t="inlineStr">
        <is>
          <t>[5화자] 동영상 캠페인_비행하고 여행하는 은선씨</t>
        </is>
      </c>
      <c r="B6116" s="16" t="n">
        <v>44290</v>
      </c>
      <c r="C6116" s="20" t="inlineStr">
        <is>
          <t>일</t>
        </is>
      </c>
      <c r="D6116" s="20">
        <f>VLOOKUP($A6116,매칭테이블!$B$548:$D$1048576,2,0)</f>
        <v/>
      </c>
      <c r="E6116" s="20" t="inlineStr">
        <is>
          <t>고체향수</t>
        </is>
      </c>
      <c r="K6116" s="20" t="n">
        <v>101316</v>
      </c>
    </row>
    <row r="6117">
      <c r="A6117" s="20" t="inlineStr">
        <is>
          <t>메인키워드</t>
        </is>
      </c>
      <c r="B6117" s="16" t="n">
        <v>44290</v>
      </c>
      <c r="C6117" s="20" t="inlineStr">
        <is>
          <t>일</t>
        </is>
      </c>
      <c r="D6117" s="20" t="inlineStr">
        <is>
          <t>네이버 쇼핑검색</t>
        </is>
      </c>
      <c r="E6117" s="20" t="inlineStr">
        <is>
          <t>고체향수</t>
        </is>
      </c>
      <c r="K6117" s="20" t="n">
        <v>0</v>
      </c>
    </row>
    <row r="6118">
      <c r="A6118" s="20" t="inlineStr">
        <is>
          <t>세부키워드3</t>
        </is>
      </c>
      <c r="B6118" s="16" t="n">
        <v>44290</v>
      </c>
      <c r="C6118" s="20" t="inlineStr">
        <is>
          <t>일</t>
        </is>
      </c>
      <c r="D6118" s="20" t="inlineStr">
        <is>
          <t>네이버 쇼핑검색</t>
        </is>
      </c>
      <c r="E6118" s="20" t="inlineStr">
        <is>
          <t>고체향수</t>
        </is>
      </c>
      <c r="K6118" s="20" t="n">
        <v>0</v>
      </c>
    </row>
    <row r="6119">
      <c r="A6119" s="20" t="inlineStr">
        <is>
          <t>모바일 브검</t>
        </is>
      </c>
      <c r="B6119" s="16" t="n">
        <v>44290</v>
      </c>
      <c r="C6119" s="20" t="inlineStr">
        <is>
          <t>일</t>
        </is>
      </c>
      <c r="D6119" s="20" t="inlineStr">
        <is>
          <t>네이버 브랜드검색</t>
        </is>
      </c>
      <c r="E6119" s="20" t="inlineStr">
        <is>
          <t>브랜드</t>
        </is>
      </c>
      <c r="K6119" s="20" t="n">
        <v>140000</v>
      </c>
    </row>
    <row r="6120">
      <c r="A6120" s="20" t="inlineStr">
        <is>
          <t>PC 브랜드검색</t>
        </is>
      </c>
      <c r="B6120" s="16" t="n">
        <v>44290</v>
      </c>
      <c r="C6120" s="20" t="inlineStr">
        <is>
          <t>일</t>
        </is>
      </c>
      <c r="D6120" s="20" t="inlineStr">
        <is>
          <t>네이버 브랜드검색</t>
        </is>
      </c>
      <c r="E6120" s="20" t="inlineStr">
        <is>
          <t>브랜드</t>
        </is>
      </c>
      <c r="K6120" s="20" t="n">
        <v>16700</v>
      </c>
    </row>
    <row r="6121">
      <c r="A6121" s="20" t="inlineStr">
        <is>
          <t>메인키워드</t>
        </is>
      </c>
      <c r="B6121" s="16" t="n">
        <v>44289</v>
      </c>
      <c r="C6121" s="20" t="inlineStr">
        <is>
          <t>토</t>
        </is>
      </c>
      <c r="D6121" s="20" t="inlineStr">
        <is>
          <t>네이버 쇼핑검색</t>
        </is>
      </c>
      <c r="E6121" s="20" t="inlineStr">
        <is>
          <t>고체향수</t>
        </is>
      </c>
      <c r="K6121" s="20" t="n">
        <v>2460</v>
      </c>
    </row>
    <row r="6122">
      <c r="A6122" s="20" t="inlineStr">
        <is>
          <t>세부키워드1</t>
        </is>
      </c>
      <c r="B6122" s="16" t="n">
        <v>44289</v>
      </c>
      <c r="C6122" s="20" t="inlineStr">
        <is>
          <t>토</t>
        </is>
      </c>
      <c r="D6122" s="20" t="inlineStr">
        <is>
          <t>네이버 쇼핑검색</t>
        </is>
      </c>
      <c r="E6122" s="20" t="inlineStr">
        <is>
          <t>고체향수</t>
        </is>
      </c>
      <c r="K6122" s="20" t="n">
        <v>0</v>
      </c>
    </row>
    <row r="6123">
      <c r="A6123" s="20" t="inlineStr">
        <is>
          <t>세부키워드3</t>
        </is>
      </c>
      <c r="B6123" s="16" t="n">
        <v>44289</v>
      </c>
      <c r="C6123" s="20" t="inlineStr">
        <is>
          <t>토</t>
        </is>
      </c>
      <c r="D6123" s="20" t="inlineStr">
        <is>
          <t>네이버 쇼핑검색</t>
        </is>
      </c>
      <c r="E6123" s="20" t="inlineStr">
        <is>
          <t>고체향수</t>
        </is>
      </c>
      <c r="K6123" s="20" t="n">
        <v>20450</v>
      </c>
    </row>
    <row r="6124">
      <c r="A6124" s="20" t="inlineStr">
        <is>
          <t>모바일 브검</t>
        </is>
      </c>
      <c r="B6124" s="16" t="n">
        <v>44289</v>
      </c>
      <c r="C6124" s="20" t="inlineStr">
        <is>
          <t>토</t>
        </is>
      </c>
      <c r="D6124" s="20" t="inlineStr">
        <is>
          <t>네이버 브랜드검색</t>
        </is>
      </c>
      <c r="E6124" s="20" t="inlineStr">
        <is>
          <t>브랜드</t>
        </is>
      </c>
      <c r="K6124" s="20" t="n">
        <v>140000</v>
      </c>
    </row>
    <row r="6125">
      <c r="A6125" s="20" t="inlineStr">
        <is>
          <t>PC 브랜드검색</t>
        </is>
      </c>
      <c r="B6125" s="16" t="n">
        <v>44289</v>
      </c>
      <c r="C6125" s="20" t="inlineStr">
        <is>
          <t>토</t>
        </is>
      </c>
      <c r="D6125" s="20" t="inlineStr">
        <is>
          <t>네이버 브랜드검색</t>
        </is>
      </c>
      <c r="E6125" s="20" t="inlineStr">
        <is>
          <t>브랜드</t>
        </is>
      </c>
      <c r="K6125" s="20" t="n">
        <v>16700</v>
      </c>
    </row>
    <row r="6126">
      <c r="A6126" s="20" t="inlineStr">
        <is>
          <t>메인키워드</t>
        </is>
      </c>
      <c r="B6126" s="16" t="n">
        <v>44288</v>
      </c>
      <c r="C6126" s="20" t="inlineStr">
        <is>
          <t>금</t>
        </is>
      </c>
      <c r="D6126" s="20" t="inlineStr">
        <is>
          <t>네이버 쇼핑검색</t>
        </is>
      </c>
      <c r="E6126" s="20" t="inlineStr">
        <is>
          <t>고체향수</t>
        </is>
      </c>
      <c r="K6126" s="20" t="n">
        <v>25050</v>
      </c>
    </row>
    <row r="6127">
      <c r="A6127" s="20" t="inlineStr">
        <is>
          <t>세부키워드1</t>
        </is>
      </c>
      <c r="B6127" s="16" t="n">
        <v>44288</v>
      </c>
      <c r="C6127" s="20" t="inlineStr">
        <is>
          <t>금</t>
        </is>
      </c>
      <c r="D6127" s="20" t="inlineStr">
        <is>
          <t>네이버 쇼핑검색</t>
        </is>
      </c>
      <c r="E6127" s="20" t="inlineStr">
        <is>
          <t>고체향수</t>
        </is>
      </c>
      <c r="K6127" s="20" t="n">
        <v>0</v>
      </c>
    </row>
    <row r="6128">
      <c r="A6128" s="20" t="inlineStr">
        <is>
          <t>세부키워드3</t>
        </is>
      </c>
      <c r="B6128" s="16" t="n">
        <v>44288</v>
      </c>
      <c r="C6128" s="20" t="inlineStr">
        <is>
          <t>금</t>
        </is>
      </c>
      <c r="D6128" s="20" t="inlineStr">
        <is>
          <t>네이버 쇼핑검색</t>
        </is>
      </c>
      <c r="E6128" s="20" t="inlineStr">
        <is>
          <t>고체향수</t>
        </is>
      </c>
      <c r="K6128" s="20" t="n">
        <v>110740</v>
      </c>
    </row>
    <row r="6129">
      <c r="A6129" s="20" t="inlineStr">
        <is>
          <t>모바일 브검</t>
        </is>
      </c>
      <c r="B6129" s="16" t="n">
        <v>44288</v>
      </c>
      <c r="C6129" s="20" t="inlineStr">
        <is>
          <t>금</t>
        </is>
      </c>
      <c r="D6129" s="20" t="inlineStr">
        <is>
          <t>네이버 브랜드검색</t>
        </is>
      </c>
      <c r="E6129" s="20" t="inlineStr">
        <is>
          <t>브랜드</t>
        </is>
      </c>
      <c r="K6129" s="20" t="n">
        <v>140000</v>
      </c>
    </row>
    <row r="6130">
      <c r="A6130" s="20" t="inlineStr">
        <is>
          <t>PC 브랜드검색</t>
        </is>
      </c>
      <c r="B6130" s="16" t="n">
        <v>44288</v>
      </c>
      <c r="C6130" s="20" t="inlineStr">
        <is>
          <t>금</t>
        </is>
      </c>
      <c r="D6130" s="20" t="inlineStr">
        <is>
          <t>네이버 브랜드검색</t>
        </is>
      </c>
      <c r="E6130" s="20" t="inlineStr">
        <is>
          <t>브랜드</t>
        </is>
      </c>
      <c r="K6130" s="20" t="n">
        <v>16700</v>
      </c>
    </row>
    <row r="6131">
      <c r="A6131" s="20" t="inlineStr">
        <is>
          <t>고체향수_승무원 어피_Npay 추적</t>
        </is>
      </c>
      <c r="B6131" s="16" t="n">
        <v>44288</v>
      </c>
      <c r="C6131" s="20" t="inlineStr">
        <is>
          <t>금</t>
        </is>
      </c>
      <c r="D6131" s="20" t="inlineStr">
        <is>
          <t>카카오 배너</t>
        </is>
      </c>
      <c r="E6131" s="20" t="inlineStr">
        <is>
          <t>고체향수</t>
        </is>
      </c>
      <c r="K6131" s="20" t="n">
        <v>181850</v>
      </c>
    </row>
    <row r="6132">
      <c r="A6132" s="20" t="inlineStr">
        <is>
          <t>고체향수_Npay 추적</t>
        </is>
      </c>
      <c r="B6132" s="16" t="n">
        <v>44288</v>
      </c>
      <c r="C6132" s="20" t="inlineStr">
        <is>
          <t>금</t>
        </is>
      </c>
      <c r="D6132" s="20" t="inlineStr">
        <is>
          <t>카카오 배너</t>
        </is>
      </c>
      <c r="E6132" s="20" t="inlineStr">
        <is>
          <t>고체향수</t>
        </is>
      </c>
      <c r="K6132" s="20" t="n">
        <v>912219.9999999999</v>
      </c>
    </row>
    <row r="6133">
      <c r="A6133" s="20" t="inlineStr">
        <is>
          <t>고체향수_승무원 어피_Npay 추적</t>
        </is>
      </c>
      <c r="B6133" s="16" t="n">
        <v>44289</v>
      </c>
      <c r="C6133" s="20" t="inlineStr">
        <is>
          <t>토</t>
        </is>
      </c>
      <c r="D6133" s="20" t="inlineStr">
        <is>
          <t>카카오 배너</t>
        </is>
      </c>
      <c r="E6133" s="20" t="inlineStr">
        <is>
          <t>고체향수</t>
        </is>
      </c>
      <c r="K6133" s="20" t="n">
        <v>181840</v>
      </c>
    </row>
    <row r="6134">
      <c r="A6134" s="20" t="inlineStr">
        <is>
          <t>고체향수_Npay 추적</t>
        </is>
      </c>
      <c r="B6134" s="16" t="n">
        <v>44289</v>
      </c>
      <c r="C6134" s="20" t="inlineStr">
        <is>
          <t>토</t>
        </is>
      </c>
      <c r="D6134" s="20" t="inlineStr">
        <is>
          <t>카카오 배너</t>
        </is>
      </c>
      <c r="E6134" s="20" t="inlineStr">
        <is>
          <t>고체향수</t>
        </is>
      </c>
      <c r="K6134" s="20" t="n">
        <v>910269.9999999999</v>
      </c>
    </row>
    <row r="6135">
      <c r="A6135" s="20" t="inlineStr">
        <is>
          <t>고체향수_승무원 어피_Npay 추적</t>
        </is>
      </c>
      <c r="B6135" s="16" t="n">
        <v>44290</v>
      </c>
      <c r="C6135" s="20" t="inlineStr">
        <is>
          <t>일</t>
        </is>
      </c>
      <c r="D6135" s="20" t="inlineStr">
        <is>
          <t>카카오 배너</t>
        </is>
      </c>
      <c r="E6135" s="20" t="inlineStr">
        <is>
          <t>고체향수</t>
        </is>
      </c>
      <c r="K6135" s="20" t="n">
        <v>182430</v>
      </c>
    </row>
    <row r="6136">
      <c r="A6136" s="20" t="inlineStr">
        <is>
          <t>고체향수_Npay 추적</t>
        </is>
      </c>
      <c r="B6136" s="16" t="n">
        <v>44290</v>
      </c>
      <c r="C6136" s="20" t="inlineStr">
        <is>
          <t>일</t>
        </is>
      </c>
      <c r="D6136" s="20" t="inlineStr">
        <is>
          <t>카카오 배너</t>
        </is>
      </c>
      <c r="E6136" s="20" t="inlineStr">
        <is>
          <t>고체향수</t>
        </is>
      </c>
      <c r="K6136" s="20" t="n">
        <v>942769.9999999999</v>
      </c>
    </row>
    <row r="6137">
      <c r="B6137" s="16" t="n">
        <v>44288</v>
      </c>
      <c r="C6137" s="20" t="inlineStr">
        <is>
          <t>금</t>
        </is>
      </c>
      <c r="E6137" s="20" t="inlineStr">
        <is>
          <t>고체향수</t>
        </is>
      </c>
      <c r="F6137" s="20" t="inlineStr">
        <is>
          <t>W컨셉</t>
        </is>
      </c>
      <c r="G6137" s="20" t="inlineStr">
        <is>
          <t>솔리드퍼퓸 이그나이트/스테이포에버 30ml (2종 택1)&lt;옵션1&gt;001 IGNITE</t>
        </is>
      </c>
      <c r="H6137" s="20" t="n">
        <v>1</v>
      </c>
      <c r="I6137" s="20" t="inlineStr">
        <is>
          <t>이그나이트</t>
        </is>
      </c>
      <c r="J6137" s="20" t="inlineStr">
        <is>
          <t>210207</t>
        </is>
      </c>
      <c r="L6137" s="20" t="n">
        <v>34000</v>
      </c>
      <c r="M6137" s="20" t="n">
        <v>23800</v>
      </c>
      <c r="N6137" s="20" t="n">
        <v>2753</v>
      </c>
      <c r="O6137" s="20" t="inlineStr">
        <is>
          <t>W컨셉고체향수솔리드퍼퓸 이그나이트/스테이포에버 30ml (2종 택1)&lt;옵션1&gt;001 IGNITE210207</t>
        </is>
      </c>
    </row>
    <row r="6138">
      <c r="B6138" s="16" t="n">
        <v>44288</v>
      </c>
      <c r="C6138" s="20" t="inlineStr">
        <is>
          <t>금</t>
        </is>
      </c>
      <c r="E6138" s="20" t="inlineStr">
        <is>
          <t>고체향수</t>
        </is>
      </c>
      <c r="F6138" s="20" t="inlineStr">
        <is>
          <t>W컨셉</t>
        </is>
      </c>
      <c r="G6138" s="20" t="inlineStr">
        <is>
          <t>솔리드퍼퓸 이그나이트/스테이포에버 30ml (2종 택1)&lt;옵션1&gt;002 STAY FOREVER</t>
        </is>
      </c>
      <c r="H6138" s="20" t="n">
        <v>6</v>
      </c>
      <c r="I6138" s="20" t="inlineStr">
        <is>
          <t>스테이포에버</t>
        </is>
      </c>
      <c r="J6138" s="20" t="inlineStr">
        <is>
          <t>210207</t>
        </is>
      </c>
      <c r="L6138" s="20" t="n">
        <v>204000</v>
      </c>
      <c r="M6138" s="20" t="n">
        <v>142800</v>
      </c>
      <c r="N6138" s="20" t="n">
        <v>15552</v>
      </c>
      <c r="O6138" s="20" t="inlineStr">
        <is>
          <t>W컨셉고체향수솔리드퍼퓸 이그나이트/스테이포에버 30ml (2종 택1)&lt;옵션1&gt;002 STAY FOREVER210207</t>
        </is>
      </c>
    </row>
    <row r="6139">
      <c r="B6139" s="16" t="n">
        <v>44288</v>
      </c>
      <c r="C6139" s="20" t="inlineStr">
        <is>
          <t>금</t>
        </is>
      </c>
      <c r="E6139" s="20" t="inlineStr">
        <is>
          <t>고체향수</t>
        </is>
      </c>
      <c r="F6139" s="20" t="inlineStr">
        <is>
          <t>스마트스토어</t>
        </is>
      </c>
      <c r="G6139" s="20" t="inlineStr">
        <is>
          <t>유즈 고체향수 세트(유즈 스테이포에버, 유즈 이그나이트)고체향수: 스테이포에버 1개 + 이그나이트 1개</t>
        </is>
      </c>
      <c r="H6139" s="20" t="n">
        <v>1</v>
      </c>
      <c r="I6139" s="20" t="inlineStr">
        <is>
          <t>이그나이트 + 스테이포에버</t>
        </is>
      </c>
      <c r="J6139" s="20" t="inlineStr">
        <is>
          <t>210207</t>
        </is>
      </c>
      <c r="L6139" s="20" t="n">
        <v>58800</v>
      </c>
      <c r="M6139" s="20" t="n">
        <v>55360.2</v>
      </c>
      <c r="N6139" s="20" t="n">
        <v>5345</v>
      </c>
      <c r="O6139" s="20" t="inlineStr">
        <is>
          <t>스마트스토어고체향수유즈 고체향수 세트(유즈 스테이포에버, 유즈 이그나이트)고체향수: 스테이포에버 1개 + 이그나이트 1개210207</t>
        </is>
      </c>
    </row>
    <row r="6140">
      <c r="B6140" s="16" t="n">
        <v>44288</v>
      </c>
      <c r="C6140" s="20" t="inlineStr">
        <is>
          <t>금</t>
        </is>
      </c>
      <c r="E6140" s="20" t="inlineStr">
        <is>
          <t>고체향수</t>
        </is>
      </c>
      <c r="F6140" s="20" t="inlineStr">
        <is>
          <t>스마트스토어</t>
        </is>
      </c>
      <c r="G6140" s="20" t="inlineStr">
        <is>
          <t>유즈 고체향수 세트(유즈 스테이포에버, 유즈 이그나이트)고체향수: 스테이포에버 2개</t>
        </is>
      </c>
      <c r="H6140" s="20" t="n">
        <v>1</v>
      </c>
      <c r="I6140" s="20" t="inlineStr">
        <is>
          <t>스테이포에버 2set</t>
        </is>
      </c>
      <c r="J6140" s="20" t="inlineStr">
        <is>
          <t>210207</t>
        </is>
      </c>
      <c r="L6140" s="20" t="n">
        <v>58800</v>
      </c>
      <c r="M6140" s="20" t="n">
        <v>57624</v>
      </c>
      <c r="N6140" s="20" t="n">
        <v>5184</v>
      </c>
      <c r="O6140" s="20" t="inlineStr">
        <is>
          <t>스마트스토어고체향수유즈 고체향수 세트(유즈 스테이포에버, 유즈 이그나이트)고체향수: 스테이포에버 2개210207</t>
        </is>
      </c>
    </row>
    <row r="6141">
      <c r="B6141" s="16" t="n">
        <v>44288</v>
      </c>
      <c r="C6141" s="20" t="inlineStr">
        <is>
          <t>금</t>
        </is>
      </c>
      <c r="E6141" s="20" t="inlineStr">
        <is>
          <t>고체향수</t>
        </is>
      </c>
      <c r="F6141" s="20" t="inlineStr">
        <is>
          <t>스마트스토어</t>
        </is>
      </c>
      <c r="G6141" s="20" t="inlineStr">
        <is>
          <t>유즈 고체향수 스테이포에버 002고체향수: 스테이포에버 1개</t>
        </is>
      </c>
      <c r="H6141" s="20" t="n">
        <v>15</v>
      </c>
      <c r="I6141" s="20" t="inlineStr">
        <is>
          <t>스테이포에버</t>
        </is>
      </c>
      <c r="J6141" s="20" t="inlineStr">
        <is>
          <t>210207</t>
        </is>
      </c>
      <c r="L6141" s="20" t="n">
        <v>510000</v>
      </c>
      <c r="M6141" s="20" t="n">
        <v>499800</v>
      </c>
      <c r="N6141" s="20" t="n">
        <v>38880</v>
      </c>
      <c r="O6141" s="20" t="inlineStr">
        <is>
          <t>스마트스토어고체향수유즈 고체향수 스테이포에버 002고체향수: 스테이포에버 1개210207</t>
        </is>
      </c>
    </row>
    <row r="6142">
      <c r="B6142" s="16" t="n">
        <v>44288</v>
      </c>
      <c r="C6142" s="20" t="inlineStr">
        <is>
          <t>금</t>
        </is>
      </c>
      <c r="E6142" s="20" t="inlineStr">
        <is>
          <t>쇼핑백</t>
        </is>
      </c>
      <c r="F6142" s="20" t="inlineStr">
        <is>
          <t>카페24</t>
        </is>
      </c>
      <c r="G6142" s="20" t="inlineStr">
        <is>
          <t>선물용 쇼핑백</t>
        </is>
      </c>
      <c r="H6142" s="20" t="n">
        <v>3</v>
      </c>
      <c r="I6142" s="20" t="inlineStr">
        <is>
          <t>쇼핑백</t>
        </is>
      </c>
      <c r="J6142" s="20" t="inlineStr">
        <is>
          <t>210207</t>
        </is>
      </c>
      <c r="L6142" s="20" t="n">
        <v>6000</v>
      </c>
      <c r="M6142" s="20" t="n">
        <v>5649</v>
      </c>
      <c r="N6142" s="20" t="n">
        <v>2490</v>
      </c>
      <c r="O6142" s="20" t="inlineStr">
        <is>
          <t>카페24쇼핑백선물용 쇼핑백210207</t>
        </is>
      </c>
    </row>
    <row r="6143">
      <c r="B6143" s="16" t="n">
        <v>44288</v>
      </c>
      <c r="C6143" s="20" t="inlineStr">
        <is>
          <t>금</t>
        </is>
      </c>
      <c r="E6143" s="20" t="inlineStr">
        <is>
          <t>고체향수</t>
        </is>
      </c>
      <c r="F6143" s="20" t="inlineStr">
        <is>
          <t>카페24</t>
        </is>
      </c>
      <c r="G6143" s="20" t="inlineStr">
        <is>
          <t>솔리드퍼퓸 세트향=스테이포에버 002 SOLID PERFUME, 세트 선택=1개</t>
        </is>
      </c>
      <c r="H6143" s="20" t="n">
        <v>4</v>
      </c>
      <c r="I6143" s="20" t="inlineStr">
        <is>
          <t>스테이포에버</t>
        </is>
      </c>
      <c r="J6143" s="20" t="inlineStr">
        <is>
          <t>210207</t>
        </is>
      </c>
      <c r="L6143" s="20" t="n">
        <v>136000</v>
      </c>
      <c r="M6143" s="20" t="n">
        <v>128044</v>
      </c>
      <c r="N6143" s="20" t="n">
        <v>10368</v>
      </c>
      <c r="O6143" s="20" t="inlineStr">
        <is>
          <t>카페24고체향수솔리드퍼퓸 세트향=스테이포에버 002 SOLID PERFUME, 세트 선택=1개210207</t>
        </is>
      </c>
    </row>
    <row r="6144">
      <c r="B6144" s="16" t="n">
        <v>44288</v>
      </c>
      <c r="C6144" s="20" t="inlineStr">
        <is>
          <t>금</t>
        </is>
      </c>
      <c r="E6144" s="20" t="inlineStr">
        <is>
          <t>고체향수</t>
        </is>
      </c>
      <c r="F6144" s="20" t="inlineStr">
        <is>
          <t>카페24</t>
        </is>
      </c>
      <c r="G6144" s="20" t="inlineStr">
        <is>
          <t>솔리드퍼퓸 세트향=스테이포에버 002 SOLID PERFUME, 세트 선택=best 2개 (28% 할인)</t>
        </is>
      </c>
      <c r="H6144" s="20" t="n">
        <v>7</v>
      </c>
      <c r="I6144" s="20" t="inlineStr">
        <is>
          <t>스테이포에버 2set</t>
        </is>
      </c>
      <c r="J6144" s="20" t="inlineStr">
        <is>
          <t>210207</t>
        </is>
      </c>
      <c r="L6144" s="20" t="n">
        <v>411600</v>
      </c>
      <c r="M6144" s="20" t="n">
        <v>387521.4</v>
      </c>
      <c r="N6144" s="20" t="n">
        <v>36288</v>
      </c>
      <c r="O6144" s="20" t="inlineStr">
        <is>
          <t>카페24고체향수솔리드퍼퓸 세트향=스테이포에버 002 SOLID PERFUME, 세트 선택=best 2개 (28% 할인)210207</t>
        </is>
      </c>
    </row>
    <row r="6145">
      <c r="B6145" s="16" t="n">
        <v>44288</v>
      </c>
      <c r="C6145" s="20" t="inlineStr">
        <is>
          <t>금</t>
        </is>
      </c>
      <c r="E6145" s="20" t="inlineStr">
        <is>
          <t>고체향수</t>
        </is>
      </c>
      <c r="F6145" s="20" t="inlineStr">
        <is>
          <t>카페24</t>
        </is>
      </c>
      <c r="G6145" s="20" t="inlineStr">
        <is>
          <t>솔리드퍼퓸 세트향=커플세트(이그나이트 + 스테이포에버), 세트 선택=1 SET</t>
        </is>
      </c>
      <c r="H6145" s="20" t="n">
        <v>10</v>
      </c>
      <c r="I6145" s="20" t="inlineStr">
        <is>
          <t>이그나이트 + 스테이포에버</t>
        </is>
      </c>
      <c r="J6145" s="20" t="inlineStr">
        <is>
          <t>210207</t>
        </is>
      </c>
      <c r="L6145" s="20" t="n">
        <v>588000</v>
      </c>
      <c r="M6145" s="20" t="n">
        <v>553602</v>
      </c>
      <c r="N6145" s="20" t="n">
        <v>53450</v>
      </c>
      <c r="O6145" s="20" t="inlineStr">
        <is>
          <t>카페24고체향수솔리드퍼퓸 세트향=커플세트(이그나이트 + 스테이포에버), 세트 선택=1 SET210207</t>
        </is>
      </c>
    </row>
    <row r="6146">
      <c r="B6146" s="16" t="n">
        <v>44288</v>
      </c>
      <c r="C6146" s="20" t="inlineStr">
        <is>
          <t>금</t>
        </is>
      </c>
      <c r="E6146" s="20" t="inlineStr">
        <is>
          <t>고체향수</t>
        </is>
      </c>
      <c r="F6146" s="20" t="inlineStr">
        <is>
          <t>카페24</t>
        </is>
      </c>
      <c r="G6146" s="20" t="inlineStr">
        <is>
          <t>솔리드퍼퓸 세트향=커플세트(이그나이트 + 스테이포에버), 세트 선택=2 SET (42% 할인)</t>
        </is>
      </c>
      <c r="H6146" s="20" t="n">
        <v>5</v>
      </c>
      <c r="I6146" s="20" t="inlineStr">
        <is>
          <t>이그나이트 + 스테이포에버</t>
        </is>
      </c>
      <c r="J6146" s="20" t="inlineStr">
        <is>
          <t>210207</t>
        </is>
      </c>
      <c r="L6146" s="20" t="n">
        <v>294000</v>
      </c>
      <c r="M6146" s="20" t="n">
        <v>276801</v>
      </c>
      <c r="N6146" s="20" t="n">
        <v>26725</v>
      </c>
      <c r="O6146" s="20" t="inlineStr">
        <is>
          <t>카페24고체향수솔리드퍼퓸 세트향=커플세트(이그나이트 + 스테이포에버), 세트 선택=2 SET (42% 할인)210207</t>
        </is>
      </c>
    </row>
    <row r="6147">
      <c r="B6147" s="16" t="n">
        <v>44288</v>
      </c>
      <c r="C6147" s="20" t="inlineStr">
        <is>
          <t>금</t>
        </is>
      </c>
      <c r="E6147" s="20" t="inlineStr">
        <is>
          <t>고체향수</t>
        </is>
      </c>
      <c r="F6147" s="20" t="inlineStr">
        <is>
          <t>카페24</t>
        </is>
      </c>
      <c r="G6147" s="20" t="inlineStr">
        <is>
          <t>솔리드퍼퓸 스테이포에버 002제품선택=스테이포에버 1개</t>
        </is>
      </c>
      <c r="H6147" s="20" t="n">
        <v>162</v>
      </c>
      <c r="I6147" s="20" t="inlineStr">
        <is>
          <t>스테이포에버</t>
        </is>
      </c>
      <c r="J6147" s="20" t="inlineStr">
        <is>
          <t>210207</t>
        </is>
      </c>
      <c r="L6147" s="20" t="n">
        <v>5508000</v>
      </c>
      <c r="M6147" s="20" t="n">
        <v>5185782</v>
      </c>
      <c r="N6147" s="20" t="n">
        <v>419904</v>
      </c>
      <c r="O6147" s="20" t="inlineStr">
        <is>
          <t>카페24고체향수솔리드퍼퓸 스테이포에버 002제품선택=스테이포에버 1개210207</t>
        </is>
      </c>
    </row>
    <row r="6148">
      <c r="B6148" s="16" t="n">
        <v>44288</v>
      </c>
      <c r="C6148" s="20" t="inlineStr">
        <is>
          <t>금</t>
        </is>
      </c>
      <c r="E6148" s="20" t="inlineStr">
        <is>
          <t>고체향수</t>
        </is>
      </c>
      <c r="F6148" s="20" t="inlineStr">
        <is>
          <t>카페24</t>
        </is>
      </c>
      <c r="G6148" s="20" t="inlineStr">
        <is>
          <t>솔리드퍼퓸 스테이포에버 002제품선택=best스테이포에버 2개[28% 할인]</t>
        </is>
      </c>
      <c r="H6148" s="20" t="n">
        <v>88</v>
      </c>
      <c r="I6148" s="20" t="inlineStr">
        <is>
          <t>스테이포에버 2set</t>
        </is>
      </c>
      <c r="J6148" s="20" t="inlineStr">
        <is>
          <t>210207</t>
        </is>
      </c>
      <c r="L6148" s="20" t="n">
        <v>5174400</v>
      </c>
      <c r="M6148" s="20" t="n">
        <v>4871697.6</v>
      </c>
      <c r="N6148" s="20" t="n">
        <v>456192</v>
      </c>
      <c r="O6148" s="20" t="inlineStr">
        <is>
          <t>카페24고체향수솔리드퍼퓸 스테이포에버 002제품선택=best스테이포에버 2개[28% 할인]210207</t>
        </is>
      </c>
    </row>
    <row r="6149">
      <c r="B6149" s="16" t="n">
        <v>44288</v>
      </c>
      <c r="C6149" s="20" t="inlineStr">
        <is>
          <t>금</t>
        </is>
      </c>
      <c r="E6149" s="20" t="inlineStr">
        <is>
          <t>고체향수</t>
        </is>
      </c>
      <c r="F6149" s="20" t="inlineStr">
        <is>
          <t>카페24</t>
        </is>
      </c>
      <c r="G6149" s="20" t="inlineStr">
        <is>
          <t>솔리드퍼퓸 스테이포에버 002제품선택=커플추천스테이포에버 + 이그나이트 세트</t>
        </is>
      </c>
      <c r="H6149" s="20" t="n">
        <v>6</v>
      </c>
      <c r="I6149" s="20" t="inlineStr">
        <is>
          <t>이그나이트 + 스테이포에버</t>
        </is>
      </c>
      <c r="J6149" s="20" t="inlineStr">
        <is>
          <t>210207</t>
        </is>
      </c>
      <c r="L6149" s="20" t="n">
        <v>352800</v>
      </c>
      <c r="M6149" s="20" t="n">
        <v>332161.2</v>
      </c>
      <c r="N6149" s="20" t="n">
        <v>32070</v>
      </c>
      <c r="O6149" s="20" t="inlineStr">
        <is>
          <t>카페24고체향수솔리드퍼퓸 스테이포에버 002제품선택=커플추천스테이포에버 + 이그나이트 세트210207</t>
        </is>
      </c>
    </row>
    <row r="6150">
      <c r="B6150" s="16" t="n">
        <v>44288</v>
      </c>
      <c r="C6150" s="20" t="inlineStr">
        <is>
          <t>금</t>
        </is>
      </c>
      <c r="E6150" s="20" t="inlineStr">
        <is>
          <t>쇼핑백</t>
        </is>
      </c>
      <c r="F6150" s="20" t="inlineStr">
        <is>
          <t>카페24</t>
        </is>
      </c>
      <c r="G6150" s="20" t="inlineStr">
        <is>
          <t>솔리드퍼퓸 스테이포에버 002쇼핑백=선물용 쇼핑백</t>
        </is>
      </c>
      <c r="H6150" s="20" t="n">
        <v>2</v>
      </c>
      <c r="I6150" s="20" t="inlineStr">
        <is>
          <t>쇼핑백</t>
        </is>
      </c>
      <c r="J6150" s="20" t="inlineStr">
        <is>
          <t>210207</t>
        </is>
      </c>
      <c r="L6150" s="20" t="n">
        <v>4000</v>
      </c>
      <c r="M6150" s="20" t="n">
        <v>3766</v>
      </c>
      <c r="N6150" s="20" t="n">
        <v>1660</v>
      </c>
      <c r="O6150" s="20" t="inlineStr">
        <is>
          <t>카페24쇼핑백솔리드퍼퓸 스테이포에버 002쇼핑백=선물용 쇼핑백210207</t>
        </is>
      </c>
    </row>
    <row r="6151">
      <c r="B6151" s="16" t="n">
        <v>44288</v>
      </c>
      <c r="C6151" s="20" t="inlineStr">
        <is>
          <t>금</t>
        </is>
      </c>
      <c r="E6151" s="20" t="inlineStr">
        <is>
          <t>고체향수</t>
        </is>
      </c>
      <c r="F6151" s="20" t="inlineStr">
        <is>
          <t>카페24</t>
        </is>
      </c>
      <c r="G6151" s="20" t="inlineStr">
        <is>
          <t>솔리드퍼퓸 이그나이트 001제품선택=이그나이트 솔리드퍼퓸 - 30ml</t>
        </is>
      </c>
      <c r="H6151" s="20" t="n">
        <v>2</v>
      </c>
      <c r="I6151" s="20" t="inlineStr">
        <is>
          <t>이그나이트</t>
        </is>
      </c>
      <c r="J6151" s="20" t="inlineStr">
        <is>
          <t>210207</t>
        </is>
      </c>
      <c r="L6151" s="20" t="n">
        <v>68000</v>
      </c>
      <c r="M6151" s="20" t="n">
        <v>64022</v>
      </c>
      <c r="N6151" s="20" t="n">
        <v>5506</v>
      </c>
      <c r="O6151" s="20" t="inlineStr">
        <is>
          <t>카페24고체향수솔리드퍼퓸 이그나이트 001제품선택=이그나이트 솔리드퍼퓸 - 30ml210207</t>
        </is>
      </c>
    </row>
    <row r="6152">
      <c r="B6152" s="16" t="n">
        <v>44288</v>
      </c>
      <c r="C6152" s="20" t="inlineStr">
        <is>
          <t>금</t>
        </is>
      </c>
      <c r="E6152" s="20" t="inlineStr">
        <is>
          <t>고체향수</t>
        </is>
      </c>
      <c r="F6152" s="20" t="inlineStr">
        <is>
          <t>카페24</t>
        </is>
      </c>
      <c r="G6152" s="20" t="inlineStr">
        <is>
          <t>유즈 솔리드퍼퓸 세트향=스테이포에버 002 SOLID PERFUME, 세트 선택=1개</t>
        </is>
      </c>
      <c r="H6152" s="20" t="n">
        <v>1</v>
      </c>
      <c r="I6152" s="20" t="inlineStr">
        <is>
          <t>스테이포에버</t>
        </is>
      </c>
      <c r="J6152" s="20" t="inlineStr">
        <is>
          <t>210207</t>
        </is>
      </c>
      <c r="L6152" s="20" t="n">
        <v>34000</v>
      </c>
      <c r="M6152" s="20" t="n">
        <v>32011</v>
      </c>
      <c r="N6152" s="20" t="n">
        <v>2592</v>
      </c>
      <c r="O6152" s="20" t="inlineStr">
        <is>
          <t>카페24고체향수유즈 솔리드퍼퓸 세트향=스테이포에버 002 SOLID PERFUME, 세트 선택=1개210207</t>
        </is>
      </c>
    </row>
    <row r="6153">
      <c r="B6153" s="16" t="n">
        <v>44289</v>
      </c>
      <c r="C6153" s="20" t="inlineStr">
        <is>
          <t>토</t>
        </is>
      </c>
      <c r="E6153" s="20" t="inlineStr">
        <is>
          <t>고체향수</t>
        </is>
      </c>
      <c r="F6153" s="20" t="inlineStr">
        <is>
          <t>스마트스토어</t>
        </is>
      </c>
      <c r="G6153" s="20" t="inlineStr">
        <is>
          <t>유즈 고체향수 세트(유즈 스테이포에버, 유즈 이그나이트)고체향수: 스테이포에버 1개 + 이그나이트 1개</t>
        </is>
      </c>
      <c r="H6153" s="20" t="n">
        <v>4</v>
      </c>
      <c r="I6153" s="20" t="inlineStr">
        <is>
          <t>이그나이트 + 스테이포에버</t>
        </is>
      </c>
      <c r="J6153" s="20" t="inlineStr">
        <is>
          <t>210207</t>
        </is>
      </c>
      <c r="L6153" s="20" t="n">
        <v>235200</v>
      </c>
      <c r="M6153" s="20" t="n">
        <v>221440.8</v>
      </c>
      <c r="N6153" s="20" t="n">
        <v>21380</v>
      </c>
      <c r="O6153" s="20" t="inlineStr">
        <is>
          <t>스마트스토어고체향수유즈 고체향수 세트(유즈 스테이포에버, 유즈 이그나이트)고체향수: 스테이포에버 1개 + 이그나이트 1개210207</t>
        </is>
      </c>
    </row>
    <row r="6154">
      <c r="B6154" s="16" t="n">
        <v>44289</v>
      </c>
      <c r="C6154" s="20" t="inlineStr">
        <is>
          <t>토</t>
        </is>
      </c>
      <c r="E6154" s="20" t="inlineStr">
        <is>
          <t>고체향수</t>
        </is>
      </c>
      <c r="F6154" s="20" t="inlineStr">
        <is>
          <t>스마트스토어</t>
        </is>
      </c>
      <c r="G6154" s="20" t="inlineStr">
        <is>
          <t>유즈 고체향수 세트(유즈 스테이포에버, 유즈 이그나이트)고체향수: 스테이포에버 2개</t>
        </is>
      </c>
      <c r="H6154" s="20" t="n">
        <v>2</v>
      </c>
      <c r="I6154" s="20" t="inlineStr">
        <is>
          <t>스테이포에버 2set</t>
        </is>
      </c>
      <c r="J6154" s="20" t="inlineStr">
        <is>
          <t>210207</t>
        </is>
      </c>
      <c r="L6154" s="20" t="n">
        <v>117600</v>
      </c>
      <c r="M6154" s="20" t="n">
        <v>115248</v>
      </c>
      <c r="N6154" s="20" t="n">
        <v>10368</v>
      </c>
      <c r="O6154" s="20" t="inlineStr">
        <is>
          <t>스마트스토어고체향수유즈 고체향수 세트(유즈 스테이포에버, 유즈 이그나이트)고체향수: 스테이포에버 2개210207</t>
        </is>
      </c>
    </row>
    <row r="6155">
      <c r="B6155" s="16" t="n">
        <v>44289</v>
      </c>
      <c r="C6155" s="20" t="inlineStr">
        <is>
          <t>토</t>
        </is>
      </c>
      <c r="E6155" s="20" t="inlineStr">
        <is>
          <t>고체향수</t>
        </is>
      </c>
      <c r="F6155" s="20" t="inlineStr">
        <is>
          <t>스마트스토어</t>
        </is>
      </c>
      <c r="G6155" s="20" t="inlineStr">
        <is>
          <t>유즈 고체향수 스테이포에버 002고체향수: 스테이포에버 1개</t>
        </is>
      </c>
      <c r="H6155" s="20" t="n">
        <v>21</v>
      </c>
      <c r="I6155" s="20" t="inlineStr">
        <is>
          <t>스테이포에버</t>
        </is>
      </c>
      <c r="J6155" s="20" t="inlineStr">
        <is>
          <t>210207</t>
        </is>
      </c>
      <c r="L6155" s="20" t="n">
        <v>714000</v>
      </c>
      <c r="M6155" s="20" t="n">
        <v>699720</v>
      </c>
      <c r="N6155" s="20" t="n">
        <v>54432</v>
      </c>
      <c r="O6155" s="20" t="inlineStr">
        <is>
          <t>스마트스토어고체향수유즈 고체향수 스테이포에버 002고체향수: 스테이포에버 1개210207</t>
        </is>
      </c>
    </row>
    <row r="6156">
      <c r="B6156" s="16" t="n">
        <v>44289</v>
      </c>
      <c r="C6156" s="20" t="inlineStr">
        <is>
          <t>토</t>
        </is>
      </c>
      <c r="E6156" s="20" t="inlineStr">
        <is>
          <t>고체향수</t>
        </is>
      </c>
      <c r="F6156" s="20" t="inlineStr">
        <is>
          <t>카페24</t>
        </is>
      </c>
      <c r="G6156" s="20" t="inlineStr">
        <is>
          <t>솔리드퍼퓸 세트향=스테이포에버 002 SOLID PERFUME, 세트 선택=1개</t>
        </is>
      </c>
      <c r="H6156" s="20" t="n">
        <v>4</v>
      </c>
      <c r="I6156" s="20" t="inlineStr">
        <is>
          <t>스테이포에버</t>
        </is>
      </c>
      <c r="J6156" s="20" t="inlineStr">
        <is>
          <t>210207</t>
        </is>
      </c>
      <c r="L6156" s="20" t="n">
        <v>136000</v>
      </c>
      <c r="M6156" s="20" t="n">
        <v>128044</v>
      </c>
      <c r="N6156" s="20" t="n">
        <v>10368</v>
      </c>
      <c r="O6156" s="20" t="inlineStr">
        <is>
          <t>카페24고체향수솔리드퍼퓸 세트향=스테이포에버 002 SOLID PERFUME, 세트 선택=1개210207</t>
        </is>
      </c>
    </row>
    <row r="6157">
      <c r="B6157" s="16" t="n">
        <v>44289</v>
      </c>
      <c r="C6157" s="20" t="inlineStr">
        <is>
          <t>토</t>
        </is>
      </c>
      <c r="E6157" s="20" t="inlineStr">
        <is>
          <t>고체향수</t>
        </is>
      </c>
      <c r="F6157" s="20" t="inlineStr">
        <is>
          <t>카페24</t>
        </is>
      </c>
      <c r="G6157" s="20" t="inlineStr">
        <is>
          <t>솔리드퍼퓸 세트향=스테이포에버 002 SOLID PERFUME, 세트 선택=best 2개 (28% 할인)</t>
        </is>
      </c>
      <c r="H6157" s="20" t="n">
        <v>5</v>
      </c>
      <c r="I6157" s="20" t="inlineStr">
        <is>
          <t>스테이포에버 2set</t>
        </is>
      </c>
      <c r="J6157" s="20" t="inlineStr">
        <is>
          <t>210207</t>
        </is>
      </c>
      <c r="L6157" s="20" t="n">
        <v>294000</v>
      </c>
      <c r="M6157" s="20" t="n">
        <v>276801</v>
      </c>
      <c r="N6157" s="20" t="n">
        <v>25920</v>
      </c>
      <c r="O6157" s="20" t="inlineStr">
        <is>
          <t>카페24고체향수솔리드퍼퓸 세트향=스테이포에버 002 SOLID PERFUME, 세트 선택=best 2개 (28% 할인)210207</t>
        </is>
      </c>
    </row>
    <row r="6158">
      <c r="B6158" s="16" t="n">
        <v>44289</v>
      </c>
      <c r="C6158" s="20" t="inlineStr">
        <is>
          <t>토</t>
        </is>
      </c>
      <c r="E6158" s="20" t="inlineStr">
        <is>
          <t>고체향수</t>
        </is>
      </c>
      <c r="F6158" s="20" t="inlineStr">
        <is>
          <t>카페24</t>
        </is>
      </c>
      <c r="G6158" s="20" t="inlineStr">
        <is>
          <t>솔리드퍼퓸 세트향=커플세트(이그나이트 + 스테이포에버), 세트 선택=1 SET</t>
        </is>
      </c>
      <c r="H6158" s="20" t="n">
        <v>16</v>
      </c>
      <c r="I6158" s="20" t="inlineStr">
        <is>
          <t>이그나이트 + 스테이포에버</t>
        </is>
      </c>
      <c r="J6158" s="20" t="inlineStr">
        <is>
          <t>210207</t>
        </is>
      </c>
      <c r="L6158" s="20" t="n">
        <v>940800</v>
      </c>
      <c r="M6158" s="20" t="n">
        <v>885763.2</v>
      </c>
      <c r="N6158" s="20" t="n">
        <v>85520</v>
      </c>
      <c r="O6158" s="20" t="inlineStr">
        <is>
          <t>카페24고체향수솔리드퍼퓸 세트향=커플세트(이그나이트 + 스테이포에버), 세트 선택=1 SET210207</t>
        </is>
      </c>
    </row>
    <row r="6159">
      <c r="B6159" s="16" t="n">
        <v>44289</v>
      </c>
      <c r="C6159" s="20" t="inlineStr">
        <is>
          <t>토</t>
        </is>
      </c>
      <c r="E6159" s="20" t="inlineStr">
        <is>
          <t>고체향수</t>
        </is>
      </c>
      <c r="F6159" s="20" t="inlineStr">
        <is>
          <t>카페24</t>
        </is>
      </c>
      <c r="G6159" s="20" t="inlineStr">
        <is>
          <t>솔리드퍼퓸 세트향=커플세트(이그나이트 + 스테이포에버), 세트 선택=2 SET (42% 할인)</t>
        </is>
      </c>
      <c r="H6159" s="20" t="n">
        <v>1</v>
      </c>
      <c r="I6159" s="20" t="inlineStr">
        <is>
          <t>이그나이트 + 스테이포에버</t>
        </is>
      </c>
      <c r="J6159" s="20" t="inlineStr">
        <is>
          <t>210207</t>
        </is>
      </c>
      <c r="L6159" s="20" t="n">
        <v>58800</v>
      </c>
      <c r="M6159" s="20" t="n">
        <v>55360.2</v>
      </c>
      <c r="N6159" s="20" t="n">
        <v>5345</v>
      </c>
      <c r="O6159" s="20" t="inlineStr">
        <is>
          <t>카페24고체향수솔리드퍼퓸 세트향=커플세트(이그나이트 + 스테이포에버), 세트 선택=2 SET (42% 할인)210207</t>
        </is>
      </c>
    </row>
    <row r="6160">
      <c r="B6160" s="16" t="n">
        <v>44289</v>
      </c>
      <c r="C6160" s="20" t="inlineStr">
        <is>
          <t>토</t>
        </is>
      </c>
      <c r="E6160" s="20" t="inlineStr">
        <is>
          <t>고체향수</t>
        </is>
      </c>
      <c r="F6160" s="20" t="inlineStr">
        <is>
          <t>카페24</t>
        </is>
      </c>
      <c r="G6160" s="20" t="inlineStr">
        <is>
          <t>솔리드퍼퓸 스테이포에버 002제품선택=스테이포에버 1개</t>
        </is>
      </c>
      <c r="H6160" s="20" t="n">
        <v>197</v>
      </c>
      <c r="I6160" s="20" t="inlineStr">
        <is>
          <t>스테이포에버</t>
        </is>
      </c>
      <c r="J6160" s="20" t="inlineStr">
        <is>
          <t>210207</t>
        </is>
      </c>
      <c r="L6160" s="20" t="n">
        <v>6698000</v>
      </c>
      <c r="M6160" s="20" t="n">
        <v>6306167</v>
      </c>
      <c r="N6160" s="20" t="n">
        <v>510624</v>
      </c>
      <c r="O6160" s="20" t="inlineStr">
        <is>
          <t>카페24고체향수솔리드퍼퓸 스테이포에버 002제품선택=스테이포에버 1개210207</t>
        </is>
      </c>
    </row>
    <row r="6161">
      <c r="B6161" s="16" t="n">
        <v>44289</v>
      </c>
      <c r="C6161" s="20" t="inlineStr">
        <is>
          <t>토</t>
        </is>
      </c>
      <c r="E6161" s="20" t="inlineStr">
        <is>
          <t>고체향수</t>
        </is>
      </c>
      <c r="F6161" s="20" t="inlineStr">
        <is>
          <t>카페24</t>
        </is>
      </c>
      <c r="G6161" s="20" t="inlineStr">
        <is>
          <t>솔리드퍼퓸 스테이포에버 002제품선택=best스테이포에버 2개[28% 할인]</t>
        </is>
      </c>
      <c r="H6161" s="20" t="n">
        <v>149</v>
      </c>
      <c r="I6161" s="20" t="inlineStr">
        <is>
          <t>스테이포에버 2set</t>
        </is>
      </c>
      <c r="J6161" s="20" t="inlineStr">
        <is>
          <t>210207</t>
        </is>
      </c>
      <c r="L6161" s="20" t="n">
        <v>8761200</v>
      </c>
      <c r="M6161" s="20" t="n">
        <v>8248669.8</v>
      </c>
      <c r="N6161" s="20" t="n">
        <v>772416</v>
      </c>
      <c r="O6161" s="20" t="inlineStr">
        <is>
          <t>카페24고체향수솔리드퍼퓸 스테이포에버 002제품선택=best스테이포에버 2개[28% 할인]210207</t>
        </is>
      </c>
    </row>
    <row r="6162">
      <c r="B6162" s="16" t="n">
        <v>44289</v>
      </c>
      <c r="C6162" s="20" t="inlineStr">
        <is>
          <t>토</t>
        </is>
      </c>
      <c r="E6162" s="20" t="inlineStr">
        <is>
          <t>고체향수</t>
        </is>
      </c>
      <c r="F6162" s="20" t="inlineStr">
        <is>
          <t>카페24</t>
        </is>
      </c>
      <c r="G6162" s="20" t="inlineStr">
        <is>
          <t>솔리드퍼퓸 스테이포에버 002제품선택=커플추천스테이포에버 + 이그나이트 세트</t>
        </is>
      </c>
      <c r="H6162" s="20" t="n">
        <v>15</v>
      </c>
      <c r="I6162" s="20" t="inlineStr">
        <is>
          <t>이그나이트 + 스테이포에버</t>
        </is>
      </c>
      <c r="J6162" s="20" t="inlineStr">
        <is>
          <t>210207</t>
        </is>
      </c>
      <c r="L6162" s="20" t="n">
        <v>882000</v>
      </c>
      <c r="M6162" s="20" t="n">
        <v>830403</v>
      </c>
      <c r="N6162" s="20" t="n">
        <v>80175</v>
      </c>
      <c r="O6162" s="20" t="inlineStr">
        <is>
          <t>카페24고체향수솔리드퍼퓸 스테이포에버 002제품선택=커플추천스테이포에버 + 이그나이트 세트210207</t>
        </is>
      </c>
    </row>
    <row r="6163">
      <c r="B6163" s="16" t="n">
        <v>44289</v>
      </c>
      <c r="C6163" s="20" t="inlineStr">
        <is>
          <t>토</t>
        </is>
      </c>
      <c r="E6163" s="20" t="inlineStr">
        <is>
          <t>쇼핑백</t>
        </is>
      </c>
      <c r="F6163" s="20" t="inlineStr">
        <is>
          <t>카페24</t>
        </is>
      </c>
      <c r="G6163" s="20" t="inlineStr">
        <is>
          <t>솔리드퍼퓸 스테이포에버 002쇼핑백=선물용 쇼핑백</t>
        </is>
      </c>
      <c r="H6163" s="20" t="n">
        <v>4</v>
      </c>
      <c r="I6163" s="20" t="inlineStr">
        <is>
          <t>쇼핑백</t>
        </is>
      </c>
      <c r="J6163" s="20" t="inlineStr">
        <is>
          <t>210207</t>
        </is>
      </c>
      <c r="L6163" s="20" t="n">
        <v>8000</v>
      </c>
      <c r="M6163" s="20" t="n">
        <v>7532</v>
      </c>
      <c r="N6163" s="20" t="n">
        <v>3320</v>
      </c>
      <c r="O6163" s="20" t="inlineStr">
        <is>
          <t>카페24쇼핑백솔리드퍼퓸 스테이포에버 002쇼핑백=선물용 쇼핑백210207</t>
        </is>
      </c>
    </row>
    <row r="6164">
      <c r="B6164" s="16" t="n">
        <v>44289</v>
      </c>
      <c r="C6164" s="20" t="inlineStr">
        <is>
          <t>토</t>
        </is>
      </c>
      <c r="E6164" s="20" t="inlineStr">
        <is>
          <t>고체향수</t>
        </is>
      </c>
      <c r="F6164" s="20" t="inlineStr">
        <is>
          <t>카페24</t>
        </is>
      </c>
      <c r="G6164" s="20" t="inlineStr">
        <is>
          <t>솔리드퍼퓸 이그나이트 001제품선택=이그나이트 솔리드퍼퓸 - 30ml</t>
        </is>
      </c>
      <c r="H6164" s="20" t="n">
        <v>4</v>
      </c>
      <c r="I6164" s="20" t="inlineStr">
        <is>
          <t>이그나이트</t>
        </is>
      </c>
      <c r="J6164" s="20" t="inlineStr">
        <is>
          <t>210207</t>
        </is>
      </c>
      <c r="L6164" s="20" t="n">
        <v>136000</v>
      </c>
      <c r="M6164" s="20" t="n">
        <v>128044</v>
      </c>
      <c r="N6164" s="20" t="n">
        <v>11012</v>
      </c>
      <c r="O6164" s="20" t="inlineStr">
        <is>
          <t>카페24고체향수솔리드퍼퓸 이그나이트 001제품선택=이그나이트 솔리드퍼퓸 - 30ml210207</t>
        </is>
      </c>
    </row>
    <row r="6165">
      <c r="B6165" s="16" t="n">
        <v>44289</v>
      </c>
      <c r="C6165" s="20" t="inlineStr">
        <is>
          <t>토</t>
        </is>
      </c>
      <c r="E6165" s="20" t="inlineStr">
        <is>
          <t>쇼핑백</t>
        </is>
      </c>
      <c r="F6165" s="20" t="inlineStr">
        <is>
          <t>카페24</t>
        </is>
      </c>
      <c r="G6165" s="20" t="inlineStr">
        <is>
          <t>솔리드퍼퓸 이그나이트 001쇼핑백=선물용 쇼핑백</t>
        </is>
      </c>
      <c r="H6165" s="20" t="n">
        <v>1</v>
      </c>
      <c r="I6165" s="20" t="inlineStr">
        <is>
          <t>쇼핑백</t>
        </is>
      </c>
      <c r="J6165" s="20" t="inlineStr">
        <is>
          <t>210207</t>
        </is>
      </c>
      <c r="L6165" s="20" t="n">
        <v>2000</v>
      </c>
      <c r="M6165" s="20" t="n">
        <v>1883</v>
      </c>
      <c r="N6165" s="20" t="n">
        <v>830</v>
      </c>
      <c r="O6165" s="20" t="inlineStr">
        <is>
          <t>카페24쇼핑백솔리드퍼퓸 이그나이트 001쇼핑백=선물용 쇼핑백210207</t>
        </is>
      </c>
    </row>
    <row r="6166">
      <c r="B6166" s="16" t="n">
        <v>44289</v>
      </c>
      <c r="C6166" s="20" t="inlineStr">
        <is>
          <t>토</t>
        </is>
      </c>
      <c r="E6166" s="20" t="inlineStr">
        <is>
          <t>고체향수</t>
        </is>
      </c>
      <c r="F6166" s="20" t="inlineStr">
        <is>
          <t>카페24</t>
        </is>
      </c>
      <c r="G6166" s="20" t="inlineStr">
        <is>
          <t>유즈 솔리드퍼퓸 세트향=스테이포에버 002 SOLID PERFUME, 세트 선택=1개</t>
        </is>
      </c>
      <c r="H6166" s="20" t="n">
        <v>1</v>
      </c>
      <c r="I6166" s="20" t="inlineStr">
        <is>
          <t>스테이포에버</t>
        </is>
      </c>
      <c r="J6166" s="20" t="inlineStr">
        <is>
          <t>210207</t>
        </is>
      </c>
      <c r="L6166" s="20" t="n">
        <v>34000</v>
      </c>
      <c r="M6166" s="20" t="n">
        <v>32011</v>
      </c>
      <c r="N6166" s="20" t="n">
        <v>2592</v>
      </c>
      <c r="O6166" s="20" t="inlineStr">
        <is>
          <t>카페24고체향수유즈 솔리드퍼퓸 세트향=스테이포에버 002 SOLID PERFUME, 세트 선택=1개210207</t>
        </is>
      </c>
    </row>
    <row r="6167">
      <c r="B6167" s="16" t="n">
        <v>44289</v>
      </c>
      <c r="C6167" s="20" t="inlineStr">
        <is>
          <t>토</t>
        </is>
      </c>
      <c r="E6167" s="20" t="inlineStr">
        <is>
          <t>고체향수</t>
        </is>
      </c>
      <c r="F6167" s="20" t="inlineStr">
        <is>
          <t>카페24</t>
        </is>
      </c>
      <c r="G6167" s="20" t="inlineStr">
        <is>
          <t>유즈 솔리드퍼퓸 세트향=커플세트(이그나이트 + 스테이포에버), 세트 선택=1 SET</t>
        </is>
      </c>
      <c r="H6167" s="20" t="n">
        <v>1</v>
      </c>
      <c r="I6167" s="20" t="inlineStr">
        <is>
          <t>이그나이트 + 스테이포에버</t>
        </is>
      </c>
      <c r="J6167" s="20" t="inlineStr">
        <is>
          <t>210207</t>
        </is>
      </c>
      <c r="L6167" s="20" t="n">
        <v>58800</v>
      </c>
      <c r="M6167" s="20" t="n">
        <v>55360.2</v>
      </c>
      <c r="N6167" s="20" t="n">
        <v>5345</v>
      </c>
      <c r="O6167" s="20" t="inlineStr">
        <is>
          <t>카페24고체향수유즈 솔리드퍼퓸 세트향=커플세트(이그나이트 + 스테이포에버), 세트 선택=1 SET210207</t>
        </is>
      </c>
    </row>
    <row r="6168">
      <c r="B6168" s="16" t="n">
        <v>44290</v>
      </c>
      <c r="C6168" s="20" t="inlineStr">
        <is>
          <t>일</t>
        </is>
      </c>
      <c r="E6168" s="20" t="inlineStr">
        <is>
          <t>고체향수</t>
        </is>
      </c>
      <c r="F6168" s="20" t="inlineStr">
        <is>
          <t>스마트스토어</t>
        </is>
      </c>
      <c r="G6168" s="20" t="inlineStr">
        <is>
          <t>유즈 고체향수 세트(유즈 스테이포에버, 유즈 이그나이트)고체향수: 스테이포에버 1개 + 이그나이트 1개</t>
        </is>
      </c>
      <c r="H6168" s="20" t="n">
        <v>3</v>
      </c>
      <c r="I6168" s="20" t="inlineStr">
        <is>
          <t>이그나이트 + 스테이포에버</t>
        </is>
      </c>
      <c r="J6168" s="20" t="inlineStr">
        <is>
          <t>210207</t>
        </is>
      </c>
      <c r="L6168" s="20" t="n">
        <v>176400</v>
      </c>
      <c r="M6168" s="20" t="n">
        <v>166080.6</v>
      </c>
      <c r="N6168" s="20" t="n">
        <v>16035</v>
      </c>
      <c r="O6168" s="20" t="inlineStr">
        <is>
          <t>스마트스토어고체향수유즈 고체향수 세트(유즈 스테이포에버, 유즈 이그나이트)고체향수: 스테이포에버 1개 + 이그나이트 1개210207</t>
        </is>
      </c>
    </row>
    <row r="6169">
      <c r="B6169" s="16" t="n">
        <v>44290</v>
      </c>
      <c r="C6169" s="20" t="inlineStr">
        <is>
          <t>일</t>
        </is>
      </c>
      <c r="E6169" s="20" t="inlineStr">
        <is>
          <t>고체향수</t>
        </is>
      </c>
      <c r="F6169" s="20" t="inlineStr">
        <is>
          <t>스마트스토어</t>
        </is>
      </c>
      <c r="G6169" s="20" t="inlineStr">
        <is>
          <t>유즈 고체향수 세트(유즈 스테이포에버, 유즈 이그나이트)고체향수: 스테이포에버 2개</t>
        </is>
      </c>
      <c r="H6169" s="20" t="n">
        <v>4</v>
      </c>
      <c r="I6169" s="20" t="inlineStr">
        <is>
          <t>스테이포에버 2set</t>
        </is>
      </c>
      <c r="J6169" s="20" t="inlineStr">
        <is>
          <t>210207</t>
        </is>
      </c>
      <c r="L6169" s="20" t="n">
        <v>235200</v>
      </c>
      <c r="M6169" s="20" t="n">
        <v>230496</v>
      </c>
      <c r="N6169" s="20" t="n">
        <v>20736</v>
      </c>
      <c r="O6169" s="20" t="inlineStr">
        <is>
          <t>스마트스토어고체향수유즈 고체향수 세트(유즈 스테이포에버, 유즈 이그나이트)고체향수: 스테이포에버 2개210207</t>
        </is>
      </c>
    </row>
    <row r="6170">
      <c r="B6170" s="16" t="n">
        <v>44290</v>
      </c>
      <c r="C6170" s="20" t="inlineStr">
        <is>
          <t>일</t>
        </is>
      </c>
      <c r="E6170" s="20" t="inlineStr">
        <is>
          <t>고체향수</t>
        </is>
      </c>
      <c r="F6170" s="20" t="inlineStr">
        <is>
          <t>스마트스토어</t>
        </is>
      </c>
      <c r="G6170" s="20" t="inlineStr">
        <is>
          <t>유즈 고체향수 스테이포에버 002고체향수: 스테이포에버 1개</t>
        </is>
      </c>
      <c r="H6170" s="20" t="n">
        <v>28</v>
      </c>
      <c r="I6170" s="20" t="inlineStr">
        <is>
          <t>스테이포에버</t>
        </is>
      </c>
      <c r="J6170" s="20" t="inlineStr">
        <is>
          <t>210207</t>
        </is>
      </c>
      <c r="L6170" s="20" t="n">
        <v>952000</v>
      </c>
      <c r="M6170" s="20" t="n">
        <v>932960</v>
      </c>
      <c r="N6170" s="20" t="n">
        <v>72576</v>
      </c>
      <c r="O6170" s="20" t="inlineStr">
        <is>
          <t>스마트스토어고체향수유즈 고체향수 스테이포에버 002고체향수: 스테이포에버 1개210207</t>
        </is>
      </c>
    </row>
    <row r="6171">
      <c r="B6171" s="16" t="n">
        <v>44290</v>
      </c>
      <c r="C6171" s="20" t="inlineStr">
        <is>
          <t>일</t>
        </is>
      </c>
      <c r="E6171" s="20" t="inlineStr">
        <is>
          <t>고체향수</t>
        </is>
      </c>
      <c r="F6171" s="20" t="inlineStr">
        <is>
          <t>스마트스토어</t>
        </is>
      </c>
      <c r="G6171" s="20" t="inlineStr">
        <is>
          <t>유즈 고체향수 이그나이트 001고체향수: 이그나이트 1개</t>
        </is>
      </c>
      <c r="H6171" s="20" t="n">
        <v>1</v>
      </c>
      <c r="I6171" s="20" t="inlineStr">
        <is>
          <t>이그나이트</t>
        </is>
      </c>
      <c r="J6171" s="20" t="inlineStr">
        <is>
          <t>210207</t>
        </is>
      </c>
      <c r="L6171" s="20" t="n">
        <v>34000</v>
      </c>
      <c r="M6171" s="20" t="n">
        <v>33320</v>
      </c>
      <c r="N6171" s="20" t="n">
        <v>2753</v>
      </c>
      <c r="O6171" s="20" t="inlineStr">
        <is>
          <t>스마트스토어고체향수유즈 고체향수 이그나이트 001고체향수: 이그나이트 1개210207</t>
        </is>
      </c>
    </row>
    <row r="6172">
      <c r="B6172" s="16" t="n">
        <v>44290</v>
      </c>
      <c r="C6172" s="20" t="inlineStr">
        <is>
          <t>일</t>
        </is>
      </c>
      <c r="E6172" s="20" t="inlineStr">
        <is>
          <t>쇼핑백</t>
        </is>
      </c>
      <c r="F6172" s="20" t="inlineStr">
        <is>
          <t>카페24</t>
        </is>
      </c>
      <c r="G6172" s="20" t="inlineStr">
        <is>
          <t>선물용 쇼핑백</t>
        </is>
      </c>
      <c r="H6172" s="20" t="n">
        <v>1</v>
      </c>
      <c r="I6172" s="20" t="inlineStr">
        <is>
          <t>쇼핑백</t>
        </is>
      </c>
      <c r="J6172" s="20" t="inlineStr">
        <is>
          <t>210207</t>
        </is>
      </c>
      <c r="L6172" s="20" t="n">
        <v>2000</v>
      </c>
      <c r="M6172" s="20" t="n">
        <v>1883</v>
      </c>
      <c r="N6172" s="20" t="n">
        <v>830</v>
      </c>
      <c r="O6172" s="20" t="inlineStr">
        <is>
          <t>카페24쇼핑백선물용 쇼핑백210207</t>
        </is>
      </c>
    </row>
    <row r="6173">
      <c r="B6173" s="16" t="n">
        <v>44290</v>
      </c>
      <c r="C6173" s="20" t="inlineStr">
        <is>
          <t>일</t>
        </is>
      </c>
      <c r="E6173" s="20" t="inlineStr">
        <is>
          <t>고체향수</t>
        </is>
      </c>
      <c r="F6173" s="20" t="inlineStr">
        <is>
          <t>카페24</t>
        </is>
      </c>
      <c r="G6173" s="20" t="inlineStr">
        <is>
          <t>솔리드퍼퓸 세트향=이그나이트 001 SOLID PERFUME, 세트 선택=1개</t>
        </is>
      </c>
      <c r="H6173" s="20" t="n">
        <v>2</v>
      </c>
      <c r="I6173" s="20" t="inlineStr">
        <is>
          <t>이그나이트</t>
        </is>
      </c>
      <c r="J6173" s="20" t="inlineStr">
        <is>
          <t>210207</t>
        </is>
      </c>
      <c r="L6173" s="20" t="n">
        <v>68000</v>
      </c>
      <c r="M6173" s="20" t="n">
        <v>64022</v>
      </c>
      <c r="N6173" s="20" t="n">
        <v>5506</v>
      </c>
      <c r="O6173" s="20" t="inlineStr">
        <is>
          <t>카페24고체향수솔리드퍼퓸 세트향=이그나이트 001 SOLID PERFUME, 세트 선택=1개210207</t>
        </is>
      </c>
    </row>
    <row r="6174">
      <c r="B6174" s="16" t="n">
        <v>44290</v>
      </c>
      <c r="C6174" s="20" t="inlineStr">
        <is>
          <t>일</t>
        </is>
      </c>
      <c r="E6174" s="20" t="inlineStr">
        <is>
          <t>고체향수</t>
        </is>
      </c>
      <c r="F6174" s="20" t="inlineStr">
        <is>
          <t>카페24</t>
        </is>
      </c>
      <c r="G6174" s="20" t="inlineStr">
        <is>
          <t>솔리드퍼퓸 세트향=스테이포에버 002 SOLID PERFUME, 세트 선택=1개</t>
        </is>
      </c>
      <c r="H6174" s="20" t="n">
        <v>7</v>
      </c>
      <c r="I6174" s="20" t="inlineStr">
        <is>
          <t>스테이포에버</t>
        </is>
      </c>
      <c r="J6174" s="20" t="inlineStr">
        <is>
          <t>210207</t>
        </is>
      </c>
      <c r="L6174" s="20" t="n">
        <v>238000</v>
      </c>
      <c r="M6174" s="20" t="n">
        <v>224077</v>
      </c>
      <c r="N6174" s="20" t="n">
        <v>18144</v>
      </c>
      <c r="O6174" s="20" t="inlineStr">
        <is>
          <t>카페24고체향수솔리드퍼퓸 세트향=스테이포에버 002 SOLID PERFUME, 세트 선택=1개210207</t>
        </is>
      </c>
    </row>
    <row r="6175">
      <c r="B6175" s="16" t="n">
        <v>44290</v>
      </c>
      <c r="C6175" s="20" t="inlineStr">
        <is>
          <t>일</t>
        </is>
      </c>
      <c r="E6175" s="20" t="inlineStr">
        <is>
          <t>고체향수</t>
        </is>
      </c>
      <c r="F6175" s="20" t="inlineStr">
        <is>
          <t>카페24</t>
        </is>
      </c>
      <c r="G6175" s="20" t="inlineStr">
        <is>
          <t>솔리드퍼퓸 세트향=스테이포에버 002 SOLID PERFUME, 세트 선택=best 2개 (28% 할인)</t>
        </is>
      </c>
      <c r="H6175" s="20" t="n">
        <v>6</v>
      </c>
      <c r="I6175" s="20" t="inlineStr">
        <is>
          <t>스테이포에버 2set</t>
        </is>
      </c>
      <c r="J6175" s="20" t="inlineStr">
        <is>
          <t>210207</t>
        </is>
      </c>
      <c r="L6175" s="20" t="n">
        <v>352800</v>
      </c>
      <c r="M6175" s="20" t="n">
        <v>332161.2</v>
      </c>
      <c r="N6175" s="20" t="n">
        <v>31104</v>
      </c>
      <c r="O6175" s="20" t="inlineStr">
        <is>
          <t>카페24고체향수솔리드퍼퓸 세트향=스테이포에버 002 SOLID PERFUME, 세트 선택=best 2개 (28% 할인)210207</t>
        </is>
      </c>
    </row>
    <row r="6176">
      <c r="B6176" s="16" t="n">
        <v>44290</v>
      </c>
      <c r="C6176" s="20" t="inlineStr">
        <is>
          <t>일</t>
        </is>
      </c>
      <c r="E6176" s="20" t="inlineStr">
        <is>
          <t>고체향수</t>
        </is>
      </c>
      <c r="F6176" s="20" t="inlineStr">
        <is>
          <t>카페24</t>
        </is>
      </c>
      <c r="G6176" s="20" t="inlineStr">
        <is>
          <t>솔리드퍼퓸 세트향=커플세트(이그나이트 + 스테이포에버), 세트 선택=1 SET</t>
        </is>
      </c>
      <c r="H6176" s="20" t="n">
        <v>20</v>
      </c>
      <c r="I6176" s="20" t="inlineStr">
        <is>
          <t>이그나이트 + 스테이포에버</t>
        </is>
      </c>
      <c r="J6176" s="20" t="inlineStr">
        <is>
          <t>210207</t>
        </is>
      </c>
      <c r="L6176" s="20" t="n">
        <v>1176000</v>
      </c>
      <c r="M6176" s="20" t="n">
        <v>1107204</v>
      </c>
      <c r="N6176" s="20" t="n">
        <v>106900</v>
      </c>
      <c r="O6176" s="20" t="inlineStr">
        <is>
          <t>카페24고체향수솔리드퍼퓸 세트향=커플세트(이그나이트 + 스테이포에버), 세트 선택=1 SET210207</t>
        </is>
      </c>
    </row>
    <row r="6177">
      <c r="B6177" s="16" t="n">
        <v>44290</v>
      </c>
      <c r="C6177" s="20" t="inlineStr">
        <is>
          <t>일</t>
        </is>
      </c>
      <c r="E6177" s="20" t="inlineStr">
        <is>
          <t>고체향수</t>
        </is>
      </c>
      <c r="F6177" s="20" t="inlineStr">
        <is>
          <t>카페24</t>
        </is>
      </c>
      <c r="G6177" s="20" t="inlineStr">
        <is>
          <t>솔리드퍼퓸 스테이포에버 002제품선택=스테이포에버 1개</t>
        </is>
      </c>
      <c r="H6177" s="20" t="n">
        <v>209</v>
      </c>
      <c r="I6177" s="20" t="inlineStr">
        <is>
          <t>스테이포에버</t>
        </is>
      </c>
      <c r="J6177" s="20" t="inlineStr">
        <is>
          <t>210207</t>
        </is>
      </c>
      <c r="L6177" s="20" t="n">
        <v>7106000</v>
      </c>
      <c r="M6177" s="20" t="n">
        <v>6690299</v>
      </c>
      <c r="N6177" s="20" t="n">
        <v>541728</v>
      </c>
      <c r="O6177" s="20" t="inlineStr">
        <is>
          <t>카페24고체향수솔리드퍼퓸 스테이포에버 002제품선택=스테이포에버 1개210207</t>
        </is>
      </c>
    </row>
    <row r="6178">
      <c r="B6178" s="16" t="n">
        <v>44290</v>
      </c>
      <c r="C6178" s="20" t="inlineStr">
        <is>
          <t>일</t>
        </is>
      </c>
      <c r="E6178" s="20" t="inlineStr">
        <is>
          <t>고체향수</t>
        </is>
      </c>
      <c r="F6178" s="20" t="inlineStr">
        <is>
          <t>카페24</t>
        </is>
      </c>
      <c r="G6178" s="20" t="inlineStr">
        <is>
          <t>솔리드퍼퓸 스테이포에버 002제품선택=best스테이포에버 2개[28% 할인]</t>
        </is>
      </c>
      <c r="H6178" s="20" t="n">
        <v>134</v>
      </c>
      <c r="I6178" s="20" t="inlineStr">
        <is>
          <t>스테이포에버 2set</t>
        </is>
      </c>
      <c r="J6178" s="20" t="inlineStr">
        <is>
          <t>210207</t>
        </is>
      </c>
      <c r="L6178" s="20" t="n">
        <v>7879200</v>
      </c>
      <c r="M6178" s="20" t="n">
        <v>7418266.8</v>
      </c>
      <c r="N6178" s="20" t="n">
        <v>694656</v>
      </c>
      <c r="O6178" s="20" t="inlineStr">
        <is>
          <t>카페24고체향수솔리드퍼퓸 스테이포에버 002제품선택=best스테이포에버 2개[28% 할인]210207</t>
        </is>
      </c>
    </row>
    <row r="6179">
      <c r="B6179" s="16" t="n">
        <v>44290</v>
      </c>
      <c r="C6179" s="20" t="inlineStr">
        <is>
          <t>일</t>
        </is>
      </c>
      <c r="E6179" s="20" t="inlineStr">
        <is>
          <t>고체향수</t>
        </is>
      </c>
      <c r="F6179" s="20" t="inlineStr">
        <is>
          <t>카페24</t>
        </is>
      </c>
      <c r="G6179" s="20" t="inlineStr">
        <is>
          <t>솔리드퍼퓸 스테이포에버 002제품선택=커플추천스테이포에버 + 이그나이트 세트</t>
        </is>
      </c>
      <c r="H6179" s="20" t="n">
        <v>14</v>
      </c>
      <c r="I6179" s="20" t="inlineStr">
        <is>
          <t>이그나이트 + 스테이포에버</t>
        </is>
      </c>
      <c r="J6179" s="20" t="inlineStr">
        <is>
          <t>210207</t>
        </is>
      </c>
      <c r="L6179" s="20" t="n">
        <v>823200</v>
      </c>
      <c r="M6179" s="20" t="n">
        <v>775042.7999999999</v>
      </c>
      <c r="N6179" s="20" t="n">
        <v>74830</v>
      </c>
      <c r="O6179" s="20" t="inlineStr">
        <is>
          <t>카페24고체향수솔리드퍼퓸 스테이포에버 002제품선택=커플추천스테이포에버 + 이그나이트 세트210207</t>
        </is>
      </c>
    </row>
    <row r="6180">
      <c r="B6180" s="16" t="n">
        <v>44290</v>
      </c>
      <c r="C6180" s="20" t="inlineStr">
        <is>
          <t>일</t>
        </is>
      </c>
      <c r="E6180" s="20" t="inlineStr">
        <is>
          <t>쇼핑백</t>
        </is>
      </c>
      <c r="F6180" s="20" t="inlineStr">
        <is>
          <t>카페24</t>
        </is>
      </c>
      <c r="G6180" s="20" t="inlineStr">
        <is>
          <t>솔리드퍼퓸 스테이포에버 002쇼핑백=선물용 쇼핑백</t>
        </is>
      </c>
      <c r="H6180" s="20" t="n">
        <v>9</v>
      </c>
      <c r="I6180" s="20" t="inlineStr">
        <is>
          <t>쇼핑백</t>
        </is>
      </c>
      <c r="J6180" s="20" t="inlineStr">
        <is>
          <t>210207</t>
        </is>
      </c>
      <c r="L6180" s="20" t="n">
        <v>18000</v>
      </c>
      <c r="M6180" s="20" t="n">
        <v>16947</v>
      </c>
      <c r="N6180" s="20" t="n">
        <v>7470</v>
      </c>
      <c r="O6180" s="20" t="inlineStr">
        <is>
          <t>카페24쇼핑백솔리드퍼퓸 스테이포에버 002쇼핑백=선물용 쇼핑백210207</t>
        </is>
      </c>
    </row>
    <row r="6181">
      <c r="B6181" s="16" t="n">
        <v>44290</v>
      </c>
      <c r="C6181" s="20" t="inlineStr">
        <is>
          <t>일</t>
        </is>
      </c>
      <c r="E6181" s="20" t="inlineStr">
        <is>
          <t>고체향수</t>
        </is>
      </c>
      <c r="F6181" s="20" t="inlineStr">
        <is>
          <t>카페24</t>
        </is>
      </c>
      <c r="G6181" s="20" t="inlineStr">
        <is>
          <t>솔리드퍼퓸 이그나이트 001제품선택=이그나이트 솔리드퍼퓸 - 30ml</t>
        </is>
      </c>
      <c r="H6181" s="20" t="n">
        <v>4</v>
      </c>
      <c r="I6181" s="20" t="inlineStr">
        <is>
          <t>이그나이트</t>
        </is>
      </c>
      <c r="J6181" s="20" t="inlineStr">
        <is>
          <t>210207</t>
        </is>
      </c>
      <c r="L6181" s="20" t="n">
        <v>136000</v>
      </c>
      <c r="M6181" s="20" t="n">
        <v>128044</v>
      </c>
      <c r="N6181" s="20" t="n">
        <v>11012</v>
      </c>
      <c r="O6181" s="20" t="inlineStr">
        <is>
          <t>카페24고체향수솔리드퍼퓸 이그나이트 001제품선택=이그나이트 솔리드퍼퓸 - 30ml210207</t>
        </is>
      </c>
    </row>
    <row r="6182">
      <c r="A6182" s="20" t="inlineStr">
        <is>
          <t>고체향수_전환추적</t>
        </is>
      </c>
      <c r="B6182" s="16" t="n">
        <v>44288</v>
      </c>
      <c r="C6182" s="20" t="inlineStr">
        <is>
          <t>금</t>
        </is>
      </c>
      <c r="D6182" s="20" t="inlineStr">
        <is>
          <t>네이버 배너</t>
        </is>
      </c>
      <c r="E6182" s="20" t="inlineStr">
        <is>
          <t>고체향수</t>
        </is>
      </c>
      <c r="K6182" s="20" t="n">
        <v>360290</v>
      </c>
    </row>
    <row r="6183">
      <c r="A6183" s="20" t="inlineStr">
        <is>
          <t>고체향수</t>
        </is>
      </c>
      <c r="B6183" s="16" t="n">
        <v>44288</v>
      </c>
      <c r="C6183" s="20" t="inlineStr">
        <is>
          <t>금</t>
        </is>
      </c>
      <c r="D6183" s="20" t="inlineStr">
        <is>
          <t>네이버 배너</t>
        </is>
      </c>
      <c r="E6183" s="20" t="inlineStr">
        <is>
          <t>고체향수</t>
        </is>
      </c>
      <c r="K6183" s="20" t="n">
        <v>1167067.272727273</v>
      </c>
    </row>
    <row r="6184">
      <c r="A6184" s="20" t="inlineStr">
        <is>
          <t>고체향수_전환추적</t>
        </is>
      </c>
      <c r="B6184" s="16" t="n">
        <v>44289</v>
      </c>
      <c r="C6184" s="20" t="inlineStr">
        <is>
          <t>토</t>
        </is>
      </c>
      <c r="D6184" s="20" t="inlineStr">
        <is>
          <t>네이버 배너</t>
        </is>
      </c>
      <c r="E6184" s="20" t="inlineStr">
        <is>
          <t>고체향수</t>
        </is>
      </c>
      <c r="K6184" s="20" t="n">
        <v>209753.6363636364</v>
      </c>
    </row>
    <row r="6185">
      <c r="A6185" s="20" t="inlineStr">
        <is>
          <t>고체향수</t>
        </is>
      </c>
      <c r="B6185" s="16" t="n">
        <v>44289</v>
      </c>
      <c r="C6185" s="20" t="inlineStr">
        <is>
          <t>토</t>
        </is>
      </c>
      <c r="D6185" s="20" t="inlineStr">
        <is>
          <t>네이버 배너</t>
        </is>
      </c>
      <c r="E6185" s="20" t="inlineStr">
        <is>
          <t>고체향수</t>
        </is>
      </c>
      <c r="K6185" s="20" t="n">
        <v>1516246.363636364</v>
      </c>
    </row>
    <row r="6186">
      <c r="A6186" s="20" t="inlineStr">
        <is>
          <t>고체향수_전환추적</t>
        </is>
      </c>
      <c r="B6186" s="16" t="n">
        <v>44290</v>
      </c>
      <c r="C6186" s="20" t="inlineStr">
        <is>
          <t>일</t>
        </is>
      </c>
      <c r="D6186" s="20" t="inlineStr">
        <is>
          <t>네이버 배너</t>
        </is>
      </c>
      <c r="E6186" s="20" t="inlineStr">
        <is>
          <t>고체향수</t>
        </is>
      </c>
      <c r="K6186" s="20" t="n">
        <v>439736.3636363636</v>
      </c>
    </row>
    <row r="6187">
      <c r="A6187" s="20" t="inlineStr">
        <is>
          <t>고체향수</t>
        </is>
      </c>
      <c r="B6187" s="16" t="n">
        <v>44290</v>
      </c>
      <c r="C6187" s="20" t="inlineStr">
        <is>
          <t>일</t>
        </is>
      </c>
      <c r="D6187" s="20" t="inlineStr">
        <is>
          <t>네이버 배너</t>
        </is>
      </c>
      <c r="E6187" s="20" t="inlineStr">
        <is>
          <t>고체향수</t>
        </is>
      </c>
      <c r="K6187" s="20" t="n">
        <v>1469010</v>
      </c>
    </row>
    <row r="6188">
      <c r="B6188" s="16" t="n">
        <v>44287</v>
      </c>
      <c r="C6188" s="20" t="inlineStr">
        <is>
          <t>목</t>
        </is>
      </c>
      <c r="D6188" s="20" t="inlineStr">
        <is>
          <t>네이버 배너(대행사)</t>
        </is>
      </c>
      <c r="E6188" s="20" t="inlineStr">
        <is>
          <t>고체향수</t>
        </is>
      </c>
      <c r="K6188" s="20">
        <f>180362/1.1</f>
        <v/>
      </c>
    </row>
    <row r="6189">
      <c r="B6189" s="16" t="n">
        <v>44288</v>
      </c>
      <c r="C6189" s="20" t="inlineStr">
        <is>
          <t>금</t>
        </is>
      </c>
      <c r="D6189" s="20" t="inlineStr">
        <is>
          <t>네이버 배너(대행사)</t>
        </is>
      </c>
      <c r="E6189" s="20" t="inlineStr">
        <is>
          <t>고체향수</t>
        </is>
      </c>
      <c r="K6189" s="20">
        <f>212917/1.1</f>
        <v/>
      </c>
    </row>
    <row r="6190">
      <c r="B6190" s="16" t="n">
        <v>44289</v>
      </c>
      <c r="C6190" s="20" t="inlineStr">
        <is>
          <t>토</t>
        </is>
      </c>
      <c r="D6190" s="20" t="inlineStr">
        <is>
          <t>네이버 배너(대행사)</t>
        </is>
      </c>
      <c r="E6190" s="20" t="inlineStr">
        <is>
          <t>고체향수</t>
        </is>
      </c>
      <c r="K6190" s="20">
        <f>511733/1.1</f>
        <v/>
      </c>
    </row>
    <row r="6191">
      <c r="B6191" s="16" t="n">
        <v>44290</v>
      </c>
      <c r="C6191" s="20" t="inlineStr">
        <is>
          <t>일</t>
        </is>
      </c>
      <c r="D6191" s="20" t="inlineStr">
        <is>
          <t>네이버 배너(대행사)</t>
        </is>
      </c>
      <c r="E6191" s="20" t="inlineStr">
        <is>
          <t>고체향수</t>
        </is>
      </c>
      <c r="K6191" s="20">
        <f>490308/1.1</f>
        <v/>
      </c>
    </row>
    <row r="6192">
      <c r="A6192" s="20" t="inlineStr">
        <is>
          <t>[승무원]틱톡커_영상</t>
        </is>
      </c>
      <c r="B6192" s="16" t="n">
        <v>44291</v>
      </c>
      <c r="C6192" s="20" t="inlineStr">
        <is>
          <t>월</t>
        </is>
      </c>
      <c r="D6192" s="20" t="inlineStr">
        <is>
          <t>페이스북/인스타그램</t>
        </is>
      </c>
      <c r="E6192" s="20" t="inlineStr">
        <is>
          <t>고체향수</t>
        </is>
      </c>
      <c r="K6192" s="20" t="n">
        <v>35376</v>
      </c>
    </row>
    <row r="6193">
      <c r="A6193" s="20" t="inlineStr">
        <is>
          <t>[유튜버 수지큐]스테이포에버_카드뉴스</t>
        </is>
      </c>
      <c r="B6193" s="16" t="n">
        <v>44291</v>
      </c>
      <c r="C6193" s="20" t="inlineStr">
        <is>
          <t>월</t>
        </is>
      </c>
      <c r="D6193" s="20" t="inlineStr">
        <is>
          <t>페이스북/인스타그램</t>
        </is>
      </c>
      <c r="E6193" s="20" t="inlineStr">
        <is>
          <t>고체향수</t>
        </is>
      </c>
      <c r="K6193" s="20" t="n">
        <v>29440</v>
      </c>
    </row>
    <row r="6194">
      <c r="A6194" s="20" t="inlineStr">
        <is>
          <t>[유튜버 수지큐]스테이포에버_영상</t>
        </is>
      </c>
      <c r="B6194" s="16" t="n">
        <v>44291</v>
      </c>
      <c r="C6194" s="20" t="inlineStr">
        <is>
          <t>월</t>
        </is>
      </c>
      <c r="D6194" s="20" t="inlineStr">
        <is>
          <t>페이스북/인스타그램</t>
        </is>
      </c>
      <c r="E6194" s="20" t="inlineStr">
        <is>
          <t>고체향수</t>
        </is>
      </c>
      <c r="K6194" s="20" t="n">
        <v>57799</v>
      </c>
    </row>
    <row r="6195">
      <c r="A6195" s="20" t="inlineStr">
        <is>
          <t>[승무원]수지큐2차활용_스테이포에버_이미지</t>
        </is>
      </c>
      <c r="B6195" s="16" t="n">
        <v>44291</v>
      </c>
      <c r="C6195" s="20" t="inlineStr">
        <is>
          <t>월</t>
        </is>
      </c>
      <c r="D6195" s="20" t="inlineStr">
        <is>
          <t>페이스북/인스타그램</t>
        </is>
      </c>
      <c r="E6195" s="20" t="inlineStr">
        <is>
          <t>고체향수</t>
        </is>
      </c>
      <c r="K6195" s="20" t="n">
        <v>29371</v>
      </c>
    </row>
    <row r="6196">
      <c r="A6196" s="20" t="inlineStr">
        <is>
          <t>[다현 TEST] 스테이포에버_유즈모먼트</t>
        </is>
      </c>
      <c r="B6196" s="16" t="n">
        <v>44291</v>
      </c>
      <c r="C6196" s="20" t="inlineStr">
        <is>
          <t>월</t>
        </is>
      </c>
      <c r="D6196" s="20" t="inlineStr">
        <is>
          <t>페이스북/인스타그램</t>
        </is>
      </c>
      <c r="E6196" s="20" t="inlineStr">
        <is>
          <t>고체향수</t>
        </is>
      </c>
      <c r="K6196" s="20" t="n">
        <v>58285</v>
      </c>
    </row>
    <row r="6197">
      <c r="A6197" s="20" t="inlineStr">
        <is>
          <t>[성민 TEST] 스테이포에버_이미지</t>
        </is>
      </c>
      <c r="B6197" s="16" t="n">
        <v>44291</v>
      </c>
      <c r="C6197" s="20" t="inlineStr">
        <is>
          <t>월</t>
        </is>
      </c>
      <c r="D6197" s="20" t="inlineStr">
        <is>
          <t>페이스북/인스타그램</t>
        </is>
      </c>
      <c r="E6197" s="20" t="inlineStr">
        <is>
          <t>고체향수</t>
        </is>
      </c>
      <c r="K6197" s="20" t="n">
        <v>175205</v>
      </c>
    </row>
    <row r="6198">
      <c r="A6198" s="20" t="inlineStr">
        <is>
          <t>[승은 TEST] 스테이포에버_카드뉴스</t>
        </is>
      </c>
      <c r="B6198" s="16" t="n">
        <v>44291</v>
      </c>
      <c r="C6198" s="20" t="inlineStr">
        <is>
          <t>월</t>
        </is>
      </c>
      <c r="D6198" s="20" t="inlineStr">
        <is>
          <t>페이스북/인스타그램</t>
        </is>
      </c>
      <c r="E6198" s="20" t="inlineStr">
        <is>
          <t>고체향수</t>
        </is>
      </c>
      <c r="K6198" s="20" t="n">
        <v>48305</v>
      </c>
    </row>
    <row r="6199">
      <c r="A6199" s="20" t="inlineStr">
        <is>
          <t>[승무원 2] 스테이포에버_카드뉴스</t>
        </is>
      </c>
      <c r="B6199" s="16" t="n">
        <v>44291</v>
      </c>
      <c r="C6199" s="20" t="inlineStr">
        <is>
          <t>월</t>
        </is>
      </c>
      <c r="D6199" s="20" t="inlineStr">
        <is>
          <t>페이스북/인스타그램</t>
        </is>
      </c>
      <c r="E6199" s="20" t="inlineStr">
        <is>
          <t>고체향수</t>
        </is>
      </c>
      <c r="K6199" s="20" t="n">
        <v>95839</v>
      </c>
    </row>
    <row r="6200">
      <c r="A6200" s="20" t="inlineStr">
        <is>
          <t>[테스트]아줌마</t>
        </is>
      </c>
      <c r="B6200" s="16" t="n">
        <v>44291</v>
      </c>
      <c r="C6200" s="20" t="inlineStr">
        <is>
          <t>월</t>
        </is>
      </c>
      <c r="D6200" s="20" t="inlineStr">
        <is>
          <t>페이스북/인스타그램</t>
        </is>
      </c>
      <c r="E6200" s="20" t="inlineStr">
        <is>
          <t>고체향수</t>
        </is>
      </c>
      <c r="K6200" s="20" t="n">
        <v>107171</v>
      </c>
    </row>
    <row r="6201">
      <c r="A6201" s="20" t="inlineStr">
        <is>
          <t>[다양한 키워드] 스테이포에버_이미지</t>
        </is>
      </c>
      <c r="B6201" s="16" t="n">
        <v>44291</v>
      </c>
      <c r="C6201" s="20" t="inlineStr">
        <is>
          <t>월</t>
        </is>
      </c>
      <c r="D6201" s="20" t="inlineStr">
        <is>
          <t>페이스북/인스타그램</t>
        </is>
      </c>
      <c r="E6201" s="20" t="inlineStr">
        <is>
          <t>고체향수</t>
        </is>
      </c>
      <c r="K6201" s="20" t="n">
        <v>203264</v>
      </c>
    </row>
    <row r="6202">
      <c r="A6202" s="20" t="inlineStr">
        <is>
          <t>[재입고]스테이포에버_이미지</t>
        </is>
      </c>
      <c r="B6202" s="16" t="n">
        <v>44291</v>
      </c>
      <c r="C6202" s="20" t="inlineStr">
        <is>
          <t>월</t>
        </is>
      </c>
      <c r="D6202" s="20" t="inlineStr">
        <is>
          <t>페이스북/인스타그램</t>
        </is>
      </c>
      <c r="E6202" s="20" t="inlineStr">
        <is>
          <t>고체향수</t>
        </is>
      </c>
      <c r="K6202" s="20" t="n">
        <v>193243</v>
      </c>
    </row>
    <row r="6203">
      <c r="A6203" s="20" t="inlineStr">
        <is>
          <t>[승무원]숏폼_영상</t>
        </is>
      </c>
      <c r="B6203" s="16" t="n">
        <v>44291</v>
      </c>
      <c r="C6203" s="20" t="inlineStr">
        <is>
          <t>월</t>
        </is>
      </c>
      <c r="D6203" s="20" t="inlineStr">
        <is>
          <t>페이스북/인스타그램</t>
        </is>
      </c>
      <c r="E6203" s="20" t="inlineStr">
        <is>
          <t>고체향수</t>
        </is>
      </c>
      <c r="K6203" s="20" t="n">
        <v>48567</v>
      </c>
    </row>
    <row r="6204">
      <c r="A6204" s="20" t="inlineStr">
        <is>
          <t>[재입고]스테이포에버_영상</t>
        </is>
      </c>
      <c r="B6204" s="16" t="n">
        <v>44291</v>
      </c>
      <c r="C6204" s="20" t="inlineStr">
        <is>
          <t>월</t>
        </is>
      </c>
      <c r="D6204" s="20" t="inlineStr">
        <is>
          <t>페이스북/인스타그램</t>
        </is>
      </c>
      <c r="E6204" s="20" t="inlineStr">
        <is>
          <t>고체향수</t>
        </is>
      </c>
      <c r="K6204" s="20" t="n">
        <v>97242</v>
      </c>
    </row>
    <row r="6205">
      <c r="A6205" s="20" t="inlineStr">
        <is>
          <t>[승무원]2019년썰 카드뉴스+ 향묘사_영상</t>
        </is>
      </c>
      <c r="B6205" s="16" t="n">
        <v>44291</v>
      </c>
      <c r="C6205" s="20" t="inlineStr">
        <is>
          <t>월</t>
        </is>
      </c>
      <c r="D6205" s="20" t="inlineStr">
        <is>
          <t>페이스북/인스타그램</t>
        </is>
      </c>
      <c r="E6205" s="20" t="inlineStr">
        <is>
          <t>고체향수</t>
        </is>
      </c>
      <c r="K6205" s="20" t="n">
        <v>48045</v>
      </c>
    </row>
    <row r="6206">
      <c r="A6206" s="20" t="inlineStr">
        <is>
          <t>[승무원어피]스테이포에버_이미지</t>
        </is>
      </c>
      <c r="B6206" s="16" t="n">
        <v>44291</v>
      </c>
      <c r="C6206" s="20" t="inlineStr">
        <is>
          <t>월</t>
        </is>
      </c>
      <c r="D6206" s="20" t="inlineStr">
        <is>
          <t>페이스북/인스타그램</t>
        </is>
      </c>
      <c r="E6206" s="20" t="inlineStr">
        <is>
          <t>고체향수</t>
        </is>
      </c>
      <c r="K6206" s="20" t="n">
        <v>97747</v>
      </c>
    </row>
    <row r="6207">
      <c r="A6207" s="20" t="inlineStr">
        <is>
          <t>[다현]스테이포에버_이미지</t>
        </is>
      </c>
      <c r="B6207" s="16" t="n">
        <v>44291</v>
      </c>
      <c r="C6207" s="20" t="inlineStr">
        <is>
          <t>월</t>
        </is>
      </c>
      <c r="D6207" s="20" t="inlineStr">
        <is>
          <t>페이스북/인스타그램</t>
        </is>
      </c>
      <c r="E6207" s="20" t="inlineStr">
        <is>
          <t>고체향수</t>
        </is>
      </c>
      <c r="K6207" s="20" t="n">
        <v>97299</v>
      </c>
    </row>
    <row r="6208">
      <c r="A6208" s="20" t="inlineStr">
        <is>
          <t>[승무원]스테이포에버_카드뉴스</t>
        </is>
      </c>
      <c r="B6208" s="16" t="n">
        <v>44291</v>
      </c>
      <c r="C6208" s="20" t="inlineStr">
        <is>
          <t>월</t>
        </is>
      </c>
      <c r="D6208" s="20" t="inlineStr">
        <is>
          <t>페이스북/인스타그램</t>
        </is>
      </c>
      <c r="E6208" s="20" t="inlineStr">
        <is>
          <t>고체향수</t>
        </is>
      </c>
      <c r="K6208" s="20" t="n">
        <v>95546</v>
      </c>
    </row>
    <row r="6209">
      <c r="A6209" s="20" t="inlineStr">
        <is>
          <t>[후기타입]스테이포에버_영상</t>
        </is>
      </c>
      <c r="B6209" s="16" t="n">
        <v>44291</v>
      </c>
      <c r="C6209" s="20" t="inlineStr">
        <is>
          <t>월</t>
        </is>
      </c>
      <c r="D6209" s="20" t="inlineStr">
        <is>
          <t>페이스북/인스타그램</t>
        </is>
      </c>
      <c r="E6209" s="20" t="inlineStr">
        <is>
          <t>고체향수</t>
        </is>
      </c>
      <c r="K6209" s="20" t="n">
        <v>146706</v>
      </c>
    </row>
    <row r="6210">
      <c r="A6210" s="20" t="inlineStr">
        <is>
          <t>전환_스테이포에버</t>
        </is>
      </c>
      <c r="B6210" s="16" t="n">
        <v>44291</v>
      </c>
      <c r="C6210" s="20" t="inlineStr">
        <is>
          <t>월</t>
        </is>
      </c>
      <c r="D6210" s="20" t="inlineStr">
        <is>
          <t>페이스북/인스타그램</t>
        </is>
      </c>
      <c r="E6210" s="20" t="inlineStr">
        <is>
          <t>고체향수</t>
        </is>
      </c>
      <c r="K6210" s="20" t="n">
        <v>48417</v>
      </c>
    </row>
    <row r="6211">
      <c r="A6211" s="20" t="inlineStr">
        <is>
          <t>[권태기커플]스테이포에버_영상</t>
        </is>
      </c>
      <c r="B6211" s="16" t="n">
        <v>44291</v>
      </c>
      <c r="C6211" s="20" t="inlineStr">
        <is>
          <t>월</t>
        </is>
      </c>
      <c r="D6211" s="20" t="inlineStr">
        <is>
          <t>페이스북/인스타그램</t>
        </is>
      </c>
      <c r="E6211" s="20" t="inlineStr">
        <is>
          <t>고체향수</t>
        </is>
      </c>
      <c r="K6211" s="20" t="n">
        <v>73231</v>
      </c>
    </row>
    <row r="6212">
      <c r="A6212" s="20" t="inlineStr">
        <is>
          <t>웹사이트 트래픽 서치</t>
        </is>
      </c>
      <c r="B6212" s="16" t="n">
        <v>44291</v>
      </c>
      <c r="C6212" s="20" t="inlineStr">
        <is>
          <t>월</t>
        </is>
      </c>
      <c r="D6212" s="20" t="inlineStr">
        <is>
          <t>유튜브 광고</t>
        </is>
      </c>
      <c r="E6212" s="20" t="inlineStr">
        <is>
          <t>고체향수</t>
        </is>
      </c>
      <c r="K6212" s="20" t="n">
        <v>37771</v>
      </c>
    </row>
    <row r="6213">
      <c r="A6213" s="20" t="inlineStr">
        <is>
          <t>동영상캠페인_승무원_보이는 라디오(cpa)</t>
        </is>
      </c>
      <c r="B6213" s="16" t="n">
        <v>44291</v>
      </c>
      <c r="C6213" s="20" t="inlineStr">
        <is>
          <t>월</t>
        </is>
      </c>
      <c r="D6213" s="20" t="inlineStr">
        <is>
          <t>유튜브 광고</t>
        </is>
      </c>
      <c r="E6213" s="20" t="inlineStr">
        <is>
          <t>고체향수</t>
        </is>
      </c>
      <c r="K6213" s="20" t="n">
        <v>144182</v>
      </c>
    </row>
    <row r="6214">
      <c r="A6214" s="20" t="inlineStr">
        <is>
          <t>디스커버리 배너_승무원,할인_리마케팅</t>
        </is>
      </c>
      <c r="B6214" s="16" t="n">
        <v>44291</v>
      </c>
      <c r="C6214" s="20" t="inlineStr">
        <is>
          <t>월</t>
        </is>
      </c>
      <c r="D6214" s="20" t="inlineStr">
        <is>
          <t>유튜브 광고</t>
        </is>
      </c>
      <c r="E6214" s="20" t="inlineStr">
        <is>
          <t>고체향수</t>
        </is>
      </c>
      <c r="K6214" s="20" t="n">
        <v>464833</v>
      </c>
    </row>
    <row r="6215">
      <c r="A6215" s="20" t="inlineStr">
        <is>
          <t>동영상캠페인_승무원_써니스카이</t>
        </is>
      </c>
      <c r="B6215" s="16" t="n">
        <v>44291</v>
      </c>
      <c r="C6215" s="20" t="inlineStr">
        <is>
          <t>월</t>
        </is>
      </c>
      <c r="D6215" s="20" t="inlineStr">
        <is>
          <t>유튜브 광고</t>
        </is>
      </c>
      <c r="E6215" s="20" t="inlineStr">
        <is>
          <t>고체향수</t>
        </is>
      </c>
      <c r="K6215" s="20" t="n">
        <v>183734</v>
      </c>
    </row>
    <row r="6216">
      <c r="A6216" s="20" t="inlineStr">
        <is>
          <t>동영상캠페인_필라테스_자기관리(타겟 cpa)</t>
        </is>
      </c>
      <c r="B6216" s="16" t="n">
        <v>44291</v>
      </c>
      <c r="C6216" s="20" t="inlineStr">
        <is>
          <t>월</t>
        </is>
      </c>
      <c r="D6216" s="20" t="inlineStr">
        <is>
          <t>유튜브 광고</t>
        </is>
      </c>
      <c r="E6216" s="20" t="inlineStr">
        <is>
          <t>고체향수</t>
        </is>
      </c>
      <c r="K6216" s="20" t="n">
        <v>43999</v>
      </c>
    </row>
    <row r="6217">
      <c r="A6217" s="20" t="inlineStr">
        <is>
          <t>동영상캠페인_승무원_비누향 나는 승무원에게(cpa)</t>
        </is>
      </c>
      <c r="B6217" s="16" t="n">
        <v>44291</v>
      </c>
      <c r="C6217" s="20" t="inlineStr">
        <is>
          <t>월</t>
        </is>
      </c>
      <c r="D6217" s="20" t="inlineStr">
        <is>
          <t>유튜브 광고</t>
        </is>
      </c>
      <c r="E6217" s="20" t="inlineStr">
        <is>
          <t>고체향수</t>
        </is>
      </c>
      <c r="K6217" s="20" t="n">
        <v>14815</v>
      </c>
    </row>
    <row r="6218">
      <c r="A6218" s="20" t="inlineStr">
        <is>
          <t>동영상캠페인_유즈모먼트_2차_30대 여성 회사원(cpa)</t>
        </is>
      </c>
      <c r="B6218" s="16" t="n">
        <v>44291</v>
      </c>
      <c r="C6218" s="20" t="inlineStr">
        <is>
          <t>월</t>
        </is>
      </c>
      <c r="D6218" s="20" t="inlineStr">
        <is>
          <t>유튜브 광고</t>
        </is>
      </c>
      <c r="E6218" s="20" t="inlineStr">
        <is>
          <t>고체향수</t>
        </is>
      </c>
      <c r="K6218" s="20" t="n">
        <v>48379</v>
      </c>
    </row>
    <row r="6219">
      <c r="A6219" s="20" t="inlineStr">
        <is>
          <t>동영상캠페인_유즈모먼트_조향사 친구(cpa)</t>
        </is>
      </c>
      <c r="B6219" s="16" t="n">
        <v>44291</v>
      </c>
      <c r="C6219" s="20" t="inlineStr">
        <is>
          <t>월</t>
        </is>
      </c>
      <c r="D6219" s="20" t="inlineStr">
        <is>
          <t>유튜브 광고</t>
        </is>
      </c>
      <c r="E6219" s="20" t="inlineStr">
        <is>
          <t>고체향수</t>
        </is>
      </c>
      <c r="K6219" s="20" t="n">
        <v>99958</v>
      </c>
    </row>
    <row r="6220">
      <c r="A6220" s="20" t="inlineStr">
        <is>
          <t>동영상 캠페인_유튜버 수지큐 2차활용</t>
        </is>
      </c>
      <c r="B6220" s="16" t="n">
        <v>44291</v>
      </c>
      <c r="C6220" s="20" t="inlineStr">
        <is>
          <t>월</t>
        </is>
      </c>
      <c r="D6220" s="20" t="inlineStr">
        <is>
          <t>유튜브 광고</t>
        </is>
      </c>
      <c r="E6220" s="20" t="inlineStr">
        <is>
          <t>고체향수</t>
        </is>
      </c>
      <c r="K6220" s="20" t="n">
        <v>200308</v>
      </c>
    </row>
    <row r="6221">
      <c r="A6221" s="20" t="inlineStr">
        <is>
          <t>동영상캠페인_유즈모먼트_4화_강한향대신</t>
        </is>
      </c>
      <c r="B6221" s="16" t="n">
        <v>44291</v>
      </c>
      <c r="C6221" s="20" t="inlineStr">
        <is>
          <t>월</t>
        </is>
      </c>
      <c r="D6221" s="20" t="inlineStr">
        <is>
          <t>유튜브 광고</t>
        </is>
      </c>
      <c r="E6221" s="20" t="inlineStr">
        <is>
          <t>고체향수</t>
        </is>
      </c>
      <c r="K6221" s="20" t="n">
        <v>157080</v>
      </c>
    </row>
    <row r="6222">
      <c r="A6222" s="20" t="inlineStr">
        <is>
          <t>[5화자] 동영상 캠페인_벨라의 비행일기</t>
        </is>
      </c>
      <c r="B6222" s="16" t="n">
        <v>44291</v>
      </c>
      <c r="C6222" s="20" t="inlineStr">
        <is>
          <t>월</t>
        </is>
      </c>
      <c r="D6222" s="20" t="inlineStr">
        <is>
          <t>유튜브 광고</t>
        </is>
      </c>
      <c r="E6222" s="20" t="inlineStr">
        <is>
          <t>고체향수</t>
        </is>
      </c>
      <c r="K6222" s="20" t="n">
        <v>499862</v>
      </c>
    </row>
    <row r="6223">
      <c r="A6223" s="20" t="inlineStr">
        <is>
          <t>[5화자] 동영상 캠페인_비행하고 여행하는 은선씨</t>
        </is>
      </c>
      <c r="B6223" s="16" t="n">
        <v>44291</v>
      </c>
      <c r="C6223" s="20" t="inlineStr">
        <is>
          <t>월</t>
        </is>
      </c>
      <c r="D6223" s="20" t="inlineStr">
        <is>
          <t>유튜브 광고</t>
        </is>
      </c>
      <c r="E6223" s="20" t="inlineStr">
        <is>
          <t>고체향수</t>
        </is>
      </c>
      <c r="K6223" s="20" t="n">
        <v>300609</v>
      </c>
    </row>
    <row r="6224">
      <c r="A6224" s="20" t="inlineStr">
        <is>
          <t>메인키워드</t>
        </is>
      </c>
      <c r="B6224" s="16" t="n">
        <v>44291</v>
      </c>
      <c r="C6224" s="20" t="inlineStr">
        <is>
          <t>월</t>
        </is>
      </c>
      <c r="D6224" s="20" t="inlineStr">
        <is>
          <t>네이버 쇼핑검색</t>
        </is>
      </c>
      <c r="E6224" s="20" t="inlineStr">
        <is>
          <t>고체향수</t>
        </is>
      </c>
      <c r="K6224" s="20" t="n">
        <v>10250</v>
      </c>
    </row>
    <row r="6225">
      <c r="A6225" s="20" t="inlineStr">
        <is>
          <t>세부키워드1</t>
        </is>
      </c>
      <c r="B6225" s="16" t="n">
        <v>44291</v>
      </c>
      <c r="C6225" s="20" t="inlineStr">
        <is>
          <t>월</t>
        </is>
      </c>
      <c r="D6225" s="20" t="inlineStr">
        <is>
          <t>네이버 쇼핑검색</t>
        </is>
      </c>
      <c r="E6225" s="20" t="inlineStr">
        <is>
          <t>고체향수</t>
        </is>
      </c>
      <c r="K6225" s="20" t="n">
        <v>30840</v>
      </c>
    </row>
    <row r="6226">
      <c r="A6226" s="20" t="inlineStr">
        <is>
          <t>세부키워드2</t>
        </is>
      </c>
      <c r="B6226" s="16" t="n">
        <v>44291</v>
      </c>
      <c r="C6226" s="20" t="inlineStr">
        <is>
          <t>월</t>
        </is>
      </c>
      <c r="D6226" s="20" t="inlineStr">
        <is>
          <t>네이버 쇼핑검색</t>
        </is>
      </c>
      <c r="E6226" s="20" t="inlineStr">
        <is>
          <t>고체향수</t>
        </is>
      </c>
      <c r="K6226" s="20" t="n">
        <v>19610</v>
      </c>
    </row>
    <row r="6227">
      <c r="A6227" s="20" t="inlineStr">
        <is>
          <t>세부키워드3</t>
        </is>
      </c>
      <c r="B6227" s="16" t="n">
        <v>44291</v>
      </c>
      <c r="C6227" s="20" t="inlineStr">
        <is>
          <t>월</t>
        </is>
      </c>
      <c r="D6227" s="20" t="inlineStr">
        <is>
          <t>네이버 쇼핑검색</t>
        </is>
      </c>
      <c r="E6227" s="20" t="inlineStr">
        <is>
          <t>고체향수</t>
        </is>
      </c>
      <c r="K6227" s="20" t="n">
        <v>26560</v>
      </c>
    </row>
    <row r="6228">
      <c r="A6228" s="20" t="inlineStr">
        <is>
          <t>모바일 브검</t>
        </is>
      </c>
      <c r="B6228" s="16" t="n">
        <v>44291</v>
      </c>
      <c r="C6228" s="20" t="inlineStr">
        <is>
          <t>월</t>
        </is>
      </c>
      <c r="D6228" s="20" t="inlineStr">
        <is>
          <t>네이버 브랜드검색</t>
        </is>
      </c>
      <c r="E6228" s="20" t="inlineStr">
        <is>
          <t>브랜드</t>
        </is>
      </c>
      <c r="K6228" s="20" t="n">
        <v>0</v>
      </c>
    </row>
    <row r="6229">
      <c r="A6229" s="20" t="inlineStr">
        <is>
          <t>PC 브랜드검색</t>
        </is>
      </c>
      <c r="B6229" s="16" t="n">
        <v>44291</v>
      </c>
      <c r="C6229" s="20" t="inlineStr">
        <is>
          <t>월</t>
        </is>
      </c>
      <c r="D6229" s="20" t="inlineStr">
        <is>
          <t>네이버 브랜드검색</t>
        </is>
      </c>
      <c r="E6229" s="20" t="inlineStr">
        <is>
          <t>브랜드</t>
        </is>
      </c>
      <c r="K6229" s="20" t="n">
        <v>0</v>
      </c>
    </row>
    <row r="6230">
      <c r="A6230" s="20" t="inlineStr">
        <is>
          <t>고체향수_승무원 어피_Npay 추적</t>
        </is>
      </c>
      <c r="B6230" s="16" t="n">
        <v>44291</v>
      </c>
      <c r="C6230" s="20" t="inlineStr">
        <is>
          <t>월</t>
        </is>
      </c>
      <c r="D6230" s="20" t="inlineStr">
        <is>
          <t>카카오 배너</t>
        </is>
      </c>
      <c r="E6230" s="20" t="inlineStr">
        <is>
          <t>고체향수</t>
        </is>
      </c>
      <c r="K6230" s="20" t="n">
        <v>182130</v>
      </c>
    </row>
    <row r="6231">
      <c r="A6231" s="20" t="inlineStr">
        <is>
          <t>고체향수_Npay 추적</t>
        </is>
      </c>
      <c r="B6231" s="16" t="n">
        <v>44291</v>
      </c>
      <c r="C6231" s="20" t="inlineStr">
        <is>
          <t>월</t>
        </is>
      </c>
      <c r="D6231" s="20" t="inlineStr">
        <is>
          <t>카카오 배너</t>
        </is>
      </c>
      <c r="E6231" s="20" t="inlineStr">
        <is>
          <t>고체향수</t>
        </is>
      </c>
      <c r="K6231" s="20" t="n">
        <v>929479.9999999999</v>
      </c>
    </row>
    <row r="6232">
      <c r="B6232" s="16" t="n">
        <v>44291</v>
      </c>
      <c r="C6232" s="20" t="inlineStr">
        <is>
          <t>월</t>
        </is>
      </c>
      <c r="E6232" s="20" t="inlineStr">
        <is>
          <t>고체향수</t>
        </is>
      </c>
      <c r="F6232" s="20" t="inlineStr">
        <is>
          <t>W컨셉</t>
        </is>
      </c>
      <c r="G6232" s="20" t="inlineStr">
        <is>
          <t>솔리드퍼퓸 이그나이트/스테이포에버 30ml (2종 택1)&lt;옵션1&gt;002 STAY FOREVER</t>
        </is>
      </c>
      <c r="H6232" s="20" t="n">
        <v>27</v>
      </c>
      <c r="I6232" s="20" t="inlineStr">
        <is>
          <t>스테이포에버</t>
        </is>
      </c>
      <c r="J6232" s="20" t="inlineStr">
        <is>
          <t>210207</t>
        </is>
      </c>
      <c r="L6232" s="20" t="n">
        <v>918000</v>
      </c>
      <c r="M6232" s="20" t="n">
        <v>642600</v>
      </c>
      <c r="N6232" s="20" t="n">
        <v>69984</v>
      </c>
      <c r="O6232" s="20" t="inlineStr">
        <is>
          <t>W컨셉고체향수솔리드퍼퓸 이그나이트/스테이포에버 30ml (2종 택1)&lt;옵션1&gt;002 STAY FOREVER210207</t>
        </is>
      </c>
    </row>
    <row r="6233">
      <c r="B6233" s="16" t="n">
        <v>44291</v>
      </c>
      <c r="C6233" s="20" t="inlineStr">
        <is>
          <t>월</t>
        </is>
      </c>
      <c r="E6233" s="20" t="inlineStr">
        <is>
          <t>고체향수</t>
        </is>
      </c>
      <c r="F6233" s="20" t="inlineStr">
        <is>
          <t>W컨셉</t>
        </is>
      </c>
      <c r="G6233" s="20" t="inlineStr">
        <is>
          <t>솔리드퍼퓸 이그나이트/스테이포에버 30ml (2종 택1)&lt;옵션1&gt;IGNITE + STAY FOREVER</t>
        </is>
      </c>
      <c r="H6233" s="20" t="n">
        <v>2</v>
      </c>
      <c r="I6233" s="20" t="inlineStr">
        <is>
          <t>이그나이트 + 스테이포에버</t>
        </is>
      </c>
      <c r="J6233" s="20" t="inlineStr">
        <is>
          <t>210207</t>
        </is>
      </c>
      <c r="L6233" s="20" t="n">
        <v>117600</v>
      </c>
      <c r="M6233" s="20" t="n">
        <v>94080</v>
      </c>
      <c r="N6233" s="20" t="n">
        <v>10690</v>
      </c>
      <c r="O6233" s="20" t="inlineStr">
        <is>
          <t>W컨셉고체향수솔리드퍼퓸 이그나이트/스테이포에버 30ml (2종 택1)&lt;옵션1&gt;IGNITE + STAY FOREVER210207</t>
        </is>
      </c>
    </row>
    <row r="6234">
      <c r="B6234" s="16" t="n">
        <v>44291</v>
      </c>
      <c r="C6234" s="20" t="inlineStr">
        <is>
          <t>월</t>
        </is>
      </c>
      <c r="E6234" s="20" t="inlineStr">
        <is>
          <t>고체향수</t>
        </is>
      </c>
      <c r="F6234" s="20" t="inlineStr">
        <is>
          <t>스마트스토어</t>
        </is>
      </c>
      <c r="G6234" s="20" t="inlineStr">
        <is>
          <t>유즈 고체향수 세트(유즈 스테이포에버, 유즈 이그나이트)고체향수: 스테이포에버 1개 + 이그나이트 1개</t>
        </is>
      </c>
      <c r="H6234" s="20" t="n">
        <v>3</v>
      </c>
      <c r="I6234" s="20" t="inlineStr">
        <is>
          <t>이그나이트 + 스테이포에버</t>
        </is>
      </c>
      <c r="J6234" s="20" t="inlineStr">
        <is>
          <t>210207</t>
        </is>
      </c>
      <c r="L6234" s="20" t="n">
        <v>176400</v>
      </c>
      <c r="M6234" s="20" t="n">
        <v>166080.6</v>
      </c>
      <c r="N6234" s="20" t="n">
        <v>16035</v>
      </c>
      <c r="O6234" s="20" t="inlineStr">
        <is>
          <t>스마트스토어고체향수유즈 고체향수 세트(유즈 스테이포에버, 유즈 이그나이트)고체향수: 스테이포에버 1개 + 이그나이트 1개210207</t>
        </is>
      </c>
    </row>
    <row r="6235">
      <c r="B6235" s="16" t="n">
        <v>44291</v>
      </c>
      <c r="C6235" s="20" t="inlineStr">
        <is>
          <t>월</t>
        </is>
      </c>
      <c r="E6235" s="20" t="inlineStr">
        <is>
          <t>고체향수</t>
        </is>
      </c>
      <c r="F6235" s="20" t="inlineStr">
        <is>
          <t>스마트스토어</t>
        </is>
      </c>
      <c r="G6235" s="20" t="inlineStr">
        <is>
          <t>유즈 고체향수 세트(유즈 스테이포에버, 유즈 이그나이트)고체향수: 스테이포에버 2개</t>
        </is>
      </c>
      <c r="H6235" s="20" t="n">
        <v>3</v>
      </c>
      <c r="I6235" s="20" t="inlineStr">
        <is>
          <t>스테이포에버 2set</t>
        </is>
      </c>
      <c r="J6235" s="20" t="inlineStr">
        <is>
          <t>210207</t>
        </is>
      </c>
      <c r="L6235" s="20" t="n">
        <v>176400</v>
      </c>
      <c r="M6235" s="20" t="n">
        <v>172872</v>
      </c>
      <c r="N6235" s="20" t="n">
        <v>15552</v>
      </c>
      <c r="O6235" s="20" t="inlineStr">
        <is>
          <t>스마트스토어고체향수유즈 고체향수 세트(유즈 스테이포에버, 유즈 이그나이트)고체향수: 스테이포에버 2개210207</t>
        </is>
      </c>
    </row>
    <row r="6236">
      <c r="B6236" s="16" t="n">
        <v>44291</v>
      </c>
      <c r="C6236" s="20" t="inlineStr">
        <is>
          <t>월</t>
        </is>
      </c>
      <c r="E6236" s="20" t="inlineStr">
        <is>
          <t>고체향수</t>
        </is>
      </c>
      <c r="F6236" s="20" t="inlineStr">
        <is>
          <t>스마트스토어</t>
        </is>
      </c>
      <c r="G6236" s="20" t="inlineStr">
        <is>
          <t>유즈 고체향수 스테이포에버 002고체향수: 스테이포에버 1개</t>
        </is>
      </c>
      <c r="H6236" s="20" t="n">
        <v>32</v>
      </c>
      <c r="I6236" s="20" t="inlineStr">
        <is>
          <t>스테이포에버</t>
        </is>
      </c>
      <c r="J6236" s="20" t="inlineStr">
        <is>
          <t>210207</t>
        </is>
      </c>
      <c r="L6236" s="20" t="n">
        <v>1088000</v>
      </c>
      <c r="M6236" s="20" t="n">
        <v>1066240</v>
      </c>
      <c r="N6236" s="20" t="n">
        <v>82944</v>
      </c>
      <c r="O6236" s="20" t="inlineStr">
        <is>
          <t>스마트스토어고체향수유즈 고체향수 스테이포에버 002고체향수: 스테이포에버 1개210207</t>
        </is>
      </c>
    </row>
    <row r="6237">
      <c r="B6237" s="16" t="n">
        <v>44291</v>
      </c>
      <c r="C6237" s="20" t="inlineStr">
        <is>
          <t>월</t>
        </is>
      </c>
      <c r="E6237" s="20" t="inlineStr">
        <is>
          <t>고체향수</t>
        </is>
      </c>
      <c r="F6237" s="20" t="inlineStr">
        <is>
          <t>카페24</t>
        </is>
      </c>
      <c r="G6237" s="20" t="inlineStr">
        <is>
          <t>솔리드퍼퓸 세트향=스테이포에버 002 SOLID PERFUME, 세트 선택=1개</t>
        </is>
      </c>
      <c r="H6237" s="20" t="n">
        <v>5</v>
      </c>
      <c r="I6237" s="20" t="inlineStr">
        <is>
          <t>스테이포에버</t>
        </is>
      </c>
      <c r="J6237" s="20" t="inlineStr">
        <is>
          <t>210207</t>
        </is>
      </c>
      <c r="L6237" s="20" t="n">
        <v>170000</v>
      </c>
      <c r="M6237" s="20" t="n">
        <v>160055</v>
      </c>
      <c r="N6237" s="20" t="n">
        <v>12960</v>
      </c>
      <c r="O6237" s="20" t="inlineStr">
        <is>
          <t>카페24고체향수솔리드퍼퓸 세트향=스테이포에버 002 SOLID PERFUME, 세트 선택=1개210207</t>
        </is>
      </c>
    </row>
    <row r="6238">
      <c r="B6238" s="16" t="n">
        <v>44291</v>
      </c>
      <c r="C6238" s="20" t="inlineStr">
        <is>
          <t>월</t>
        </is>
      </c>
      <c r="E6238" s="20" t="inlineStr">
        <is>
          <t>고체향수</t>
        </is>
      </c>
      <c r="F6238" s="20" t="inlineStr">
        <is>
          <t>카페24</t>
        </is>
      </c>
      <c r="G6238" s="20" t="inlineStr">
        <is>
          <t>솔리드퍼퓸 세트향=스테이포에버 002 SOLID PERFUME, 세트 선택=best 2개 (28% 할인)</t>
        </is>
      </c>
      <c r="H6238" s="20" t="n">
        <v>8</v>
      </c>
      <c r="I6238" s="20" t="inlineStr">
        <is>
          <t>스테이포에버 2set</t>
        </is>
      </c>
      <c r="J6238" s="20" t="inlineStr">
        <is>
          <t>210207</t>
        </is>
      </c>
      <c r="L6238" s="20" t="n">
        <v>470400</v>
      </c>
      <c r="M6238" s="20" t="n">
        <v>442881.6</v>
      </c>
      <c r="N6238" s="20" t="n">
        <v>41472</v>
      </c>
      <c r="O6238" s="20" t="inlineStr">
        <is>
          <t>카페24고체향수솔리드퍼퓸 세트향=스테이포에버 002 SOLID PERFUME, 세트 선택=best 2개 (28% 할인)210207</t>
        </is>
      </c>
    </row>
    <row r="6239">
      <c r="B6239" s="16" t="n">
        <v>44291</v>
      </c>
      <c r="C6239" s="20" t="inlineStr">
        <is>
          <t>월</t>
        </is>
      </c>
      <c r="E6239" s="20" t="inlineStr">
        <is>
          <t>고체향수</t>
        </is>
      </c>
      <c r="F6239" s="20" t="inlineStr">
        <is>
          <t>카페24</t>
        </is>
      </c>
      <c r="G6239" s="20" t="inlineStr">
        <is>
          <t>솔리드퍼퓸 세트향=커플세트(이그나이트 + 스테이포에버), 세트 선택=1 SET</t>
        </is>
      </c>
      <c r="H6239" s="20" t="n">
        <v>9</v>
      </c>
      <c r="I6239" s="20" t="inlineStr">
        <is>
          <t>이그나이트 + 스테이포에버</t>
        </is>
      </c>
      <c r="J6239" s="20" t="inlineStr">
        <is>
          <t>210207</t>
        </is>
      </c>
      <c r="L6239" s="20" t="n">
        <v>529200</v>
      </c>
      <c r="M6239" s="20" t="n">
        <v>498241.8</v>
      </c>
      <c r="N6239" s="20" t="n">
        <v>48105</v>
      </c>
      <c r="O6239" s="20" t="inlineStr">
        <is>
          <t>카페24고체향수솔리드퍼퓸 세트향=커플세트(이그나이트 + 스테이포에버), 세트 선택=1 SET210207</t>
        </is>
      </c>
    </row>
    <row r="6240">
      <c r="B6240" s="16" t="n">
        <v>44291</v>
      </c>
      <c r="C6240" s="20" t="inlineStr">
        <is>
          <t>월</t>
        </is>
      </c>
      <c r="E6240" s="20" t="inlineStr">
        <is>
          <t>고체향수</t>
        </is>
      </c>
      <c r="F6240" s="20" t="inlineStr">
        <is>
          <t>카페24</t>
        </is>
      </c>
      <c r="G6240" s="20" t="inlineStr">
        <is>
          <t>솔리드퍼퓸 세트향=커플세트(이그나이트 + 스테이포에버), 세트 선택=2 SET (42% 할인)</t>
        </is>
      </c>
      <c r="H6240" s="20" t="n">
        <v>1</v>
      </c>
      <c r="I6240" s="20" t="inlineStr">
        <is>
          <t>이그나이트 + 스테이포에버</t>
        </is>
      </c>
      <c r="J6240" s="20" t="inlineStr">
        <is>
          <t>210207</t>
        </is>
      </c>
      <c r="L6240" s="20" t="n">
        <v>58800</v>
      </c>
      <c r="M6240" s="20" t="n">
        <v>55360.2</v>
      </c>
      <c r="N6240" s="20" t="n">
        <v>5345</v>
      </c>
      <c r="O6240" s="20" t="inlineStr">
        <is>
          <t>카페24고체향수솔리드퍼퓸 세트향=커플세트(이그나이트 + 스테이포에버), 세트 선택=2 SET (42% 할인)210207</t>
        </is>
      </c>
    </row>
    <row r="6241">
      <c r="B6241" s="16" t="n">
        <v>44291</v>
      </c>
      <c r="C6241" s="20" t="inlineStr">
        <is>
          <t>월</t>
        </is>
      </c>
      <c r="E6241" s="20" t="inlineStr">
        <is>
          <t>고체향수</t>
        </is>
      </c>
      <c r="F6241" s="20" t="inlineStr">
        <is>
          <t>카페24</t>
        </is>
      </c>
      <c r="G6241" s="20" t="inlineStr">
        <is>
          <t>솔리드퍼퓸 스테이포에버 002제품선택=스테이포에버 1개</t>
        </is>
      </c>
      <c r="H6241" s="20" t="n">
        <v>182</v>
      </c>
      <c r="I6241" s="20" t="inlineStr">
        <is>
          <t>스테이포에버</t>
        </is>
      </c>
      <c r="J6241" s="20" t="inlineStr">
        <is>
          <t>210207</t>
        </is>
      </c>
      <c r="L6241" s="20" t="n">
        <v>6188000</v>
      </c>
      <c r="M6241" s="20" t="n">
        <v>5826002</v>
      </c>
      <c r="N6241" s="20" t="n">
        <v>471744</v>
      </c>
      <c r="O6241" s="20" t="inlineStr">
        <is>
          <t>카페24고체향수솔리드퍼퓸 스테이포에버 002제품선택=스테이포에버 1개210207</t>
        </is>
      </c>
    </row>
    <row r="6242">
      <c r="B6242" s="16" t="n">
        <v>44291</v>
      </c>
      <c r="C6242" s="20" t="inlineStr">
        <is>
          <t>월</t>
        </is>
      </c>
      <c r="E6242" s="20" t="inlineStr">
        <is>
          <t>고체향수</t>
        </is>
      </c>
      <c r="F6242" s="20" t="inlineStr">
        <is>
          <t>카페24</t>
        </is>
      </c>
      <c r="G6242" s="20" t="inlineStr">
        <is>
          <t>솔리드퍼퓸 스테이포에버 002제품선택=best스테이포에버 2개[28% 할인]</t>
        </is>
      </c>
      <c r="H6242" s="20" t="n">
        <v>102</v>
      </c>
      <c r="I6242" s="20" t="inlineStr">
        <is>
          <t>스테이포에버 2set</t>
        </is>
      </c>
      <c r="J6242" s="20" t="inlineStr">
        <is>
          <t>210207</t>
        </is>
      </c>
      <c r="L6242" s="20" t="n">
        <v>5997600</v>
      </c>
      <c r="M6242" s="20" t="n">
        <v>5646740.399999999</v>
      </c>
      <c r="N6242" s="20" t="n">
        <v>528768</v>
      </c>
      <c r="O6242" s="20" t="inlineStr">
        <is>
          <t>카페24고체향수솔리드퍼퓸 스테이포에버 002제품선택=best스테이포에버 2개[28% 할인]210207</t>
        </is>
      </c>
    </row>
    <row r="6243">
      <c r="B6243" s="16" t="n">
        <v>44291</v>
      </c>
      <c r="C6243" s="20" t="inlineStr">
        <is>
          <t>월</t>
        </is>
      </c>
      <c r="E6243" s="20" t="inlineStr">
        <is>
          <t>고체향수</t>
        </is>
      </c>
      <c r="F6243" s="20" t="inlineStr">
        <is>
          <t>카페24</t>
        </is>
      </c>
      <c r="G6243" s="20" t="inlineStr">
        <is>
          <t>솔리드퍼퓸 스테이포에버 002제품선택=커플추천스테이포에버 + 이그나이트 세트</t>
        </is>
      </c>
      <c r="H6243" s="20" t="n">
        <v>7</v>
      </c>
      <c r="I6243" s="20" t="inlineStr">
        <is>
          <t>이그나이트 + 스테이포에버</t>
        </is>
      </c>
      <c r="J6243" s="20" t="inlineStr">
        <is>
          <t>210207</t>
        </is>
      </c>
      <c r="L6243" s="20" t="n">
        <v>411600</v>
      </c>
      <c r="M6243" s="20" t="n">
        <v>387521.4</v>
      </c>
      <c r="N6243" s="20" t="n">
        <v>37415</v>
      </c>
      <c r="O6243" s="20" t="inlineStr">
        <is>
          <t>카페24고체향수솔리드퍼퓸 스테이포에버 002제품선택=커플추천스테이포에버 + 이그나이트 세트210207</t>
        </is>
      </c>
    </row>
    <row r="6244">
      <c r="B6244" s="16" t="n">
        <v>44291</v>
      </c>
      <c r="C6244" s="20" t="inlineStr">
        <is>
          <t>월</t>
        </is>
      </c>
      <c r="E6244" s="20" t="inlineStr">
        <is>
          <t>쇼핑백</t>
        </is>
      </c>
      <c r="F6244" s="20" t="inlineStr">
        <is>
          <t>카페24</t>
        </is>
      </c>
      <c r="G6244" s="20" t="inlineStr">
        <is>
          <t>솔리드퍼퓸 스테이포에버 002쇼핑백=선물용 쇼핑백</t>
        </is>
      </c>
      <c r="H6244" s="20" t="n">
        <v>6</v>
      </c>
      <c r="I6244" s="20" t="inlineStr">
        <is>
          <t>쇼핑백</t>
        </is>
      </c>
      <c r="J6244" s="20" t="inlineStr">
        <is>
          <t>210207</t>
        </is>
      </c>
      <c r="L6244" s="20" t="n">
        <v>12000</v>
      </c>
      <c r="M6244" s="20" t="n">
        <v>11298</v>
      </c>
      <c r="N6244" s="20" t="n">
        <v>4980</v>
      </c>
      <c r="O6244" s="20" t="inlineStr">
        <is>
          <t>카페24쇼핑백솔리드퍼퓸 스테이포에버 002쇼핑백=선물용 쇼핑백210207</t>
        </is>
      </c>
    </row>
    <row r="6245">
      <c r="B6245" s="16" t="n">
        <v>44291</v>
      </c>
      <c r="C6245" s="20" t="inlineStr">
        <is>
          <t>월</t>
        </is>
      </c>
      <c r="E6245" s="20" t="inlineStr">
        <is>
          <t>고체향수</t>
        </is>
      </c>
      <c r="F6245" s="20" t="inlineStr">
        <is>
          <t>카페24</t>
        </is>
      </c>
      <c r="G6245" s="20" t="inlineStr">
        <is>
          <t>솔리드퍼퓸 이그나이트 001제품선택=이그나이트 솔리드퍼퓸 - 30ml</t>
        </is>
      </c>
      <c r="H6245" s="20" t="n">
        <v>2</v>
      </c>
      <c r="I6245" s="20" t="inlineStr">
        <is>
          <t>이그나이트</t>
        </is>
      </c>
      <c r="J6245" s="20" t="inlineStr">
        <is>
          <t>210207</t>
        </is>
      </c>
      <c r="L6245" s="20" t="n">
        <v>68000</v>
      </c>
      <c r="M6245" s="20" t="n">
        <v>64022</v>
      </c>
      <c r="N6245" s="20" t="n">
        <v>5506</v>
      </c>
      <c r="O6245" s="20" t="inlineStr">
        <is>
          <t>카페24고체향수솔리드퍼퓸 이그나이트 001제품선택=이그나이트 솔리드퍼퓸 - 30ml210207</t>
        </is>
      </c>
    </row>
    <row r="6246">
      <c r="A6246" s="20" t="inlineStr">
        <is>
          <t>고체향수_전환추적</t>
        </is>
      </c>
      <c r="B6246" s="16" t="n">
        <v>44291</v>
      </c>
      <c r="C6246" s="20" t="inlineStr">
        <is>
          <t>월</t>
        </is>
      </c>
      <c r="D6246" s="20" t="inlineStr">
        <is>
          <t>네이버 배너</t>
        </is>
      </c>
      <c r="E6246" s="20" t="inlineStr">
        <is>
          <t>고체향수</t>
        </is>
      </c>
      <c r="K6246" s="20" t="n">
        <v>0</v>
      </c>
    </row>
    <row r="6247">
      <c r="A6247" s="20" t="inlineStr">
        <is>
          <t>고체향수</t>
        </is>
      </c>
      <c r="B6247" s="16" t="n">
        <v>44291</v>
      </c>
      <c r="C6247" s="20" t="inlineStr">
        <is>
          <t>월</t>
        </is>
      </c>
      <c r="D6247" s="20" t="inlineStr">
        <is>
          <t>네이버 배너</t>
        </is>
      </c>
      <c r="E6247" s="20" t="inlineStr">
        <is>
          <t>고체향수</t>
        </is>
      </c>
      <c r="K6247" s="20" t="n">
        <v>1524417.272727273</v>
      </c>
    </row>
    <row r="6248">
      <c r="A6248" s="20" t="inlineStr">
        <is>
          <t>[유튜버 수지큐]스테이포에버_카드뉴스</t>
        </is>
      </c>
      <c r="B6248" s="16" t="n">
        <v>44292</v>
      </c>
      <c r="C6248" s="20" t="inlineStr">
        <is>
          <t>화</t>
        </is>
      </c>
      <c r="D6248" s="20" t="inlineStr">
        <is>
          <t>페이스북/인스타그램</t>
        </is>
      </c>
      <c r="E6248" s="20" t="inlineStr">
        <is>
          <t>고체향수</t>
        </is>
      </c>
      <c r="K6248" s="20" t="n">
        <v>29946</v>
      </c>
    </row>
    <row r="6249">
      <c r="A6249" s="20" t="inlineStr">
        <is>
          <t>[유튜버 수지큐]스테이포에버_영상</t>
        </is>
      </c>
      <c r="B6249" s="16" t="n">
        <v>44292</v>
      </c>
      <c r="C6249" s="20" t="inlineStr">
        <is>
          <t>화</t>
        </is>
      </c>
      <c r="D6249" s="20" t="inlineStr">
        <is>
          <t>페이스북/인스타그램</t>
        </is>
      </c>
      <c r="E6249" s="20" t="inlineStr">
        <is>
          <t>고체향수</t>
        </is>
      </c>
      <c r="K6249" s="20" t="n">
        <v>60673</v>
      </c>
    </row>
    <row r="6250">
      <c r="A6250" s="20" t="inlineStr">
        <is>
          <t>[승무원]수지큐2차활용_스테이포에버_이미지</t>
        </is>
      </c>
      <c r="B6250" s="16" t="n">
        <v>44292</v>
      </c>
      <c r="C6250" s="20" t="inlineStr">
        <is>
          <t>화</t>
        </is>
      </c>
      <c r="D6250" s="20" t="inlineStr">
        <is>
          <t>페이스북/인스타그램</t>
        </is>
      </c>
      <c r="E6250" s="20" t="inlineStr">
        <is>
          <t>고체향수</t>
        </is>
      </c>
      <c r="K6250" s="20" t="n">
        <v>31009</v>
      </c>
    </row>
    <row r="6251">
      <c r="A6251" s="20" t="inlineStr">
        <is>
          <t>[다현 TEST] 스테이포에버_유즈모먼트</t>
        </is>
      </c>
      <c r="B6251" s="16" t="n">
        <v>44292</v>
      </c>
      <c r="C6251" s="20" t="inlineStr">
        <is>
          <t>화</t>
        </is>
      </c>
      <c r="D6251" s="20" t="inlineStr">
        <is>
          <t>페이스북/인스타그램</t>
        </is>
      </c>
      <c r="E6251" s="20" t="inlineStr">
        <is>
          <t>고체향수</t>
        </is>
      </c>
      <c r="K6251" s="20" t="n">
        <v>60214</v>
      </c>
    </row>
    <row r="6252">
      <c r="A6252" s="20" t="inlineStr">
        <is>
          <t>[성민 TEST] 스테이포에버_이미지</t>
        </is>
      </c>
      <c r="B6252" s="16" t="n">
        <v>44292</v>
      </c>
      <c r="C6252" s="20" t="inlineStr">
        <is>
          <t>화</t>
        </is>
      </c>
      <c r="D6252" s="20" t="inlineStr">
        <is>
          <t>페이스북/인스타그램</t>
        </is>
      </c>
      <c r="E6252" s="20" t="inlineStr">
        <is>
          <t>고체향수</t>
        </is>
      </c>
      <c r="K6252" s="20" t="n">
        <v>200024</v>
      </c>
    </row>
    <row r="6253">
      <c r="A6253" s="20" t="inlineStr">
        <is>
          <t>[승은 TEST] 스테이포에버_카드뉴스</t>
        </is>
      </c>
      <c r="B6253" s="16" t="n">
        <v>44292</v>
      </c>
      <c r="C6253" s="20" t="inlineStr">
        <is>
          <t>화</t>
        </is>
      </c>
      <c r="D6253" s="20" t="inlineStr">
        <is>
          <t>페이스북/인스타그램</t>
        </is>
      </c>
      <c r="E6253" s="20" t="inlineStr">
        <is>
          <t>고체향수</t>
        </is>
      </c>
      <c r="K6253" s="20" t="n">
        <v>50448</v>
      </c>
    </row>
    <row r="6254">
      <c r="A6254" s="20" t="inlineStr">
        <is>
          <t>[승무원 2] 스테이포에버_카드뉴스</t>
        </is>
      </c>
      <c r="B6254" s="16" t="n">
        <v>44292</v>
      </c>
      <c r="C6254" s="20" t="inlineStr">
        <is>
          <t>화</t>
        </is>
      </c>
      <c r="D6254" s="20" t="inlineStr">
        <is>
          <t>페이스북/인스타그램</t>
        </is>
      </c>
      <c r="E6254" s="20" t="inlineStr">
        <is>
          <t>고체향수</t>
        </is>
      </c>
      <c r="K6254" s="20" t="n">
        <v>100553</v>
      </c>
    </row>
    <row r="6255">
      <c r="A6255" s="20" t="inlineStr">
        <is>
          <t>[테스트]아줌마</t>
        </is>
      </c>
      <c r="B6255" s="16" t="n">
        <v>44292</v>
      </c>
      <c r="C6255" s="20" t="inlineStr">
        <is>
          <t>화</t>
        </is>
      </c>
      <c r="D6255" s="20" t="inlineStr">
        <is>
          <t>페이스북/인스타그램</t>
        </is>
      </c>
      <c r="E6255" s="20" t="inlineStr">
        <is>
          <t>고체향수</t>
        </is>
      </c>
      <c r="K6255" s="20" t="n">
        <v>110558</v>
      </c>
    </row>
    <row r="6256">
      <c r="A6256" s="20" t="inlineStr">
        <is>
          <t>[다양한 키워드] 스테이포에버_이미지</t>
        </is>
      </c>
      <c r="B6256" s="16" t="n">
        <v>44292</v>
      </c>
      <c r="C6256" s="20" t="inlineStr">
        <is>
          <t>화</t>
        </is>
      </c>
      <c r="D6256" s="20" t="inlineStr">
        <is>
          <t>페이스북/인스타그램</t>
        </is>
      </c>
      <c r="E6256" s="20" t="inlineStr">
        <is>
          <t>고체향수</t>
        </is>
      </c>
      <c r="K6256" s="20" t="n">
        <v>210319</v>
      </c>
    </row>
    <row r="6257">
      <c r="A6257" s="20" t="inlineStr">
        <is>
          <t>[재입고]스테이포에버_이미지</t>
        </is>
      </c>
      <c r="B6257" s="16" t="n">
        <v>44292</v>
      </c>
      <c r="C6257" s="20" t="inlineStr">
        <is>
          <t>화</t>
        </is>
      </c>
      <c r="D6257" s="20" t="inlineStr">
        <is>
          <t>페이스북/인스타그램</t>
        </is>
      </c>
      <c r="E6257" s="20" t="inlineStr">
        <is>
          <t>고체향수</t>
        </is>
      </c>
      <c r="K6257" s="20" t="n">
        <v>201731</v>
      </c>
    </row>
    <row r="6258">
      <c r="A6258" s="20" t="inlineStr">
        <is>
          <t>[승무원]숏폼_영상</t>
        </is>
      </c>
      <c r="B6258" s="16" t="n">
        <v>44292</v>
      </c>
      <c r="C6258" s="20" t="inlineStr">
        <is>
          <t>화</t>
        </is>
      </c>
      <c r="D6258" s="20" t="inlineStr">
        <is>
          <t>페이스북/인스타그램</t>
        </is>
      </c>
      <c r="E6258" s="20" t="inlineStr">
        <is>
          <t>고체향수</t>
        </is>
      </c>
      <c r="K6258" s="20" t="n">
        <v>49586</v>
      </c>
    </row>
    <row r="6259">
      <c r="A6259" s="20" t="inlineStr">
        <is>
          <t>[재입고]스테이포에버_영상</t>
        </is>
      </c>
      <c r="B6259" s="16" t="n">
        <v>44292</v>
      </c>
      <c r="C6259" s="20" t="inlineStr">
        <is>
          <t>화</t>
        </is>
      </c>
      <c r="D6259" s="20" t="inlineStr">
        <is>
          <t>페이스북/인스타그램</t>
        </is>
      </c>
      <c r="E6259" s="20" t="inlineStr">
        <is>
          <t>고체향수</t>
        </is>
      </c>
      <c r="K6259" s="20" t="n">
        <v>99159</v>
      </c>
    </row>
    <row r="6260">
      <c r="A6260" s="20" t="inlineStr">
        <is>
          <t>[승무원]2019년썰 카드뉴스+ 향묘사_영상</t>
        </is>
      </c>
      <c r="B6260" s="16" t="n">
        <v>44292</v>
      </c>
      <c r="C6260" s="20" t="inlineStr">
        <is>
          <t>화</t>
        </is>
      </c>
      <c r="D6260" s="20" t="inlineStr">
        <is>
          <t>페이스북/인스타그램</t>
        </is>
      </c>
      <c r="E6260" s="20" t="inlineStr">
        <is>
          <t>고체향수</t>
        </is>
      </c>
      <c r="K6260" s="20" t="n">
        <v>49808</v>
      </c>
    </row>
    <row r="6261">
      <c r="A6261" s="20" t="inlineStr">
        <is>
          <t>[승무원어피]스테이포에버_이미지</t>
        </is>
      </c>
      <c r="B6261" s="16" t="n">
        <v>44292</v>
      </c>
      <c r="C6261" s="20" t="inlineStr">
        <is>
          <t>화</t>
        </is>
      </c>
      <c r="D6261" s="20" t="inlineStr">
        <is>
          <t>페이스북/인스타그램</t>
        </is>
      </c>
      <c r="E6261" s="20" t="inlineStr">
        <is>
          <t>고체향수</t>
        </is>
      </c>
      <c r="K6261" s="20" t="n">
        <v>101754</v>
      </c>
    </row>
    <row r="6262">
      <c r="A6262" s="20" t="inlineStr">
        <is>
          <t>[다현]스테이포에버_이미지</t>
        </is>
      </c>
      <c r="B6262" s="16" t="n">
        <v>44292</v>
      </c>
      <c r="C6262" s="20" t="inlineStr">
        <is>
          <t>화</t>
        </is>
      </c>
      <c r="D6262" s="20" t="inlineStr">
        <is>
          <t>페이스북/인스타그램</t>
        </is>
      </c>
      <c r="E6262" s="20" t="inlineStr">
        <is>
          <t>고체향수</t>
        </is>
      </c>
      <c r="K6262" s="20" t="n">
        <v>99791</v>
      </c>
    </row>
    <row r="6263">
      <c r="A6263" s="20" t="inlineStr">
        <is>
          <t>[승무원]스테이포에버_카드뉴스</t>
        </is>
      </c>
      <c r="B6263" s="16" t="n">
        <v>44292</v>
      </c>
      <c r="C6263" s="20" t="inlineStr">
        <is>
          <t>화</t>
        </is>
      </c>
      <c r="D6263" s="20" t="inlineStr">
        <is>
          <t>페이스북/인스타그램</t>
        </is>
      </c>
      <c r="E6263" s="20" t="inlineStr">
        <is>
          <t>고체향수</t>
        </is>
      </c>
      <c r="K6263" s="20" t="n">
        <v>98627</v>
      </c>
    </row>
    <row r="6264">
      <c r="A6264" s="20" t="inlineStr">
        <is>
          <t>[후기타입]스테이포에버_영상</t>
        </is>
      </c>
      <c r="B6264" s="16" t="n">
        <v>44292</v>
      </c>
      <c r="C6264" s="20" t="inlineStr">
        <is>
          <t>화</t>
        </is>
      </c>
      <c r="D6264" s="20" t="inlineStr">
        <is>
          <t>페이스북/인스타그램</t>
        </is>
      </c>
      <c r="E6264" s="20" t="inlineStr">
        <is>
          <t>고체향수</t>
        </is>
      </c>
      <c r="K6264" s="20" t="n">
        <v>150904</v>
      </c>
    </row>
    <row r="6265">
      <c r="A6265" s="20" t="inlineStr">
        <is>
          <t>전환_스테이포에버</t>
        </is>
      </c>
      <c r="B6265" s="16" t="n">
        <v>44292</v>
      </c>
      <c r="C6265" s="20" t="inlineStr">
        <is>
          <t>화</t>
        </is>
      </c>
      <c r="D6265" s="20" t="inlineStr">
        <is>
          <t>페이스북/인스타그램</t>
        </is>
      </c>
      <c r="E6265" s="20" t="inlineStr">
        <is>
          <t>고체향수</t>
        </is>
      </c>
      <c r="K6265" s="20" t="n">
        <v>50556</v>
      </c>
    </row>
    <row r="6266">
      <c r="A6266" s="20" t="inlineStr">
        <is>
          <t>[권태기커플]스테이포에버_영상</t>
        </is>
      </c>
      <c r="B6266" s="16" t="n">
        <v>44292</v>
      </c>
      <c r="C6266" s="20" t="inlineStr">
        <is>
          <t>화</t>
        </is>
      </c>
      <c r="D6266" s="20" t="inlineStr">
        <is>
          <t>페이스북/인스타그램</t>
        </is>
      </c>
      <c r="E6266" s="20" t="inlineStr">
        <is>
          <t>고체향수</t>
        </is>
      </c>
      <c r="K6266" s="20" t="n">
        <v>75379</v>
      </c>
    </row>
    <row r="6267">
      <c r="A6267" s="20" t="inlineStr">
        <is>
          <t>웹사이트 트래픽 서치</t>
        </is>
      </c>
      <c r="B6267" s="16" t="n">
        <v>44292</v>
      </c>
      <c r="C6267" s="20" t="inlineStr">
        <is>
          <t>화</t>
        </is>
      </c>
      <c r="D6267" s="20" t="inlineStr">
        <is>
          <t>유튜브 광고</t>
        </is>
      </c>
      <c r="E6267" s="20" t="inlineStr">
        <is>
          <t>고체향수</t>
        </is>
      </c>
      <c r="K6267" s="20" t="n">
        <v>28901</v>
      </c>
    </row>
    <row r="6268">
      <c r="A6268" s="20" t="inlineStr">
        <is>
          <t>동영상캠페인_승무원_보이는 라디오(cpa)</t>
        </is>
      </c>
      <c r="B6268" s="16" t="n">
        <v>44292</v>
      </c>
      <c r="C6268" s="20" t="inlineStr">
        <is>
          <t>화</t>
        </is>
      </c>
      <c r="D6268" s="20" t="inlineStr">
        <is>
          <t>유튜브 광고</t>
        </is>
      </c>
      <c r="E6268" s="20" t="inlineStr">
        <is>
          <t>고체향수</t>
        </is>
      </c>
      <c r="K6268" s="20" t="n">
        <v>91915</v>
      </c>
    </row>
    <row r="6269">
      <c r="A6269" s="20" t="inlineStr">
        <is>
          <t>디스커버리 배너_승무원,할인_리마케팅</t>
        </is>
      </c>
      <c r="B6269" s="16" t="n">
        <v>44292</v>
      </c>
      <c r="C6269" s="20" t="inlineStr">
        <is>
          <t>화</t>
        </is>
      </c>
      <c r="D6269" s="20" t="inlineStr">
        <is>
          <t>유튜브 광고</t>
        </is>
      </c>
      <c r="E6269" s="20" t="inlineStr">
        <is>
          <t>고체향수</t>
        </is>
      </c>
      <c r="K6269" s="20" t="n">
        <v>392012</v>
      </c>
    </row>
    <row r="6270">
      <c r="A6270" s="20" t="inlineStr">
        <is>
          <t>동영상캠페인_승무원_써니스카이</t>
        </is>
      </c>
      <c r="B6270" s="16" t="n">
        <v>44292</v>
      </c>
      <c r="C6270" s="20" t="inlineStr">
        <is>
          <t>화</t>
        </is>
      </c>
      <c r="D6270" s="20" t="inlineStr">
        <is>
          <t>유튜브 광고</t>
        </is>
      </c>
      <c r="E6270" s="20" t="inlineStr">
        <is>
          <t>고체향수</t>
        </is>
      </c>
      <c r="K6270" s="20" t="n">
        <v>199905</v>
      </c>
    </row>
    <row r="6271">
      <c r="A6271" s="20" t="inlineStr">
        <is>
          <t>동영상캠페인_필라테스_자기관리(타겟 cpa)</t>
        </is>
      </c>
      <c r="B6271" s="16" t="n">
        <v>44292</v>
      </c>
      <c r="C6271" s="20" t="inlineStr">
        <is>
          <t>화</t>
        </is>
      </c>
      <c r="D6271" s="20" t="inlineStr">
        <is>
          <t>유튜브 광고</t>
        </is>
      </c>
      <c r="E6271" s="20" t="inlineStr">
        <is>
          <t>고체향수</t>
        </is>
      </c>
      <c r="K6271" s="20" t="n">
        <v>36974</v>
      </c>
    </row>
    <row r="6272">
      <c r="A6272" s="20" t="inlineStr">
        <is>
          <t>동영상캠페인_승무원_비누향 나는 승무원에게(cpa)</t>
        </is>
      </c>
      <c r="B6272" s="16" t="n">
        <v>44292</v>
      </c>
      <c r="C6272" s="20" t="inlineStr">
        <is>
          <t>화</t>
        </is>
      </c>
      <c r="D6272" s="20" t="inlineStr">
        <is>
          <t>유튜브 광고</t>
        </is>
      </c>
      <c r="E6272" s="20" t="inlineStr">
        <is>
          <t>고체향수</t>
        </is>
      </c>
      <c r="K6272" s="20" t="n">
        <v>28612</v>
      </c>
    </row>
    <row r="6273">
      <c r="A6273" s="20" t="inlineStr">
        <is>
          <t>동영상캠페인_유즈모먼트_2차_30대 여성 회사원(cpa)</t>
        </is>
      </c>
      <c r="B6273" s="16" t="n">
        <v>44292</v>
      </c>
      <c r="C6273" s="20" t="inlineStr">
        <is>
          <t>화</t>
        </is>
      </c>
      <c r="D6273" s="20" t="inlineStr">
        <is>
          <t>유튜브 광고</t>
        </is>
      </c>
      <c r="E6273" s="20" t="inlineStr">
        <is>
          <t>고체향수</t>
        </is>
      </c>
      <c r="K6273" s="20" t="n">
        <v>14768</v>
      </c>
    </row>
    <row r="6274">
      <c r="A6274" s="20" t="inlineStr">
        <is>
          <t>동영상캠페인_유즈모먼트_조향사 친구(cpa)</t>
        </is>
      </c>
      <c r="B6274" s="16" t="n">
        <v>44292</v>
      </c>
      <c r="C6274" s="20" t="inlineStr">
        <is>
          <t>화</t>
        </is>
      </c>
      <c r="D6274" s="20" t="inlineStr">
        <is>
          <t>유튜브 광고</t>
        </is>
      </c>
      <c r="E6274" s="20" t="inlineStr">
        <is>
          <t>고체향수</t>
        </is>
      </c>
      <c r="K6274" s="20" t="n">
        <v>99969</v>
      </c>
    </row>
    <row r="6275">
      <c r="A6275" s="20" t="inlineStr">
        <is>
          <t>동영상 캠페인_유튜버 수지큐 2차활용</t>
        </is>
      </c>
      <c r="B6275" s="16" t="n">
        <v>44292</v>
      </c>
      <c r="C6275" s="20" t="inlineStr">
        <is>
          <t>화</t>
        </is>
      </c>
      <c r="D6275" s="20" t="inlineStr">
        <is>
          <t>유튜브 광고</t>
        </is>
      </c>
      <c r="E6275" s="20" t="inlineStr">
        <is>
          <t>고체향수</t>
        </is>
      </c>
      <c r="K6275" s="20" t="n">
        <v>199950</v>
      </c>
    </row>
    <row r="6276">
      <c r="A6276" s="20" t="inlineStr">
        <is>
          <t>동영상캠페인_유즈모먼트_4화_강한향대신</t>
        </is>
      </c>
      <c r="B6276" s="16" t="n">
        <v>44292</v>
      </c>
      <c r="C6276" s="20" t="inlineStr">
        <is>
          <t>화</t>
        </is>
      </c>
      <c r="D6276" s="20" t="inlineStr">
        <is>
          <t>유튜브 광고</t>
        </is>
      </c>
      <c r="E6276" s="20" t="inlineStr">
        <is>
          <t>고체향수</t>
        </is>
      </c>
      <c r="K6276" s="20" t="n">
        <v>107796</v>
      </c>
    </row>
    <row r="6277">
      <c r="A6277" s="20" t="inlineStr">
        <is>
          <t>[5화자] 동영상 캠페인_벨라의 비행일기</t>
        </is>
      </c>
      <c r="B6277" s="16" t="n">
        <v>44292</v>
      </c>
      <c r="C6277" s="20" t="inlineStr">
        <is>
          <t>화</t>
        </is>
      </c>
      <c r="D6277" s="20" t="inlineStr">
        <is>
          <t>유튜브 광고</t>
        </is>
      </c>
      <c r="E6277" s="20" t="inlineStr">
        <is>
          <t>고체향수</t>
        </is>
      </c>
      <c r="K6277" s="20" t="n">
        <v>499573</v>
      </c>
    </row>
    <row r="6278">
      <c r="A6278" s="20" t="inlineStr">
        <is>
          <t>[5화자] 동영상 캠페인_비행하고 여행하는 은선씨</t>
        </is>
      </c>
      <c r="B6278" s="16" t="n">
        <v>44292</v>
      </c>
      <c r="C6278" s="20" t="inlineStr">
        <is>
          <t>화</t>
        </is>
      </c>
      <c r="D6278" s="20" t="inlineStr">
        <is>
          <t>유튜브 광고</t>
        </is>
      </c>
      <c r="E6278" s="20" t="inlineStr">
        <is>
          <t>고체향수</t>
        </is>
      </c>
      <c r="K6278" s="20" t="n">
        <v>299922</v>
      </c>
    </row>
    <row r="6279">
      <c r="A6279" s="20" t="inlineStr">
        <is>
          <t>동영상캠페인_승무원_승무원템</t>
        </is>
      </c>
      <c r="B6279" s="16" t="n">
        <v>44292</v>
      </c>
      <c r="C6279" s="20" t="inlineStr">
        <is>
          <t>화</t>
        </is>
      </c>
      <c r="D6279" s="20">
        <f>VLOOKUP($A6279,매칭테이블!$B$548:$D$1048576,2,0)</f>
        <v/>
      </c>
      <c r="K6279" s="20" t="n">
        <v>100345</v>
      </c>
    </row>
    <row r="6280">
      <c r="A6280" s="20" t="inlineStr">
        <is>
          <t>메인키워드</t>
        </is>
      </c>
      <c r="B6280" s="16" t="n">
        <v>44292</v>
      </c>
      <c r="C6280" s="20" t="inlineStr">
        <is>
          <t>화</t>
        </is>
      </c>
      <c r="D6280" s="20" t="inlineStr">
        <is>
          <t>네이버 쇼핑검색</t>
        </is>
      </c>
      <c r="E6280" s="20" t="inlineStr">
        <is>
          <t>고체향수</t>
        </is>
      </c>
      <c r="K6280" s="20" t="n">
        <v>23470</v>
      </c>
    </row>
    <row r="6281">
      <c r="A6281" s="20" t="inlineStr">
        <is>
          <t>세부키워드1</t>
        </is>
      </c>
      <c r="B6281" s="16" t="n">
        <v>44292</v>
      </c>
      <c r="C6281" s="20" t="inlineStr">
        <is>
          <t>화</t>
        </is>
      </c>
      <c r="D6281" s="20" t="inlineStr">
        <is>
          <t>네이버 쇼핑검색</t>
        </is>
      </c>
      <c r="E6281" s="20" t="inlineStr">
        <is>
          <t>고체향수</t>
        </is>
      </c>
      <c r="K6281" s="20" t="n">
        <v>8640</v>
      </c>
    </row>
    <row r="6282">
      <c r="A6282" s="20" t="inlineStr">
        <is>
          <t>세부키워드2</t>
        </is>
      </c>
      <c r="B6282" s="16" t="n">
        <v>44292</v>
      </c>
      <c r="C6282" s="20" t="inlineStr">
        <is>
          <t>화</t>
        </is>
      </c>
      <c r="D6282" s="20" t="inlineStr">
        <is>
          <t>네이버 쇼핑검색</t>
        </is>
      </c>
      <c r="E6282" s="20" t="inlineStr">
        <is>
          <t>고체향수</t>
        </is>
      </c>
      <c r="K6282" s="20" t="n">
        <v>6089.999999999999</v>
      </c>
    </row>
    <row r="6283">
      <c r="A6283" s="20" t="inlineStr">
        <is>
          <t>세부키워드3</t>
        </is>
      </c>
      <c r="B6283" s="16" t="n">
        <v>44292</v>
      </c>
      <c r="C6283" s="20" t="inlineStr">
        <is>
          <t>화</t>
        </is>
      </c>
      <c r="D6283" s="20" t="inlineStr">
        <is>
          <t>네이버 쇼핑검색</t>
        </is>
      </c>
      <c r="E6283" s="20" t="inlineStr">
        <is>
          <t>고체향수</t>
        </is>
      </c>
      <c r="K6283" s="20" t="n">
        <v>97679.99999999999</v>
      </c>
    </row>
    <row r="6284">
      <c r="A6284" s="20" t="inlineStr">
        <is>
          <t>모바일 브검</t>
        </is>
      </c>
      <c r="B6284" s="16" t="n">
        <v>44292</v>
      </c>
      <c r="C6284" s="20" t="inlineStr">
        <is>
          <t>화</t>
        </is>
      </c>
      <c r="D6284" s="20" t="inlineStr">
        <is>
          <t>네이버 브랜드검색</t>
        </is>
      </c>
      <c r="E6284" s="20" t="inlineStr">
        <is>
          <t>브랜드</t>
        </is>
      </c>
      <c r="K6284" s="20" t="n">
        <v>0</v>
      </c>
    </row>
    <row r="6285">
      <c r="A6285" s="20" t="inlineStr">
        <is>
          <t>PC 브랜드검색</t>
        </is>
      </c>
      <c r="B6285" s="16" t="n">
        <v>44292</v>
      </c>
      <c r="C6285" s="20" t="inlineStr">
        <is>
          <t>화</t>
        </is>
      </c>
      <c r="D6285" s="20" t="inlineStr">
        <is>
          <t>네이버 브랜드검색</t>
        </is>
      </c>
      <c r="E6285" s="20" t="inlineStr">
        <is>
          <t>브랜드</t>
        </is>
      </c>
      <c r="K6285" s="20" t="n">
        <v>0</v>
      </c>
    </row>
    <row r="6286">
      <c r="A6286" s="20" t="inlineStr">
        <is>
          <t>고체향수_승무원 어피_Npay 추적</t>
        </is>
      </c>
      <c r="B6286" s="16" t="n">
        <v>44292</v>
      </c>
      <c r="C6286" s="20" t="inlineStr">
        <is>
          <t>화</t>
        </is>
      </c>
      <c r="D6286" s="20" t="inlineStr">
        <is>
          <t>카카오 배너</t>
        </is>
      </c>
      <c r="E6286" s="20" t="inlineStr">
        <is>
          <t>고체향수</t>
        </is>
      </c>
      <c r="K6286" s="20" t="n">
        <v>182830</v>
      </c>
    </row>
    <row r="6287">
      <c r="A6287" s="20" t="inlineStr">
        <is>
          <t>고체향수_Npay 추적</t>
        </is>
      </c>
      <c r="B6287" s="16" t="n">
        <v>44292</v>
      </c>
      <c r="C6287" s="20" t="inlineStr">
        <is>
          <t>화</t>
        </is>
      </c>
      <c r="D6287" s="20" t="inlineStr">
        <is>
          <t>카카오 배너</t>
        </is>
      </c>
      <c r="E6287" s="20" t="inlineStr">
        <is>
          <t>고체향수</t>
        </is>
      </c>
      <c r="K6287" s="20" t="n">
        <v>910129.9999999999</v>
      </c>
    </row>
    <row r="6288">
      <c r="B6288" s="16" t="n">
        <v>44292</v>
      </c>
      <c r="C6288" s="20" t="inlineStr">
        <is>
          <t>화</t>
        </is>
      </c>
      <c r="E6288" s="20" t="inlineStr">
        <is>
          <t>고체향수</t>
        </is>
      </c>
      <c r="F6288" s="20" t="inlineStr">
        <is>
          <t>W컨셉</t>
        </is>
      </c>
      <c r="G6288" s="20" t="inlineStr">
        <is>
          <t>솔리드퍼퓸 이그나이트/스테이포에버 30ml (2종 택1)&lt;옵션1&gt;001 IGNITE</t>
        </is>
      </c>
      <c r="H6288" s="20" t="n">
        <v>1</v>
      </c>
      <c r="I6288" s="20" t="inlineStr">
        <is>
          <t>이그나이트</t>
        </is>
      </c>
      <c r="J6288" s="20" t="inlineStr">
        <is>
          <t>210207</t>
        </is>
      </c>
      <c r="L6288" s="20" t="n">
        <v>34000</v>
      </c>
      <c r="M6288" s="20" t="n">
        <v>23800</v>
      </c>
      <c r="N6288" s="20" t="n">
        <v>2753</v>
      </c>
      <c r="O6288" s="20" t="inlineStr">
        <is>
          <t>W컨셉고체향수솔리드퍼퓸 이그나이트/스테이포에버 30ml (2종 택1)&lt;옵션1&gt;001 IGNITE210207</t>
        </is>
      </c>
    </row>
    <row r="6289">
      <c r="B6289" s="16" t="n">
        <v>44292</v>
      </c>
      <c r="C6289" s="20" t="inlineStr">
        <is>
          <t>화</t>
        </is>
      </c>
      <c r="E6289" s="20" t="inlineStr">
        <is>
          <t>고체향수</t>
        </is>
      </c>
      <c r="F6289" s="20" t="inlineStr">
        <is>
          <t>W컨셉</t>
        </is>
      </c>
      <c r="G6289" s="20" t="inlineStr">
        <is>
          <t>솔리드퍼퓸 이그나이트/스테이포에버 30ml (2종 택1)&lt;옵션1&gt;002 STAY FOREVER</t>
        </is>
      </c>
      <c r="H6289" s="20" t="n">
        <v>5</v>
      </c>
      <c r="I6289" s="20" t="inlineStr">
        <is>
          <t>스테이포에버</t>
        </is>
      </c>
      <c r="J6289" s="20" t="inlineStr">
        <is>
          <t>210207</t>
        </is>
      </c>
      <c r="L6289" s="20" t="n">
        <v>170000</v>
      </c>
      <c r="M6289" s="20" t="n">
        <v>119000</v>
      </c>
      <c r="N6289" s="20" t="n">
        <v>12960</v>
      </c>
      <c r="O6289" s="20" t="inlineStr">
        <is>
          <t>W컨셉고체향수솔리드퍼퓸 이그나이트/스테이포에버 30ml (2종 택1)&lt;옵션1&gt;002 STAY FOREVER210207</t>
        </is>
      </c>
    </row>
    <row r="6290">
      <c r="B6290" s="16" t="n">
        <v>44292</v>
      </c>
      <c r="C6290" s="20" t="inlineStr">
        <is>
          <t>화</t>
        </is>
      </c>
      <c r="E6290" s="20" t="inlineStr">
        <is>
          <t>고체향수</t>
        </is>
      </c>
      <c r="F6290" s="20" t="inlineStr">
        <is>
          <t>W컨셉</t>
        </is>
      </c>
      <c r="G6290" s="20" t="inlineStr">
        <is>
          <t>솔리드퍼퓸 이그나이트/스테이포에버 30ml (2종 택1)&lt;옵션1&gt;IGNITE + STAY FOREVER</t>
        </is>
      </c>
      <c r="H6290" s="20" t="n">
        <v>2</v>
      </c>
      <c r="I6290" s="20" t="inlineStr">
        <is>
          <t>이그나이트 + 스테이포에버</t>
        </is>
      </c>
      <c r="J6290" s="20" t="inlineStr">
        <is>
          <t>210207</t>
        </is>
      </c>
      <c r="L6290" s="20" t="n">
        <v>117600</v>
      </c>
      <c r="M6290" s="20" t="n">
        <v>94080</v>
      </c>
      <c r="N6290" s="20" t="n">
        <v>10690</v>
      </c>
      <c r="O6290" s="20" t="inlineStr">
        <is>
          <t>W컨셉고체향수솔리드퍼퓸 이그나이트/스테이포에버 30ml (2종 택1)&lt;옵션1&gt;IGNITE + STAY FOREVER210207</t>
        </is>
      </c>
    </row>
    <row r="6291">
      <c r="B6291" s="16" t="n">
        <v>44292</v>
      </c>
      <c r="C6291" s="20" t="inlineStr">
        <is>
          <t>화</t>
        </is>
      </c>
      <c r="E6291" s="20" t="inlineStr">
        <is>
          <t>고체향수</t>
        </is>
      </c>
      <c r="F6291" s="20" t="inlineStr">
        <is>
          <t>스마트스토어</t>
        </is>
      </c>
      <c r="G6291" s="20" t="inlineStr">
        <is>
          <t>유즈 고체향수 세트(유즈 스테이포에버, 유즈 이그나이트)고체향수: 스테이포에버 1개 + 이그나이트 1개</t>
        </is>
      </c>
      <c r="H6291" s="20" t="n">
        <v>4</v>
      </c>
      <c r="I6291" s="20" t="inlineStr">
        <is>
          <t>이그나이트 + 스테이포에버</t>
        </is>
      </c>
      <c r="J6291" s="20" t="inlineStr">
        <is>
          <t>210207</t>
        </is>
      </c>
      <c r="L6291" s="20" t="n">
        <v>235200</v>
      </c>
      <c r="M6291" s="20" t="n">
        <v>221440.8</v>
      </c>
      <c r="N6291" s="20" t="n">
        <v>21380</v>
      </c>
      <c r="O6291" s="20" t="inlineStr">
        <is>
          <t>스마트스토어고체향수유즈 고체향수 세트(유즈 스테이포에버, 유즈 이그나이트)고체향수: 스테이포에버 1개 + 이그나이트 1개210207</t>
        </is>
      </c>
    </row>
    <row r="6292">
      <c r="B6292" s="16" t="n">
        <v>44292</v>
      </c>
      <c r="C6292" s="20" t="inlineStr">
        <is>
          <t>화</t>
        </is>
      </c>
      <c r="E6292" s="20" t="inlineStr">
        <is>
          <t>고체향수</t>
        </is>
      </c>
      <c r="F6292" s="20" t="inlineStr">
        <is>
          <t>스마트스토어</t>
        </is>
      </c>
      <c r="G6292" s="20" t="inlineStr">
        <is>
          <t>유즈 고체향수 세트(유즈 스테이포에버, 유즈 이그나이트)고체향수: 스테이포에버 2개</t>
        </is>
      </c>
      <c r="H6292" s="20" t="n">
        <v>6</v>
      </c>
      <c r="I6292" s="20" t="inlineStr">
        <is>
          <t>스테이포에버 2set</t>
        </is>
      </c>
      <c r="J6292" s="20" t="inlineStr">
        <is>
          <t>210207</t>
        </is>
      </c>
      <c r="L6292" s="20" t="n">
        <v>352800</v>
      </c>
      <c r="M6292" s="20" t="n">
        <v>345744</v>
      </c>
      <c r="N6292" s="20" t="n">
        <v>31104</v>
      </c>
      <c r="O6292" s="20" t="inlineStr">
        <is>
          <t>스마트스토어고체향수유즈 고체향수 세트(유즈 스테이포에버, 유즈 이그나이트)고체향수: 스테이포에버 2개210207</t>
        </is>
      </c>
    </row>
    <row r="6293">
      <c r="B6293" s="16" t="n">
        <v>44292</v>
      </c>
      <c r="C6293" s="20" t="inlineStr">
        <is>
          <t>화</t>
        </is>
      </c>
      <c r="E6293" s="20" t="inlineStr">
        <is>
          <t>고체향수</t>
        </is>
      </c>
      <c r="F6293" s="20" t="inlineStr">
        <is>
          <t>스마트스토어</t>
        </is>
      </c>
      <c r="G6293" s="20" t="inlineStr">
        <is>
          <t>유즈 고체향수 스테이포에버 002고체향수: 스테이포에버 1개</t>
        </is>
      </c>
      <c r="H6293" s="20" t="n">
        <v>12</v>
      </c>
      <c r="I6293" s="20" t="inlineStr">
        <is>
          <t>스테이포에버</t>
        </is>
      </c>
      <c r="J6293" s="20" t="inlineStr">
        <is>
          <t>210207</t>
        </is>
      </c>
      <c r="L6293" s="20" t="n">
        <v>408000</v>
      </c>
      <c r="M6293" s="20" t="n">
        <v>399840</v>
      </c>
      <c r="N6293" s="20" t="n">
        <v>31104</v>
      </c>
      <c r="O6293" s="20" t="inlineStr">
        <is>
          <t>스마트스토어고체향수유즈 고체향수 스테이포에버 002고체향수: 스테이포에버 1개210207</t>
        </is>
      </c>
    </row>
    <row r="6294">
      <c r="B6294" s="16" t="n">
        <v>44292</v>
      </c>
      <c r="C6294" s="20" t="inlineStr">
        <is>
          <t>화</t>
        </is>
      </c>
      <c r="E6294" s="20" t="inlineStr">
        <is>
          <t>고체향수</t>
        </is>
      </c>
      <c r="F6294" s="20" t="inlineStr">
        <is>
          <t>스마트스토어</t>
        </is>
      </c>
      <c r="G6294" s="20" t="inlineStr">
        <is>
          <t>유즈 고체향수 이그나이트 001고체향수: 이그나이트 1개</t>
        </is>
      </c>
      <c r="H6294" s="20" t="n">
        <v>1</v>
      </c>
      <c r="I6294" s="20" t="inlineStr">
        <is>
          <t>이그나이트</t>
        </is>
      </c>
      <c r="J6294" s="20" t="inlineStr">
        <is>
          <t>210207</t>
        </is>
      </c>
      <c r="L6294" s="20" t="n">
        <v>34000</v>
      </c>
      <c r="M6294" s="20" t="n">
        <v>33320</v>
      </c>
      <c r="N6294" s="20" t="n">
        <v>2753</v>
      </c>
      <c r="O6294" s="20" t="inlineStr">
        <is>
          <t>스마트스토어고체향수유즈 고체향수 이그나이트 001고체향수: 이그나이트 1개210207</t>
        </is>
      </c>
    </row>
    <row r="6295">
      <c r="B6295" s="16" t="n">
        <v>44292</v>
      </c>
      <c r="C6295" s="20" t="inlineStr">
        <is>
          <t>화</t>
        </is>
      </c>
      <c r="E6295" s="20" t="inlineStr">
        <is>
          <t>고체향수</t>
        </is>
      </c>
      <c r="F6295" s="20" t="inlineStr">
        <is>
          <t>카페24</t>
        </is>
      </c>
      <c r="G6295" s="20" t="inlineStr">
        <is>
          <t>솔리드퍼퓸 세트향=이그나이트 001 SOLID PERFUME, 세트 선택=1개</t>
        </is>
      </c>
      <c r="H6295" s="20" t="n">
        <v>1</v>
      </c>
      <c r="I6295" s="20" t="inlineStr">
        <is>
          <t>이그나이트</t>
        </is>
      </c>
      <c r="J6295" s="20" t="inlineStr">
        <is>
          <t>210207</t>
        </is>
      </c>
      <c r="L6295" s="20" t="n">
        <v>34000</v>
      </c>
      <c r="M6295" s="20" t="n">
        <v>32011</v>
      </c>
      <c r="N6295" s="20" t="n">
        <v>2753</v>
      </c>
      <c r="O6295" s="20" t="inlineStr">
        <is>
          <t>카페24고체향수솔리드퍼퓸 세트향=이그나이트 001 SOLID PERFUME, 세트 선택=1개210207</t>
        </is>
      </c>
    </row>
    <row r="6296">
      <c r="B6296" s="16" t="n">
        <v>44292</v>
      </c>
      <c r="C6296" s="20" t="inlineStr">
        <is>
          <t>화</t>
        </is>
      </c>
      <c r="E6296" s="20" t="inlineStr">
        <is>
          <t>고체향수</t>
        </is>
      </c>
      <c r="F6296" s="20" t="inlineStr">
        <is>
          <t>카페24</t>
        </is>
      </c>
      <c r="G6296" s="20" t="inlineStr">
        <is>
          <t>솔리드퍼퓸 세트향=이그나이트 001 SOLID PERFUME, 세트 선택=best 2개 (28% 할인)</t>
        </is>
      </c>
      <c r="H6296" s="20" t="n">
        <v>1</v>
      </c>
      <c r="I6296" s="20" t="inlineStr">
        <is>
          <t>이그나이트 2set</t>
        </is>
      </c>
      <c r="J6296" s="20" t="inlineStr">
        <is>
          <t>210207</t>
        </is>
      </c>
      <c r="L6296" s="20" t="n">
        <v>58800</v>
      </c>
      <c r="M6296" s="20" t="n">
        <v>55360.2</v>
      </c>
      <c r="N6296" s="20" t="n">
        <v>5506</v>
      </c>
      <c r="O6296" s="20" t="inlineStr">
        <is>
          <t>카페24고체향수솔리드퍼퓸 세트향=이그나이트 001 SOLID PERFUME, 세트 선택=best 2개 (28% 할인)210207</t>
        </is>
      </c>
    </row>
    <row r="6297">
      <c r="B6297" s="16" t="n">
        <v>44292</v>
      </c>
      <c r="C6297" s="20" t="inlineStr">
        <is>
          <t>화</t>
        </is>
      </c>
      <c r="E6297" s="20" t="inlineStr">
        <is>
          <t>고체향수</t>
        </is>
      </c>
      <c r="F6297" s="20" t="inlineStr">
        <is>
          <t>카페24</t>
        </is>
      </c>
      <c r="G6297" s="20" t="inlineStr">
        <is>
          <t>솔리드퍼퓸 세트향=스테이포에버 002 SOLID PERFUME, 세트 선택=1개</t>
        </is>
      </c>
      <c r="H6297" s="20" t="n">
        <v>6</v>
      </c>
      <c r="I6297" s="20" t="inlineStr">
        <is>
          <t>스테이포에버</t>
        </is>
      </c>
      <c r="J6297" s="20" t="inlineStr">
        <is>
          <t>210207</t>
        </is>
      </c>
      <c r="L6297" s="20" t="n">
        <v>204000</v>
      </c>
      <c r="M6297" s="20" t="n">
        <v>192066</v>
      </c>
      <c r="N6297" s="20" t="n">
        <v>15552</v>
      </c>
      <c r="O6297" s="20" t="inlineStr">
        <is>
          <t>카페24고체향수솔리드퍼퓸 세트향=스테이포에버 002 SOLID PERFUME, 세트 선택=1개210207</t>
        </is>
      </c>
    </row>
    <row r="6298">
      <c r="B6298" s="16" t="n">
        <v>44292</v>
      </c>
      <c r="C6298" s="20" t="inlineStr">
        <is>
          <t>화</t>
        </is>
      </c>
      <c r="E6298" s="20" t="inlineStr">
        <is>
          <t>고체향수</t>
        </is>
      </c>
      <c r="F6298" s="20" t="inlineStr">
        <is>
          <t>카페24</t>
        </is>
      </c>
      <c r="G6298" s="20" t="inlineStr">
        <is>
          <t>솔리드퍼퓸 세트향=스테이포에버 002 SOLID PERFUME, 세트 선택=best 2개 (28% 할인)</t>
        </is>
      </c>
      <c r="H6298" s="20" t="n">
        <v>4</v>
      </c>
      <c r="I6298" s="20" t="inlineStr">
        <is>
          <t>스테이포에버 2set</t>
        </is>
      </c>
      <c r="J6298" s="20" t="inlineStr">
        <is>
          <t>210207</t>
        </is>
      </c>
      <c r="L6298" s="20" t="n">
        <v>235200</v>
      </c>
      <c r="M6298" s="20" t="n">
        <v>221440.8</v>
      </c>
      <c r="N6298" s="20" t="n">
        <v>20736</v>
      </c>
      <c r="O6298" s="20" t="inlineStr">
        <is>
          <t>카페24고체향수솔리드퍼퓸 세트향=스테이포에버 002 SOLID PERFUME, 세트 선택=best 2개 (28% 할인)210207</t>
        </is>
      </c>
    </row>
    <row r="6299">
      <c r="B6299" s="16" t="n">
        <v>44292</v>
      </c>
      <c r="C6299" s="20" t="inlineStr">
        <is>
          <t>화</t>
        </is>
      </c>
      <c r="E6299" s="20" t="inlineStr">
        <is>
          <t>고체향수</t>
        </is>
      </c>
      <c r="F6299" s="20" t="inlineStr">
        <is>
          <t>카페24</t>
        </is>
      </c>
      <c r="G6299" s="20" t="inlineStr">
        <is>
          <t>솔리드퍼퓸 세트향=커플세트(이그나이트 + 스테이포에버), 세트 선택=1 SET</t>
        </is>
      </c>
      <c r="H6299" s="20" t="n">
        <v>12</v>
      </c>
      <c r="I6299" s="20" t="inlineStr">
        <is>
          <t>이그나이트 + 스테이포에버</t>
        </is>
      </c>
      <c r="J6299" s="20" t="inlineStr">
        <is>
          <t>210207</t>
        </is>
      </c>
      <c r="L6299" s="20" t="n">
        <v>705600</v>
      </c>
      <c r="M6299" s="20" t="n">
        <v>664322.3999999999</v>
      </c>
      <c r="N6299" s="20" t="n">
        <v>64140</v>
      </c>
      <c r="O6299" s="20" t="inlineStr">
        <is>
          <t>카페24고체향수솔리드퍼퓸 세트향=커플세트(이그나이트 + 스테이포에버), 세트 선택=1 SET210207</t>
        </is>
      </c>
    </row>
    <row r="6300">
      <c r="B6300" s="16" t="n">
        <v>44292</v>
      </c>
      <c r="C6300" s="20" t="inlineStr">
        <is>
          <t>화</t>
        </is>
      </c>
      <c r="E6300" s="20" t="inlineStr">
        <is>
          <t>고체향수</t>
        </is>
      </c>
      <c r="F6300" s="20" t="inlineStr">
        <is>
          <t>카페24</t>
        </is>
      </c>
      <c r="G6300" s="20" t="inlineStr">
        <is>
          <t>솔리드퍼퓸 세트향=커플세트(이그나이트 + 스테이포에버), 세트 선택=2 SET (42% 할인)</t>
        </is>
      </c>
      <c r="H6300" s="20" t="n">
        <v>3</v>
      </c>
      <c r="I6300" s="20" t="inlineStr">
        <is>
          <t>이그나이트 + 스테이포에버</t>
        </is>
      </c>
      <c r="J6300" s="20" t="inlineStr">
        <is>
          <t>210207</t>
        </is>
      </c>
      <c r="L6300" s="20" t="n">
        <v>176400</v>
      </c>
      <c r="M6300" s="20" t="n">
        <v>166080.6</v>
      </c>
      <c r="N6300" s="20" t="n">
        <v>16035</v>
      </c>
      <c r="O6300" s="20" t="inlineStr">
        <is>
          <t>카페24고체향수솔리드퍼퓸 세트향=커플세트(이그나이트 + 스테이포에버), 세트 선택=2 SET (42% 할인)210207</t>
        </is>
      </c>
    </row>
    <row r="6301">
      <c r="B6301" s="16" t="n">
        <v>44292</v>
      </c>
      <c r="C6301" s="20" t="inlineStr">
        <is>
          <t>화</t>
        </is>
      </c>
      <c r="E6301" s="20" t="inlineStr">
        <is>
          <t>고체향수</t>
        </is>
      </c>
      <c r="F6301" s="20" t="inlineStr">
        <is>
          <t>카페24</t>
        </is>
      </c>
      <c r="G6301" s="20" t="inlineStr">
        <is>
          <t>솔리드퍼퓸 스테이포에버 002제품선택=스테이포에버 1개</t>
        </is>
      </c>
      <c r="H6301" s="20" t="n">
        <v>182</v>
      </c>
      <c r="I6301" s="20" t="inlineStr">
        <is>
          <t>스테이포에버</t>
        </is>
      </c>
      <c r="J6301" s="20" t="inlineStr">
        <is>
          <t>210207</t>
        </is>
      </c>
      <c r="L6301" s="20" t="n">
        <v>6188000</v>
      </c>
      <c r="M6301" s="20" t="n">
        <v>5826002</v>
      </c>
      <c r="N6301" s="20" t="n">
        <v>471744</v>
      </c>
      <c r="O6301" s="20" t="inlineStr">
        <is>
          <t>카페24고체향수솔리드퍼퓸 스테이포에버 002제품선택=스테이포에버 1개210207</t>
        </is>
      </c>
    </row>
    <row r="6302">
      <c r="B6302" s="16" t="n">
        <v>44292</v>
      </c>
      <c r="C6302" s="20" t="inlineStr">
        <is>
          <t>화</t>
        </is>
      </c>
      <c r="E6302" s="20" t="inlineStr">
        <is>
          <t>고체향수</t>
        </is>
      </c>
      <c r="F6302" s="20" t="inlineStr">
        <is>
          <t>카페24</t>
        </is>
      </c>
      <c r="G6302" s="20" t="inlineStr">
        <is>
          <t>솔리드퍼퓸 스테이포에버 002제품선택=best스테이포에버 2개[28% 할인]</t>
        </is>
      </c>
      <c r="H6302" s="20" t="n">
        <v>111</v>
      </c>
      <c r="I6302" s="20" t="inlineStr">
        <is>
          <t>스테이포에버 2set</t>
        </is>
      </c>
      <c r="J6302" s="20" t="inlineStr">
        <is>
          <t>210207</t>
        </is>
      </c>
      <c r="L6302" s="20" t="n">
        <v>6526800</v>
      </c>
      <c r="M6302" s="20" t="n">
        <v>6144982.199999999</v>
      </c>
      <c r="N6302" s="20" t="n">
        <v>575424</v>
      </c>
      <c r="O6302" s="20" t="inlineStr">
        <is>
          <t>카페24고체향수솔리드퍼퓸 스테이포에버 002제품선택=best스테이포에버 2개[28% 할인]210207</t>
        </is>
      </c>
    </row>
    <row r="6303">
      <c r="B6303" s="16" t="n">
        <v>44292</v>
      </c>
      <c r="C6303" s="20" t="inlineStr">
        <is>
          <t>화</t>
        </is>
      </c>
      <c r="E6303" s="20" t="inlineStr">
        <is>
          <t>고체향수</t>
        </is>
      </c>
      <c r="F6303" s="20" t="inlineStr">
        <is>
          <t>카페24</t>
        </is>
      </c>
      <c r="G6303" s="20" t="inlineStr">
        <is>
          <t>솔리드퍼퓸 스테이포에버 002제품선택=커플추천스테이포에버 + 이그나이트 세트</t>
        </is>
      </c>
      <c r="H6303" s="20" t="n">
        <v>12</v>
      </c>
      <c r="I6303" s="20" t="inlineStr">
        <is>
          <t>이그나이트 + 스테이포에버</t>
        </is>
      </c>
      <c r="J6303" s="20" t="inlineStr">
        <is>
          <t>210207</t>
        </is>
      </c>
      <c r="L6303" s="20" t="n">
        <v>705600</v>
      </c>
      <c r="M6303" s="20" t="n">
        <v>664322.3999999999</v>
      </c>
      <c r="N6303" s="20" t="n">
        <v>64140</v>
      </c>
      <c r="O6303" s="20" t="inlineStr">
        <is>
          <t>카페24고체향수솔리드퍼퓸 스테이포에버 002제품선택=커플추천스테이포에버 + 이그나이트 세트210207</t>
        </is>
      </c>
    </row>
    <row r="6304">
      <c r="B6304" s="16" t="n">
        <v>44292</v>
      </c>
      <c r="C6304" s="20" t="inlineStr">
        <is>
          <t>화</t>
        </is>
      </c>
      <c r="E6304" s="20" t="inlineStr">
        <is>
          <t>쇼핑백</t>
        </is>
      </c>
      <c r="F6304" s="20" t="inlineStr">
        <is>
          <t>카페24</t>
        </is>
      </c>
      <c r="G6304" s="20" t="inlineStr">
        <is>
          <t>솔리드퍼퓸 스테이포에버 002쇼핑백=선물용 쇼핑백</t>
        </is>
      </c>
      <c r="H6304" s="20" t="n">
        <v>8</v>
      </c>
      <c r="I6304" s="20" t="inlineStr">
        <is>
          <t>쇼핑백</t>
        </is>
      </c>
      <c r="J6304" s="20" t="inlineStr">
        <is>
          <t>210207</t>
        </is>
      </c>
      <c r="L6304" s="20" t="n">
        <v>16000</v>
      </c>
      <c r="M6304" s="20" t="n">
        <v>15064</v>
      </c>
      <c r="N6304" s="20" t="n">
        <v>6640</v>
      </c>
      <c r="O6304" s="20" t="inlineStr">
        <is>
          <t>카페24쇼핑백솔리드퍼퓸 스테이포에버 002쇼핑백=선물용 쇼핑백210207</t>
        </is>
      </c>
    </row>
    <row r="6305">
      <c r="B6305" s="16" t="n">
        <v>44292</v>
      </c>
      <c r="C6305" s="20" t="inlineStr">
        <is>
          <t>화</t>
        </is>
      </c>
      <c r="E6305" s="20" t="inlineStr">
        <is>
          <t>고체향수</t>
        </is>
      </c>
      <c r="F6305" s="20" t="inlineStr">
        <is>
          <t>카페24</t>
        </is>
      </c>
      <c r="G6305" s="20" t="inlineStr">
        <is>
          <t>솔리드퍼퓸 이그나이트 001제품선택=이그나이트 솔리드퍼퓸 - 30ml</t>
        </is>
      </c>
      <c r="H6305" s="20" t="n">
        <v>4</v>
      </c>
      <c r="I6305" s="20" t="inlineStr">
        <is>
          <t>이그나이트</t>
        </is>
      </c>
      <c r="J6305" s="20" t="inlineStr">
        <is>
          <t>210207</t>
        </is>
      </c>
      <c r="L6305" s="20" t="n">
        <v>136000</v>
      </c>
      <c r="M6305" s="20" t="n">
        <v>128044</v>
      </c>
      <c r="N6305" s="20" t="n">
        <v>11012</v>
      </c>
      <c r="O6305" s="20" t="inlineStr">
        <is>
          <t>카페24고체향수솔리드퍼퓸 이그나이트 001제품선택=이그나이트 솔리드퍼퓸 - 30ml210207</t>
        </is>
      </c>
    </row>
    <row r="6306">
      <c r="B6306" s="16" t="n">
        <v>44292</v>
      </c>
      <c r="C6306" s="20" t="inlineStr">
        <is>
          <t>화</t>
        </is>
      </c>
      <c r="E6306" s="20" t="inlineStr">
        <is>
          <t>쇼핑백</t>
        </is>
      </c>
      <c r="F6306" s="20" t="inlineStr">
        <is>
          <t>카페24</t>
        </is>
      </c>
      <c r="G6306" s="20" t="inlineStr">
        <is>
          <t>솔리드퍼퓸 이그나이트 001쇼핑백=선물용 쇼핑백</t>
        </is>
      </c>
      <c r="H6306" s="20" t="n">
        <v>1</v>
      </c>
      <c r="I6306" s="20" t="inlineStr">
        <is>
          <t>쇼핑백</t>
        </is>
      </c>
      <c r="J6306" s="20" t="inlineStr">
        <is>
          <t>210207</t>
        </is>
      </c>
      <c r="L6306" s="20" t="n">
        <v>2000</v>
      </c>
      <c r="M6306" s="20" t="n">
        <v>1883</v>
      </c>
      <c r="N6306" s="20" t="n">
        <v>830</v>
      </c>
      <c r="O6306" s="20" t="inlineStr">
        <is>
          <t>카페24쇼핑백솔리드퍼퓸 이그나이트 001쇼핑백=선물용 쇼핑백210207</t>
        </is>
      </c>
    </row>
    <row r="6307">
      <c r="A6307" s="20" t="inlineStr">
        <is>
          <t>고체향수</t>
        </is>
      </c>
      <c r="B6307" s="16" t="n">
        <v>44292</v>
      </c>
      <c r="C6307" s="20" t="inlineStr">
        <is>
          <t>화</t>
        </is>
      </c>
      <c r="D6307" s="20" t="inlineStr">
        <is>
          <t>네이버 배너</t>
        </is>
      </c>
      <c r="E6307" s="20" t="inlineStr">
        <is>
          <t>고체향수</t>
        </is>
      </c>
      <c r="K6307" s="20" t="n">
        <v>1671645.454545454</v>
      </c>
    </row>
    <row r="6308">
      <c r="A6308" s="20" t="inlineStr">
        <is>
          <t>[승무원] 유튜브재편집_스테이포에버_영상</t>
        </is>
      </c>
      <c r="B6308" s="16" t="n">
        <v>44293</v>
      </c>
      <c r="C6308" s="20" t="inlineStr">
        <is>
          <t>수</t>
        </is>
      </c>
      <c r="D6308" s="20">
        <f>VLOOKUP($A6308,매칭테이블!$B$548:$D$1048576,2,0)</f>
        <v/>
      </c>
      <c r="E6308" s="20" t="inlineStr">
        <is>
          <t>고체향수</t>
        </is>
      </c>
      <c r="K6308" s="20" t="n">
        <v>18452</v>
      </c>
    </row>
    <row r="6309">
      <c r="A6309" s="20" t="inlineStr">
        <is>
          <t>[유튜버 수지큐]스테이포에버_카드뉴스</t>
        </is>
      </c>
      <c r="B6309" s="16" t="n">
        <v>44293</v>
      </c>
      <c r="C6309" s="20" t="inlineStr">
        <is>
          <t>수</t>
        </is>
      </c>
      <c r="D6309" s="20" t="inlineStr">
        <is>
          <t>페이스북/인스타그램</t>
        </is>
      </c>
      <c r="E6309" s="20" t="inlineStr">
        <is>
          <t>고체향수</t>
        </is>
      </c>
      <c r="K6309" s="20" t="n">
        <v>20054</v>
      </c>
    </row>
    <row r="6310">
      <c r="A6310" s="20" t="inlineStr">
        <is>
          <t>[유튜버 수지큐]스테이포에버_영상</t>
        </is>
      </c>
      <c r="B6310" s="16" t="n">
        <v>44293</v>
      </c>
      <c r="C6310" s="20" t="inlineStr">
        <is>
          <t>수</t>
        </is>
      </c>
      <c r="D6310" s="20" t="inlineStr">
        <is>
          <t>페이스북/인스타그램</t>
        </is>
      </c>
      <c r="E6310" s="20" t="inlineStr">
        <is>
          <t>고체향수</t>
        </is>
      </c>
      <c r="K6310" s="20" t="n">
        <v>37293</v>
      </c>
    </row>
    <row r="6311">
      <c r="A6311" s="20" t="inlineStr">
        <is>
          <t>[승무원]수지큐2차활용_스테이포에버_이미지</t>
        </is>
      </c>
      <c r="B6311" s="16" t="n">
        <v>44293</v>
      </c>
      <c r="C6311" s="20" t="inlineStr">
        <is>
          <t>수</t>
        </is>
      </c>
      <c r="D6311" s="20" t="inlineStr">
        <is>
          <t>페이스북/인스타그램</t>
        </is>
      </c>
      <c r="E6311" s="20" t="inlineStr">
        <is>
          <t>고체향수</t>
        </is>
      </c>
      <c r="K6311" s="20" t="n">
        <v>19374</v>
      </c>
    </row>
    <row r="6312">
      <c r="A6312" s="20" t="inlineStr">
        <is>
          <t>[다현 TEST] 스테이포에버_유즈모먼트</t>
        </is>
      </c>
      <c r="B6312" s="16" t="n">
        <v>44293</v>
      </c>
      <c r="C6312" s="20" t="inlineStr">
        <is>
          <t>수</t>
        </is>
      </c>
      <c r="D6312" s="20" t="inlineStr">
        <is>
          <t>페이스북/인스타그램</t>
        </is>
      </c>
      <c r="E6312" s="20" t="inlineStr">
        <is>
          <t>고체향수</t>
        </is>
      </c>
      <c r="K6312" s="20" t="n">
        <v>60630</v>
      </c>
    </row>
    <row r="6313">
      <c r="A6313" s="20" t="inlineStr">
        <is>
          <t>[성민 TEST] 스테이포에버_이미지</t>
        </is>
      </c>
      <c r="B6313" s="16" t="n">
        <v>44293</v>
      </c>
      <c r="C6313" s="20" t="inlineStr">
        <is>
          <t>수</t>
        </is>
      </c>
      <c r="D6313" s="20" t="inlineStr">
        <is>
          <t>페이스북/인스타그램</t>
        </is>
      </c>
      <c r="E6313" s="20" t="inlineStr">
        <is>
          <t>고체향수</t>
        </is>
      </c>
      <c r="K6313" s="20" t="n">
        <v>199179</v>
      </c>
    </row>
    <row r="6314">
      <c r="A6314" s="20" t="inlineStr">
        <is>
          <t>[승은 TEST] 스테이포에버_카드뉴스</t>
        </is>
      </c>
      <c r="B6314" s="16" t="n">
        <v>44293</v>
      </c>
      <c r="C6314" s="20" t="inlineStr">
        <is>
          <t>수</t>
        </is>
      </c>
      <c r="D6314" s="20" t="inlineStr">
        <is>
          <t>페이스북/인스타그램</t>
        </is>
      </c>
      <c r="E6314" s="20" t="inlineStr">
        <is>
          <t>고체향수</t>
        </is>
      </c>
      <c r="K6314" s="20" t="n">
        <v>58521</v>
      </c>
    </row>
    <row r="6315">
      <c r="A6315" s="20" t="inlineStr">
        <is>
          <t>[승무원 2] 스테이포에버_카드뉴스</t>
        </is>
      </c>
      <c r="B6315" s="16" t="n">
        <v>44293</v>
      </c>
      <c r="C6315" s="20" t="inlineStr">
        <is>
          <t>수</t>
        </is>
      </c>
      <c r="D6315" s="20" t="inlineStr">
        <is>
          <t>페이스북/인스타그램</t>
        </is>
      </c>
      <c r="E6315" s="20" t="inlineStr">
        <is>
          <t>고체향수</t>
        </is>
      </c>
      <c r="K6315" s="20" t="n">
        <v>100992</v>
      </c>
    </row>
    <row r="6316">
      <c r="A6316" s="20" t="inlineStr">
        <is>
          <t>[테스트]아줌마</t>
        </is>
      </c>
      <c r="B6316" s="16" t="n">
        <v>44293</v>
      </c>
      <c r="C6316" s="20" t="inlineStr">
        <is>
          <t>수</t>
        </is>
      </c>
      <c r="D6316" s="20" t="inlineStr">
        <is>
          <t>페이스북/인스타그램</t>
        </is>
      </c>
      <c r="E6316" s="20" t="inlineStr">
        <is>
          <t>고체향수</t>
        </is>
      </c>
      <c r="K6316" s="20" t="n">
        <v>110954</v>
      </c>
    </row>
    <row r="6317">
      <c r="A6317" s="20" t="inlineStr">
        <is>
          <t>[다양한 키워드] 스테이포에버_이미지</t>
        </is>
      </c>
      <c r="B6317" s="16" t="n">
        <v>44293</v>
      </c>
      <c r="C6317" s="20" t="inlineStr">
        <is>
          <t>수</t>
        </is>
      </c>
      <c r="D6317" s="20" t="inlineStr">
        <is>
          <t>페이스북/인스타그램</t>
        </is>
      </c>
      <c r="E6317" s="20" t="inlineStr">
        <is>
          <t>고체향수</t>
        </is>
      </c>
      <c r="K6317" s="20" t="n">
        <v>211520</v>
      </c>
    </row>
    <row r="6318">
      <c r="A6318" s="20" t="inlineStr">
        <is>
          <t>[재입고]스테이포에버_이미지</t>
        </is>
      </c>
      <c r="B6318" s="16" t="n">
        <v>44293</v>
      </c>
      <c r="C6318" s="20" t="inlineStr">
        <is>
          <t>수</t>
        </is>
      </c>
      <c r="D6318" s="20" t="inlineStr">
        <is>
          <t>페이스북/인스타그램</t>
        </is>
      </c>
      <c r="E6318" s="20" t="inlineStr">
        <is>
          <t>고체향수</t>
        </is>
      </c>
      <c r="K6318" s="20" t="n">
        <v>198625</v>
      </c>
    </row>
    <row r="6319">
      <c r="A6319" s="20" t="inlineStr">
        <is>
          <t>[승무원]숏폼_영상</t>
        </is>
      </c>
      <c r="B6319" s="16" t="n">
        <v>44293</v>
      </c>
      <c r="C6319" s="20" t="inlineStr">
        <is>
          <t>수</t>
        </is>
      </c>
      <c r="D6319" s="20" t="inlineStr">
        <is>
          <t>페이스북/인스타그램</t>
        </is>
      </c>
      <c r="E6319" s="20" t="inlineStr">
        <is>
          <t>고체향수</t>
        </is>
      </c>
      <c r="K6319" s="20" t="n">
        <v>50147</v>
      </c>
    </row>
    <row r="6320">
      <c r="A6320" s="20" t="inlineStr">
        <is>
          <t>[재입고]스테이포에버_영상</t>
        </is>
      </c>
      <c r="B6320" s="16" t="n">
        <v>44293</v>
      </c>
      <c r="C6320" s="20" t="inlineStr">
        <is>
          <t>수</t>
        </is>
      </c>
      <c r="D6320" s="20" t="inlineStr">
        <is>
          <t>페이스북/인스타그램</t>
        </is>
      </c>
      <c r="E6320" s="20" t="inlineStr">
        <is>
          <t>고체향수</t>
        </is>
      </c>
      <c r="K6320" s="20" t="n">
        <v>99176</v>
      </c>
    </row>
    <row r="6321">
      <c r="A6321" s="20" t="inlineStr">
        <is>
          <t>[승무원]2019년썰 카드뉴스+ 향묘사_영상</t>
        </is>
      </c>
      <c r="B6321" s="16" t="n">
        <v>44293</v>
      </c>
      <c r="C6321" s="20" t="inlineStr">
        <is>
          <t>수</t>
        </is>
      </c>
      <c r="D6321" s="20" t="inlineStr">
        <is>
          <t>페이스북/인스타그램</t>
        </is>
      </c>
      <c r="E6321" s="20" t="inlineStr">
        <is>
          <t>고체향수</t>
        </is>
      </c>
      <c r="K6321" s="20" t="n">
        <v>50648</v>
      </c>
    </row>
    <row r="6322">
      <c r="A6322" s="20" t="inlineStr">
        <is>
          <t>[승무원어피]스테이포에버_이미지</t>
        </is>
      </c>
      <c r="B6322" s="16" t="n">
        <v>44293</v>
      </c>
      <c r="C6322" s="20" t="inlineStr">
        <is>
          <t>수</t>
        </is>
      </c>
      <c r="D6322" s="20" t="inlineStr">
        <is>
          <t>페이스북/인스타그램</t>
        </is>
      </c>
      <c r="E6322" s="20" t="inlineStr">
        <is>
          <t>고체향수</t>
        </is>
      </c>
      <c r="K6322" s="20" t="n">
        <v>100730</v>
      </c>
    </row>
    <row r="6323">
      <c r="A6323" s="20" t="inlineStr">
        <is>
          <t>[다현]스테이포에버_이미지</t>
        </is>
      </c>
      <c r="B6323" s="16" t="n">
        <v>44293</v>
      </c>
      <c r="C6323" s="20" t="inlineStr">
        <is>
          <t>수</t>
        </is>
      </c>
      <c r="D6323" s="20" t="inlineStr">
        <is>
          <t>페이스북/인스타그램</t>
        </is>
      </c>
      <c r="E6323" s="20" t="inlineStr">
        <is>
          <t>고체향수</t>
        </is>
      </c>
      <c r="K6323" s="20" t="n">
        <v>100345</v>
      </c>
    </row>
    <row r="6324">
      <c r="A6324" s="20" t="inlineStr">
        <is>
          <t>[승무원]스테이포에버_카드뉴스</t>
        </is>
      </c>
      <c r="B6324" s="16" t="n">
        <v>44293</v>
      </c>
      <c r="C6324" s="20" t="inlineStr">
        <is>
          <t>수</t>
        </is>
      </c>
      <c r="D6324" s="20" t="inlineStr">
        <is>
          <t>페이스북/인스타그램</t>
        </is>
      </c>
      <c r="E6324" s="20" t="inlineStr">
        <is>
          <t>고체향수</t>
        </is>
      </c>
      <c r="K6324" s="20" t="n">
        <v>77333</v>
      </c>
    </row>
    <row r="6325">
      <c r="A6325" s="20" t="inlineStr">
        <is>
          <t>[후기타입]스테이포에버_영상</t>
        </is>
      </c>
      <c r="B6325" s="16" t="n">
        <v>44293</v>
      </c>
      <c r="C6325" s="20" t="inlineStr">
        <is>
          <t>수</t>
        </is>
      </c>
      <c r="D6325" s="20" t="inlineStr">
        <is>
          <t>페이스북/인스타그램</t>
        </is>
      </c>
      <c r="E6325" s="20" t="inlineStr">
        <is>
          <t>고체향수</t>
        </is>
      </c>
      <c r="K6325" s="20" t="n">
        <v>150728</v>
      </c>
    </row>
    <row r="6326">
      <c r="A6326" s="20" t="inlineStr">
        <is>
          <t>전환_스테이포에버</t>
        </is>
      </c>
      <c r="B6326" s="16" t="n">
        <v>44293</v>
      </c>
      <c r="C6326" s="20" t="inlineStr">
        <is>
          <t>수</t>
        </is>
      </c>
      <c r="D6326" s="20" t="inlineStr">
        <is>
          <t>페이스북/인스타그램</t>
        </is>
      </c>
      <c r="E6326" s="20" t="inlineStr">
        <is>
          <t>고체향수</t>
        </is>
      </c>
      <c r="K6326" s="20" t="n">
        <v>52587</v>
      </c>
    </row>
    <row r="6327">
      <c r="A6327" s="20" t="inlineStr">
        <is>
          <t>[권태기커플]스테이포에버_영상</t>
        </is>
      </c>
      <c r="B6327" s="16" t="n">
        <v>44293</v>
      </c>
      <c r="C6327" s="20" t="inlineStr">
        <is>
          <t>수</t>
        </is>
      </c>
      <c r="D6327" s="20" t="inlineStr">
        <is>
          <t>페이스북/인스타그램</t>
        </is>
      </c>
      <c r="E6327" s="20" t="inlineStr">
        <is>
          <t>고체향수</t>
        </is>
      </c>
      <c r="K6327" s="20" t="n">
        <v>75445</v>
      </c>
    </row>
    <row r="6328">
      <c r="A6328" s="20" t="inlineStr">
        <is>
          <t>웹사이트 트래픽 서치</t>
        </is>
      </c>
      <c r="B6328" s="16" t="n">
        <v>44293</v>
      </c>
      <c r="C6328" s="20" t="inlineStr">
        <is>
          <t>수</t>
        </is>
      </c>
      <c r="D6328" s="20" t="inlineStr">
        <is>
          <t>유튜브 광고</t>
        </is>
      </c>
      <c r="E6328" s="20" t="inlineStr">
        <is>
          <t>고체향수</t>
        </is>
      </c>
      <c r="K6328" s="20" t="n">
        <v>23754</v>
      </c>
    </row>
    <row r="6329">
      <c r="A6329" s="20" t="inlineStr">
        <is>
          <t>동영상캠페인_승무원_보이는 라디오(cpa)</t>
        </is>
      </c>
      <c r="B6329" s="16" t="n">
        <v>44293</v>
      </c>
      <c r="C6329" s="20" t="inlineStr">
        <is>
          <t>수</t>
        </is>
      </c>
      <c r="D6329" s="20" t="inlineStr">
        <is>
          <t>유튜브 광고</t>
        </is>
      </c>
      <c r="E6329" s="20" t="inlineStr">
        <is>
          <t>고체향수</t>
        </is>
      </c>
      <c r="K6329" s="20" t="n">
        <v>289193</v>
      </c>
    </row>
    <row r="6330">
      <c r="A6330" s="20" t="inlineStr">
        <is>
          <t>디스커버리 배너_승무원,할인_리마케팅</t>
        </is>
      </c>
      <c r="B6330" s="16" t="n">
        <v>44293</v>
      </c>
      <c r="C6330" s="20" t="inlineStr">
        <is>
          <t>수</t>
        </is>
      </c>
      <c r="D6330" s="20" t="inlineStr">
        <is>
          <t>유튜브 광고</t>
        </is>
      </c>
      <c r="E6330" s="20" t="inlineStr">
        <is>
          <t>고체향수</t>
        </is>
      </c>
      <c r="K6330" s="20" t="n">
        <v>447458</v>
      </c>
    </row>
    <row r="6331">
      <c r="A6331" s="20" t="inlineStr">
        <is>
          <t>동영상캠페인_승무원_써니스카이</t>
        </is>
      </c>
      <c r="B6331" s="16" t="n">
        <v>44293</v>
      </c>
      <c r="C6331" s="20" t="inlineStr">
        <is>
          <t>수</t>
        </is>
      </c>
      <c r="D6331" s="20" t="inlineStr">
        <is>
          <t>유튜브 광고</t>
        </is>
      </c>
      <c r="E6331" s="20" t="inlineStr">
        <is>
          <t>고체향수</t>
        </is>
      </c>
      <c r="K6331" s="20" t="n">
        <v>200034</v>
      </c>
    </row>
    <row r="6332">
      <c r="A6332" s="20" t="inlineStr">
        <is>
          <t>동영상캠페인_필라테스_자기관리(타겟 cpa)</t>
        </is>
      </c>
      <c r="B6332" s="16" t="n">
        <v>44293</v>
      </c>
      <c r="C6332" s="20" t="inlineStr">
        <is>
          <t>수</t>
        </is>
      </c>
      <c r="D6332" s="20" t="inlineStr">
        <is>
          <t>유튜브 광고</t>
        </is>
      </c>
      <c r="E6332" s="20" t="inlineStr">
        <is>
          <t>고체향수</t>
        </is>
      </c>
      <c r="K6332" s="20" t="n">
        <v>30901</v>
      </c>
    </row>
    <row r="6333">
      <c r="A6333" s="20" t="inlineStr">
        <is>
          <t>동영상캠페인_승무원_비누향 나는 승무원에게(cpa)</t>
        </is>
      </c>
      <c r="B6333" s="16" t="n">
        <v>44293</v>
      </c>
      <c r="C6333" s="20" t="inlineStr">
        <is>
          <t>수</t>
        </is>
      </c>
      <c r="D6333" s="20" t="inlineStr">
        <is>
          <t>유튜브 광고</t>
        </is>
      </c>
      <c r="E6333" s="20" t="inlineStr">
        <is>
          <t>고체향수</t>
        </is>
      </c>
      <c r="K6333" s="20" t="n">
        <v>139999</v>
      </c>
    </row>
    <row r="6334">
      <c r="A6334" s="20" t="inlineStr">
        <is>
          <t>동영상캠페인_유즈모먼트_2차_30대 여성 회사원(cpa)</t>
        </is>
      </c>
      <c r="B6334" s="16" t="n">
        <v>44293</v>
      </c>
      <c r="C6334" s="20" t="inlineStr">
        <is>
          <t>수</t>
        </is>
      </c>
      <c r="D6334" s="20" t="inlineStr">
        <is>
          <t>유튜브 광고</t>
        </is>
      </c>
      <c r="E6334" s="20" t="inlineStr">
        <is>
          <t>고체향수</t>
        </is>
      </c>
      <c r="K6334" s="20" t="n">
        <v>15922</v>
      </c>
    </row>
    <row r="6335">
      <c r="A6335" s="20" t="inlineStr">
        <is>
          <t>동영상캠페인_유즈모먼트_조향사 친구(cpa)</t>
        </is>
      </c>
      <c r="B6335" s="16" t="n">
        <v>44293</v>
      </c>
      <c r="C6335" s="20" t="inlineStr">
        <is>
          <t>수</t>
        </is>
      </c>
      <c r="D6335" s="20" t="inlineStr">
        <is>
          <t>유튜브 광고</t>
        </is>
      </c>
      <c r="E6335" s="20" t="inlineStr">
        <is>
          <t>고체향수</t>
        </is>
      </c>
      <c r="K6335" s="20" t="n">
        <v>100103</v>
      </c>
    </row>
    <row r="6336">
      <c r="A6336" s="20" t="inlineStr">
        <is>
          <t>동영상 캠페인_유튜버 수지큐 2차활용</t>
        </is>
      </c>
      <c r="B6336" s="16" t="n">
        <v>44293</v>
      </c>
      <c r="C6336" s="20" t="inlineStr">
        <is>
          <t>수</t>
        </is>
      </c>
      <c r="D6336" s="20" t="inlineStr">
        <is>
          <t>유튜브 광고</t>
        </is>
      </c>
      <c r="E6336" s="20" t="inlineStr">
        <is>
          <t>고체향수</t>
        </is>
      </c>
      <c r="K6336" s="20" t="n">
        <v>200015</v>
      </c>
    </row>
    <row r="6337">
      <c r="A6337" s="20" t="inlineStr">
        <is>
          <t>동영상캠페인_유즈모먼트_4화_강한향대신</t>
        </is>
      </c>
      <c r="B6337" s="16" t="n">
        <v>44293</v>
      </c>
      <c r="C6337" s="20" t="inlineStr">
        <is>
          <t>수</t>
        </is>
      </c>
      <c r="D6337" s="20" t="inlineStr">
        <is>
          <t>유튜브 광고</t>
        </is>
      </c>
      <c r="E6337" s="20" t="inlineStr">
        <is>
          <t>고체향수</t>
        </is>
      </c>
      <c r="K6337" s="20" t="n">
        <v>99691</v>
      </c>
    </row>
    <row r="6338">
      <c r="A6338" s="20" t="inlineStr">
        <is>
          <t>[5화자] 동영상 캠페인_벨라의 비행일기</t>
        </is>
      </c>
      <c r="B6338" s="16" t="n">
        <v>44293</v>
      </c>
      <c r="C6338" s="20" t="inlineStr">
        <is>
          <t>수</t>
        </is>
      </c>
      <c r="D6338" s="20" t="inlineStr">
        <is>
          <t>유튜브 광고</t>
        </is>
      </c>
      <c r="E6338" s="20" t="inlineStr">
        <is>
          <t>고체향수</t>
        </is>
      </c>
      <c r="K6338" s="20" t="n">
        <v>500503</v>
      </c>
    </row>
    <row r="6339">
      <c r="A6339" s="20" t="inlineStr">
        <is>
          <t>[5화자] 동영상 캠페인_비행하고 여행하는 은선씨</t>
        </is>
      </c>
      <c r="B6339" s="16" t="n">
        <v>44293</v>
      </c>
      <c r="C6339" s="20" t="inlineStr">
        <is>
          <t>수</t>
        </is>
      </c>
      <c r="D6339" s="20" t="inlineStr">
        <is>
          <t>유튜브 광고</t>
        </is>
      </c>
      <c r="E6339" s="20" t="inlineStr">
        <is>
          <t>고체향수</t>
        </is>
      </c>
      <c r="K6339" s="20" t="n">
        <v>299988</v>
      </c>
    </row>
    <row r="6340">
      <c r="A6340" s="20" t="inlineStr">
        <is>
          <t>동영상캠페인_승무원_승무원템</t>
        </is>
      </c>
      <c r="B6340" s="16" t="n">
        <v>44293</v>
      </c>
      <c r="C6340" s="20" t="inlineStr">
        <is>
          <t>수</t>
        </is>
      </c>
      <c r="D6340" s="20">
        <f>VLOOKUP($A6340,매칭테이블!$B$548:$D$1048576,2,0)</f>
        <v/>
      </c>
      <c r="E6340" s="20" t="inlineStr">
        <is>
          <t>고체향수</t>
        </is>
      </c>
      <c r="K6340" s="20" t="n">
        <v>26938</v>
      </c>
    </row>
    <row r="6341">
      <c r="A6341" s="20" t="inlineStr">
        <is>
          <t>메인키워드</t>
        </is>
      </c>
      <c r="B6341" s="16" t="n">
        <v>44293</v>
      </c>
      <c r="C6341" s="20" t="inlineStr">
        <is>
          <t>수</t>
        </is>
      </c>
      <c r="D6341" s="20" t="inlineStr">
        <is>
          <t>네이버 쇼핑검색</t>
        </is>
      </c>
      <c r="E6341" s="20" t="inlineStr">
        <is>
          <t>고체향수</t>
        </is>
      </c>
      <c r="K6341" s="20" t="n">
        <v>5400</v>
      </c>
    </row>
    <row r="6342">
      <c r="A6342" s="20" t="inlineStr">
        <is>
          <t>세부키워드1</t>
        </is>
      </c>
      <c r="B6342" s="16" t="n">
        <v>44293</v>
      </c>
      <c r="C6342" s="20" t="inlineStr">
        <is>
          <t>수</t>
        </is>
      </c>
      <c r="D6342" s="20" t="inlineStr">
        <is>
          <t>네이버 쇼핑검색</t>
        </is>
      </c>
      <c r="E6342" s="20" t="inlineStr">
        <is>
          <t>고체향수</t>
        </is>
      </c>
      <c r="K6342" s="20" t="n">
        <v>0</v>
      </c>
    </row>
    <row r="6343">
      <c r="A6343" s="20" t="inlineStr">
        <is>
          <t>세부키워드3</t>
        </is>
      </c>
      <c r="B6343" s="16" t="n">
        <v>44293</v>
      </c>
      <c r="C6343" s="20" t="inlineStr">
        <is>
          <t>수</t>
        </is>
      </c>
      <c r="D6343" s="20" t="inlineStr">
        <is>
          <t>네이버 쇼핑검색</t>
        </is>
      </c>
      <c r="E6343" s="20" t="inlineStr">
        <is>
          <t>고체향수</t>
        </is>
      </c>
      <c r="K6343" s="20" t="n">
        <v>130890</v>
      </c>
    </row>
    <row r="6344">
      <c r="A6344" s="20" t="inlineStr">
        <is>
          <t>모바일 브검</t>
        </is>
      </c>
      <c r="B6344" s="16" t="n">
        <v>44293</v>
      </c>
      <c r="C6344" s="20" t="inlineStr">
        <is>
          <t>수</t>
        </is>
      </c>
      <c r="D6344" s="20" t="inlineStr">
        <is>
          <t>네이버 브랜드검색</t>
        </is>
      </c>
      <c r="E6344" s="20" t="inlineStr">
        <is>
          <t>브랜드</t>
        </is>
      </c>
      <c r="K6344" s="20" t="n">
        <v>140000</v>
      </c>
    </row>
    <row r="6345">
      <c r="A6345" s="20" t="inlineStr">
        <is>
          <t>PC 브랜드검색</t>
        </is>
      </c>
      <c r="B6345" s="16" t="n">
        <v>44293</v>
      </c>
      <c r="C6345" s="20" t="inlineStr">
        <is>
          <t>수</t>
        </is>
      </c>
      <c r="D6345" s="20" t="inlineStr">
        <is>
          <t>네이버 브랜드검색</t>
        </is>
      </c>
      <c r="E6345" s="20" t="inlineStr">
        <is>
          <t>브랜드</t>
        </is>
      </c>
      <c r="K6345" s="20" t="n">
        <v>16700</v>
      </c>
    </row>
    <row r="6346">
      <c r="A6346" s="20" t="inlineStr">
        <is>
          <t>고체향수_승무원 어피_Npay 추적</t>
        </is>
      </c>
      <c r="B6346" s="16" t="n">
        <v>44293</v>
      </c>
      <c r="C6346" s="20" t="inlineStr">
        <is>
          <t>수</t>
        </is>
      </c>
      <c r="D6346" s="20" t="inlineStr">
        <is>
          <t>카카오 배너</t>
        </is>
      </c>
      <c r="E6346" s="20" t="inlineStr">
        <is>
          <t>고체향수</t>
        </is>
      </c>
      <c r="K6346" s="20" t="n">
        <v>182360</v>
      </c>
    </row>
    <row r="6347">
      <c r="A6347" s="20" t="inlineStr">
        <is>
          <t>고체향수_Npay 추적</t>
        </is>
      </c>
      <c r="B6347" s="16" t="n">
        <v>44293</v>
      </c>
      <c r="C6347" s="20" t="inlineStr">
        <is>
          <t>수</t>
        </is>
      </c>
      <c r="D6347" s="20" t="inlineStr">
        <is>
          <t>카카오 배너</t>
        </is>
      </c>
      <c r="E6347" s="20" t="inlineStr">
        <is>
          <t>고체향수</t>
        </is>
      </c>
      <c r="K6347" s="20" t="n">
        <v>864289.9999999999</v>
      </c>
    </row>
    <row r="6348">
      <c r="B6348" s="16" t="n">
        <v>44293</v>
      </c>
      <c r="C6348" s="20" t="inlineStr">
        <is>
          <t>수</t>
        </is>
      </c>
      <c r="E6348" s="20" t="inlineStr">
        <is>
          <t>고체향수</t>
        </is>
      </c>
      <c r="F6348" s="20" t="inlineStr">
        <is>
          <t>W컨셉</t>
        </is>
      </c>
      <c r="G6348" s="20" t="inlineStr">
        <is>
          <t>솔리드퍼퓸 이그나이트/스테이포에버 30ml (2종 택1)&lt;옵션1&gt;001 IGNITE</t>
        </is>
      </c>
      <c r="H6348" s="20" t="n">
        <v>1</v>
      </c>
      <c r="I6348" s="20" t="inlineStr">
        <is>
          <t>이그나이트</t>
        </is>
      </c>
      <c r="J6348" s="20" t="inlineStr">
        <is>
          <t>210207</t>
        </is>
      </c>
      <c r="L6348" s="20" t="n">
        <v>34000</v>
      </c>
      <c r="M6348" s="20" t="n">
        <v>23800</v>
      </c>
      <c r="N6348" s="20" t="n">
        <v>2753</v>
      </c>
      <c r="O6348" s="20" t="inlineStr">
        <is>
          <t>W컨셉고체향수솔리드퍼퓸 이그나이트/스테이포에버 30ml (2종 택1)&lt;옵션1&gt;001 IGNITE210207</t>
        </is>
      </c>
    </row>
    <row r="6349">
      <c r="B6349" s="16" t="n">
        <v>44293</v>
      </c>
      <c r="C6349" s="20" t="inlineStr">
        <is>
          <t>수</t>
        </is>
      </c>
      <c r="E6349" s="20" t="inlineStr">
        <is>
          <t>고체향수</t>
        </is>
      </c>
      <c r="F6349" s="20" t="inlineStr">
        <is>
          <t>W컨셉</t>
        </is>
      </c>
      <c r="G6349" s="20" t="inlineStr">
        <is>
          <t>솔리드퍼퓸 이그나이트/스테이포에버 30ml (2종 택1)&lt;옵션1&gt;002 STAY FOREVER</t>
        </is>
      </c>
      <c r="H6349" s="20" t="n">
        <v>10</v>
      </c>
      <c r="I6349" s="20" t="inlineStr">
        <is>
          <t>스테이포에버</t>
        </is>
      </c>
      <c r="J6349" s="20" t="inlineStr">
        <is>
          <t>210207</t>
        </is>
      </c>
      <c r="L6349" s="20" t="n">
        <v>340000</v>
      </c>
      <c r="M6349" s="20" t="n">
        <v>238000</v>
      </c>
      <c r="N6349" s="20" t="n">
        <v>25920</v>
      </c>
      <c r="O6349" s="20" t="inlineStr">
        <is>
          <t>W컨셉고체향수솔리드퍼퓸 이그나이트/스테이포에버 30ml (2종 택1)&lt;옵션1&gt;002 STAY FOREVER210207</t>
        </is>
      </c>
    </row>
    <row r="6350">
      <c r="B6350" s="16" t="n">
        <v>44293</v>
      </c>
      <c r="C6350" s="20" t="inlineStr">
        <is>
          <t>수</t>
        </is>
      </c>
      <c r="E6350" s="20" t="inlineStr">
        <is>
          <t>고체향수</t>
        </is>
      </c>
      <c r="F6350" s="20" t="inlineStr">
        <is>
          <t>W컨셉</t>
        </is>
      </c>
      <c r="G6350" s="20" t="inlineStr">
        <is>
          <t>솔리드퍼퓸 이그나이트/스테이포에버 30ml (2종 택1)&lt;옵션1&gt;IGNITE + STAY FOREVER</t>
        </is>
      </c>
      <c r="H6350" s="20" t="n">
        <v>1</v>
      </c>
      <c r="I6350" s="20" t="inlineStr">
        <is>
          <t>이그나이트 + 스테이포에버</t>
        </is>
      </c>
      <c r="J6350" s="20" t="inlineStr">
        <is>
          <t>210207</t>
        </is>
      </c>
      <c r="L6350" s="20" t="n">
        <v>58800</v>
      </c>
      <c r="M6350" s="20" t="n">
        <v>47040</v>
      </c>
      <c r="N6350" s="20" t="n">
        <v>5345</v>
      </c>
      <c r="O6350" s="20" t="inlineStr">
        <is>
          <t>W컨셉고체향수솔리드퍼퓸 이그나이트/스테이포에버 30ml (2종 택1)&lt;옵션1&gt;IGNITE + STAY FOREVER210207</t>
        </is>
      </c>
    </row>
    <row r="6351">
      <c r="B6351" s="16" t="n">
        <v>44293</v>
      </c>
      <c r="C6351" s="20" t="inlineStr">
        <is>
          <t>수</t>
        </is>
      </c>
      <c r="E6351" s="20" t="inlineStr">
        <is>
          <t>고체향수</t>
        </is>
      </c>
      <c r="F6351" s="20" t="inlineStr">
        <is>
          <t>스마트스토어</t>
        </is>
      </c>
      <c r="G6351" s="20" t="inlineStr">
        <is>
          <t>유즈 고체향수 세트(유즈 스테이포에버, 유즈 이그나이트)고체향수: 스테이포에버 1개 + 이그나이트 1개</t>
        </is>
      </c>
      <c r="H6351" s="20" t="n">
        <v>2</v>
      </c>
      <c r="I6351" s="20" t="inlineStr">
        <is>
          <t>이그나이트 + 스테이포에버</t>
        </is>
      </c>
      <c r="J6351" s="20" t="inlineStr">
        <is>
          <t>210207</t>
        </is>
      </c>
      <c r="L6351" s="20" t="n">
        <v>117600</v>
      </c>
      <c r="M6351" s="20" t="n">
        <v>110720.4</v>
      </c>
      <c r="N6351" s="20" t="n">
        <v>10690</v>
      </c>
      <c r="O6351" s="20" t="inlineStr">
        <is>
          <t>스마트스토어고체향수유즈 고체향수 세트(유즈 스테이포에버, 유즈 이그나이트)고체향수: 스테이포에버 1개 + 이그나이트 1개210207</t>
        </is>
      </c>
    </row>
    <row r="6352">
      <c r="B6352" s="16" t="n">
        <v>44293</v>
      </c>
      <c r="C6352" s="20" t="inlineStr">
        <is>
          <t>수</t>
        </is>
      </c>
      <c r="E6352" s="20" t="inlineStr">
        <is>
          <t>고체향수</t>
        </is>
      </c>
      <c r="F6352" s="20" t="inlineStr">
        <is>
          <t>스마트스토어</t>
        </is>
      </c>
      <c r="G6352" s="20" t="inlineStr">
        <is>
          <t>유즈 고체향수 세트(유즈 스테이포에버, 유즈 이그나이트)고체향수: 스테이포에버 2개</t>
        </is>
      </c>
      <c r="H6352" s="20" t="n">
        <v>2</v>
      </c>
      <c r="I6352" s="20" t="inlineStr">
        <is>
          <t>스테이포에버 2set</t>
        </is>
      </c>
      <c r="J6352" s="20" t="inlineStr">
        <is>
          <t>210207</t>
        </is>
      </c>
      <c r="L6352" s="20" t="n">
        <v>117600</v>
      </c>
      <c r="M6352" s="20" t="n">
        <v>115248</v>
      </c>
      <c r="N6352" s="20" t="n">
        <v>10368</v>
      </c>
      <c r="O6352" s="20" t="inlineStr">
        <is>
          <t>스마트스토어고체향수유즈 고체향수 세트(유즈 스테이포에버, 유즈 이그나이트)고체향수: 스테이포에버 2개210207</t>
        </is>
      </c>
    </row>
    <row r="6353">
      <c r="B6353" s="16" t="n">
        <v>44293</v>
      </c>
      <c r="C6353" s="20" t="inlineStr">
        <is>
          <t>수</t>
        </is>
      </c>
      <c r="E6353" s="20" t="inlineStr">
        <is>
          <t>고체향수</t>
        </is>
      </c>
      <c r="F6353" s="20" t="inlineStr">
        <is>
          <t>스마트스토어</t>
        </is>
      </c>
      <c r="G6353" s="20" t="inlineStr">
        <is>
          <t>유즈 고체향수 스테이포에버 002고체향수: 스테이포에버 1개</t>
        </is>
      </c>
      <c r="H6353" s="20" t="n">
        <v>23</v>
      </c>
      <c r="I6353" s="20" t="inlineStr">
        <is>
          <t>스테이포에버</t>
        </is>
      </c>
      <c r="J6353" s="20" t="inlineStr">
        <is>
          <t>210207</t>
        </is>
      </c>
      <c r="L6353" s="20" t="n">
        <v>782000</v>
      </c>
      <c r="M6353" s="20" t="n">
        <v>766360</v>
      </c>
      <c r="N6353" s="20" t="n">
        <v>59616</v>
      </c>
      <c r="O6353" s="20" t="inlineStr">
        <is>
          <t>스마트스토어고체향수유즈 고체향수 스테이포에버 002고체향수: 스테이포에버 1개210207</t>
        </is>
      </c>
    </row>
    <row r="6354">
      <c r="B6354" s="16" t="n">
        <v>44293</v>
      </c>
      <c r="C6354" s="20" t="inlineStr">
        <is>
          <t>수</t>
        </is>
      </c>
      <c r="E6354" s="20" t="inlineStr">
        <is>
          <t>고체향수</t>
        </is>
      </c>
      <c r="F6354" s="20" t="inlineStr">
        <is>
          <t>카페24</t>
        </is>
      </c>
      <c r="G6354" s="20" t="inlineStr">
        <is>
          <t>솔리드퍼퓸 세트향=스테이포에버 002 SOLID PERFUME, 세트 선택=1개</t>
        </is>
      </c>
      <c r="H6354" s="20" t="n">
        <v>4</v>
      </c>
      <c r="I6354" s="20" t="inlineStr">
        <is>
          <t>스테이포에버</t>
        </is>
      </c>
      <c r="J6354" s="20" t="inlineStr">
        <is>
          <t>210207</t>
        </is>
      </c>
      <c r="L6354" s="20" t="n">
        <v>136000</v>
      </c>
      <c r="M6354" s="20" t="n">
        <v>128044</v>
      </c>
      <c r="N6354" s="20" t="n">
        <v>10368</v>
      </c>
      <c r="O6354" s="20" t="inlineStr">
        <is>
          <t>카페24고체향수솔리드퍼퓸 세트향=스테이포에버 002 SOLID PERFUME, 세트 선택=1개210207</t>
        </is>
      </c>
    </row>
    <row r="6355">
      <c r="B6355" s="16" t="n">
        <v>44293</v>
      </c>
      <c r="C6355" s="20" t="inlineStr">
        <is>
          <t>수</t>
        </is>
      </c>
      <c r="E6355" s="20" t="inlineStr">
        <is>
          <t>고체향수</t>
        </is>
      </c>
      <c r="F6355" s="20" t="inlineStr">
        <is>
          <t>카페24</t>
        </is>
      </c>
      <c r="G6355" s="20" t="inlineStr">
        <is>
          <t>솔리드퍼퓸 세트향=스테이포에버 002 SOLID PERFUME, 세트 선택=best 2개 (28% 할인)</t>
        </is>
      </c>
      <c r="H6355" s="20" t="n">
        <v>4</v>
      </c>
      <c r="I6355" s="20" t="inlineStr">
        <is>
          <t>스테이포에버 2set</t>
        </is>
      </c>
      <c r="J6355" s="20" t="inlineStr">
        <is>
          <t>210207</t>
        </is>
      </c>
      <c r="L6355" s="20" t="n">
        <v>235200</v>
      </c>
      <c r="M6355" s="20" t="n">
        <v>221440.8</v>
      </c>
      <c r="N6355" s="20" t="n">
        <v>20736</v>
      </c>
      <c r="O6355" s="20" t="inlineStr">
        <is>
          <t>카페24고체향수솔리드퍼퓸 세트향=스테이포에버 002 SOLID PERFUME, 세트 선택=best 2개 (28% 할인)210207</t>
        </is>
      </c>
    </row>
    <row r="6356">
      <c r="B6356" s="16" t="n">
        <v>44293</v>
      </c>
      <c r="C6356" s="20" t="inlineStr">
        <is>
          <t>수</t>
        </is>
      </c>
      <c r="E6356" s="20" t="inlineStr">
        <is>
          <t>고체향수</t>
        </is>
      </c>
      <c r="F6356" s="20" t="inlineStr">
        <is>
          <t>카페24</t>
        </is>
      </c>
      <c r="G6356" s="20" t="inlineStr">
        <is>
          <t>솔리드퍼퓸 세트향=커플세트(이그나이트 + 스테이포에버), 세트 선택=1 SET</t>
        </is>
      </c>
      <c r="H6356" s="20" t="n">
        <v>11</v>
      </c>
      <c r="I6356" s="20" t="inlineStr">
        <is>
          <t>이그나이트 + 스테이포에버</t>
        </is>
      </c>
      <c r="J6356" s="20" t="inlineStr">
        <is>
          <t>210207</t>
        </is>
      </c>
      <c r="L6356" s="20" t="n">
        <v>646800</v>
      </c>
      <c r="M6356" s="20" t="n">
        <v>608962.2</v>
      </c>
      <c r="N6356" s="20" t="n">
        <v>58795</v>
      </c>
      <c r="O6356" s="20" t="inlineStr">
        <is>
          <t>카페24고체향수솔리드퍼퓸 세트향=커플세트(이그나이트 + 스테이포에버), 세트 선택=1 SET210207</t>
        </is>
      </c>
    </row>
    <row r="6357">
      <c r="B6357" s="16" t="n">
        <v>44293</v>
      </c>
      <c r="C6357" s="20" t="inlineStr">
        <is>
          <t>수</t>
        </is>
      </c>
      <c r="E6357" s="20" t="inlineStr">
        <is>
          <t>고체향수</t>
        </is>
      </c>
      <c r="F6357" s="20" t="inlineStr">
        <is>
          <t>카페24</t>
        </is>
      </c>
      <c r="G6357" s="20" t="inlineStr">
        <is>
          <t>솔리드퍼퓸 스테이포에버 002제품선택=스테이포에버 1개</t>
        </is>
      </c>
      <c r="H6357" s="20" t="n">
        <v>223</v>
      </c>
      <c r="I6357" s="20" t="inlineStr">
        <is>
          <t>스테이포에버</t>
        </is>
      </c>
      <c r="J6357" s="20" t="inlineStr">
        <is>
          <t>210207</t>
        </is>
      </c>
      <c r="L6357" s="20" t="n">
        <v>7582000</v>
      </c>
      <c r="M6357" s="20" t="n">
        <v>7138453</v>
      </c>
      <c r="N6357" s="20" t="n">
        <v>578016</v>
      </c>
      <c r="O6357" s="20" t="inlineStr">
        <is>
          <t>카페24고체향수솔리드퍼퓸 스테이포에버 002제품선택=스테이포에버 1개210207</t>
        </is>
      </c>
    </row>
    <row r="6358">
      <c r="B6358" s="16" t="n">
        <v>44293</v>
      </c>
      <c r="C6358" s="20" t="inlineStr">
        <is>
          <t>수</t>
        </is>
      </c>
      <c r="E6358" s="20" t="inlineStr">
        <is>
          <t>고체향수</t>
        </is>
      </c>
      <c r="F6358" s="20" t="inlineStr">
        <is>
          <t>카페24</t>
        </is>
      </c>
      <c r="G6358" s="20" t="inlineStr">
        <is>
          <t>솔리드퍼퓸 스테이포에버 002제품선택=best스테이포에버 2개[28% 할인]</t>
        </is>
      </c>
      <c r="H6358" s="20" t="n">
        <v>118</v>
      </c>
      <c r="I6358" s="20" t="inlineStr">
        <is>
          <t>스테이포에버 2set</t>
        </is>
      </c>
      <c r="J6358" s="20" t="inlineStr">
        <is>
          <t>210207</t>
        </is>
      </c>
      <c r="L6358" s="20" t="n">
        <v>6938400</v>
      </c>
      <c r="M6358" s="20" t="n">
        <v>6532503.6</v>
      </c>
      <c r="N6358" s="20" t="n">
        <v>611712</v>
      </c>
      <c r="O6358" s="20" t="inlineStr">
        <is>
          <t>카페24고체향수솔리드퍼퓸 스테이포에버 002제품선택=best스테이포에버 2개[28% 할인]210207</t>
        </is>
      </c>
    </row>
    <row r="6359">
      <c r="B6359" s="16" t="n">
        <v>44293</v>
      </c>
      <c r="C6359" s="20" t="inlineStr">
        <is>
          <t>수</t>
        </is>
      </c>
      <c r="E6359" s="20" t="inlineStr">
        <is>
          <t>고체향수</t>
        </is>
      </c>
      <c r="F6359" s="20" t="inlineStr">
        <is>
          <t>카페24</t>
        </is>
      </c>
      <c r="G6359" s="20" t="inlineStr">
        <is>
          <t>솔리드퍼퓸 스테이포에버 002제품선택=커플추천스테이포에버 + 이그나이트 세트</t>
        </is>
      </c>
      <c r="H6359" s="20" t="n">
        <v>20</v>
      </c>
      <c r="I6359" s="20" t="inlineStr">
        <is>
          <t>이그나이트 + 스테이포에버</t>
        </is>
      </c>
      <c r="J6359" s="20" t="inlineStr">
        <is>
          <t>210207</t>
        </is>
      </c>
      <c r="L6359" s="20" t="n">
        <v>1176000</v>
      </c>
      <c r="M6359" s="20" t="n">
        <v>1107204</v>
      </c>
      <c r="N6359" s="20" t="n">
        <v>106900</v>
      </c>
      <c r="O6359" s="20" t="inlineStr">
        <is>
          <t>카페24고체향수솔리드퍼퓸 스테이포에버 002제품선택=커플추천스테이포에버 + 이그나이트 세트210207</t>
        </is>
      </c>
    </row>
    <row r="6360">
      <c r="B6360" s="16" t="n">
        <v>44293</v>
      </c>
      <c r="C6360" s="20" t="inlineStr">
        <is>
          <t>수</t>
        </is>
      </c>
      <c r="E6360" s="20" t="inlineStr">
        <is>
          <t>쇼핑백</t>
        </is>
      </c>
      <c r="F6360" s="20" t="inlineStr">
        <is>
          <t>카페24</t>
        </is>
      </c>
      <c r="G6360" s="20" t="inlineStr">
        <is>
          <t>솔리드퍼퓸 스테이포에버 002쇼핑백=선물용 쇼핑백</t>
        </is>
      </c>
      <c r="H6360" s="20" t="n">
        <v>11</v>
      </c>
      <c r="I6360" s="20" t="inlineStr">
        <is>
          <t>쇼핑백</t>
        </is>
      </c>
      <c r="J6360" s="20" t="inlineStr">
        <is>
          <t>210207</t>
        </is>
      </c>
      <c r="L6360" s="20" t="n">
        <v>22000</v>
      </c>
      <c r="M6360" s="20" t="n">
        <v>20713</v>
      </c>
      <c r="N6360" s="20" t="n">
        <v>9130</v>
      </c>
      <c r="O6360" s="20" t="inlineStr">
        <is>
          <t>카페24쇼핑백솔리드퍼퓸 스테이포에버 002쇼핑백=선물용 쇼핑백210207</t>
        </is>
      </c>
    </row>
    <row r="6361">
      <c r="B6361" s="16" t="n">
        <v>44293</v>
      </c>
      <c r="C6361" s="20" t="inlineStr">
        <is>
          <t>수</t>
        </is>
      </c>
      <c r="E6361" s="20" t="inlineStr">
        <is>
          <t>고체향수</t>
        </is>
      </c>
      <c r="F6361" s="20" t="inlineStr">
        <is>
          <t>카페24</t>
        </is>
      </c>
      <c r="G6361" s="20" t="inlineStr">
        <is>
          <t>솔리드퍼퓸 이그나이트 001제품선택=이그나이트 솔리드퍼퓸 - 30ml</t>
        </is>
      </c>
      <c r="H6361" s="20" t="n">
        <v>3</v>
      </c>
      <c r="I6361" s="20" t="inlineStr">
        <is>
          <t>이그나이트</t>
        </is>
      </c>
      <c r="J6361" s="20" t="inlineStr">
        <is>
          <t>210207</t>
        </is>
      </c>
      <c r="L6361" s="20" t="n">
        <v>102000</v>
      </c>
      <c r="M6361" s="20" t="n">
        <v>96033</v>
      </c>
      <c r="N6361" s="20" t="n">
        <v>8259</v>
      </c>
      <c r="O6361" s="20" t="inlineStr">
        <is>
          <t>카페24고체향수솔리드퍼퓸 이그나이트 001제품선택=이그나이트 솔리드퍼퓸 - 30ml210207</t>
        </is>
      </c>
    </row>
    <row r="6362">
      <c r="B6362" s="16" t="n">
        <v>44293</v>
      </c>
      <c r="C6362" s="20" t="inlineStr">
        <is>
          <t>수</t>
        </is>
      </c>
      <c r="E6362" s="20" t="inlineStr">
        <is>
          <t>고체향수</t>
        </is>
      </c>
      <c r="F6362" s="20" t="inlineStr">
        <is>
          <t>카페24</t>
        </is>
      </c>
      <c r="G6362" s="20" t="inlineStr">
        <is>
          <t>솔리드퍼퓸 이그나이트 001제품선택=이그나이트 2개 세트</t>
        </is>
      </c>
      <c r="H6362" s="20" t="n">
        <v>2</v>
      </c>
      <c r="I6362" s="20" t="inlineStr">
        <is>
          <t>이그나이트 2set</t>
        </is>
      </c>
      <c r="J6362" s="20" t="inlineStr">
        <is>
          <t>210207</t>
        </is>
      </c>
      <c r="L6362" s="20" t="n">
        <v>117600</v>
      </c>
      <c r="M6362" s="20" t="n">
        <v>110720.4</v>
      </c>
      <c r="N6362" s="20" t="n">
        <v>11012</v>
      </c>
      <c r="O6362" s="20" t="inlineStr">
        <is>
          <t>카페24고체향수솔리드퍼퓸 이그나이트 001제품선택=이그나이트 2개 세트210207</t>
        </is>
      </c>
    </row>
    <row r="6363">
      <c r="A6363" s="20" t="inlineStr">
        <is>
          <t>고체향수</t>
        </is>
      </c>
      <c r="B6363" s="16" t="n">
        <v>44293</v>
      </c>
      <c r="C6363" s="20" t="inlineStr">
        <is>
          <t>수</t>
        </is>
      </c>
      <c r="D6363" s="20" t="inlineStr">
        <is>
          <t>네이버 배너</t>
        </is>
      </c>
      <c r="E6363" s="20" t="inlineStr">
        <is>
          <t>고체향수</t>
        </is>
      </c>
      <c r="K6363" s="20" t="n">
        <v>1783479.090909091</v>
      </c>
    </row>
    <row r="6364">
      <c r="B6364" s="16" t="n">
        <v>44293</v>
      </c>
      <c r="C6364" s="20" t="inlineStr">
        <is>
          <t>수</t>
        </is>
      </c>
      <c r="D6364" s="20" t="inlineStr">
        <is>
          <t>네이버 배너(대행사)</t>
        </is>
      </c>
      <c r="E6364" s="20" t="inlineStr">
        <is>
          <t>고체향수</t>
        </is>
      </c>
      <c r="K6364" s="20">
        <f>273645/1.1</f>
        <v/>
      </c>
    </row>
    <row r="6365">
      <c r="A6365" s="20" t="inlineStr">
        <is>
          <t>[승무원] 유튜브재편집_스테이포에버_영상</t>
        </is>
      </c>
      <c r="B6365" s="16" t="n">
        <v>44294</v>
      </c>
      <c r="C6365" s="20" t="inlineStr">
        <is>
          <t>목</t>
        </is>
      </c>
      <c r="D6365" s="20" t="inlineStr">
        <is>
          <t>페이스북/인스타그램</t>
        </is>
      </c>
      <c r="E6365" s="20" t="inlineStr">
        <is>
          <t>고체향수</t>
        </is>
      </c>
      <c r="K6365" s="20" t="n">
        <v>72317</v>
      </c>
    </row>
    <row r="6366">
      <c r="A6366" s="20" t="inlineStr">
        <is>
          <t>[다현 TEST] 스테이포에버_유즈모먼트</t>
        </is>
      </c>
      <c r="B6366" s="16" t="n">
        <v>44294</v>
      </c>
      <c r="C6366" s="20" t="inlineStr">
        <is>
          <t>목</t>
        </is>
      </c>
      <c r="D6366" s="20" t="inlineStr">
        <is>
          <t>페이스북/인스타그램</t>
        </is>
      </c>
      <c r="E6366" s="20" t="inlineStr">
        <is>
          <t>고체향수</t>
        </is>
      </c>
      <c r="K6366" s="20" t="n">
        <v>81838</v>
      </c>
    </row>
    <row r="6367">
      <c r="A6367" s="20" t="inlineStr">
        <is>
          <t>[성민 TEST] 스테이포에버_이미지</t>
        </is>
      </c>
      <c r="B6367" s="16" t="n">
        <v>44294</v>
      </c>
      <c r="C6367" s="20" t="inlineStr">
        <is>
          <t>목</t>
        </is>
      </c>
      <c r="D6367" s="20" t="inlineStr">
        <is>
          <t>페이스북/인스타그램</t>
        </is>
      </c>
      <c r="E6367" s="20" t="inlineStr">
        <is>
          <t>고체향수</t>
        </is>
      </c>
      <c r="K6367" s="20" t="n">
        <v>213396</v>
      </c>
    </row>
    <row r="6368">
      <c r="A6368" s="20" t="inlineStr">
        <is>
          <t>[승은 TEST] 스테이포에버_카드뉴스</t>
        </is>
      </c>
      <c r="B6368" s="16" t="n">
        <v>44294</v>
      </c>
      <c r="C6368" s="20" t="inlineStr">
        <is>
          <t>목</t>
        </is>
      </c>
      <c r="D6368" s="20" t="inlineStr">
        <is>
          <t>페이스북/인스타그램</t>
        </is>
      </c>
      <c r="E6368" s="20" t="inlineStr">
        <is>
          <t>고체향수</t>
        </is>
      </c>
      <c r="K6368" s="20" t="n">
        <v>97320</v>
      </c>
    </row>
    <row r="6369">
      <c r="A6369" s="20" t="inlineStr">
        <is>
          <t>[승무원 2] 스테이포에버_카드뉴스</t>
        </is>
      </c>
      <c r="B6369" s="16" t="n">
        <v>44294</v>
      </c>
      <c r="C6369" s="20" t="inlineStr">
        <is>
          <t>목</t>
        </is>
      </c>
      <c r="D6369" s="20" t="inlineStr">
        <is>
          <t>페이스북/인스타그램</t>
        </is>
      </c>
      <c r="E6369" s="20" t="inlineStr">
        <is>
          <t>고체향수</t>
        </is>
      </c>
      <c r="K6369" s="20" t="n">
        <v>103574</v>
      </c>
    </row>
    <row r="6370">
      <c r="A6370" s="20" t="inlineStr">
        <is>
          <t>[테스트]아줌마</t>
        </is>
      </c>
      <c r="B6370" s="16" t="n">
        <v>44294</v>
      </c>
      <c r="C6370" s="20" t="inlineStr">
        <is>
          <t>목</t>
        </is>
      </c>
      <c r="D6370" s="20" t="inlineStr">
        <is>
          <t>페이스북/인스타그램</t>
        </is>
      </c>
      <c r="E6370" s="20" t="inlineStr">
        <is>
          <t>고체향수</t>
        </is>
      </c>
      <c r="K6370" s="20" t="n">
        <v>108374</v>
      </c>
    </row>
    <row r="6371">
      <c r="A6371" s="20" t="inlineStr">
        <is>
          <t>[다양한 키워드] 스테이포에버_이미지</t>
        </is>
      </c>
      <c r="B6371" s="16" t="n">
        <v>44294</v>
      </c>
      <c r="C6371" s="20" t="inlineStr">
        <is>
          <t>목</t>
        </is>
      </c>
      <c r="D6371" s="20" t="inlineStr">
        <is>
          <t>페이스북/인스타그램</t>
        </is>
      </c>
      <c r="E6371" s="20" t="inlineStr">
        <is>
          <t>고체향수</t>
        </is>
      </c>
      <c r="K6371" s="20" t="n">
        <v>206821</v>
      </c>
    </row>
    <row r="6372">
      <c r="A6372" s="20" t="inlineStr">
        <is>
          <t>[재입고]스테이포에버_이미지</t>
        </is>
      </c>
      <c r="B6372" s="16" t="n">
        <v>44294</v>
      </c>
      <c r="C6372" s="20" t="inlineStr">
        <is>
          <t>목</t>
        </is>
      </c>
      <c r="D6372" s="20" t="inlineStr">
        <is>
          <t>페이스북/인스타그램</t>
        </is>
      </c>
      <c r="E6372" s="20" t="inlineStr">
        <is>
          <t>고체향수</t>
        </is>
      </c>
      <c r="K6372" s="20" t="n">
        <v>211336</v>
      </c>
    </row>
    <row r="6373">
      <c r="A6373" s="20" t="inlineStr">
        <is>
          <t>[승무원]숏폼_영상</t>
        </is>
      </c>
      <c r="B6373" s="16" t="n">
        <v>44294</v>
      </c>
      <c r="C6373" s="20" t="inlineStr">
        <is>
          <t>목</t>
        </is>
      </c>
      <c r="D6373" s="20" t="inlineStr">
        <is>
          <t>페이스북/인스타그램</t>
        </is>
      </c>
      <c r="E6373" s="20" t="inlineStr">
        <is>
          <t>고체향수</t>
        </is>
      </c>
      <c r="K6373" s="20" t="n">
        <v>49664</v>
      </c>
    </row>
    <row r="6374">
      <c r="A6374" s="20" t="inlineStr">
        <is>
          <t>[재입고]스테이포에버_영상</t>
        </is>
      </c>
      <c r="B6374" s="16" t="n">
        <v>44294</v>
      </c>
      <c r="C6374" s="20" t="inlineStr">
        <is>
          <t>목</t>
        </is>
      </c>
      <c r="D6374" s="20" t="inlineStr">
        <is>
          <t>페이스북/인스타그램</t>
        </is>
      </c>
      <c r="E6374" s="20" t="inlineStr">
        <is>
          <t>고체향수</t>
        </is>
      </c>
      <c r="K6374" s="20" t="n">
        <v>155351</v>
      </c>
    </row>
    <row r="6375">
      <c r="A6375" s="20" t="inlineStr">
        <is>
          <t>[승무원]2019년썰 카드뉴스+ 향묘사_영상</t>
        </is>
      </c>
      <c r="B6375" s="16" t="n">
        <v>44294</v>
      </c>
      <c r="C6375" s="20" t="inlineStr">
        <is>
          <t>목</t>
        </is>
      </c>
      <c r="D6375" s="20" t="inlineStr">
        <is>
          <t>페이스북/인스타그램</t>
        </is>
      </c>
      <c r="E6375" s="20" t="inlineStr">
        <is>
          <t>고체향수</t>
        </is>
      </c>
      <c r="K6375" s="20" t="n">
        <v>49221</v>
      </c>
    </row>
    <row r="6376">
      <c r="A6376" s="20" t="inlineStr">
        <is>
          <t>[승무원어피]스테이포에버_이미지</t>
        </is>
      </c>
      <c r="B6376" s="16" t="n">
        <v>44294</v>
      </c>
      <c r="C6376" s="20" t="inlineStr">
        <is>
          <t>목</t>
        </is>
      </c>
      <c r="D6376" s="20" t="inlineStr">
        <is>
          <t>페이스북/인스타그램</t>
        </is>
      </c>
      <c r="E6376" s="20" t="inlineStr">
        <is>
          <t>고체향수</t>
        </is>
      </c>
      <c r="K6376" s="20" t="n">
        <v>98547</v>
      </c>
    </row>
    <row r="6377">
      <c r="A6377" s="20" t="inlineStr">
        <is>
          <t>[다현]스테이포에버_이미지</t>
        </is>
      </c>
      <c r="B6377" s="16" t="n">
        <v>44294</v>
      </c>
      <c r="C6377" s="20" t="inlineStr">
        <is>
          <t>목</t>
        </is>
      </c>
      <c r="D6377" s="20" t="inlineStr">
        <is>
          <t>페이스북/인스타그램</t>
        </is>
      </c>
      <c r="E6377" s="20" t="inlineStr">
        <is>
          <t>고체향수</t>
        </is>
      </c>
      <c r="K6377" s="20" t="n">
        <v>124496</v>
      </c>
    </row>
    <row r="6378">
      <c r="A6378" s="20" t="inlineStr">
        <is>
          <t>[승무원]스테이포에버_카드뉴스</t>
        </is>
      </c>
      <c r="B6378" s="16" t="n">
        <v>44294</v>
      </c>
      <c r="C6378" s="20" t="inlineStr">
        <is>
          <t>목</t>
        </is>
      </c>
      <c r="D6378" s="20" t="inlineStr">
        <is>
          <t>페이스북/인스타그램</t>
        </is>
      </c>
      <c r="E6378" s="20" t="inlineStr">
        <is>
          <t>고체향수</t>
        </is>
      </c>
      <c r="K6378" s="20" t="n">
        <v>64409</v>
      </c>
    </row>
    <row r="6379">
      <c r="A6379" s="20" t="inlineStr">
        <is>
          <t>[후기타입]스테이포에버_영상</t>
        </is>
      </c>
      <c r="B6379" s="16" t="n">
        <v>44294</v>
      </c>
      <c r="C6379" s="20" t="inlineStr">
        <is>
          <t>목</t>
        </is>
      </c>
      <c r="D6379" s="20" t="inlineStr">
        <is>
          <t>페이스북/인스타그램</t>
        </is>
      </c>
      <c r="E6379" s="20" t="inlineStr">
        <is>
          <t>고체향수</t>
        </is>
      </c>
      <c r="K6379" s="20" t="n">
        <v>147802</v>
      </c>
    </row>
    <row r="6380">
      <c r="A6380" s="20" t="inlineStr">
        <is>
          <t>전환_스테이포에버</t>
        </is>
      </c>
      <c r="B6380" s="16" t="n">
        <v>44294</v>
      </c>
      <c r="C6380" s="20" t="inlineStr">
        <is>
          <t>목</t>
        </is>
      </c>
      <c r="D6380" s="20" t="inlineStr">
        <is>
          <t>페이스북/인스타그램</t>
        </is>
      </c>
      <c r="E6380" s="20" t="inlineStr">
        <is>
          <t>고체향수</t>
        </is>
      </c>
      <c r="K6380" s="20" t="n">
        <v>67039</v>
      </c>
    </row>
    <row r="6381">
      <c r="A6381" s="20" t="inlineStr">
        <is>
          <t>[권태기커플]스테이포에버_영상</t>
        </is>
      </c>
      <c r="B6381" s="16" t="n">
        <v>44294</v>
      </c>
      <c r="C6381" s="20" t="inlineStr">
        <is>
          <t>목</t>
        </is>
      </c>
      <c r="D6381" s="20" t="inlineStr">
        <is>
          <t>페이스북/인스타그램</t>
        </is>
      </c>
      <c r="E6381" s="20" t="inlineStr">
        <is>
          <t>고체향수</t>
        </is>
      </c>
      <c r="K6381" s="20" t="n">
        <v>73528</v>
      </c>
    </row>
    <row r="6382">
      <c r="A6382" s="20" t="inlineStr">
        <is>
          <t>웹사이트 트래픽 서치</t>
        </is>
      </c>
      <c r="B6382" s="16" t="n">
        <v>44294</v>
      </c>
      <c r="C6382" s="20" t="inlineStr">
        <is>
          <t>목</t>
        </is>
      </c>
      <c r="D6382" s="20" t="inlineStr">
        <is>
          <t>유튜브 광고</t>
        </is>
      </c>
      <c r="E6382" s="20" t="inlineStr">
        <is>
          <t>고체향수</t>
        </is>
      </c>
      <c r="K6382" s="20" t="n">
        <v>24784</v>
      </c>
    </row>
    <row r="6383">
      <c r="A6383" s="20" t="inlineStr">
        <is>
          <t>동영상캠페인_승무원_보이는 라디오(cpa)</t>
        </is>
      </c>
      <c r="B6383" s="16" t="n">
        <v>44294</v>
      </c>
      <c r="C6383" s="20" t="inlineStr">
        <is>
          <t>목</t>
        </is>
      </c>
      <c r="D6383" s="20" t="inlineStr">
        <is>
          <t>유튜브 광고</t>
        </is>
      </c>
      <c r="E6383" s="20" t="inlineStr">
        <is>
          <t>고체향수</t>
        </is>
      </c>
      <c r="K6383" s="20" t="n">
        <v>206864</v>
      </c>
    </row>
    <row r="6384">
      <c r="A6384" s="20" t="inlineStr">
        <is>
          <t>디스커버리 배너_승무원,할인_리마케팅</t>
        </is>
      </c>
      <c r="B6384" s="16" t="n">
        <v>44294</v>
      </c>
      <c r="C6384" s="20" t="inlineStr">
        <is>
          <t>목</t>
        </is>
      </c>
      <c r="D6384" s="20" t="inlineStr">
        <is>
          <t>유튜브 광고</t>
        </is>
      </c>
      <c r="E6384" s="20" t="inlineStr">
        <is>
          <t>고체향수</t>
        </is>
      </c>
      <c r="K6384" s="20" t="n">
        <v>457019</v>
      </c>
    </row>
    <row r="6385">
      <c r="A6385" s="20" t="inlineStr">
        <is>
          <t>동영상캠페인_승무원_써니스카이</t>
        </is>
      </c>
      <c r="B6385" s="16" t="n">
        <v>44294</v>
      </c>
      <c r="C6385" s="20" t="inlineStr">
        <is>
          <t>목</t>
        </is>
      </c>
      <c r="D6385" s="20" t="inlineStr">
        <is>
          <t>유튜브 광고</t>
        </is>
      </c>
      <c r="E6385" s="20" t="inlineStr">
        <is>
          <t>고체향수</t>
        </is>
      </c>
      <c r="K6385" s="20" t="n">
        <v>199774</v>
      </c>
    </row>
    <row r="6386">
      <c r="A6386" s="20" t="inlineStr">
        <is>
          <t>동영상캠페인_필라테스_자기관리(타겟 cpa)</t>
        </is>
      </c>
      <c r="B6386" s="16" t="n">
        <v>44294</v>
      </c>
      <c r="C6386" s="20" t="inlineStr">
        <is>
          <t>목</t>
        </is>
      </c>
      <c r="D6386" s="20" t="inlineStr">
        <is>
          <t>유튜브 광고</t>
        </is>
      </c>
      <c r="E6386" s="20" t="inlineStr">
        <is>
          <t>고체향수</t>
        </is>
      </c>
      <c r="K6386" s="20" t="n">
        <v>71746</v>
      </c>
    </row>
    <row r="6387">
      <c r="A6387" s="20" t="inlineStr">
        <is>
          <t>동영상캠페인_승무원_비누향 나는 승무원에게(cpa)</t>
        </is>
      </c>
      <c r="B6387" s="16" t="n">
        <v>44294</v>
      </c>
      <c r="C6387" s="20" t="inlineStr">
        <is>
          <t>목</t>
        </is>
      </c>
      <c r="D6387" s="20" t="inlineStr">
        <is>
          <t>유튜브 광고</t>
        </is>
      </c>
      <c r="E6387" s="20" t="inlineStr">
        <is>
          <t>고체향수</t>
        </is>
      </c>
      <c r="K6387" s="20" t="n">
        <v>140008</v>
      </c>
    </row>
    <row r="6388">
      <c r="A6388" s="20" t="inlineStr">
        <is>
          <t>동영상캠페인_유즈모먼트_2차_30대 여성 회사원(cpa)</t>
        </is>
      </c>
      <c r="B6388" s="16" t="n">
        <v>44294</v>
      </c>
      <c r="C6388" s="20" t="inlineStr">
        <is>
          <t>목</t>
        </is>
      </c>
      <c r="D6388" s="20" t="inlineStr">
        <is>
          <t>유튜브 광고</t>
        </is>
      </c>
      <c r="E6388" s="20" t="inlineStr">
        <is>
          <t>고체향수</t>
        </is>
      </c>
      <c r="K6388" s="20" t="n">
        <v>64427</v>
      </c>
    </row>
    <row r="6389">
      <c r="A6389" s="20" t="inlineStr">
        <is>
          <t>동영상캠페인_유즈모먼트_조향사 친구(cpa)</t>
        </is>
      </c>
      <c r="B6389" s="16" t="n">
        <v>44294</v>
      </c>
      <c r="C6389" s="20" t="inlineStr">
        <is>
          <t>목</t>
        </is>
      </c>
      <c r="D6389" s="20" t="inlineStr">
        <is>
          <t>유튜브 광고</t>
        </is>
      </c>
      <c r="E6389" s="20" t="inlineStr">
        <is>
          <t>고체향수</t>
        </is>
      </c>
      <c r="K6389" s="20" t="n">
        <v>100130</v>
      </c>
    </row>
    <row r="6390">
      <c r="A6390" s="20" t="inlineStr">
        <is>
          <t>동영상 캠페인_유튜버 수지큐 2차활용</t>
        </is>
      </c>
      <c r="B6390" s="16" t="n">
        <v>44294</v>
      </c>
      <c r="C6390" s="20" t="inlineStr">
        <is>
          <t>목</t>
        </is>
      </c>
      <c r="D6390" s="20" t="inlineStr">
        <is>
          <t>유튜브 광고</t>
        </is>
      </c>
      <c r="E6390" s="20" t="inlineStr">
        <is>
          <t>고체향수</t>
        </is>
      </c>
      <c r="K6390" s="20" t="n">
        <v>199798</v>
      </c>
    </row>
    <row r="6391">
      <c r="A6391" s="20" t="inlineStr">
        <is>
          <t>동영상캠페인_유즈모먼트_4화_강한향대신</t>
        </is>
      </c>
      <c r="B6391" s="16" t="n">
        <v>44294</v>
      </c>
      <c r="C6391" s="20" t="inlineStr">
        <is>
          <t>목</t>
        </is>
      </c>
      <c r="D6391" s="20" t="inlineStr">
        <is>
          <t>유튜브 광고</t>
        </is>
      </c>
      <c r="E6391" s="20" t="inlineStr">
        <is>
          <t>고체향수</t>
        </is>
      </c>
      <c r="K6391" s="20" t="n">
        <v>99613</v>
      </c>
    </row>
    <row r="6392">
      <c r="A6392" s="20" t="inlineStr">
        <is>
          <t>[5화자] 동영상 캠페인_벨라의 비행일기</t>
        </is>
      </c>
      <c r="B6392" s="16" t="n">
        <v>44294</v>
      </c>
      <c r="C6392" s="20" t="inlineStr">
        <is>
          <t>목</t>
        </is>
      </c>
      <c r="D6392" s="20" t="inlineStr">
        <is>
          <t>유튜브 광고</t>
        </is>
      </c>
      <c r="E6392" s="20" t="inlineStr">
        <is>
          <t>고체향수</t>
        </is>
      </c>
      <c r="K6392" s="20" t="n">
        <v>500173</v>
      </c>
    </row>
    <row r="6393">
      <c r="A6393" s="20" t="inlineStr">
        <is>
          <t>[5화자] 동영상 캠페인_비행하고 여행하는 은선씨</t>
        </is>
      </c>
      <c r="B6393" s="16" t="n">
        <v>44294</v>
      </c>
      <c r="C6393" s="20" t="inlineStr">
        <is>
          <t>목</t>
        </is>
      </c>
      <c r="D6393" s="20" t="inlineStr">
        <is>
          <t>유튜브 광고</t>
        </is>
      </c>
      <c r="E6393" s="20" t="inlineStr">
        <is>
          <t>고체향수</t>
        </is>
      </c>
      <c r="K6393" s="20" t="n">
        <v>300020</v>
      </c>
    </row>
    <row r="6394">
      <c r="A6394" s="20" t="inlineStr">
        <is>
          <t>[5화자 재편집] 승무원_벨라_면세점에서 천만원</t>
        </is>
      </c>
      <c r="B6394" s="16" t="n">
        <v>44294</v>
      </c>
      <c r="C6394" s="20" t="inlineStr">
        <is>
          <t>목</t>
        </is>
      </c>
      <c r="D6394" s="20">
        <f>VLOOKUP($A6394,매칭테이블!$B$548:$D$1048576,2,0)</f>
        <v/>
      </c>
      <c r="E6394" s="20" t="inlineStr">
        <is>
          <t>고체향수</t>
        </is>
      </c>
      <c r="K6394" s="20" t="n">
        <v>100323</v>
      </c>
    </row>
    <row r="6395">
      <c r="A6395" s="20" t="inlineStr">
        <is>
          <t>메인키워드</t>
        </is>
      </c>
      <c r="B6395" s="16" t="n">
        <v>44294</v>
      </c>
      <c r="C6395" s="20" t="inlineStr">
        <is>
          <t>목</t>
        </is>
      </c>
      <c r="D6395" s="20" t="inlineStr">
        <is>
          <t>네이버 쇼핑검색</t>
        </is>
      </c>
      <c r="E6395" s="20" t="inlineStr">
        <is>
          <t>고체향수</t>
        </is>
      </c>
      <c r="K6395" s="20" t="n">
        <v>14340</v>
      </c>
    </row>
    <row r="6396">
      <c r="A6396" s="20" t="inlineStr">
        <is>
          <t>세부키워드1</t>
        </is>
      </c>
      <c r="B6396" s="16" t="n">
        <v>44294</v>
      </c>
      <c r="C6396" s="20" t="inlineStr">
        <is>
          <t>목</t>
        </is>
      </c>
      <c r="D6396" s="20" t="inlineStr">
        <is>
          <t>네이버 쇼핑검색</t>
        </is>
      </c>
      <c r="E6396" s="20" t="inlineStr">
        <is>
          <t>고체향수</t>
        </is>
      </c>
      <c r="K6396" s="20" t="n">
        <v>0</v>
      </c>
    </row>
    <row r="6397">
      <c r="A6397" s="20" t="inlineStr">
        <is>
          <t>세부키워드3</t>
        </is>
      </c>
      <c r="B6397" s="16" t="n">
        <v>44294</v>
      </c>
      <c r="C6397" s="20" t="inlineStr">
        <is>
          <t>목</t>
        </is>
      </c>
      <c r="D6397" s="20" t="inlineStr">
        <is>
          <t>네이버 쇼핑검색</t>
        </is>
      </c>
      <c r="E6397" s="20" t="inlineStr">
        <is>
          <t>고체향수</t>
        </is>
      </c>
      <c r="K6397" s="20" t="n">
        <v>122890</v>
      </c>
    </row>
    <row r="6398">
      <c r="A6398" s="20" t="inlineStr">
        <is>
          <t>모바일 브검</t>
        </is>
      </c>
      <c r="B6398" s="16" t="n">
        <v>44294</v>
      </c>
      <c r="C6398" s="20" t="inlineStr">
        <is>
          <t>목</t>
        </is>
      </c>
      <c r="D6398" s="20" t="inlineStr">
        <is>
          <t>네이버 브랜드검색</t>
        </is>
      </c>
      <c r="E6398" s="20" t="inlineStr">
        <is>
          <t>브랜드</t>
        </is>
      </c>
      <c r="K6398" s="20" t="n">
        <v>140000</v>
      </c>
    </row>
    <row r="6399">
      <c r="A6399" s="20" t="inlineStr">
        <is>
          <t>PC 브랜드검색</t>
        </is>
      </c>
      <c r="B6399" s="16" t="n">
        <v>44294</v>
      </c>
      <c r="C6399" s="20" t="inlineStr">
        <is>
          <t>목</t>
        </is>
      </c>
      <c r="D6399" s="20" t="inlineStr">
        <is>
          <t>네이버 브랜드검색</t>
        </is>
      </c>
      <c r="E6399" s="20" t="inlineStr">
        <is>
          <t>브랜드</t>
        </is>
      </c>
      <c r="K6399" s="20" t="n">
        <v>16700</v>
      </c>
    </row>
    <row r="6400">
      <c r="A6400" s="20" t="inlineStr">
        <is>
          <t>고체향수_승무원 어피_Npay 추적</t>
        </is>
      </c>
      <c r="B6400" s="16" t="n">
        <v>44294</v>
      </c>
      <c r="C6400" s="20" t="inlineStr">
        <is>
          <t>목</t>
        </is>
      </c>
      <c r="D6400" s="20" t="inlineStr">
        <is>
          <t>카카오 배너</t>
        </is>
      </c>
      <c r="E6400" s="20" t="inlineStr">
        <is>
          <t>고체향수</t>
        </is>
      </c>
      <c r="K6400" s="20" t="n">
        <v>181950</v>
      </c>
    </row>
    <row r="6401">
      <c r="A6401" s="20" t="inlineStr">
        <is>
          <t>고체향수_Npay 추적</t>
        </is>
      </c>
      <c r="B6401" s="16" t="n">
        <v>44294</v>
      </c>
      <c r="C6401" s="20" t="inlineStr">
        <is>
          <t>목</t>
        </is>
      </c>
      <c r="D6401" s="20" t="inlineStr">
        <is>
          <t>카카오 배너</t>
        </is>
      </c>
      <c r="E6401" s="20" t="inlineStr">
        <is>
          <t>고체향수</t>
        </is>
      </c>
      <c r="K6401" s="20" t="n">
        <v>846189.9999999999</v>
      </c>
    </row>
    <row r="6402">
      <c r="B6402" s="16" t="n">
        <v>44294</v>
      </c>
      <c r="C6402" s="20" t="inlineStr">
        <is>
          <t>목</t>
        </is>
      </c>
      <c r="E6402" s="20" t="inlineStr">
        <is>
          <t>고체향수</t>
        </is>
      </c>
      <c r="F6402" s="20" t="inlineStr">
        <is>
          <t>W컨셉</t>
        </is>
      </c>
      <c r="G6402" s="20" t="inlineStr">
        <is>
          <t>솔리드퍼퓸 이그나이트/스테이포에버 30ml (2종 택1)&lt;옵션1&gt;002 STAY FOREVER</t>
        </is>
      </c>
      <c r="H6402" s="20" t="n">
        <v>12</v>
      </c>
      <c r="I6402" s="20" t="inlineStr">
        <is>
          <t>스테이포에버</t>
        </is>
      </c>
      <c r="J6402" s="20" t="inlineStr">
        <is>
          <t>210207</t>
        </is>
      </c>
      <c r="L6402" s="20" t="n">
        <v>408000</v>
      </c>
      <c r="M6402" s="20" t="n">
        <v>285600</v>
      </c>
      <c r="N6402" s="20" t="n">
        <v>31104</v>
      </c>
      <c r="O6402" s="20" t="inlineStr">
        <is>
          <t>W컨셉고체향수솔리드퍼퓸 이그나이트/스테이포에버 30ml (2종 택1)&lt;옵션1&gt;002 STAY FOREVER210207</t>
        </is>
      </c>
    </row>
    <row r="6403">
      <c r="B6403" s="16" t="n">
        <v>44294</v>
      </c>
      <c r="C6403" s="20" t="inlineStr">
        <is>
          <t>목</t>
        </is>
      </c>
      <c r="E6403" s="20" t="inlineStr">
        <is>
          <t>고체향수</t>
        </is>
      </c>
      <c r="F6403" s="20" t="inlineStr">
        <is>
          <t>스마트스토어</t>
        </is>
      </c>
      <c r="G6403" s="20" t="inlineStr">
        <is>
          <t>유즈 고체향수 세트(유즈 스테이포에버, 유즈 이그나이트)고체향수: 스테이포에버 1개</t>
        </is>
      </c>
      <c r="H6403" s="20" t="n">
        <v>1</v>
      </c>
      <c r="I6403" s="20" t="inlineStr">
        <is>
          <t>스테이포에버</t>
        </is>
      </c>
      <c r="J6403" s="20" t="inlineStr">
        <is>
          <t>210207</t>
        </is>
      </c>
      <c r="L6403" s="20" t="n">
        <v>34000</v>
      </c>
      <c r="M6403" s="20" t="n">
        <v>33320</v>
      </c>
      <c r="N6403" s="20" t="n">
        <v>2592</v>
      </c>
      <c r="O6403" s="20" t="inlineStr">
        <is>
          <t>스마트스토어고체향수유즈 고체향수 세트(유즈 스테이포에버, 유즈 이그나이트)고체향수: 스테이포에버 1개210207</t>
        </is>
      </c>
    </row>
    <row r="6404">
      <c r="B6404" s="16" t="n">
        <v>44294</v>
      </c>
      <c r="C6404" s="20" t="inlineStr">
        <is>
          <t>목</t>
        </is>
      </c>
      <c r="E6404" s="20" t="inlineStr">
        <is>
          <t>고체향수</t>
        </is>
      </c>
      <c r="F6404" s="20" t="inlineStr">
        <is>
          <t>스마트스토어</t>
        </is>
      </c>
      <c r="G6404" s="20" t="inlineStr">
        <is>
          <t>유즈 고체향수 세트(유즈 스테이포에버, 유즈 이그나이트)고체향수: 스테이포에버 1개 + 이그나이트 1개</t>
        </is>
      </c>
      <c r="H6404" s="20" t="n">
        <v>1</v>
      </c>
      <c r="I6404" s="20" t="inlineStr">
        <is>
          <t>이그나이트 + 스테이포에버</t>
        </is>
      </c>
      <c r="J6404" s="20" t="inlineStr">
        <is>
          <t>210207</t>
        </is>
      </c>
      <c r="L6404" s="20" t="n">
        <v>58800</v>
      </c>
      <c r="M6404" s="20" t="n">
        <v>55360.2</v>
      </c>
      <c r="N6404" s="20" t="n">
        <v>5345</v>
      </c>
      <c r="O6404" s="20" t="inlineStr">
        <is>
          <t>스마트스토어고체향수유즈 고체향수 세트(유즈 스테이포에버, 유즈 이그나이트)고체향수: 스테이포에버 1개 + 이그나이트 1개210207</t>
        </is>
      </c>
    </row>
    <row r="6405">
      <c r="B6405" s="16" t="n">
        <v>44294</v>
      </c>
      <c r="C6405" s="20" t="inlineStr">
        <is>
          <t>목</t>
        </is>
      </c>
      <c r="E6405" s="20" t="inlineStr">
        <is>
          <t>고체향수</t>
        </is>
      </c>
      <c r="F6405" s="20" t="inlineStr">
        <is>
          <t>스마트스토어</t>
        </is>
      </c>
      <c r="G6405" s="20" t="inlineStr">
        <is>
          <t>유즈 고체향수 스테이포에버 002고체향수: 스테이포에버 1개</t>
        </is>
      </c>
      <c r="H6405" s="20" t="n">
        <v>23</v>
      </c>
      <c r="I6405" s="20" t="inlineStr">
        <is>
          <t>스테이포에버</t>
        </is>
      </c>
      <c r="J6405" s="20" t="inlineStr">
        <is>
          <t>210207</t>
        </is>
      </c>
      <c r="L6405" s="20" t="n">
        <v>782000</v>
      </c>
      <c r="M6405" s="20" t="n">
        <v>766360</v>
      </c>
      <c r="N6405" s="20" t="n">
        <v>59616</v>
      </c>
      <c r="O6405" s="20" t="inlineStr">
        <is>
          <t>스마트스토어고체향수유즈 고체향수 스테이포에버 002고체향수: 스테이포에버 1개210207</t>
        </is>
      </c>
    </row>
    <row r="6406">
      <c r="B6406" s="16" t="n">
        <v>44294</v>
      </c>
      <c r="C6406" s="20" t="inlineStr">
        <is>
          <t>목</t>
        </is>
      </c>
      <c r="E6406" s="20" t="inlineStr">
        <is>
          <t>고체향수</t>
        </is>
      </c>
      <c r="F6406" s="20" t="inlineStr">
        <is>
          <t>스마트스토어</t>
        </is>
      </c>
      <c r="G6406" s="20" t="inlineStr">
        <is>
          <t>유즈 고체향수 이그나이트 001고체향수: 이그나이트 1개</t>
        </is>
      </c>
      <c r="H6406" s="20" t="n">
        <v>1</v>
      </c>
      <c r="I6406" s="20" t="inlineStr">
        <is>
          <t>이그나이트</t>
        </is>
      </c>
      <c r="J6406" s="20" t="inlineStr">
        <is>
          <t>210207</t>
        </is>
      </c>
      <c r="L6406" s="20" t="n">
        <v>34000</v>
      </c>
      <c r="M6406" s="20" t="n">
        <v>33320</v>
      </c>
      <c r="N6406" s="20" t="n">
        <v>2753</v>
      </c>
      <c r="O6406" s="20" t="inlineStr">
        <is>
          <t>스마트스토어고체향수유즈 고체향수 이그나이트 001고체향수: 이그나이트 1개210207</t>
        </is>
      </c>
    </row>
    <row r="6407">
      <c r="B6407" s="16" t="n">
        <v>44294</v>
      </c>
      <c r="C6407" s="20" t="inlineStr">
        <is>
          <t>목</t>
        </is>
      </c>
      <c r="E6407" s="20" t="inlineStr">
        <is>
          <t>고체향수</t>
        </is>
      </c>
      <c r="F6407" s="20" t="inlineStr">
        <is>
          <t>카페24</t>
        </is>
      </c>
      <c r="G6407" s="20" t="inlineStr">
        <is>
          <t>솔리드퍼퓸 세트향=이그나이트 001 SOLID PERFUME, 세트 선택=best 2개 (28% 할인)</t>
        </is>
      </c>
      <c r="H6407" s="20" t="n">
        <v>1</v>
      </c>
      <c r="I6407" s="20" t="inlineStr">
        <is>
          <t>이그나이트 2set</t>
        </is>
      </c>
      <c r="J6407" s="20" t="inlineStr">
        <is>
          <t>210207</t>
        </is>
      </c>
      <c r="L6407" s="20" t="n">
        <v>58800</v>
      </c>
      <c r="M6407" s="20" t="n">
        <v>55360.2</v>
      </c>
      <c r="N6407" s="20" t="n">
        <v>5506</v>
      </c>
      <c r="O6407" s="20" t="inlineStr">
        <is>
          <t>카페24고체향수솔리드퍼퓸 세트향=이그나이트 001 SOLID PERFUME, 세트 선택=best 2개 (28% 할인)210207</t>
        </is>
      </c>
    </row>
    <row r="6408">
      <c r="B6408" s="16" t="n">
        <v>44294</v>
      </c>
      <c r="C6408" s="20" t="inlineStr">
        <is>
          <t>목</t>
        </is>
      </c>
      <c r="E6408" s="20" t="inlineStr">
        <is>
          <t>고체향수</t>
        </is>
      </c>
      <c r="F6408" s="20" t="inlineStr">
        <is>
          <t>카페24</t>
        </is>
      </c>
      <c r="G6408" s="20" t="inlineStr">
        <is>
          <t>솔리드퍼퓸 세트향=스테이포에버 002 SOLID PERFUME, 세트 선택=1개</t>
        </is>
      </c>
      <c r="H6408" s="20" t="n">
        <v>3</v>
      </c>
      <c r="I6408" s="20" t="inlineStr">
        <is>
          <t>스테이포에버</t>
        </is>
      </c>
      <c r="J6408" s="20" t="inlineStr">
        <is>
          <t>210207</t>
        </is>
      </c>
      <c r="L6408" s="20" t="n">
        <v>102000</v>
      </c>
      <c r="M6408" s="20" t="n">
        <v>96033</v>
      </c>
      <c r="N6408" s="20" t="n">
        <v>7776</v>
      </c>
      <c r="O6408" s="20" t="inlineStr">
        <is>
          <t>카페24고체향수솔리드퍼퓸 세트향=스테이포에버 002 SOLID PERFUME, 세트 선택=1개210207</t>
        </is>
      </c>
    </row>
    <row r="6409">
      <c r="B6409" s="16" t="n">
        <v>44294</v>
      </c>
      <c r="C6409" s="20" t="inlineStr">
        <is>
          <t>목</t>
        </is>
      </c>
      <c r="E6409" s="20" t="inlineStr">
        <is>
          <t>고체향수</t>
        </is>
      </c>
      <c r="F6409" s="20" t="inlineStr">
        <is>
          <t>카페24</t>
        </is>
      </c>
      <c r="G6409" s="20" t="inlineStr">
        <is>
          <t>솔리드퍼퓸 세트향=스테이포에버 002 SOLID PERFUME, 세트 선택=best 2개 (28% 할인)</t>
        </is>
      </c>
      <c r="H6409" s="20" t="n">
        <v>8</v>
      </c>
      <c r="I6409" s="20" t="inlineStr">
        <is>
          <t>스테이포에버 2set</t>
        </is>
      </c>
      <c r="J6409" s="20" t="inlineStr">
        <is>
          <t>210207</t>
        </is>
      </c>
      <c r="L6409" s="20" t="n">
        <v>470400</v>
      </c>
      <c r="M6409" s="20" t="n">
        <v>442881.6</v>
      </c>
      <c r="N6409" s="20" t="n">
        <v>41472</v>
      </c>
      <c r="O6409" s="20" t="inlineStr">
        <is>
          <t>카페24고체향수솔리드퍼퓸 세트향=스테이포에버 002 SOLID PERFUME, 세트 선택=best 2개 (28% 할인)210207</t>
        </is>
      </c>
    </row>
    <row r="6410">
      <c r="B6410" s="16" t="n">
        <v>44294</v>
      </c>
      <c r="C6410" s="20" t="inlineStr">
        <is>
          <t>목</t>
        </is>
      </c>
      <c r="E6410" s="20" t="inlineStr">
        <is>
          <t>고체향수</t>
        </is>
      </c>
      <c r="F6410" s="20" t="inlineStr">
        <is>
          <t>카페24</t>
        </is>
      </c>
      <c r="G6410" s="20" t="inlineStr">
        <is>
          <t>솔리드퍼퓸 세트향=커플세트(이그나이트 + 스테이포에버), 세트 선택=1 SET</t>
        </is>
      </c>
      <c r="H6410" s="20" t="n">
        <v>14</v>
      </c>
      <c r="I6410" s="20" t="inlineStr">
        <is>
          <t>이그나이트 + 스테이포에버</t>
        </is>
      </c>
      <c r="J6410" s="20" t="inlineStr">
        <is>
          <t>210207</t>
        </is>
      </c>
      <c r="L6410" s="20" t="n">
        <v>823200</v>
      </c>
      <c r="M6410" s="20" t="n">
        <v>775042.7999999999</v>
      </c>
      <c r="N6410" s="20" t="n">
        <v>74830</v>
      </c>
      <c r="O6410" s="20" t="inlineStr">
        <is>
          <t>카페24고체향수솔리드퍼퓸 세트향=커플세트(이그나이트 + 스테이포에버), 세트 선택=1 SET210207</t>
        </is>
      </c>
    </row>
    <row r="6411">
      <c r="B6411" s="16" t="n">
        <v>44294</v>
      </c>
      <c r="C6411" s="20" t="inlineStr">
        <is>
          <t>목</t>
        </is>
      </c>
      <c r="E6411" s="20" t="inlineStr">
        <is>
          <t>고체향수</t>
        </is>
      </c>
      <c r="F6411" s="20" t="inlineStr">
        <is>
          <t>카페24</t>
        </is>
      </c>
      <c r="G6411" s="20" t="inlineStr">
        <is>
          <t>솔리드퍼퓸 세트향=커플세트(이그나이트 + 스테이포에버), 세트 선택=2 SET (42% 할인)</t>
        </is>
      </c>
      <c r="H6411" s="20" t="n">
        <v>1</v>
      </c>
      <c r="I6411" s="20" t="inlineStr">
        <is>
          <t>이그나이트 + 스테이포에버</t>
        </is>
      </c>
      <c r="J6411" s="20" t="inlineStr">
        <is>
          <t>210207</t>
        </is>
      </c>
      <c r="L6411" s="20" t="n">
        <v>58800</v>
      </c>
      <c r="M6411" s="20" t="n">
        <v>55360.2</v>
      </c>
      <c r="N6411" s="20" t="n">
        <v>5345</v>
      </c>
      <c r="O6411" s="20" t="inlineStr">
        <is>
          <t>카페24고체향수솔리드퍼퓸 세트향=커플세트(이그나이트 + 스테이포에버), 세트 선택=2 SET (42% 할인)210207</t>
        </is>
      </c>
    </row>
    <row r="6412">
      <c r="B6412" s="16" t="n">
        <v>44294</v>
      </c>
      <c r="C6412" s="20" t="inlineStr">
        <is>
          <t>목</t>
        </is>
      </c>
      <c r="E6412" s="20" t="inlineStr">
        <is>
          <t>고체향수</t>
        </is>
      </c>
      <c r="F6412" s="20" t="inlineStr">
        <is>
          <t>카페24</t>
        </is>
      </c>
      <c r="G6412" s="20" t="inlineStr">
        <is>
          <t>솔리드퍼퓸 스테이포에버 002제품선택=스테이포에버 1개</t>
        </is>
      </c>
      <c r="H6412" s="20" t="n">
        <v>184</v>
      </c>
      <c r="I6412" s="20" t="inlineStr">
        <is>
          <t>스테이포에버</t>
        </is>
      </c>
      <c r="J6412" s="20" t="inlineStr">
        <is>
          <t>210207</t>
        </is>
      </c>
      <c r="L6412" s="20" t="n">
        <v>6256000</v>
      </c>
      <c r="M6412" s="20" t="n">
        <v>5890024</v>
      </c>
      <c r="N6412" s="20" t="n">
        <v>476928</v>
      </c>
      <c r="O6412" s="20" t="inlineStr">
        <is>
          <t>카페24고체향수솔리드퍼퓸 스테이포에버 002제품선택=스테이포에버 1개210207</t>
        </is>
      </c>
    </row>
    <row r="6413">
      <c r="B6413" s="16" t="n">
        <v>44294</v>
      </c>
      <c r="C6413" s="20" t="inlineStr">
        <is>
          <t>목</t>
        </is>
      </c>
      <c r="E6413" s="20" t="inlineStr">
        <is>
          <t>고체향수</t>
        </is>
      </c>
      <c r="F6413" s="20" t="inlineStr">
        <is>
          <t>카페24</t>
        </is>
      </c>
      <c r="G6413" s="20" t="inlineStr">
        <is>
          <t>솔리드퍼퓸 스테이포에버 002제품선택=best스테이포에버 2개[28% 할인]</t>
        </is>
      </c>
      <c r="H6413" s="20" t="n">
        <v>122</v>
      </c>
      <c r="I6413" s="20" t="inlineStr">
        <is>
          <t>스테이포에버 2set</t>
        </is>
      </c>
      <c r="J6413" s="20" t="inlineStr">
        <is>
          <t>210207</t>
        </is>
      </c>
      <c r="L6413" s="20" t="n">
        <v>7173600</v>
      </c>
      <c r="M6413" s="20" t="n">
        <v>6753944.399999999</v>
      </c>
      <c r="N6413" s="20" t="n">
        <v>632448</v>
      </c>
      <c r="O6413" s="20" t="inlineStr">
        <is>
          <t>카페24고체향수솔리드퍼퓸 스테이포에버 002제품선택=best스테이포에버 2개[28% 할인]210207</t>
        </is>
      </c>
    </row>
    <row r="6414">
      <c r="B6414" s="16" t="n">
        <v>44294</v>
      </c>
      <c r="C6414" s="20" t="inlineStr">
        <is>
          <t>목</t>
        </is>
      </c>
      <c r="E6414" s="20" t="inlineStr">
        <is>
          <t>고체향수</t>
        </is>
      </c>
      <c r="F6414" s="20" t="inlineStr">
        <is>
          <t>카페24</t>
        </is>
      </c>
      <c r="G6414" s="20" t="inlineStr">
        <is>
          <t>솔리드퍼퓸 스테이포에버 002제품선택=커플추천스테이포에버 + 이그나이트 세트</t>
        </is>
      </c>
      <c r="H6414" s="20" t="n">
        <v>13</v>
      </c>
      <c r="I6414" s="20" t="inlineStr">
        <is>
          <t>이그나이트 + 스테이포에버</t>
        </is>
      </c>
      <c r="J6414" s="20" t="inlineStr">
        <is>
          <t>210207</t>
        </is>
      </c>
      <c r="L6414" s="20" t="n">
        <v>764400</v>
      </c>
      <c r="M6414" s="20" t="n">
        <v>719682.6</v>
      </c>
      <c r="N6414" s="20" t="n">
        <v>69485</v>
      </c>
      <c r="O6414" s="20" t="inlineStr">
        <is>
          <t>카페24고체향수솔리드퍼퓸 스테이포에버 002제품선택=커플추천스테이포에버 + 이그나이트 세트210207</t>
        </is>
      </c>
    </row>
    <row r="6415">
      <c r="B6415" s="16" t="n">
        <v>44294</v>
      </c>
      <c r="C6415" s="20" t="inlineStr">
        <is>
          <t>목</t>
        </is>
      </c>
      <c r="E6415" s="20" t="inlineStr">
        <is>
          <t>쇼핑백</t>
        </is>
      </c>
      <c r="F6415" s="20" t="inlineStr">
        <is>
          <t>카페24</t>
        </is>
      </c>
      <c r="G6415" s="20" t="inlineStr">
        <is>
          <t>솔리드퍼퓸 스테이포에버 002쇼핑백=선물용 쇼핑백</t>
        </is>
      </c>
      <c r="H6415" s="20" t="n">
        <v>9</v>
      </c>
      <c r="I6415" s="20" t="inlineStr">
        <is>
          <t>쇼핑백</t>
        </is>
      </c>
      <c r="J6415" s="20" t="inlineStr">
        <is>
          <t>210207</t>
        </is>
      </c>
      <c r="L6415" s="20" t="n">
        <v>18000</v>
      </c>
      <c r="M6415" s="20" t="n">
        <v>16947</v>
      </c>
      <c r="N6415" s="20" t="n">
        <v>7470</v>
      </c>
      <c r="O6415" s="20" t="inlineStr">
        <is>
          <t>카페24쇼핑백솔리드퍼퓸 스테이포에버 002쇼핑백=선물용 쇼핑백210207</t>
        </is>
      </c>
    </row>
    <row r="6416">
      <c r="B6416" s="16" t="n">
        <v>44294</v>
      </c>
      <c r="C6416" s="20" t="inlineStr">
        <is>
          <t>목</t>
        </is>
      </c>
      <c r="E6416" s="20" t="inlineStr">
        <is>
          <t>고체향수</t>
        </is>
      </c>
      <c r="F6416" s="20" t="inlineStr">
        <is>
          <t>카페24</t>
        </is>
      </c>
      <c r="G6416" s="20" t="inlineStr">
        <is>
          <t>솔리드퍼퓸 이그나이트 001제품선택=이그나이트 2개 세트</t>
        </is>
      </c>
      <c r="H6416" s="20" t="n">
        <v>1</v>
      </c>
      <c r="I6416" s="20" t="inlineStr">
        <is>
          <t>이그나이트 2set</t>
        </is>
      </c>
      <c r="J6416" s="20" t="inlineStr">
        <is>
          <t>210207</t>
        </is>
      </c>
      <c r="L6416" s="20" t="n">
        <v>58800</v>
      </c>
      <c r="M6416" s="20" t="n">
        <v>55360.2</v>
      </c>
      <c r="N6416" s="20" t="n">
        <v>5506</v>
      </c>
      <c r="O6416" s="20" t="inlineStr">
        <is>
          <t>카페24고체향수솔리드퍼퓸 이그나이트 001제품선택=이그나이트 2개 세트210207</t>
        </is>
      </c>
    </row>
    <row r="6417">
      <c r="A6417" s="20" t="inlineStr">
        <is>
          <t>고체향수_전환추적</t>
        </is>
      </c>
      <c r="B6417" s="16" t="n">
        <v>44294</v>
      </c>
      <c r="C6417" s="20" t="inlineStr">
        <is>
          <t>목</t>
        </is>
      </c>
      <c r="D6417" s="20" t="inlineStr">
        <is>
          <t>네이버 배너</t>
        </is>
      </c>
      <c r="E6417" s="20" t="inlineStr">
        <is>
          <t>고체향수</t>
        </is>
      </c>
      <c r="K6417" s="20" t="n">
        <v>0</v>
      </c>
    </row>
    <row r="6418">
      <c r="A6418" s="20" t="inlineStr">
        <is>
          <t>고체향수</t>
        </is>
      </c>
      <c r="B6418" s="16" t="n">
        <v>44294</v>
      </c>
      <c r="C6418" s="20" t="inlineStr">
        <is>
          <t>목</t>
        </is>
      </c>
      <c r="D6418" s="20" t="inlineStr">
        <is>
          <t>네이버 배너</t>
        </is>
      </c>
      <c r="E6418" s="20" t="inlineStr">
        <is>
          <t>고체향수</t>
        </is>
      </c>
      <c r="K6418" s="20" t="n">
        <v>1658197.272727273</v>
      </c>
    </row>
    <row r="6419">
      <c r="B6419" s="16" t="n">
        <v>44294</v>
      </c>
      <c r="C6419" s="20" t="inlineStr">
        <is>
          <t>목</t>
        </is>
      </c>
      <c r="D6419" s="20" t="inlineStr">
        <is>
          <t>네이버 배너(대행사)</t>
        </is>
      </c>
      <c r="E6419" s="20" t="inlineStr">
        <is>
          <t>고체향수</t>
        </is>
      </c>
      <c r="K6419" s="20">
        <f>178551/1.1</f>
        <v/>
      </c>
    </row>
    <row r="6420">
      <c r="A6420" s="20" t="inlineStr">
        <is>
          <t>[승무원] 유튜브재편집_스테이포에버_영상</t>
        </is>
      </c>
      <c r="B6420" s="16" t="n">
        <v>44295</v>
      </c>
      <c r="C6420" s="20" t="inlineStr">
        <is>
          <t>금</t>
        </is>
      </c>
      <c r="D6420" s="20" t="inlineStr">
        <is>
          <t>페이스북/인스타그램</t>
        </is>
      </c>
      <c r="E6420" s="20" t="inlineStr">
        <is>
          <t>고체향수</t>
        </is>
      </c>
      <c r="K6420" s="20" t="n">
        <v>97531</v>
      </c>
    </row>
    <row r="6421">
      <c r="A6421" s="20" t="inlineStr">
        <is>
          <t>[다현 TEST] 스테이포에버_유즈모먼트</t>
        </is>
      </c>
      <c r="B6421" s="16" t="n">
        <v>44295</v>
      </c>
      <c r="C6421" s="20" t="inlineStr">
        <is>
          <t>금</t>
        </is>
      </c>
      <c r="D6421" s="20" t="inlineStr">
        <is>
          <t>페이스북/인스타그램</t>
        </is>
      </c>
      <c r="E6421" s="20" t="inlineStr">
        <is>
          <t>고체향수</t>
        </is>
      </c>
      <c r="K6421" s="20" t="n">
        <v>94193</v>
      </c>
    </row>
    <row r="6422">
      <c r="A6422" s="20" t="inlineStr">
        <is>
          <t>[성민 TEST] 스테이포에버_이미지</t>
        </is>
      </c>
      <c r="B6422" s="16" t="n">
        <v>44295</v>
      </c>
      <c r="C6422" s="20" t="inlineStr">
        <is>
          <t>금</t>
        </is>
      </c>
      <c r="D6422" s="20" t="inlineStr">
        <is>
          <t>페이스북/인스타그램</t>
        </is>
      </c>
      <c r="E6422" s="20" t="inlineStr">
        <is>
          <t>고체향수</t>
        </is>
      </c>
      <c r="K6422" s="20" t="n">
        <v>236861</v>
      </c>
    </row>
    <row r="6423">
      <c r="A6423" s="20" t="inlineStr">
        <is>
          <t>[승은 TEST] 스테이포에버_카드뉴스</t>
        </is>
      </c>
      <c r="B6423" s="16" t="n">
        <v>44295</v>
      </c>
      <c r="C6423" s="20" t="inlineStr">
        <is>
          <t>금</t>
        </is>
      </c>
      <c r="D6423" s="20" t="inlineStr">
        <is>
          <t>페이스북/인스타그램</t>
        </is>
      </c>
      <c r="E6423" s="20" t="inlineStr">
        <is>
          <t>고체향수</t>
        </is>
      </c>
      <c r="K6423" s="20" t="n">
        <v>99515</v>
      </c>
    </row>
    <row r="6424">
      <c r="A6424" s="20" t="inlineStr">
        <is>
          <t>[승무원 2] 스테이포에버_카드뉴스</t>
        </is>
      </c>
      <c r="B6424" s="16" t="n">
        <v>44295</v>
      </c>
      <c r="C6424" s="20" t="inlineStr">
        <is>
          <t>금</t>
        </is>
      </c>
      <c r="D6424" s="20" t="inlineStr">
        <is>
          <t>페이스북/인스타그램</t>
        </is>
      </c>
      <c r="E6424" s="20" t="inlineStr">
        <is>
          <t>고체향수</t>
        </is>
      </c>
      <c r="K6424" s="20" t="n">
        <v>95857</v>
      </c>
    </row>
    <row r="6425">
      <c r="A6425" s="20" t="inlineStr">
        <is>
          <t>[테스트]아줌마</t>
        </is>
      </c>
      <c r="B6425" s="16" t="n">
        <v>44295</v>
      </c>
      <c r="C6425" s="20" t="inlineStr">
        <is>
          <t>금</t>
        </is>
      </c>
      <c r="D6425" s="20" t="inlineStr">
        <is>
          <t>페이스북/인스타그램</t>
        </is>
      </c>
      <c r="E6425" s="20" t="inlineStr">
        <is>
          <t>고체향수</t>
        </is>
      </c>
      <c r="K6425" s="20" t="n">
        <v>111811</v>
      </c>
    </row>
    <row r="6426">
      <c r="A6426" s="20" t="inlineStr">
        <is>
          <t>[다양한 키워드] 스테이포에버_이미지</t>
        </is>
      </c>
      <c r="B6426" s="16" t="n">
        <v>44295</v>
      </c>
      <c r="C6426" s="20" t="inlineStr">
        <is>
          <t>금</t>
        </is>
      </c>
      <c r="D6426" s="20" t="inlineStr">
        <is>
          <t>페이스북/인스타그램</t>
        </is>
      </c>
      <c r="E6426" s="20" t="inlineStr">
        <is>
          <t>고체향수</t>
        </is>
      </c>
      <c r="K6426" s="20" t="n">
        <v>242879</v>
      </c>
    </row>
    <row r="6427">
      <c r="A6427" s="20" t="inlineStr">
        <is>
          <t>[재입고]스테이포에버_이미지</t>
        </is>
      </c>
      <c r="B6427" s="16" t="n">
        <v>44295</v>
      </c>
      <c r="C6427" s="20" t="inlineStr">
        <is>
          <t>금</t>
        </is>
      </c>
      <c r="D6427" s="20" t="inlineStr">
        <is>
          <t>페이스북/인스타그램</t>
        </is>
      </c>
      <c r="E6427" s="20" t="inlineStr">
        <is>
          <t>고체향수</t>
        </is>
      </c>
      <c r="K6427" s="20" t="n">
        <v>232955</v>
      </c>
    </row>
    <row r="6428">
      <c r="A6428" s="20" t="inlineStr">
        <is>
          <t>[승무원]숏폼_영상</t>
        </is>
      </c>
      <c r="B6428" s="16" t="n">
        <v>44295</v>
      </c>
      <c r="C6428" s="20" t="inlineStr">
        <is>
          <t>금</t>
        </is>
      </c>
      <c r="D6428" s="20" t="inlineStr">
        <is>
          <t>페이스북/인스타그램</t>
        </is>
      </c>
      <c r="E6428" s="20" t="inlineStr">
        <is>
          <t>고체향수</t>
        </is>
      </c>
      <c r="K6428" s="20" t="n">
        <v>50002</v>
      </c>
    </row>
    <row r="6429">
      <c r="A6429" s="20" t="inlineStr">
        <is>
          <t>[재입고]스테이포에버_영상</t>
        </is>
      </c>
      <c r="B6429" s="16" t="n">
        <v>44295</v>
      </c>
      <c r="C6429" s="20" t="inlineStr">
        <is>
          <t>금</t>
        </is>
      </c>
      <c r="D6429" s="20" t="inlineStr">
        <is>
          <t>페이스북/인스타그램</t>
        </is>
      </c>
      <c r="E6429" s="20" t="inlineStr">
        <is>
          <t>고체향수</t>
        </is>
      </c>
      <c r="K6429" s="20" t="n">
        <v>185012</v>
      </c>
    </row>
    <row r="6430">
      <c r="A6430" s="20" t="inlineStr">
        <is>
          <t>[승무원]2019년썰 카드뉴스+ 향묘사_영상</t>
        </is>
      </c>
      <c r="B6430" s="16" t="n">
        <v>44295</v>
      </c>
      <c r="C6430" s="20" t="inlineStr">
        <is>
          <t>금</t>
        </is>
      </c>
      <c r="D6430" s="20" t="inlineStr">
        <is>
          <t>페이스북/인스타그램</t>
        </is>
      </c>
      <c r="E6430" s="20" t="inlineStr">
        <is>
          <t>고체향수</t>
        </is>
      </c>
      <c r="K6430" s="20" t="n">
        <v>49974</v>
      </c>
    </row>
    <row r="6431">
      <c r="A6431" s="20" t="inlineStr">
        <is>
          <t>[승무원어피]스테이포에버_이미지</t>
        </is>
      </c>
      <c r="B6431" s="16" t="n">
        <v>44295</v>
      </c>
      <c r="C6431" s="20" t="inlineStr">
        <is>
          <t>금</t>
        </is>
      </c>
      <c r="D6431" s="20" t="inlineStr">
        <is>
          <t>페이스북/인스타그램</t>
        </is>
      </c>
      <c r="E6431" s="20" t="inlineStr">
        <is>
          <t>고체향수</t>
        </is>
      </c>
      <c r="K6431" s="20" t="n">
        <v>98802</v>
      </c>
    </row>
    <row r="6432">
      <c r="A6432" s="20" t="inlineStr">
        <is>
          <t>[다현]스테이포에버_이미지</t>
        </is>
      </c>
      <c r="B6432" s="16" t="n">
        <v>44295</v>
      </c>
      <c r="C6432" s="20" t="inlineStr">
        <is>
          <t>금</t>
        </is>
      </c>
      <c r="D6432" s="20" t="inlineStr">
        <is>
          <t>페이스북/인스타그램</t>
        </is>
      </c>
      <c r="E6432" s="20" t="inlineStr">
        <is>
          <t>고체향수</t>
        </is>
      </c>
      <c r="K6432" s="20" t="n">
        <v>140644</v>
      </c>
    </row>
    <row r="6433">
      <c r="A6433" s="20" t="inlineStr">
        <is>
          <t>[승무원]스테이포에버_카드뉴스</t>
        </is>
      </c>
      <c r="B6433" s="16" t="n">
        <v>44295</v>
      </c>
      <c r="C6433" s="20" t="inlineStr">
        <is>
          <t>금</t>
        </is>
      </c>
      <c r="D6433" s="20" t="inlineStr">
        <is>
          <t>페이스북/인스타그램</t>
        </is>
      </c>
      <c r="E6433" s="20" t="inlineStr">
        <is>
          <t>고체향수</t>
        </is>
      </c>
      <c r="K6433" s="20" t="n">
        <v>67671</v>
      </c>
    </row>
    <row r="6434">
      <c r="A6434" s="20" t="inlineStr">
        <is>
          <t>[후기타입]스테이포에버_영상</t>
        </is>
      </c>
      <c r="B6434" s="16" t="n">
        <v>44295</v>
      </c>
      <c r="C6434" s="20" t="inlineStr">
        <is>
          <t>금</t>
        </is>
      </c>
      <c r="D6434" s="20" t="inlineStr">
        <is>
          <t>페이스북/인스타그램</t>
        </is>
      </c>
      <c r="E6434" s="20" t="inlineStr">
        <is>
          <t>고체향수</t>
        </is>
      </c>
      <c r="K6434" s="20" t="n">
        <v>149309</v>
      </c>
    </row>
    <row r="6435">
      <c r="A6435" s="20" t="inlineStr">
        <is>
          <t>전환_스테이포에버</t>
        </is>
      </c>
      <c r="B6435" s="16" t="n">
        <v>44295</v>
      </c>
      <c r="C6435" s="20" t="inlineStr">
        <is>
          <t>금</t>
        </is>
      </c>
      <c r="D6435" s="20" t="inlineStr">
        <is>
          <t>페이스북/인스타그램</t>
        </is>
      </c>
      <c r="E6435" s="20" t="inlineStr">
        <is>
          <t>고체향수</t>
        </is>
      </c>
      <c r="K6435" s="20" t="n">
        <v>68969</v>
      </c>
    </row>
    <row r="6436">
      <c r="A6436" s="20" t="inlineStr">
        <is>
          <t>[권태기커플]스테이포에버_영상</t>
        </is>
      </c>
      <c r="B6436" s="16" t="n">
        <v>44295</v>
      </c>
      <c r="C6436" s="20" t="inlineStr">
        <is>
          <t>금</t>
        </is>
      </c>
      <c r="D6436" s="20" t="inlineStr">
        <is>
          <t>페이스북/인스타그램</t>
        </is>
      </c>
      <c r="E6436" s="20" t="inlineStr">
        <is>
          <t>고체향수</t>
        </is>
      </c>
      <c r="K6436" s="20" t="n">
        <v>76008</v>
      </c>
    </row>
    <row r="6437">
      <c r="A6437" s="20" t="inlineStr">
        <is>
          <t>[승무원] 유튜브재편집_스테이포에버_영상</t>
        </is>
      </c>
      <c r="B6437" s="16" t="n">
        <v>44296</v>
      </c>
      <c r="C6437" s="20" t="inlineStr">
        <is>
          <t>토</t>
        </is>
      </c>
      <c r="D6437" s="20" t="inlineStr">
        <is>
          <t>페이스북/인스타그램</t>
        </is>
      </c>
      <c r="E6437" s="20" t="inlineStr">
        <is>
          <t>고체향수</t>
        </is>
      </c>
      <c r="K6437" s="20" t="n">
        <v>102360</v>
      </c>
    </row>
    <row r="6438">
      <c r="A6438" s="20" t="inlineStr">
        <is>
          <t>[다현 TEST] 스테이포에버_유즈모먼트</t>
        </is>
      </c>
      <c r="B6438" s="16" t="n">
        <v>44296</v>
      </c>
      <c r="C6438" s="20" t="inlineStr">
        <is>
          <t>토</t>
        </is>
      </c>
      <c r="D6438" s="20" t="inlineStr">
        <is>
          <t>페이스북/인스타그램</t>
        </is>
      </c>
      <c r="E6438" s="20" t="inlineStr">
        <is>
          <t>고체향수</t>
        </is>
      </c>
      <c r="K6438" s="20" t="n">
        <v>96555</v>
      </c>
    </row>
    <row r="6439">
      <c r="A6439" s="20" t="inlineStr">
        <is>
          <t>[성민 TEST] 스테이포에버_이미지</t>
        </is>
      </c>
      <c r="B6439" s="16" t="n">
        <v>44296</v>
      </c>
      <c r="C6439" s="20" t="inlineStr">
        <is>
          <t>토</t>
        </is>
      </c>
      <c r="D6439" s="20" t="inlineStr">
        <is>
          <t>페이스북/인스타그램</t>
        </is>
      </c>
      <c r="E6439" s="20" t="inlineStr">
        <is>
          <t>고체향수</t>
        </is>
      </c>
      <c r="K6439" s="20" t="n">
        <v>241993</v>
      </c>
    </row>
    <row r="6440">
      <c r="A6440" s="20" t="inlineStr">
        <is>
          <t>[승은 TEST] 스테이포에버_카드뉴스</t>
        </is>
      </c>
      <c r="B6440" s="16" t="n">
        <v>44296</v>
      </c>
      <c r="C6440" s="20" t="inlineStr">
        <is>
          <t>토</t>
        </is>
      </c>
      <c r="D6440" s="20" t="inlineStr">
        <is>
          <t>페이스북/인스타그램</t>
        </is>
      </c>
      <c r="E6440" s="20" t="inlineStr">
        <is>
          <t>고체향수</t>
        </is>
      </c>
      <c r="K6440" s="20" t="n">
        <v>83338</v>
      </c>
    </row>
    <row r="6441">
      <c r="A6441" s="20" t="inlineStr">
        <is>
          <t>[승무원 2] 스테이포에버_카드뉴스</t>
        </is>
      </c>
      <c r="B6441" s="16" t="n">
        <v>44296</v>
      </c>
      <c r="C6441" s="20" t="inlineStr">
        <is>
          <t>토</t>
        </is>
      </c>
      <c r="D6441" s="20" t="inlineStr">
        <is>
          <t>페이스북/인스타그램</t>
        </is>
      </c>
      <c r="E6441" s="20" t="inlineStr">
        <is>
          <t>고체향수</t>
        </is>
      </c>
      <c r="K6441" s="20" t="n">
        <v>94782</v>
      </c>
    </row>
    <row r="6442">
      <c r="A6442" s="20" t="inlineStr">
        <is>
          <t>[테스트]아줌마</t>
        </is>
      </c>
      <c r="B6442" s="16" t="n">
        <v>44296</v>
      </c>
      <c r="C6442" s="20" t="inlineStr">
        <is>
          <t>토</t>
        </is>
      </c>
      <c r="D6442" s="20" t="inlineStr">
        <is>
          <t>페이스북/인스타그램</t>
        </is>
      </c>
      <c r="E6442" s="20" t="inlineStr">
        <is>
          <t>고체향수</t>
        </is>
      </c>
      <c r="K6442" s="20" t="n">
        <v>109848</v>
      </c>
    </row>
    <row r="6443">
      <c r="A6443" s="20" t="inlineStr">
        <is>
          <t>[다양한 키워드] 스테이포에버_이미지</t>
        </is>
      </c>
      <c r="B6443" s="16" t="n">
        <v>44296</v>
      </c>
      <c r="C6443" s="20" t="inlineStr">
        <is>
          <t>토</t>
        </is>
      </c>
      <c r="D6443" s="20" t="inlineStr">
        <is>
          <t>페이스북/인스타그램</t>
        </is>
      </c>
      <c r="E6443" s="20" t="inlineStr">
        <is>
          <t>고체향수</t>
        </is>
      </c>
      <c r="K6443" s="20" t="n">
        <v>260411</v>
      </c>
    </row>
    <row r="6444">
      <c r="A6444" s="20" t="inlineStr">
        <is>
          <t>[재입고]스테이포에버_이미지</t>
        </is>
      </c>
      <c r="B6444" s="16" t="n">
        <v>44296</v>
      </c>
      <c r="C6444" s="20" t="inlineStr">
        <is>
          <t>토</t>
        </is>
      </c>
      <c r="D6444" s="20" t="inlineStr">
        <is>
          <t>페이스북/인스타그램</t>
        </is>
      </c>
      <c r="E6444" s="20" t="inlineStr">
        <is>
          <t>고체향수</t>
        </is>
      </c>
      <c r="K6444" s="20" t="n">
        <v>245286</v>
      </c>
    </row>
    <row r="6445">
      <c r="A6445" s="20" t="inlineStr">
        <is>
          <t>[승무원]숏폼_영상</t>
        </is>
      </c>
      <c r="B6445" s="16" t="n">
        <v>44296</v>
      </c>
      <c r="C6445" s="20" t="inlineStr">
        <is>
          <t>토</t>
        </is>
      </c>
      <c r="D6445" s="20" t="inlineStr">
        <is>
          <t>페이스북/인스타그램</t>
        </is>
      </c>
      <c r="E6445" s="20" t="inlineStr">
        <is>
          <t>고체향수</t>
        </is>
      </c>
      <c r="K6445" s="20" t="n">
        <v>51584</v>
      </c>
    </row>
    <row r="6446">
      <c r="A6446" s="20" t="inlineStr">
        <is>
          <t>[재입고]스테이포에버_영상</t>
        </is>
      </c>
      <c r="B6446" s="16" t="n">
        <v>44296</v>
      </c>
      <c r="C6446" s="20" t="inlineStr">
        <is>
          <t>토</t>
        </is>
      </c>
      <c r="D6446" s="20" t="inlineStr">
        <is>
          <t>페이스북/인스타그램</t>
        </is>
      </c>
      <c r="E6446" s="20" t="inlineStr">
        <is>
          <t>고체향수</t>
        </is>
      </c>
      <c r="K6446" s="20" t="n">
        <v>197419</v>
      </c>
    </row>
    <row r="6447">
      <c r="A6447" s="20" t="inlineStr">
        <is>
          <t>[승무원]2019년썰 카드뉴스+ 향묘사_영상</t>
        </is>
      </c>
      <c r="B6447" s="16" t="n">
        <v>44296</v>
      </c>
      <c r="C6447" s="20" t="inlineStr">
        <is>
          <t>토</t>
        </is>
      </c>
      <c r="D6447" s="20" t="inlineStr">
        <is>
          <t>페이스북/인스타그램</t>
        </is>
      </c>
      <c r="E6447" s="20" t="inlineStr">
        <is>
          <t>고체향수</t>
        </is>
      </c>
      <c r="K6447" s="20" t="n">
        <v>52082</v>
      </c>
    </row>
    <row r="6448">
      <c r="A6448" s="20" t="inlineStr">
        <is>
          <t>[승무원어피]스테이포에버_이미지</t>
        </is>
      </c>
      <c r="B6448" s="16" t="n">
        <v>44296</v>
      </c>
      <c r="C6448" s="20" t="inlineStr">
        <is>
          <t>토</t>
        </is>
      </c>
      <c r="D6448" s="20" t="inlineStr">
        <is>
          <t>페이스북/인스타그램</t>
        </is>
      </c>
      <c r="E6448" s="20" t="inlineStr">
        <is>
          <t>고체향수</t>
        </is>
      </c>
      <c r="K6448" s="20" t="n">
        <v>100812</v>
      </c>
    </row>
    <row r="6449">
      <c r="A6449" s="20" t="inlineStr">
        <is>
          <t>[다현]스테이포에버_이미지</t>
        </is>
      </c>
      <c r="B6449" s="16" t="n">
        <v>44296</v>
      </c>
      <c r="C6449" s="20" t="inlineStr">
        <is>
          <t>토</t>
        </is>
      </c>
      <c r="D6449" s="20" t="inlineStr">
        <is>
          <t>페이스북/인스타그램</t>
        </is>
      </c>
      <c r="E6449" s="20" t="inlineStr">
        <is>
          <t>고체향수</t>
        </is>
      </c>
      <c r="K6449" s="20" t="n">
        <v>145413</v>
      </c>
    </row>
    <row r="6450">
      <c r="A6450" s="20" t="inlineStr">
        <is>
          <t>[승무원]스테이포에버_카드뉴스</t>
        </is>
      </c>
      <c r="B6450" s="16" t="n">
        <v>44296</v>
      </c>
      <c r="C6450" s="20" t="inlineStr">
        <is>
          <t>토</t>
        </is>
      </c>
      <c r="D6450" s="20" t="inlineStr">
        <is>
          <t>페이스북/인스타그램</t>
        </is>
      </c>
      <c r="E6450" s="20" t="inlineStr">
        <is>
          <t>고체향수</t>
        </is>
      </c>
      <c r="K6450" s="20" t="n">
        <v>71237</v>
      </c>
    </row>
    <row r="6451">
      <c r="A6451" s="20" t="inlineStr">
        <is>
          <t>[후기타입]스테이포에버_영상</t>
        </is>
      </c>
      <c r="B6451" s="16" t="n">
        <v>44296</v>
      </c>
      <c r="C6451" s="20" t="inlineStr">
        <is>
          <t>토</t>
        </is>
      </c>
      <c r="D6451" s="20" t="inlineStr">
        <is>
          <t>페이스북/인스타그램</t>
        </is>
      </c>
      <c r="E6451" s="20" t="inlineStr">
        <is>
          <t>고체향수</t>
        </is>
      </c>
      <c r="K6451" s="20" t="n">
        <v>154060</v>
      </c>
    </row>
    <row r="6452">
      <c r="A6452" s="20" t="inlineStr">
        <is>
          <t>전환_스테이포에버</t>
        </is>
      </c>
      <c r="B6452" s="16" t="n">
        <v>44296</v>
      </c>
      <c r="C6452" s="20" t="inlineStr">
        <is>
          <t>토</t>
        </is>
      </c>
      <c r="D6452" s="20" t="inlineStr">
        <is>
          <t>페이스북/인스타그램</t>
        </is>
      </c>
      <c r="E6452" s="20" t="inlineStr">
        <is>
          <t>고체향수</t>
        </is>
      </c>
      <c r="K6452" s="20" t="n">
        <v>71091</v>
      </c>
    </row>
    <row r="6453">
      <c r="A6453" s="20" t="inlineStr">
        <is>
          <t>[권태기커플]스테이포에버_영상</t>
        </is>
      </c>
      <c r="B6453" s="16" t="n">
        <v>44296</v>
      </c>
      <c r="C6453" s="20" t="inlineStr">
        <is>
          <t>토</t>
        </is>
      </c>
      <c r="D6453" s="20" t="inlineStr">
        <is>
          <t>페이스북/인스타그램</t>
        </is>
      </c>
      <c r="E6453" s="20" t="inlineStr">
        <is>
          <t>고체향수</t>
        </is>
      </c>
      <c r="K6453" s="20" t="n">
        <v>76185</v>
      </c>
    </row>
    <row r="6454">
      <c r="A6454" s="20" t="inlineStr">
        <is>
          <t>[승무원] 유튜브재편집_스테이포에버_영상</t>
        </is>
      </c>
      <c r="B6454" s="16" t="n">
        <v>44297</v>
      </c>
      <c r="C6454" s="20" t="inlineStr">
        <is>
          <t>일</t>
        </is>
      </c>
      <c r="D6454" s="20" t="inlineStr">
        <is>
          <t>페이스북/인스타그램</t>
        </is>
      </c>
      <c r="E6454" s="20" t="inlineStr">
        <is>
          <t>고체향수</t>
        </is>
      </c>
      <c r="K6454" s="20" t="n">
        <v>150170</v>
      </c>
    </row>
    <row r="6455">
      <c r="A6455" s="20" t="inlineStr">
        <is>
          <t>[다현 TEST] 스테이포에버_유즈모먼트</t>
        </is>
      </c>
      <c r="B6455" s="16" t="n">
        <v>44297</v>
      </c>
      <c r="C6455" s="20" t="inlineStr">
        <is>
          <t>일</t>
        </is>
      </c>
      <c r="D6455" s="20" t="inlineStr">
        <is>
          <t>페이스북/인스타그램</t>
        </is>
      </c>
      <c r="E6455" s="20" t="inlineStr">
        <is>
          <t>고체향수</t>
        </is>
      </c>
      <c r="K6455" s="20" t="n">
        <v>101190</v>
      </c>
    </row>
    <row r="6456">
      <c r="A6456" s="20" t="inlineStr">
        <is>
          <t>[성민 TEST] 스테이포에버_이미지</t>
        </is>
      </c>
      <c r="B6456" s="16" t="n">
        <v>44297</v>
      </c>
      <c r="C6456" s="20" t="inlineStr">
        <is>
          <t>일</t>
        </is>
      </c>
      <c r="D6456" s="20" t="inlineStr">
        <is>
          <t>페이스북/인스타그램</t>
        </is>
      </c>
      <c r="E6456" s="20" t="inlineStr">
        <is>
          <t>고체향수</t>
        </is>
      </c>
      <c r="K6456" s="20" t="n">
        <v>250651</v>
      </c>
    </row>
    <row r="6457">
      <c r="A6457" s="20" t="inlineStr">
        <is>
          <t>[승은 TEST] 스테이포에버_카드뉴스</t>
        </is>
      </c>
      <c r="B6457" s="16" t="n">
        <v>44297</v>
      </c>
      <c r="C6457" s="20" t="inlineStr">
        <is>
          <t>일</t>
        </is>
      </c>
      <c r="D6457" s="20" t="inlineStr">
        <is>
          <t>페이스북/인스타그램</t>
        </is>
      </c>
      <c r="E6457" s="20" t="inlineStr">
        <is>
          <t>고체향수</t>
        </is>
      </c>
      <c r="K6457" s="20" t="n">
        <v>50452</v>
      </c>
    </row>
    <row r="6458">
      <c r="A6458" s="20" t="inlineStr">
        <is>
          <t>[승무원 2] 스테이포에버_카드뉴스</t>
        </is>
      </c>
      <c r="B6458" s="16" t="n">
        <v>44297</v>
      </c>
      <c r="C6458" s="20" t="inlineStr">
        <is>
          <t>일</t>
        </is>
      </c>
      <c r="D6458" s="20" t="inlineStr">
        <is>
          <t>페이스북/인스타그램</t>
        </is>
      </c>
      <c r="E6458" s="20" t="inlineStr">
        <is>
          <t>고체향수</t>
        </is>
      </c>
      <c r="K6458" s="20" t="n">
        <v>100080</v>
      </c>
    </row>
    <row r="6459">
      <c r="A6459" s="20" t="inlineStr">
        <is>
          <t>[테스트]아줌마</t>
        </is>
      </c>
      <c r="B6459" s="16" t="n">
        <v>44297</v>
      </c>
      <c r="C6459" s="20" t="inlineStr">
        <is>
          <t>일</t>
        </is>
      </c>
      <c r="D6459" s="20" t="inlineStr">
        <is>
          <t>페이스북/인스타그램</t>
        </is>
      </c>
      <c r="E6459" s="20" t="inlineStr">
        <is>
          <t>고체향수</t>
        </is>
      </c>
      <c r="K6459" s="20" t="n">
        <v>110458</v>
      </c>
    </row>
    <row r="6460">
      <c r="A6460" s="20" t="inlineStr">
        <is>
          <t>[다양한 키워드] 스테이포에버_이미지</t>
        </is>
      </c>
      <c r="B6460" s="16" t="n">
        <v>44297</v>
      </c>
      <c r="C6460" s="20" t="inlineStr">
        <is>
          <t>일</t>
        </is>
      </c>
      <c r="D6460" s="20" t="inlineStr">
        <is>
          <t>페이스북/인스타그램</t>
        </is>
      </c>
      <c r="E6460" s="20" t="inlineStr">
        <is>
          <t>고체향수</t>
        </is>
      </c>
      <c r="K6460" s="20" t="n">
        <v>260966</v>
      </c>
    </row>
    <row r="6461">
      <c r="A6461" s="20" t="inlineStr">
        <is>
          <t>[재입고]스테이포에버_이미지</t>
        </is>
      </c>
      <c r="B6461" s="16" t="n">
        <v>44297</v>
      </c>
      <c r="C6461" s="20" t="inlineStr">
        <is>
          <t>일</t>
        </is>
      </c>
      <c r="D6461" s="20" t="inlineStr">
        <is>
          <t>페이스북/인스타그램</t>
        </is>
      </c>
      <c r="E6461" s="20" t="inlineStr">
        <is>
          <t>고체향수</t>
        </is>
      </c>
      <c r="K6461" s="20" t="n">
        <v>250613</v>
      </c>
    </row>
    <row r="6462">
      <c r="A6462" s="20" t="inlineStr">
        <is>
          <t>[승무원]숏폼_영상</t>
        </is>
      </c>
      <c r="B6462" s="16" t="n">
        <v>44297</v>
      </c>
      <c r="C6462" s="20" t="inlineStr">
        <is>
          <t>일</t>
        </is>
      </c>
      <c r="D6462" s="20" t="inlineStr">
        <is>
          <t>페이스북/인스타그램</t>
        </is>
      </c>
      <c r="E6462" s="20" t="inlineStr">
        <is>
          <t>고체향수</t>
        </is>
      </c>
      <c r="K6462" s="20" t="n">
        <v>50278</v>
      </c>
    </row>
    <row r="6463">
      <c r="A6463" s="20" t="inlineStr">
        <is>
          <t>[재입고]스테이포에버_영상</t>
        </is>
      </c>
      <c r="B6463" s="16" t="n">
        <v>44297</v>
      </c>
      <c r="C6463" s="20" t="inlineStr">
        <is>
          <t>일</t>
        </is>
      </c>
      <c r="D6463" s="20" t="inlineStr">
        <is>
          <t>페이스북/인스타그램</t>
        </is>
      </c>
      <c r="E6463" s="20" t="inlineStr">
        <is>
          <t>고체향수</t>
        </is>
      </c>
      <c r="K6463" s="20" t="n">
        <v>201512</v>
      </c>
    </row>
    <row r="6464">
      <c r="A6464" s="20" t="inlineStr">
        <is>
          <t>[승무원]2019년썰 카드뉴스+ 향묘사_영상</t>
        </is>
      </c>
      <c r="B6464" s="16" t="n">
        <v>44297</v>
      </c>
      <c r="C6464" s="20" t="inlineStr">
        <is>
          <t>일</t>
        </is>
      </c>
      <c r="D6464" s="20" t="inlineStr">
        <is>
          <t>페이스북/인스타그램</t>
        </is>
      </c>
      <c r="E6464" s="20" t="inlineStr">
        <is>
          <t>고체향수</t>
        </is>
      </c>
      <c r="K6464" s="20" t="n">
        <v>50057</v>
      </c>
    </row>
    <row r="6465">
      <c r="A6465" s="20" t="inlineStr">
        <is>
          <t>[승무원어피]스테이포에버_이미지</t>
        </is>
      </c>
      <c r="B6465" s="16" t="n">
        <v>44297</v>
      </c>
      <c r="C6465" s="20" t="inlineStr">
        <is>
          <t>일</t>
        </is>
      </c>
      <c r="D6465" s="20" t="inlineStr">
        <is>
          <t>페이스북/인스타그램</t>
        </is>
      </c>
      <c r="E6465" s="20" t="inlineStr">
        <is>
          <t>고체향수</t>
        </is>
      </c>
      <c r="K6465" s="20" t="n">
        <v>100588</v>
      </c>
    </row>
    <row r="6466">
      <c r="A6466" s="20" t="inlineStr">
        <is>
          <t>[다현]스테이포에버_이미지</t>
        </is>
      </c>
      <c r="B6466" s="16" t="n">
        <v>44297</v>
      </c>
      <c r="C6466" s="20" t="inlineStr">
        <is>
          <t>일</t>
        </is>
      </c>
      <c r="D6466" s="20" t="inlineStr">
        <is>
          <t>페이스북/인스타그램</t>
        </is>
      </c>
      <c r="E6466" s="20" t="inlineStr">
        <is>
          <t>고체향수</t>
        </is>
      </c>
      <c r="K6466" s="20" t="n">
        <v>150911</v>
      </c>
    </row>
    <row r="6467">
      <c r="A6467" s="20" t="inlineStr">
        <is>
          <t>[승무원]스테이포에버_카드뉴스</t>
        </is>
      </c>
      <c r="B6467" s="16" t="n">
        <v>44297</v>
      </c>
      <c r="C6467" s="20" t="inlineStr">
        <is>
          <t>일</t>
        </is>
      </c>
      <c r="D6467" s="20" t="inlineStr">
        <is>
          <t>페이스북/인스타그램</t>
        </is>
      </c>
      <c r="E6467" s="20" t="inlineStr">
        <is>
          <t>고체향수</t>
        </is>
      </c>
      <c r="K6467" s="20" t="n">
        <v>70518</v>
      </c>
    </row>
    <row r="6468">
      <c r="A6468" s="20" t="inlineStr">
        <is>
          <t>[후기타입]스테이포에버_영상</t>
        </is>
      </c>
      <c r="B6468" s="16" t="n">
        <v>44297</v>
      </c>
      <c r="C6468" s="20" t="inlineStr">
        <is>
          <t>일</t>
        </is>
      </c>
      <c r="D6468" s="20" t="inlineStr">
        <is>
          <t>페이스북/인스타그램</t>
        </is>
      </c>
      <c r="E6468" s="20" t="inlineStr">
        <is>
          <t>고체향수</t>
        </is>
      </c>
      <c r="K6468" s="20" t="n">
        <v>150453</v>
      </c>
    </row>
    <row r="6469">
      <c r="A6469" s="20" t="inlineStr">
        <is>
          <t>전환_스테이포에버</t>
        </is>
      </c>
      <c r="B6469" s="16" t="n">
        <v>44297</v>
      </c>
      <c r="C6469" s="20" t="inlineStr">
        <is>
          <t>일</t>
        </is>
      </c>
      <c r="D6469" s="20" t="inlineStr">
        <is>
          <t>페이스북/인스타그램</t>
        </is>
      </c>
      <c r="E6469" s="20" t="inlineStr">
        <is>
          <t>고체향수</t>
        </is>
      </c>
      <c r="K6469" s="20" t="n">
        <v>70550</v>
      </c>
    </row>
    <row r="6470">
      <c r="A6470" s="20" t="inlineStr">
        <is>
          <t>[권태기커플]스테이포에버_영상</t>
        </is>
      </c>
      <c r="B6470" s="16" t="n">
        <v>44297</v>
      </c>
      <c r="C6470" s="20" t="inlineStr">
        <is>
          <t>일</t>
        </is>
      </c>
      <c r="D6470" s="20" t="inlineStr">
        <is>
          <t>페이스북/인스타그램</t>
        </is>
      </c>
      <c r="E6470" s="20" t="inlineStr">
        <is>
          <t>고체향수</t>
        </is>
      </c>
      <c r="K6470" s="20" t="n">
        <v>75159</v>
      </c>
    </row>
    <row r="6471">
      <c r="A6471" s="20" t="inlineStr">
        <is>
          <t>웹사이트 트래픽 서치</t>
        </is>
      </c>
      <c r="B6471" s="16" t="n">
        <v>44295</v>
      </c>
      <c r="C6471" s="20" t="inlineStr">
        <is>
          <t>금</t>
        </is>
      </c>
      <c r="D6471" s="20" t="inlineStr">
        <is>
          <t>유튜브 광고</t>
        </is>
      </c>
      <c r="E6471" s="20" t="inlineStr">
        <is>
          <t>고체향수</t>
        </is>
      </c>
      <c r="K6471" s="20" t="n">
        <v>37550</v>
      </c>
    </row>
    <row r="6472">
      <c r="A6472" s="20" t="inlineStr">
        <is>
          <t>동영상캠페인_승무원_보이는 라디오(cpa)</t>
        </is>
      </c>
      <c r="B6472" s="16" t="n">
        <v>44295</v>
      </c>
      <c r="C6472" s="20" t="inlineStr">
        <is>
          <t>금</t>
        </is>
      </c>
      <c r="D6472" s="20" t="inlineStr">
        <is>
          <t>유튜브 광고</t>
        </is>
      </c>
      <c r="E6472" s="20" t="inlineStr">
        <is>
          <t>고체향수</t>
        </is>
      </c>
      <c r="K6472" s="20" t="n">
        <v>154947</v>
      </c>
    </row>
    <row r="6473">
      <c r="A6473" s="20" t="inlineStr">
        <is>
          <t>디스커버리 배너_승무원,할인_리마케팅</t>
        </is>
      </c>
      <c r="B6473" s="16" t="n">
        <v>44295</v>
      </c>
      <c r="C6473" s="20" t="inlineStr">
        <is>
          <t>금</t>
        </is>
      </c>
      <c r="D6473" s="20" t="inlineStr">
        <is>
          <t>유튜브 광고</t>
        </is>
      </c>
      <c r="E6473" s="20" t="inlineStr">
        <is>
          <t>고체향수</t>
        </is>
      </c>
      <c r="K6473" s="20" t="n">
        <v>449866</v>
      </c>
    </row>
    <row r="6474">
      <c r="A6474" s="20" t="inlineStr">
        <is>
          <t>동영상캠페인_승무원_써니스카이</t>
        </is>
      </c>
      <c r="B6474" s="16" t="n">
        <v>44295</v>
      </c>
      <c r="C6474" s="20" t="inlineStr">
        <is>
          <t>금</t>
        </is>
      </c>
      <c r="D6474" s="20" t="inlineStr">
        <is>
          <t>유튜브 광고</t>
        </is>
      </c>
      <c r="E6474" s="20" t="inlineStr">
        <is>
          <t>고체향수</t>
        </is>
      </c>
      <c r="K6474" s="20" t="n">
        <v>199784</v>
      </c>
    </row>
    <row r="6475">
      <c r="A6475" s="20" t="inlineStr">
        <is>
          <t>동영상캠페인_필라테스_자기관리(타겟 cpa)</t>
        </is>
      </c>
      <c r="B6475" s="16" t="n">
        <v>44295</v>
      </c>
      <c r="C6475" s="20" t="inlineStr">
        <is>
          <t>금</t>
        </is>
      </c>
      <c r="D6475" s="20" t="inlineStr">
        <is>
          <t>유튜브 광고</t>
        </is>
      </c>
      <c r="E6475" s="20" t="inlineStr">
        <is>
          <t>고체향수</t>
        </is>
      </c>
      <c r="K6475" s="20" t="n">
        <v>45357</v>
      </c>
    </row>
    <row r="6476">
      <c r="A6476" s="20" t="inlineStr">
        <is>
          <t>동영상캠페인_승무원_비누향 나는 승무원에게(cpa)</t>
        </is>
      </c>
      <c r="B6476" s="16" t="n">
        <v>44295</v>
      </c>
      <c r="C6476" s="20" t="inlineStr">
        <is>
          <t>금</t>
        </is>
      </c>
      <c r="D6476" s="20" t="inlineStr">
        <is>
          <t>유튜브 광고</t>
        </is>
      </c>
      <c r="E6476" s="20" t="inlineStr">
        <is>
          <t>고체향수</t>
        </is>
      </c>
      <c r="K6476" s="20" t="n">
        <v>139831</v>
      </c>
    </row>
    <row r="6477">
      <c r="A6477" s="20" t="inlineStr">
        <is>
          <t>동영상캠페인_유즈모먼트_2차_30대 여성 회사원(cpa)</t>
        </is>
      </c>
      <c r="B6477" s="16" t="n">
        <v>44295</v>
      </c>
      <c r="C6477" s="20" t="inlineStr">
        <is>
          <t>금</t>
        </is>
      </c>
      <c r="D6477" s="20" t="inlineStr">
        <is>
          <t>유튜브 광고</t>
        </is>
      </c>
      <c r="E6477" s="20" t="inlineStr">
        <is>
          <t>고체향수</t>
        </is>
      </c>
      <c r="K6477" s="20" t="n">
        <v>15033</v>
      </c>
    </row>
    <row r="6478">
      <c r="A6478" s="20" t="inlineStr">
        <is>
          <t>동영상캠페인_유즈모먼트_조향사 친구(cpa)</t>
        </is>
      </c>
      <c r="B6478" s="16" t="n">
        <v>44295</v>
      </c>
      <c r="C6478" s="20" t="inlineStr">
        <is>
          <t>금</t>
        </is>
      </c>
      <c r="D6478" s="20" t="inlineStr">
        <is>
          <t>유튜브 광고</t>
        </is>
      </c>
      <c r="E6478" s="20" t="inlineStr">
        <is>
          <t>고체향수</t>
        </is>
      </c>
      <c r="K6478" s="20" t="n">
        <v>99982</v>
      </c>
    </row>
    <row r="6479">
      <c r="A6479" s="20" t="inlineStr">
        <is>
          <t>동영상 캠페인_유튜버 수지큐 2차활용</t>
        </is>
      </c>
      <c r="B6479" s="16" t="n">
        <v>44295</v>
      </c>
      <c r="C6479" s="20" t="inlineStr">
        <is>
          <t>금</t>
        </is>
      </c>
      <c r="D6479" s="20" t="inlineStr">
        <is>
          <t>유튜브 광고</t>
        </is>
      </c>
      <c r="E6479" s="20" t="inlineStr">
        <is>
          <t>고체향수</t>
        </is>
      </c>
      <c r="K6479" s="20" t="n">
        <v>200186</v>
      </c>
    </row>
    <row r="6480">
      <c r="A6480" s="20" t="inlineStr">
        <is>
          <t>동영상캠페인_유즈모먼트_4화_강한향대신</t>
        </is>
      </c>
      <c r="B6480" s="16" t="n">
        <v>44295</v>
      </c>
      <c r="C6480" s="20" t="inlineStr">
        <is>
          <t>금</t>
        </is>
      </c>
      <c r="D6480" s="20" t="inlineStr">
        <is>
          <t>유튜브 광고</t>
        </is>
      </c>
      <c r="E6480" s="20" t="inlineStr">
        <is>
          <t>고체향수</t>
        </is>
      </c>
      <c r="K6480" s="20" t="n">
        <v>99410</v>
      </c>
    </row>
    <row r="6481">
      <c r="A6481" s="20" t="inlineStr">
        <is>
          <t>[5화자] 동영상 캠페인_벨라의 비행일기</t>
        </is>
      </c>
      <c r="B6481" s="16" t="n">
        <v>44295</v>
      </c>
      <c r="C6481" s="20" t="inlineStr">
        <is>
          <t>금</t>
        </is>
      </c>
      <c r="D6481" s="20" t="inlineStr">
        <is>
          <t>유튜브 광고</t>
        </is>
      </c>
      <c r="E6481" s="20" t="inlineStr">
        <is>
          <t>고체향수</t>
        </is>
      </c>
      <c r="K6481" s="20" t="n">
        <v>499895</v>
      </c>
    </row>
    <row r="6482">
      <c r="A6482" s="20" t="inlineStr">
        <is>
          <t>[5화자] 동영상 캠페인_비행하고 여행하는 은선씨</t>
        </is>
      </c>
      <c r="B6482" s="16" t="n">
        <v>44295</v>
      </c>
      <c r="C6482" s="20" t="inlineStr">
        <is>
          <t>금</t>
        </is>
      </c>
      <c r="D6482" s="20" t="inlineStr">
        <is>
          <t>유튜브 광고</t>
        </is>
      </c>
      <c r="E6482" s="20" t="inlineStr">
        <is>
          <t>고체향수</t>
        </is>
      </c>
      <c r="K6482" s="20" t="n">
        <v>299983</v>
      </c>
    </row>
    <row r="6483">
      <c r="A6483" s="20" t="inlineStr">
        <is>
          <t>[5화자 재편집] 승무원_벨라_면세점에서 천만원</t>
        </is>
      </c>
      <c r="B6483" s="16" t="n">
        <v>44295</v>
      </c>
      <c r="C6483" s="20" t="inlineStr">
        <is>
          <t>금</t>
        </is>
      </c>
      <c r="D6483" s="20" t="inlineStr">
        <is>
          <t>유튜브 광고</t>
        </is>
      </c>
      <c r="E6483" s="20" t="inlineStr">
        <is>
          <t>고체향수</t>
        </is>
      </c>
      <c r="K6483" s="20" t="n">
        <v>99924</v>
      </c>
    </row>
    <row r="6484">
      <c r="A6484" s="20" t="inlineStr">
        <is>
          <t>[5화자 재편집] 승무원_은선_커리어임팩트</t>
        </is>
      </c>
      <c r="B6484" s="16" t="n">
        <v>44295</v>
      </c>
      <c r="C6484" s="20" t="inlineStr">
        <is>
          <t>금</t>
        </is>
      </c>
      <c r="D6484" s="20">
        <f>VLOOKUP($A6484,매칭테이블!$B$548:$D$1048576,2,0)</f>
        <v/>
      </c>
      <c r="E6484" s="20" t="inlineStr">
        <is>
          <t>고체향수</t>
        </is>
      </c>
      <c r="K6484" s="20" t="n">
        <v>99047</v>
      </c>
    </row>
    <row r="6485">
      <c r="A6485" s="20" t="inlineStr">
        <is>
          <t>웹사이트 트래픽 서치</t>
        </is>
      </c>
      <c r="B6485" s="16" t="n">
        <v>44296</v>
      </c>
      <c r="C6485" s="20" t="inlineStr">
        <is>
          <t>토</t>
        </is>
      </c>
      <c r="D6485" s="20" t="inlineStr">
        <is>
          <t>유튜브 광고</t>
        </is>
      </c>
      <c r="E6485" s="20" t="inlineStr">
        <is>
          <t>고체향수</t>
        </is>
      </c>
      <c r="K6485" s="20" t="n">
        <v>42390</v>
      </c>
    </row>
    <row r="6486">
      <c r="A6486" s="20" t="inlineStr">
        <is>
          <t>동영상캠페인_승무원_보이는 라디오(cpa)</t>
        </is>
      </c>
      <c r="B6486" s="16" t="n">
        <v>44296</v>
      </c>
      <c r="C6486" s="20" t="inlineStr">
        <is>
          <t>토</t>
        </is>
      </c>
      <c r="D6486" s="20" t="inlineStr">
        <is>
          <t>유튜브 광고</t>
        </is>
      </c>
      <c r="E6486" s="20" t="inlineStr">
        <is>
          <t>고체향수</t>
        </is>
      </c>
      <c r="K6486" s="20" t="n">
        <v>120027</v>
      </c>
    </row>
    <row r="6487">
      <c r="A6487" s="20" t="inlineStr">
        <is>
          <t>디스커버리 배너_승무원,할인_리마케팅</t>
        </is>
      </c>
      <c r="B6487" s="16" t="n">
        <v>44296</v>
      </c>
      <c r="C6487" s="20" t="inlineStr">
        <is>
          <t>토</t>
        </is>
      </c>
      <c r="D6487" s="20" t="inlineStr">
        <is>
          <t>유튜브 광고</t>
        </is>
      </c>
      <c r="E6487" s="20" t="inlineStr">
        <is>
          <t>고체향수</t>
        </is>
      </c>
      <c r="K6487" s="20" t="n">
        <v>440790</v>
      </c>
    </row>
    <row r="6488">
      <c r="A6488" s="20" t="inlineStr">
        <is>
          <t>동영상캠페인_승무원_써니스카이</t>
        </is>
      </c>
      <c r="B6488" s="16" t="n">
        <v>44296</v>
      </c>
      <c r="C6488" s="20" t="inlineStr">
        <is>
          <t>토</t>
        </is>
      </c>
      <c r="D6488" s="20" t="inlineStr">
        <is>
          <t>유튜브 광고</t>
        </is>
      </c>
      <c r="E6488" s="20" t="inlineStr">
        <is>
          <t>고체향수</t>
        </is>
      </c>
      <c r="K6488" s="20" t="n">
        <v>201363</v>
      </c>
    </row>
    <row r="6489">
      <c r="A6489" s="20" t="inlineStr">
        <is>
          <t>동영상캠페인_필라테스_자기관리(타겟 cpa)</t>
        </is>
      </c>
      <c r="B6489" s="16" t="n">
        <v>44296</v>
      </c>
      <c r="C6489" s="20" t="inlineStr">
        <is>
          <t>토</t>
        </is>
      </c>
      <c r="D6489" s="20" t="inlineStr">
        <is>
          <t>유튜브 광고</t>
        </is>
      </c>
      <c r="E6489" s="20" t="inlineStr">
        <is>
          <t>고체향수</t>
        </is>
      </c>
      <c r="K6489" s="20" t="n">
        <v>71074</v>
      </c>
    </row>
    <row r="6490">
      <c r="A6490" s="20" t="inlineStr">
        <is>
          <t>동영상캠페인_승무원_비누향 나는 승무원에게(cpa)</t>
        </is>
      </c>
      <c r="B6490" s="16" t="n">
        <v>44296</v>
      </c>
      <c r="C6490" s="20" t="inlineStr">
        <is>
          <t>토</t>
        </is>
      </c>
      <c r="D6490" s="20" t="inlineStr">
        <is>
          <t>유튜브 광고</t>
        </is>
      </c>
      <c r="E6490" s="20" t="inlineStr">
        <is>
          <t>고체향수</t>
        </is>
      </c>
      <c r="K6490" s="20" t="n">
        <v>139391</v>
      </c>
    </row>
    <row r="6491">
      <c r="A6491" s="20" t="inlineStr">
        <is>
          <t>동영상캠페인_유즈모먼트_조향사 친구(cpa)</t>
        </is>
      </c>
      <c r="B6491" s="16" t="n">
        <v>44296</v>
      </c>
      <c r="C6491" s="20" t="inlineStr">
        <is>
          <t>토</t>
        </is>
      </c>
      <c r="D6491" s="20" t="inlineStr">
        <is>
          <t>유튜브 광고</t>
        </is>
      </c>
      <c r="E6491" s="20" t="inlineStr">
        <is>
          <t>고체향수</t>
        </is>
      </c>
      <c r="K6491" s="20" t="n">
        <v>199768</v>
      </c>
    </row>
    <row r="6492">
      <c r="A6492" s="20" t="inlineStr">
        <is>
          <t>동영상 캠페인_유튜버 수지큐 2차활용</t>
        </is>
      </c>
      <c r="B6492" s="16" t="n">
        <v>44296</v>
      </c>
      <c r="C6492" s="20" t="inlineStr">
        <is>
          <t>토</t>
        </is>
      </c>
      <c r="D6492" s="20" t="inlineStr">
        <is>
          <t>유튜브 광고</t>
        </is>
      </c>
      <c r="E6492" s="20" t="inlineStr">
        <is>
          <t>고체향수</t>
        </is>
      </c>
      <c r="K6492" s="20" t="n">
        <v>146323</v>
      </c>
    </row>
    <row r="6493">
      <c r="A6493" s="20" t="inlineStr">
        <is>
          <t>동영상캠페인_유즈모먼트_4화_강한향대신</t>
        </is>
      </c>
      <c r="B6493" s="16" t="n">
        <v>44296</v>
      </c>
      <c r="C6493" s="20" t="inlineStr">
        <is>
          <t>토</t>
        </is>
      </c>
      <c r="D6493" s="20" t="inlineStr">
        <is>
          <t>유튜브 광고</t>
        </is>
      </c>
      <c r="E6493" s="20" t="inlineStr">
        <is>
          <t>고체향수</t>
        </is>
      </c>
      <c r="K6493" s="20" t="n">
        <v>99644</v>
      </c>
    </row>
    <row r="6494">
      <c r="A6494" s="20" t="inlineStr">
        <is>
          <t>[5화자] 동영상 캠페인_벨라의 비행일기</t>
        </is>
      </c>
      <c r="B6494" s="16" t="n">
        <v>44296</v>
      </c>
      <c r="C6494" s="20" t="inlineStr">
        <is>
          <t>토</t>
        </is>
      </c>
      <c r="D6494" s="20" t="inlineStr">
        <is>
          <t>유튜브 광고</t>
        </is>
      </c>
      <c r="E6494" s="20" t="inlineStr">
        <is>
          <t>고체향수</t>
        </is>
      </c>
      <c r="K6494" s="20" t="n">
        <v>501222</v>
      </c>
    </row>
    <row r="6495">
      <c r="A6495" s="20" t="inlineStr">
        <is>
          <t>[5화자] 동영상 캠페인_비행하고 여행하는 은선씨</t>
        </is>
      </c>
      <c r="B6495" s="16" t="n">
        <v>44296</v>
      </c>
      <c r="C6495" s="20" t="inlineStr">
        <is>
          <t>토</t>
        </is>
      </c>
      <c r="D6495" s="20" t="inlineStr">
        <is>
          <t>유튜브 광고</t>
        </is>
      </c>
      <c r="E6495" s="20" t="inlineStr">
        <is>
          <t>고체향수</t>
        </is>
      </c>
      <c r="K6495" s="20" t="n">
        <v>300198</v>
      </c>
    </row>
    <row r="6496">
      <c r="A6496" s="20" t="inlineStr">
        <is>
          <t>[5화자 재편집] 승무원_벨라_면세점에서 천만원</t>
        </is>
      </c>
      <c r="B6496" s="16" t="n">
        <v>44296</v>
      </c>
      <c r="C6496" s="20" t="inlineStr">
        <is>
          <t>토</t>
        </is>
      </c>
      <c r="D6496" s="20" t="inlineStr">
        <is>
          <t>유튜브 광고</t>
        </is>
      </c>
      <c r="E6496" s="20" t="inlineStr">
        <is>
          <t>고체향수</t>
        </is>
      </c>
      <c r="K6496" s="20" t="n">
        <v>99981</v>
      </c>
    </row>
    <row r="6497">
      <c r="A6497" s="20" t="inlineStr">
        <is>
          <t>웹사이트 트래픽 서치</t>
        </is>
      </c>
      <c r="B6497" s="16" t="n">
        <v>44297</v>
      </c>
      <c r="C6497" s="20" t="inlineStr">
        <is>
          <t>일</t>
        </is>
      </c>
      <c r="D6497" s="20" t="inlineStr">
        <is>
          <t>유튜브 광고</t>
        </is>
      </c>
      <c r="E6497" s="20" t="inlineStr">
        <is>
          <t>고체향수</t>
        </is>
      </c>
      <c r="K6497" s="20" t="n">
        <v>58357</v>
      </c>
    </row>
    <row r="6498">
      <c r="A6498" s="20" t="inlineStr">
        <is>
          <t>동영상캠페인_승무원_보이는 라디오(cpa)</t>
        </is>
      </c>
      <c r="B6498" s="16" t="n">
        <v>44297</v>
      </c>
      <c r="C6498" s="20" t="inlineStr">
        <is>
          <t>일</t>
        </is>
      </c>
      <c r="D6498" s="20" t="inlineStr">
        <is>
          <t>유튜브 광고</t>
        </is>
      </c>
      <c r="E6498" s="20" t="inlineStr">
        <is>
          <t>고체향수</t>
        </is>
      </c>
      <c r="K6498" s="20" t="n">
        <v>87885</v>
      </c>
    </row>
    <row r="6499">
      <c r="A6499" s="20" t="inlineStr">
        <is>
          <t>디스커버리 배너_승무원,할인_리마케팅</t>
        </is>
      </c>
      <c r="B6499" s="16" t="n">
        <v>44297</v>
      </c>
      <c r="C6499" s="20" t="inlineStr">
        <is>
          <t>일</t>
        </is>
      </c>
      <c r="D6499" s="20" t="inlineStr">
        <is>
          <t>유튜브 광고</t>
        </is>
      </c>
      <c r="E6499" s="20" t="inlineStr">
        <is>
          <t>고체향수</t>
        </is>
      </c>
      <c r="K6499" s="20" t="n">
        <v>450979</v>
      </c>
    </row>
    <row r="6500">
      <c r="A6500" s="20" t="inlineStr">
        <is>
          <t>동영상캠페인_승무원_써니스카이</t>
        </is>
      </c>
      <c r="B6500" s="16" t="n">
        <v>44297</v>
      </c>
      <c r="C6500" s="20" t="inlineStr">
        <is>
          <t>일</t>
        </is>
      </c>
      <c r="D6500" s="20" t="inlineStr">
        <is>
          <t>유튜브 광고</t>
        </is>
      </c>
      <c r="E6500" s="20" t="inlineStr">
        <is>
          <t>고체향수</t>
        </is>
      </c>
      <c r="K6500" s="20" t="n">
        <v>200368</v>
      </c>
    </row>
    <row r="6501">
      <c r="A6501" s="20" t="inlineStr">
        <is>
          <t>동영상캠페인_필라테스_자기관리(타겟 cpa)</t>
        </is>
      </c>
      <c r="B6501" s="16" t="n">
        <v>44297</v>
      </c>
      <c r="C6501" s="20" t="inlineStr">
        <is>
          <t>일</t>
        </is>
      </c>
      <c r="D6501" s="20" t="inlineStr">
        <is>
          <t>유튜브 광고</t>
        </is>
      </c>
      <c r="E6501" s="20" t="inlineStr">
        <is>
          <t>고체향수</t>
        </is>
      </c>
      <c r="K6501" s="20" t="n">
        <v>59997</v>
      </c>
    </row>
    <row r="6502">
      <c r="A6502" s="20" t="inlineStr">
        <is>
          <t>동영상캠페인_승무원_비누향 나는 승무원에게(cpa)</t>
        </is>
      </c>
      <c r="B6502" s="16" t="n">
        <v>44297</v>
      </c>
      <c r="C6502" s="20" t="inlineStr">
        <is>
          <t>일</t>
        </is>
      </c>
      <c r="D6502" s="20" t="inlineStr">
        <is>
          <t>유튜브 광고</t>
        </is>
      </c>
      <c r="E6502" s="20" t="inlineStr">
        <is>
          <t>고체향수</t>
        </is>
      </c>
      <c r="K6502" s="20" t="n">
        <v>36787</v>
      </c>
    </row>
    <row r="6503">
      <c r="A6503" s="20" t="inlineStr">
        <is>
          <t>동영상캠페인_유즈모먼트_조향사 친구(cpa)</t>
        </is>
      </c>
      <c r="B6503" s="16" t="n">
        <v>44297</v>
      </c>
      <c r="C6503" s="20" t="inlineStr">
        <is>
          <t>일</t>
        </is>
      </c>
      <c r="D6503" s="20" t="inlineStr">
        <is>
          <t>유튜브 광고</t>
        </is>
      </c>
      <c r="E6503" s="20" t="inlineStr">
        <is>
          <t>고체향수</t>
        </is>
      </c>
      <c r="K6503" s="20" t="n">
        <v>200074</v>
      </c>
    </row>
    <row r="6504">
      <c r="A6504" s="20" t="inlineStr">
        <is>
          <t>동영상 캠페인_유튜버 수지큐 2차활용</t>
        </is>
      </c>
      <c r="B6504" s="16" t="n">
        <v>44297</v>
      </c>
      <c r="C6504" s="20" t="inlineStr">
        <is>
          <t>일</t>
        </is>
      </c>
      <c r="D6504" s="20" t="inlineStr">
        <is>
          <t>유튜브 광고</t>
        </is>
      </c>
      <c r="E6504" s="20" t="inlineStr">
        <is>
          <t>고체향수</t>
        </is>
      </c>
      <c r="K6504" s="20" t="n">
        <v>100140</v>
      </c>
    </row>
    <row r="6505">
      <c r="A6505" s="20" t="inlineStr">
        <is>
          <t>동영상캠페인_유즈모먼트_4화_강한향대신</t>
        </is>
      </c>
      <c r="B6505" s="16" t="n">
        <v>44297</v>
      </c>
      <c r="C6505" s="20" t="inlineStr">
        <is>
          <t>일</t>
        </is>
      </c>
      <c r="D6505" s="20" t="inlineStr">
        <is>
          <t>유튜브 광고</t>
        </is>
      </c>
      <c r="E6505" s="20" t="inlineStr">
        <is>
          <t>고체향수</t>
        </is>
      </c>
      <c r="K6505" s="20" t="n">
        <v>99756</v>
      </c>
    </row>
    <row r="6506">
      <c r="A6506" s="20" t="inlineStr">
        <is>
          <t>[5화자] 동영상 캠페인_벨라의 비행일기</t>
        </is>
      </c>
      <c r="B6506" s="16" t="n">
        <v>44297</v>
      </c>
      <c r="C6506" s="20" t="inlineStr">
        <is>
          <t>일</t>
        </is>
      </c>
      <c r="D6506" s="20" t="inlineStr">
        <is>
          <t>유튜브 광고</t>
        </is>
      </c>
      <c r="E6506" s="20" t="inlineStr">
        <is>
          <t>고체향수</t>
        </is>
      </c>
      <c r="K6506" s="20" t="n">
        <v>500845</v>
      </c>
    </row>
    <row r="6507">
      <c r="A6507" s="20" t="inlineStr">
        <is>
          <t>[5화자] 동영상 캠페인_비행하고 여행하는 은선씨</t>
        </is>
      </c>
      <c r="B6507" s="16" t="n">
        <v>44297</v>
      </c>
      <c r="C6507" s="20" t="inlineStr">
        <is>
          <t>일</t>
        </is>
      </c>
      <c r="D6507" s="20" t="inlineStr">
        <is>
          <t>유튜브 광고</t>
        </is>
      </c>
      <c r="E6507" s="20" t="inlineStr">
        <is>
          <t>고체향수</t>
        </is>
      </c>
      <c r="K6507" s="20" t="n">
        <v>300234</v>
      </c>
    </row>
    <row r="6508">
      <c r="A6508" s="20" t="inlineStr">
        <is>
          <t>[5화자 재편집] 승무원_벨라_면세점에서 천만원</t>
        </is>
      </c>
      <c r="B6508" s="16" t="n">
        <v>44297</v>
      </c>
      <c r="C6508" s="20" t="inlineStr">
        <is>
          <t>일</t>
        </is>
      </c>
      <c r="D6508" s="20" t="inlineStr">
        <is>
          <t>유튜브 광고</t>
        </is>
      </c>
      <c r="E6508" s="20" t="inlineStr">
        <is>
          <t>고체향수</t>
        </is>
      </c>
      <c r="K6508" s="20" t="n">
        <v>99939</v>
      </c>
    </row>
    <row r="6509">
      <c r="A6509" s="20" t="inlineStr">
        <is>
          <t>메인키워드</t>
        </is>
      </c>
      <c r="B6509" s="16" t="n">
        <v>44297</v>
      </c>
      <c r="C6509" s="20" t="inlineStr">
        <is>
          <t>일</t>
        </is>
      </c>
      <c r="D6509" s="20" t="inlineStr">
        <is>
          <t>네이버 쇼핑검색</t>
        </is>
      </c>
      <c r="E6509" s="20" t="inlineStr">
        <is>
          <t>고체향수</t>
        </is>
      </c>
      <c r="K6509" s="20" t="n">
        <v>27200</v>
      </c>
    </row>
    <row r="6510">
      <c r="A6510" s="20" t="inlineStr">
        <is>
          <t>세부키워드1</t>
        </is>
      </c>
      <c r="B6510" s="16" t="n">
        <v>44297</v>
      </c>
      <c r="C6510" s="20" t="inlineStr">
        <is>
          <t>일</t>
        </is>
      </c>
      <c r="D6510" s="20" t="inlineStr">
        <is>
          <t>네이버 쇼핑검색</t>
        </is>
      </c>
      <c r="E6510" s="20" t="inlineStr">
        <is>
          <t>고체향수</t>
        </is>
      </c>
      <c r="K6510" s="20" t="n">
        <v>0</v>
      </c>
    </row>
    <row r="6511">
      <c r="A6511" s="20" t="inlineStr">
        <is>
          <t>세부키워드3</t>
        </is>
      </c>
      <c r="B6511" s="16" t="n">
        <v>44297</v>
      </c>
      <c r="C6511" s="20" t="inlineStr">
        <is>
          <t>일</t>
        </is>
      </c>
      <c r="D6511" s="20" t="inlineStr">
        <is>
          <t>네이버 쇼핑검색</t>
        </is>
      </c>
      <c r="E6511" s="20" t="inlineStr">
        <is>
          <t>고체향수</t>
        </is>
      </c>
      <c r="K6511" s="20" t="n">
        <v>108880</v>
      </c>
    </row>
    <row r="6512">
      <c r="A6512" s="20" t="inlineStr">
        <is>
          <t>모바일 브검</t>
        </is>
      </c>
      <c r="B6512" s="16" t="n">
        <v>44297</v>
      </c>
      <c r="C6512" s="20" t="inlineStr">
        <is>
          <t>일</t>
        </is>
      </c>
      <c r="D6512" s="20" t="inlineStr">
        <is>
          <t>네이버 브랜드검색</t>
        </is>
      </c>
      <c r="E6512" s="20" t="inlineStr">
        <is>
          <t>브랜드</t>
        </is>
      </c>
      <c r="K6512" s="20" t="n">
        <v>140000</v>
      </c>
    </row>
    <row r="6513">
      <c r="A6513" s="20" t="inlineStr">
        <is>
          <t>PC 브랜드검색</t>
        </is>
      </c>
      <c r="B6513" s="16" t="n">
        <v>44297</v>
      </c>
      <c r="C6513" s="20" t="inlineStr">
        <is>
          <t>일</t>
        </is>
      </c>
      <c r="D6513" s="20" t="inlineStr">
        <is>
          <t>네이버 브랜드검색</t>
        </is>
      </c>
      <c r="E6513" s="20" t="inlineStr">
        <is>
          <t>브랜드</t>
        </is>
      </c>
      <c r="K6513" s="20" t="n">
        <v>16700</v>
      </c>
    </row>
    <row r="6514">
      <c r="A6514" s="20" t="inlineStr">
        <is>
          <t>메인키워드</t>
        </is>
      </c>
      <c r="B6514" s="16" t="n">
        <v>44296</v>
      </c>
      <c r="C6514" s="20" t="inlineStr">
        <is>
          <t>토</t>
        </is>
      </c>
      <c r="D6514" s="20" t="inlineStr">
        <is>
          <t>네이버 쇼핑검색</t>
        </is>
      </c>
      <c r="E6514" s="20" t="inlineStr">
        <is>
          <t>고체향수</t>
        </is>
      </c>
      <c r="K6514" s="20" t="n">
        <v>11540</v>
      </c>
    </row>
    <row r="6515">
      <c r="A6515" s="20" t="inlineStr">
        <is>
          <t>세부키워드1</t>
        </is>
      </c>
      <c r="B6515" s="16" t="n">
        <v>44296</v>
      </c>
      <c r="C6515" s="20" t="inlineStr">
        <is>
          <t>토</t>
        </is>
      </c>
      <c r="D6515" s="20" t="inlineStr">
        <is>
          <t>네이버 쇼핑검색</t>
        </is>
      </c>
      <c r="E6515" s="20" t="inlineStr">
        <is>
          <t>고체향수</t>
        </is>
      </c>
      <c r="K6515" s="20" t="n">
        <v>0</v>
      </c>
    </row>
    <row r="6516">
      <c r="A6516" s="20" t="inlineStr">
        <is>
          <t>세부키워드3</t>
        </is>
      </c>
      <c r="B6516" s="16" t="n">
        <v>44296</v>
      </c>
      <c r="C6516" s="20" t="inlineStr">
        <is>
          <t>토</t>
        </is>
      </c>
      <c r="D6516" s="20" t="inlineStr">
        <is>
          <t>네이버 쇼핑검색</t>
        </is>
      </c>
      <c r="E6516" s="20" t="inlineStr">
        <is>
          <t>고체향수</t>
        </is>
      </c>
      <c r="K6516" s="20" t="n">
        <v>125430</v>
      </c>
    </row>
    <row r="6517">
      <c r="A6517" s="20" t="inlineStr">
        <is>
          <t>모바일 브검</t>
        </is>
      </c>
      <c r="B6517" s="16" t="n">
        <v>44296</v>
      </c>
      <c r="C6517" s="20" t="inlineStr">
        <is>
          <t>토</t>
        </is>
      </c>
      <c r="D6517" s="20" t="inlineStr">
        <is>
          <t>네이버 브랜드검색</t>
        </is>
      </c>
      <c r="E6517" s="20" t="inlineStr">
        <is>
          <t>브랜드</t>
        </is>
      </c>
      <c r="K6517" s="20" t="n">
        <v>140000</v>
      </c>
    </row>
    <row r="6518">
      <c r="A6518" s="20" t="inlineStr">
        <is>
          <t>PC 브랜드검색</t>
        </is>
      </c>
      <c r="B6518" s="16" t="n">
        <v>44296</v>
      </c>
      <c r="C6518" s="20" t="inlineStr">
        <is>
          <t>토</t>
        </is>
      </c>
      <c r="D6518" s="20" t="inlineStr">
        <is>
          <t>네이버 브랜드검색</t>
        </is>
      </c>
      <c r="E6518" s="20" t="inlineStr">
        <is>
          <t>브랜드</t>
        </is>
      </c>
      <c r="K6518" s="20" t="n">
        <v>16700</v>
      </c>
    </row>
    <row r="6519">
      <c r="A6519" s="20" t="inlineStr">
        <is>
          <t>메인키워드</t>
        </is>
      </c>
      <c r="B6519" s="16" t="n">
        <v>44295</v>
      </c>
      <c r="C6519" s="20" t="inlineStr">
        <is>
          <t>금</t>
        </is>
      </c>
      <c r="D6519" s="20" t="inlineStr">
        <is>
          <t>네이버 쇼핑검색</t>
        </is>
      </c>
      <c r="E6519" s="20" t="inlineStr">
        <is>
          <t>고체향수</t>
        </is>
      </c>
      <c r="K6519" s="20" t="n">
        <v>13560</v>
      </c>
    </row>
    <row r="6520">
      <c r="A6520" s="20" t="inlineStr">
        <is>
          <t>세부키워드1</t>
        </is>
      </c>
      <c r="B6520" s="16" t="n">
        <v>44295</v>
      </c>
      <c r="C6520" s="20" t="inlineStr">
        <is>
          <t>금</t>
        </is>
      </c>
      <c r="D6520" s="20" t="inlineStr">
        <is>
          <t>네이버 쇼핑검색</t>
        </is>
      </c>
      <c r="E6520" s="20" t="inlineStr">
        <is>
          <t>고체향수</t>
        </is>
      </c>
      <c r="K6520" s="20" t="n">
        <v>0</v>
      </c>
    </row>
    <row r="6521">
      <c r="A6521" s="20" t="inlineStr">
        <is>
          <t>세부키워드3</t>
        </is>
      </c>
      <c r="B6521" s="16" t="n">
        <v>44295</v>
      </c>
      <c r="C6521" s="20" t="inlineStr">
        <is>
          <t>금</t>
        </is>
      </c>
      <c r="D6521" s="20" t="inlineStr">
        <is>
          <t>네이버 쇼핑검색</t>
        </is>
      </c>
      <c r="E6521" s="20" t="inlineStr">
        <is>
          <t>고체향수</t>
        </is>
      </c>
      <c r="K6521" s="20" t="n">
        <v>87500</v>
      </c>
    </row>
    <row r="6522">
      <c r="A6522" s="20" t="inlineStr">
        <is>
          <t>모바일 브검</t>
        </is>
      </c>
      <c r="B6522" s="16" t="n">
        <v>44295</v>
      </c>
      <c r="C6522" s="20" t="inlineStr">
        <is>
          <t>금</t>
        </is>
      </c>
      <c r="D6522" s="20" t="inlineStr">
        <is>
          <t>네이버 브랜드검색</t>
        </is>
      </c>
      <c r="E6522" s="20" t="inlineStr">
        <is>
          <t>브랜드</t>
        </is>
      </c>
      <c r="K6522" s="20" t="n">
        <v>140000</v>
      </c>
    </row>
    <row r="6523">
      <c r="A6523" s="20" t="inlineStr">
        <is>
          <t>PC 브랜드검색</t>
        </is>
      </c>
      <c r="B6523" s="16" t="n">
        <v>44295</v>
      </c>
      <c r="C6523" s="20" t="inlineStr">
        <is>
          <t>금</t>
        </is>
      </c>
      <c r="D6523" s="20" t="inlineStr">
        <is>
          <t>네이버 브랜드검색</t>
        </is>
      </c>
      <c r="E6523" s="20" t="inlineStr">
        <is>
          <t>브랜드</t>
        </is>
      </c>
      <c r="K6523" s="20" t="n">
        <v>16700</v>
      </c>
    </row>
    <row r="6524">
      <c r="A6524" s="20" t="inlineStr">
        <is>
          <t>고체향수_승무원 어피_Npay 추적</t>
        </is>
      </c>
      <c r="B6524" s="16" t="n">
        <v>44295</v>
      </c>
      <c r="C6524" s="20" t="inlineStr">
        <is>
          <t>금</t>
        </is>
      </c>
      <c r="D6524" s="20" t="inlineStr">
        <is>
          <t>카카오 배너</t>
        </is>
      </c>
      <c r="E6524" s="20" t="inlineStr">
        <is>
          <t>고체향수</t>
        </is>
      </c>
      <c r="K6524" s="20" t="n">
        <v>181750</v>
      </c>
    </row>
    <row r="6525">
      <c r="A6525" s="20" t="inlineStr">
        <is>
          <t>고체향수_Npay 추적</t>
        </is>
      </c>
      <c r="B6525" s="16" t="n">
        <v>44295</v>
      </c>
      <c r="C6525" s="20" t="inlineStr">
        <is>
          <t>금</t>
        </is>
      </c>
      <c r="D6525" s="20" t="inlineStr">
        <is>
          <t>카카오 배너</t>
        </is>
      </c>
      <c r="E6525" s="20" t="inlineStr">
        <is>
          <t>고체향수</t>
        </is>
      </c>
      <c r="K6525" s="20" t="n">
        <v>893699.9999999999</v>
      </c>
    </row>
    <row r="6526">
      <c r="A6526" s="20" t="inlineStr">
        <is>
          <t>고체향수_승무원 어피_Npay 추적</t>
        </is>
      </c>
      <c r="B6526" s="16" t="n">
        <v>44296</v>
      </c>
      <c r="C6526" s="20" t="inlineStr">
        <is>
          <t>토</t>
        </is>
      </c>
      <c r="D6526" s="20" t="inlineStr">
        <is>
          <t>카카오 배너</t>
        </is>
      </c>
      <c r="E6526" s="20" t="inlineStr">
        <is>
          <t>고체향수</t>
        </is>
      </c>
      <c r="K6526" s="20" t="n">
        <v>182050</v>
      </c>
    </row>
    <row r="6527">
      <c r="A6527" s="20" t="inlineStr">
        <is>
          <t>고체향수_Npay 추적</t>
        </is>
      </c>
      <c r="B6527" s="16" t="n">
        <v>44296</v>
      </c>
      <c r="C6527" s="20" t="inlineStr">
        <is>
          <t>토</t>
        </is>
      </c>
      <c r="D6527" s="20" t="inlineStr">
        <is>
          <t>카카오 배너</t>
        </is>
      </c>
      <c r="E6527" s="20" t="inlineStr">
        <is>
          <t>고체향수</t>
        </is>
      </c>
      <c r="K6527" s="20" t="n">
        <v>892579.9999999999</v>
      </c>
    </row>
    <row r="6528">
      <c r="A6528" s="20" t="inlineStr">
        <is>
          <t>고체향수_승무원 어피_Npay 추적</t>
        </is>
      </c>
      <c r="B6528" s="16" t="n">
        <v>44297</v>
      </c>
      <c r="C6528" s="20" t="inlineStr">
        <is>
          <t>일</t>
        </is>
      </c>
      <c r="D6528" s="20" t="inlineStr">
        <is>
          <t>카카오 배너</t>
        </is>
      </c>
      <c r="E6528" s="20" t="inlineStr">
        <is>
          <t>고체향수</t>
        </is>
      </c>
      <c r="K6528" s="20" t="n">
        <v>181830</v>
      </c>
    </row>
    <row r="6529">
      <c r="A6529" s="20" t="inlineStr">
        <is>
          <t>고체향수_Npay 추적</t>
        </is>
      </c>
      <c r="B6529" s="16" t="n">
        <v>44297</v>
      </c>
      <c r="C6529" s="20" t="inlineStr">
        <is>
          <t>일</t>
        </is>
      </c>
      <c r="D6529" s="20" t="inlineStr">
        <is>
          <t>카카오 배너</t>
        </is>
      </c>
      <c r="E6529" s="20" t="inlineStr">
        <is>
          <t>고체향수</t>
        </is>
      </c>
      <c r="K6529" s="20" t="n">
        <v>892209.9999999999</v>
      </c>
    </row>
    <row r="6530">
      <c r="B6530" s="16" t="n">
        <v>44295</v>
      </c>
      <c r="C6530" s="20" t="inlineStr">
        <is>
          <t>금</t>
        </is>
      </c>
      <c r="E6530" s="20" t="inlineStr">
        <is>
          <t>고체향수</t>
        </is>
      </c>
      <c r="F6530" s="20" t="inlineStr">
        <is>
          <t>W컨셉</t>
        </is>
      </c>
      <c r="G6530" s="20" t="inlineStr">
        <is>
          <t>솔리드퍼퓸 이그나이트/스테이포에버 30ml (2종 택1)&lt;옵션1&gt;001 IGNITE</t>
        </is>
      </c>
      <c r="H6530" s="20" t="n">
        <v>1</v>
      </c>
      <c r="I6530" s="20" t="inlineStr">
        <is>
          <t>이그나이트</t>
        </is>
      </c>
      <c r="J6530" s="20" t="inlineStr">
        <is>
          <t>210207</t>
        </is>
      </c>
      <c r="L6530" s="20" t="n">
        <v>34000</v>
      </c>
      <c r="M6530" s="20" t="n">
        <v>23800</v>
      </c>
      <c r="N6530" s="20" t="n">
        <v>2753</v>
      </c>
      <c r="O6530" s="20" t="inlineStr">
        <is>
          <t>W컨셉고체향수솔리드퍼퓸 이그나이트/스테이포에버 30ml (2종 택1)&lt;옵션1&gt;001 IGNITE210207</t>
        </is>
      </c>
    </row>
    <row r="6531">
      <c r="B6531" s="16" t="n">
        <v>44295</v>
      </c>
      <c r="C6531" s="20" t="inlineStr">
        <is>
          <t>금</t>
        </is>
      </c>
      <c r="E6531" s="20" t="inlineStr">
        <is>
          <t>고체향수</t>
        </is>
      </c>
      <c r="F6531" s="20" t="inlineStr">
        <is>
          <t>W컨셉</t>
        </is>
      </c>
      <c r="G6531" s="20" t="inlineStr">
        <is>
          <t>솔리드퍼퓸 이그나이트/스테이포에버 30ml (2종 택1)&lt;옵션1&gt;002 STAY FOREVER</t>
        </is>
      </c>
      <c r="H6531" s="20" t="n">
        <v>11</v>
      </c>
      <c r="I6531" s="20" t="inlineStr">
        <is>
          <t>스테이포에버</t>
        </is>
      </c>
      <c r="J6531" s="20" t="inlineStr">
        <is>
          <t>210207</t>
        </is>
      </c>
      <c r="L6531" s="20" t="n">
        <v>374000</v>
      </c>
      <c r="M6531" s="20" t="n">
        <v>261800</v>
      </c>
      <c r="N6531" s="20" t="n">
        <v>28512</v>
      </c>
      <c r="O6531" s="20" t="inlineStr">
        <is>
          <t>W컨셉고체향수솔리드퍼퓸 이그나이트/스테이포에버 30ml (2종 택1)&lt;옵션1&gt;002 STAY FOREVER210207</t>
        </is>
      </c>
    </row>
    <row r="6532">
      <c r="B6532" s="16" t="n">
        <v>44295</v>
      </c>
      <c r="C6532" s="20" t="inlineStr">
        <is>
          <t>금</t>
        </is>
      </c>
      <c r="E6532" s="20" t="inlineStr">
        <is>
          <t>고체향수</t>
        </is>
      </c>
      <c r="F6532" s="20" t="inlineStr">
        <is>
          <t>스마트스토어</t>
        </is>
      </c>
      <c r="G6532" s="20" t="inlineStr">
        <is>
          <t>유즈 고체향수 세트(유즈 스테이포에버, 유즈 이그나이트)고체향수: 스테이포에버 1개 + 이그나이트 1개</t>
        </is>
      </c>
      <c r="H6532" s="20" t="n">
        <v>3</v>
      </c>
      <c r="I6532" s="20" t="inlineStr">
        <is>
          <t>이그나이트 + 스테이포에버</t>
        </is>
      </c>
      <c r="J6532" s="20" t="inlineStr">
        <is>
          <t>210207</t>
        </is>
      </c>
      <c r="L6532" s="20" t="n">
        <v>176400</v>
      </c>
      <c r="M6532" s="20" t="n">
        <v>166080.6</v>
      </c>
      <c r="N6532" s="20" t="n">
        <v>16035</v>
      </c>
      <c r="O6532" s="20" t="inlineStr">
        <is>
          <t>스마트스토어고체향수유즈 고체향수 세트(유즈 스테이포에버, 유즈 이그나이트)고체향수: 스테이포에버 1개 + 이그나이트 1개210207</t>
        </is>
      </c>
    </row>
    <row r="6533">
      <c r="B6533" s="16" t="n">
        <v>44295</v>
      </c>
      <c r="C6533" s="20" t="inlineStr">
        <is>
          <t>금</t>
        </is>
      </c>
      <c r="E6533" s="20" t="inlineStr">
        <is>
          <t>고체향수</t>
        </is>
      </c>
      <c r="F6533" s="20" t="inlineStr">
        <is>
          <t>스마트스토어</t>
        </is>
      </c>
      <c r="G6533" s="20" t="inlineStr">
        <is>
          <t>유즈 고체향수 세트(유즈 스테이포에버, 유즈 이그나이트)고체향수: 스테이포에버 2개</t>
        </is>
      </c>
      <c r="H6533" s="20" t="n">
        <v>1</v>
      </c>
      <c r="I6533" s="20" t="inlineStr">
        <is>
          <t>스테이포에버 2set</t>
        </is>
      </c>
      <c r="J6533" s="20" t="inlineStr">
        <is>
          <t>210207</t>
        </is>
      </c>
      <c r="L6533" s="20" t="n">
        <v>58800</v>
      </c>
      <c r="M6533" s="20" t="n">
        <v>57624</v>
      </c>
      <c r="N6533" s="20" t="n">
        <v>5184</v>
      </c>
      <c r="O6533" s="20" t="inlineStr">
        <is>
          <t>스마트스토어고체향수유즈 고체향수 세트(유즈 스테이포에버, 유즈 이그나이트)고체향수: 스테이포에버 2개210207</t>
        </is>
      </c>
    </row>
    <row r="6534">
      <c r="B6534" s="16" t="n">
        <v>44295</v>
      </c>
      <c r="C6534" s="20" t="inlineStr">
        <is>
          <t>금</t>
        </is>
      </c>
      <c r="E6534" s="20" t="inlineStr">
        <is>
          <t>고체향수</t>
        </is>
      </c>
      <c r="F6534" s="20" t="inlineStr">
        <is>
          <t>스마트스토어</t>
        </is>
      </c>
      <c r="G6534" s="20" t="inlineStr">
        <is>
          <t>유즈 고체향수 스테이포에버 002고체향수: 스테이포에버 1개</t>
        </is>
      </c>
      <c r="H6534" s="20" t="n">
        <v>24</v>
      </c>
      <c r="I6534" s="20" t="inlineStr">
        <is>
          <t>스테이포에버</t>
        </is>
      </c>
      <c r="J6534" s="20" t="inlineStr">
        <is>
          <t>210207</t>
        </is>
      </c>
      <c r="L6534" s="20" t="n">
        <v>816000</v>
      </c>
      <c r="M6534" s="20" t="n">
        <v>799680</v>
      </c>
      <c r="N6534" s="20" t="n">
        <v>62208</v>
      </c>
      <c r="O6534" s="20" t="inlineStr">
        <is>
          <t>스마트스토어고체향수유즈 고체향수 스테이포에버 002고체향수: 스테이포에버 1개210207</t>
        </is>
      </c>
    </row>
    <row r="6535">
      <c r="B6535" s="16" t="n">
        <v>44295</v>
      </c>
      <c r="C6535" s="20" t="inlineStr">
        <is>
          <t>금</t>
        </is>
      </c>
      <c r="E6535" s="20" t="inlineStr">
        <is>
          <t>고체향수</t>
        </is>
      </c>
      <c r="F6535" s="20" t="inlineStr">
        <is>
          <t>카페24</t>
        </is>
      </c>
      <c r="G6535" s="20" t="inlineStr">
        <is>
          <t>솔리드퍼퓸 세트향=스테이포에버 002 SOLID PERFUME, 세트 선택=1개</t>
        </is>
      </c>
      <c r="H6535" s="20" t="n">
        <v>4</v>
      </c>
      <c r="I6535" s="20" t="inlineStr">
        <is>
          <t>스테이포에버</t>
        </is>
      </c>
      <c r="J6535" s="20" t="inlineStr">
        <is>
          <t>210207</t>
        </is>
      </c>
      <c r="L6535" s="20" t="n">
        <v>136000</v>
      </c>
      <c r="M6535" s="20" t="n">
        <v>128044</v>
      </c>
      <c r="N6535" s="20" t="n">
        <v>10368</v>
      </c>
      <c r="O6535" s="20" t="inlineStr">
        <is>
          <t>카페24고체향수솔리드퍼퓸 세트향=스테이포에버 002 SOLID PERFUME, 세트 선택=1개210207</t>
        </is>
      </c>
    </row>
    <row r="6536">
      <c r="B6536" s="16" t="n">
        <v>44295</v>
      </c>
      <c r="C6536" s="20" t="inlineStr">
        <is>
          <t>금</t>
        </is>
      </c>
      <c r="E6536" s="20" t="inlineStr">
        <is>
          <t>고체향수</t>
        </is>
      </c>
      <c r="F6536" s="20" t="inlineStr">
        <is>
          <t>카페24</t>
        </is>
      </c>
      <c r="G6536" s="20" t="inlineStr">
        <is>
          <t>솔리드퍼퓸 세트향=스테이포에버 002 SOLID PERFUME, 세트 선택=best 2개 (28% 할인)</t>
        </is>
      </c>
      <c r="H6536" s="20" t="n">
        <v>5</v>
      </c>
      <c r="I6536" s="20" t="inlineStr">
        <is>
          <t>스테이포에버 2set</t>
        </is>
      </c>
      <c r="J6536" s="20" t="inlineStr">
        <is>
          <t>210207</t>
        </is>
      </c>
      <c r="L6536" s="20" t="n">
        <v>294000</v>
      </c>
      <c r="M6536" s="20" t="n">
        <v>276801</v>
      </c>
      <c r="N6536" s="20" t="n">
        <v>25920</v>
      </c>
      <c r="O6536" s="20" t="inlineStr">
        <is>
          <t>카페24고체향수솔리드퍼퓸 세트향=스테이포에버 002 SOLID PERFUME, 세트 선택=best 2개 (28% 할인)210207</t>
        </is>
      </c>
    </row>
    <row r="6537">
      <c r="B6537" s="16" t="n">
        <v>44295</v>
      </c>
      <c r="C6537" s="20" t="inlineStr">
        <is>
          <t>금</t>
        </is>
      </c>
      <c r="E6537" s="20" t="inlineStr">
        <is>
          <t>고체향수</t>
        </is>
      </c>
      <c r="F6537" s="20" t="inlineStr">
        <is>
          <t>카페24</t>
        </is>
      </c>
      <c r="G6537" s="20" t="inlineStr">
        <is>
          <t>솔리드퍼퓸 세트향=커플세트(이그나이트 + 스테이포에버), 세트 선택=1 SET</t>
        </is>
      </c>
      <c r="H6537" s="20" t="n">
        <v>12</v>
      </c>
      <c r="I6537" s="20" t="inlineStr">
        <is>
          <t>이그나이트 + 스테이포에버</t>
        </is>
      </c>
      <c r="J6537" s="20" t="inlineStr">
        <is>
          <t>210207</t>
        </is>
      </c>
      <c r="L6537" s="20" t="n">
        <v>705600</v>
      </c>
      <c r="M6537" s="20" t="n">
        <v>664322.3999999999</v>
      </c>
      <c r="N6537" s="20" t="n">
        <v>64140</v>
      </c>
      <c r="O6537" s="20" t="inlineStr">
        <is>
          <t>카페24고체향수솔리드퍼퓸 세트향=커플세트(이그나이트 + 스테이포에버), 세트 선택=1 SET210207</t>
        </is>
      </c>
    </row>
    <row r="6538">
      <c r="B6538" s="16" t="n">
        <v>44295</v>
      </c>
      <c r="C6538" s="20" t="inlineStr">
        <is>
          <t>금</t>
        </is>
      </c>
      <c r="E6538" s="20" t="inlineStr">
        <is>
          <t>고체향수</t>
        </is>
      </c>
      <c r="F6538" s="20" t="inlineStr">
        <is>
          <t>카페24</t>
        </is>
      </c>
      <c r="G6538" s="20" t="inlineStr">
        <is>
          <t>솔리드퍼퓸 세트향=커플세트(이그나이트 + 스테이포에버), 세트 선택=2 SET (42% 할인)</t>
        </is>
      </c>
      <c r="H6538" s="20" t="n">
        <v>1</v>
      </c>
      <c r="I6538" s="20" t="inlineStr">
        <is>
          <t>이그나이트 + 스테이포에버</t>
        </is>
      </c>
      <c r="J6538" s="20" t="inlineStr">
        <is>
          <t>210207</t>
        </is>
      </c>
      <c r="L6538" s="20" t="n">
        <v>58800</v>
      </c>
      <c r="M6538" s="20" t="n">
        <v>55360.2</v>
      </c>
      <c r="N6538" s="20" t="n">
        <v>5345</v>
      </c>
      <c r="O6538" s="20" t="inlineStr">
        <is>
          <t>카페24고체향수솔리드퍼퓸 세트향=커플세트(이그나이트 + 스테이포에버), 세트 선택=2 SET (42% 할인)210207</t>
        </is>
      </c>
    </row>
    <row r="6539">
      <c r="B6539" s="16" t="n">
        <v>44295</v>
      </c>
      <c r="C6539" s="20" t="inlineStr">
        <is>
          <t>금</t>
        </is>
      </c>
      <c r="E6539" s="20" t="inlineStr">
        <is>
          <t>고체향수</t>
        </is>
      </c>
      <c r="F6539" s="20" t="inlineStr">
        <is>
          <t>카페24</t>
        </is>
      </c>
      <c r="G6539" s="20" t="inlineStr">
        <is>
          <t>솔리드퍼퓸 스테이포에버 002제품선택=스테이포에버 1개</t>
        </is>
      </c>
      <c r="H6539" s="20" t="n">
        <v>191</v>
      </c>
      <c r="I6539" s="20" t="inlineStr">
        <is>
          <t>스테이포에버</t>
        </is>
      </c>
      <c r="J6539" s="20" t="inlineStr">
        <is>
          <t>210207</t>
        </is>
      </c>
      <c r="L6539" s="20" t="n">
        <v>6494000</v>
      </c>
      <c r="M6539" s="20" t="n">
        <v>6114101</v>
      </c>
      <c r="N6539" s="20" t="n">
        <v>495072</v>
      </c>
      <c r="O6539" s="20" t="inlineStr">
        <is>
          <t>카페24고체향수솔리드퍼퓸 스테이포에버 002제품선택=스테이포에버 1개210207</t>
        </is>
      </c>
    </row>
    <row r="6540">
      <c r="B6540" s="16" t="n">
        <v>44295</v>
      </c>
      <c r="C6540" s="20" t="inlineStr">
        <is>
          <t>금</t>
        </is>
      </c>
      <c r="E6540" s="20" t="inlineStr">
        <is>
          <t>고체향수</t>
        </is>
      </c>
      <c r="F6540" s="20" t="inlineStr">
        <is>
          <t>카페24</t>
        </is>
      </c>
      <c r="G6540" s="20" t="inlineStr">
        <is>
          <t>솔리드퍼퓸 스테이포에버 002제품선택=best스테이포에버 2개[28% 할인]</t>
        </is>
      </c>
      <c r="H6540" s="20" t="n">
        <v>129</v>
      </c>
      <c r="I6540" s="20" t="inlineStr">
        <is>
          <t>스테이포에버 2set</t>
        </is>
      </c>
      <c r="J6540" s="20" t="inlineStr">
        <is>
          <t>210207</t>
        </is>
      </c>
      <c r="L6540" s="20" t="n">
        <v>7585200</v>
      </c>
      <c r="M6540" s="20" t="n">
        <v>7141465.8</v>
      </c>
      <c r="N6540" s="20" t="n">
        <v>668736</v>
      </c>
      <c r="O6540" s="20" t="inlineStr">
        <is>
          <t>카페24고체향수솔리드퍼퓸 스테이포에버 002제품선택=best스테이포에버 2개[28% 할인]210207</t>
        </is>
      </c>
    </row>
    <row r="6541">
      <c r="B6541" s="16" t="n">
        <v>44295</v>
      </c>
      <c r="C6541" s="20" t="inlineStr">
        <is>
          <t>금</t>
        </is>
      </c>
      <c r="E6541" s="20" t="inlineStr">
        <is>
          <t>고체향수</t>
        </is>
      </c>
      <c r="F6541" s="20" t="inlineStr">
        <is>
          <t>카페24</t>
        </is>
      </c>
      <c r="G6541" s="20" t="inlineStr">
        <is>
          <t>솔리드퍼퓸 스테이포에버 002제품선택=커플추천스테이포에버 + 이그나이트 세트</t>
        </is>
      </c>
      <c r="H6541" s="20" t="n">
        <v>13</v>
      </c>
      <c r="I6541" s="20" t="inlineStr">
        <is>
          <t>이그나이트 + 스테이포에버</t>
        </is>
      </c>
      <c r="J6541" s="20" t="inlineStr">
        <is>
          <t>210207</t>
        </is>
      </c>
      <c r="L6541" s="20" t="n">
        <v>764400</v>
      </c>
      <c r="M6541" s="20" t="n">
        <v>719682.6</v>
      </c>
      <c r="N6541" s="20" t="n">
        <v>69485</v>
      </c>
      <c r="O6541" s="20" t="inlineStr">
        <is>
          <t>카페24고체향수솔리드퍼퓸 스테이포에버 002제품선택=커플추천스테이포에버 + 이그나이트 세트210207</t>
        </is>
      </c>
    </row>
    <row r="6542">
      <c r="B6542" s="16" t="n">
        <v>44295</v>
      </c>
      <c r="C6542" s="20" t="inlineStr">
        <is>
          <t>금</t>
        </is>
      </c>
      <c r="E6542" s="20" t="inlineStr">
        <is>
          <t>쇼핑백</t>
        </is>
      </c>
      <c r="F6542" s="20" t="inlineStr">
        <is>
          <t>카페24</t>
        </is>
      </c>
      <c r="G6542" s="20" t="inlineStr">
        <is>
          <t>솔리드퍼퓸 스테이포에버 002쇼핑백=선물용 쇼핑백</t>
        </is>
      </c>
      <c r="H6542" s="20" t="n">
        <v>8</v>
      </c>
      <c r="I6542" s="20" t="inlineStr">
        <is>
          <t>쇼핑백</t>
        </is>
      </c>
      <c r="J6542" s="20" t="inlineStr">
        <is>
          <t>210207</t>
        </is>
      </c>
      <c r="L6542" s="20" t="n">
        <v>16000</v>
      </c>
      <c r="M6542" s="20" t="n">
        <v>15064</v>
      </c>
      <c r="N6542" s="20" t="n">
        <v>6640</v>
      </c>
      <c r="O6542" s="20" t="inlineStr">
        <is>
          <t>카페24쇼핑백솔리드퍼퓸 스테이포에버 002쇼핑백=선물용 쇼핑백210207</t>
        </is>
      </c>
    </row>
    <row r="6543">
      <c r="B6543" s="16" t="n">
        <v>44295</v>
      </c>
      <c r="C6543" s="20" t="inlineStr">
        <is>
          <t>금</t>
        </is>
      </c>
      <c r="E6543" s="20" t="inlineStr">
        <is>
          <t>고체향수</t>
        </is>
      </c>
      <c r="F6543" s="20" t="inlineStr">
        <is>
          <t>카페24</t>
        </is>
      </c>
      <c r="G6543" s="20" t="inlineStr">
        <is>
          <t>솔리드퍼퓸 이그나이트 001제품선택=이그나이트 솔리드퍼퓸 - 30ml</t>
        </is>
      </c>
      <c r="H6543" s="20" t="n">
        <v>5</v>
      </c>
      <c r="I6543" s="20" t="inlineStr">
        <is>
          <t>이그나이트</t>
        </is>
      </c>
      <c r="J6543" s="20" t="inlineStr">
        <is>
          <t>210207</t>
        </is>
      </c>
      <c r="L6543" s="20" t="n">
        <v>170000</v>
      </c>
      <c r="M6543" s="20" t="n">
        <v>160055</v>
      </c>
      <c r="N6543" s="20" t="n">
        <v>13765</v>
      </c>
      <c r="O6543" s="20" t="inlineStr">
        <is>
          <t>카페24고체향수솔리드퍼퓸 이그나이트 001제품선택=이그나이트 솔리드퍼퓸 - 30ml210207</t>
        </is>
      </c>
    </row>
    <row r="6544">
      <c r="B6544" s="16" t="n">
        <v>44295</v>
      </c>
      <c r="C6544" s="20" t="inlineStr">
        <is>
          <t>금</t>
        </is>
      </c>
      <c r="E6544" s="20" t="inlineStr">
        <is>
          <t>쇼핑백</t>
        </is>
      </c>
      <c r="F6544" s="20" t="inlineStr">
        <is>
          <t>카페24</t>
        </is>
      </c>
      <c r="G6544" s="20" t="inlineStr">
        <is>
          <t>솔리드퍼퓸 이그나이트 001쇼핑백=선물용 쇼핑백</t>
        </is>
      </c>
      <c r="H6544" s="20" t="n">
        <v>1</v>
      </c>
      <c r="I6544" s="20" t="inlineStr">
        <is>
          <t>쇼핑백</t>
        </is>
      </c>
      <c r="J6544" s="20" t="inlineStr">
        <is>
          <t>210207</t>
        </is>
      </c>
      <c r="L6544" s="20" t="n">
        <v>2000</v>
      </c>
      <c r="M6544" s="20" t="n">
        <v>1883</v>
      </c>
      <c r="N6544" s="20" t="n">
        <v>830</v>
      </c>
      <c r="O6544" s="20" t="inlineStr">
        <is>
          <t>카페24쇼핑백솔리드퍼퓸 이그나이트 001쇼핑백=선물용 쇼핑백210207</t>
        </is>
      </c>
    </row>
    <row r="6545">
      <c r="B6545" s="16" t="n">
        <v>44296</v>
      </c>
      <c r="C6545" s="20" t="inlineStr">
        <is>
          <t>토</t>
        </is>
      </c>
      <c r="E6545" s="20" t="inlineStr">
        <is>
          <t>고체향수</t>
        </is>
      </c>
      <c r="F6545" s="20" t="inlineStr">
        <is>
          <t>스마트스토어</t>
        </is>
      </c>
      <c r="G6545" s="20" t="inlineStr">
        <is>
          <t>유즈 고체향수 세트(유즈 스테이포에버, 유즈 이그나이트)고체향수: 스테이포에버 2개</t>
        </is>
      </c>
      <c r="H6545" s="20" t="n">
        <v>1</v>
      </c>
      <c r="I6545" s="20" t="inlineStr">
        <is>
          <t>스테이포에버 2set</t>
        </is>
      </c>
      <c r="J6545" s="20" t="inlineStr">
        <is>
          <t>210207</t>
        </is>
      </c>
      <c r="L6545" s="20" t="n">
        <v>58800</v>
      </c>
      <c r="M6545" s="20" t="n">
        <v>57624</v>
      </c>
      <c r="N6545" s="20" t="n">
        <v>5184</v>
      </c>
      <c r="O6545" s="20" t="inlineStr">
        <is>
          <t>스마트스토어고체향수유즈 고체향수 세트(유즈 스테이포에버, 유즈 이그나이트)고체향수: 스테이포에버 2개210207</t>
        </is>
      </c>
    </row>
    <row r="6546">
      <c r="B6546" s="16" t="n">
        <v>44296</v>
      </c>
      <c r="C6546" s="20" t="inlineStr">
        <is>
          <t>토</t>
        </is>
      </c>
      <c r="E6546" s="20" t="inlineStr">
        <is>
          <t>고체향수</t>
        </is>
      </c>
      <c r="F6546" s="20" t="inlineStr">
        <is>
          <t>스마트스토어</t>
        </is>
      </c>
      <c r="G6546" s="20" t="inlineStr">
        <is>
          <t>유즈 고체향수 스테이포에버 002고체향수: 스테이포에버 1개</t>
        </is>
      </c>
      <c r="H6546" s="20" t="n">
        <v>15</v>
      </c>
      <c r="I6546" s="20" t="inlineStr">
        <is>
          <t>스테이포에버</t>
        </is>
      </c>
      <c r="J6546" s="20" t="inlineStr">
        <is>
          <t>210207</t>
        </is>
      </c>
      <c r="L6546" s="20" t="n">
        <v>510000</v>
      </c>
      <c r="M6546" s="20" t="n">
        <v>499800</v>
      </c>
      <c r="N6546" s="20" t="n">
        <v>38880</v>
      </c>
      <c r="O6546" s="20" t="inlineStr">
        <is>
          <t>스마트스토어고체향수유즈 고체향수 스테이포에버 002고체향수: 스테이포에버 1개210207</t>
        </is>
      </c>
    </row>
    <row r="6547">
      <c r="B6547" s="16" t="n">
        <v>44296</v>
      </c>
      <c r="C6547" s="20" t="inlineStr">
        <is>
          <t>토</t>
        </is>
      </c>
      <c r="E6547" s="20" t="inlineStr">
        <is>
          <t>고체향수</t>
        </is>
      </c>
      <c r="F6547" s="20" t="inlineStr">
        <is>
          <t>카페24</t>
        </is>
      </c>
      <c r="G6547" s="20" t="inlineStr">
        <is>
          <t>솔리드퍼퓸 세트향=이그나이트 001 SOLID PERFUME, 세트 선택=1개</t>
        </is>
      </c>
      <c r="H6547" s="20" t="n">
        <v>1</v>
      </c>
      <c r="I6547" s="20" t="inlineStr">
        <is>
          <t>이그나이트</t>
        </is>
      </c>
      <c r="J6547" s="20" t="inlineStr">
        <is>
          <t>210207</t>
        </is>
      </c>
      <c r="L6547" s="20" t="n">
        <v>34000</v>
      </c>
      <c r="M6547" s="20" t="n">
        <v>32011</v>
      </c>
      <c r="N6547" s="20" t="n">
        <v>2753</v>
      </c>
      <c r="O6547" s="20" t="inlineStr">
        <is>
          <t>카페24고체향수솔리드퍼퓸 세트향=이그나이트 001 SOLID PERFUME, 세트 선택=1개210207</t>
        </is>
      </c>
    </row>
    <row r="6548">
      <c r="B6548" s="16" t="n">
        <v>44296</v>
      </c>
      <c r="C6548" s="20" t="inlineStr">
        <is>
          <t>토</t>
        </is>
      </c>
      <c r="E6548" s="20" t="inlineStr">
        <is>
          <t>고체향수</t>
        </is>
      </c>
      <c r="F6548" s="20" t="inlineStr">
        <is>
          <t>카페24</t>
        </is>
      </c>
      <c r="G6548" s="20" t="inlineStr">
        <is>
          <t>솔리드퍼퓸 세트향=스테이포에버 002 SOLID PERFUME, 세트 선택=1개</t>
        </is>
      </c>
      <c r="H6548" s="20" t="n">
        <v>10</v>
      </c>
      <c r="I6548" s="20" t="inlineStr">
        <is>
          <t>스테이포에버</t>
        </is>
      </c>
      <c r="J6548" s="20" t="inlineStr">
        <is>
          <t>210207</t>
        </is>
      </c>
      <c r="L6548" s="20" t="n">
        <v>340000</v>
      </c>
      <c r="M6548" s="20" t="n">
        <v>320110</v>
      </c>
      <c r="N6548" s="20" t="n">
        <v>25920</v>
      </c>
      <c r="O6548" s="20" t="inlineStr">
        <is>
          <t>카페24고체향수솔리드퍼퓸 세트향=스테이포에버 002 SOLID PERFUME, 세트 선택=1개210207</t>
        </is>
      </c>
    </row>
    <row r="6549">
      <c r="B6549" s="16" t="n">
        <v>44296</v>
      </c>
      <c r="C6549" s="20" t="inlineStr">
        <is>
          <t>토</t>
        </is>
      </c>
      <c r="E6549" s="20" t="inlineStr">
        <is>
          <t>고체향수</t>
        </is>
      </c>
      <c r="F6549" s="20" t="inlineStr">
        <is>
          <t>카페24</t>
        </is>
      </c>
      <c r="G6549" s="20" t="inlineStr">
        <is>
          <t>솔리드퍼퓸 세트향=스테이포에버 002 SOLID PERFUME, 세트 선택=best 2개 (28% 할인)</t>
        </is>
      </c>
      <c r="H6549" s="20" t="n">
        <v>8</v>
      </c>
      <c r="I6549" s="20" t="inlineStr">
        <is>
          <t>스테이포에버 2set</t>
        </is>
      </c>
      <c r="J6549" s="20" t="inlineStr">
        <is>
          <t>210207</t>
        </is>
      </c>
      <c r="L6549" s="20" t="n">
        <v>470400</v>
      </c>
      <c r="M6549" s="20" t="n">
        <v>442881.6</v>
      </c>
      <c r="N6549" s="20" t="n">
        <v>41472</v>
      </c>
      <c r="O6549" s="20" t="inlineStr">
        <is>
          <t>카페24고체향수솔리드퍼퓸 세트향=스테이포에버 002 SOLID PERFUME, 세트 선택=best 2개 (28% 할인)210207</t>
        </is>
      </c>
    </row>
    <row r="6550">
      <c r="B6550" s="16" t="n">
        <v>44296</v>
      </c>
      <c r="C6550" s="20" t="inlineStr">
        <is>
          <t>토</t>
        </is>
      </c>
      <c r="E6550" s="20" t="inlineStr">
        <is>
          <t>고체향수</t>
        </is>
      </c>
      <c r="F6550" s="20" t="inlineStr">
        <is>
          <t>카페24</t>
        </is>
      </c>
      <c r="G6550" s="20" t="inlineStr">
        <is>
          <t>솔리드퍼퓸 세트향=커플세트(이그나이트 + 스테이포에버), 세트 선택=1 SET</t>
        </is>
      </c>
      <c r="H6550" s="20" t="n">
        <v>12</v>
      </c>
      <c r="I6550" s="20" t="inlineStr">
        <is>
          <t>이그나이트 + 스테이포에버</t>
        </is>
      </c>
      <c r="J6550" s="20" t="inlineStr">
        <is>
          <t>210207</t>
        </is>
      </c>
      <c r="L6550" s="20" t="n">
        <v>705600</v>
      </c>
      <c r="M6550" s="20" t="n">
        <v>664322.3999999999</v>
      </c>
      <c r="N6550" s="20" t="n">
        <v>64140</v>
      </c>
      <c r="O6550" s="20" t="inlineStr">
        <is>
          <t>카페24고체향수솔리드퍼퓸 세트향=커플세트(이그나이트 + 스테이포에버), 세트 선택=1 SET210207</t>
        </is>
      </c>
    </row>
    <row r="6551">
      <c r="B6551" s="16" t="n">
        <v>44296</v>
      </c>
      <c r="C6551" s="20" t="inlineStr">
        <is>
          <t>토</t>
        </is>
      </c>
      <c r="E6551" s="20" t="inlineStr">
        <is>
          <t>고체향수</t>
        </is>
      </c>
      <c r="F6551" s="20" t="inlineStr">
        <is>
          <t>카페24</t>
        </is>
      </c>
      <c r="G6551" s="20" t="inlineStr">
        <is>
          <t>솔리드퍼퓸 세트향=커플세트(이그나이트 + 스테이포에버), 세트 선택=2 SET (42% 할인)</t>
        </is>
      </c>
      <c r="H6551" s="20" t="n">
        <v>2</v>
      </c>
      <c r="I6551" s="20" t="inlineStr">
        <is>
          <t>이그나이트 + 스테이포에버</t>
        </is>
      </c>
      <c r="J6551" s="20" t="inlineStr">
        <is>
          <t>210207</t>
        </is>
      </c>
      <c r="L6551" s="20" t="n">
        <v>117600</v>
      </c>
      <c r="M6551" s="20" t="n">
        <v>110720.4</v>
      </c>
      <c r="N6551" s="20" t="n">
        <v>10690</v>
      </c>
      <c r="O6551" s="20" t="inlineStr">
        <is>
          <t>카페24고체향수솔리드퍼퓸 세트향=커플세트(이그나이트 + 스테이포에버), 세트 선택=2 SET (42% 할인)210207</t>
        </is>
      </c>
    </row>
    <row r="6552">
      <c r="B6552" s="16" t="n">
        <v>44296</v>
      </c>
      <c r="C6552" s="20" t="inlineStr">
        <is>
          <t>토</t>
        </is>
      </c>
      <c r="E6552" s="20" t="inlineStr">
        <is>
          <t>고체향수</t>
        </is>
      </c>
      <c r="F6552" s="20" t="inlineStr">
        <is>
          <t>카페24</t>
        </is>
      </c>
      <c r="G6552" s="20" t="inlineStr">
        <is>
          <t>솔리드퍼퓸 스테이포에버 002제품선택=스테이포에버 1개</t>
        </is>
      </c>
      <c r="H6552" s="20" t="n">
        <v>224</v>
      </c>
      <c r="I6552" s="20" t="inlineStr">
        <is>
          <t>스테이포에버</t>
        </is>
      </c>
      <c r="J6552" s="20" t="inlineStr">
        <is>
          <t>210207</t>
        </is>
      </c>
      <c r="L6552" s="20" t="n">
        <v>7616000</v>
      </c>
      <c r="M6552" s="20" t="n">
        <v>7170464</v>
      </c>
      <c r="N6552" s="20" t="n">
        <v>580608</v>
      </c>
      <c r="O6552" s="20" t="inlineStr">
        <is>
          <t>카페24고체향수솔리드퍼퓸 스테이포에버 002제품선택=스테이포에버 1개210207</t>
        </is>
      </c>
    </row>
    <row r="6553">
      <c r="B6553" s="16" t="n">
        <v>44296</v>
      </c>
      <c r="C6553" s="20" t="inlineStr">
        <is>
          <t>토</t>
        </is>
      </c>
      <c r="E6553" s="20" t="inlineStr">
        <is>
          <t>고체향수</t>
        </is>
      </c>
      <c r="F6553" s="20" t="inlineStr">
        <is>
          <t>카페24</t>
        </is>
      </c>
      <c r="G6553" s="20" t="inlineStr">
        <is>
          <t>솔리드퍼퓸 스테이포에버 002제품선택=best스테이포에버 2개[28% 할인]</t>
        </is>
      </c>
      <c r="H6553" s="20" t="n">
        <v>130</v>
      </c>
      <c r="I6553" s="20" t="inlineStr">
        <is>
          <t>스테이포에버 2set</t>
        </is>
      </c>
      <c r="J6553" s="20" t="inlineStr">
        <is>
          <t>210207</t>
        </is>
      </c>
      <c r="L6553" s="20" t="n">
        <v>7644000</v>
      </c>
      <c r="M6553" s="20" t="n">
        <v>7196826</v>
      </c>
      <c r="N6553" s="20" t="n">
        <v>673920</v>
      </c>
      <c r="O6553" s="20" t="inlineStr">
        <is>
          <t>카페24고체향수솔리드퍼퓸 스테이포에버 002제품선택=best스테이포에버 2개[28% 할인]210207</t>
        </is>
      </c>
    </row>
    <row r="6554">
      <c r="B6554" s="16" t="n">
        <v>44296</v>
      </c>
      <c r="C6554" s="20" t="inlineStr">
        <is>
          <t>토</t>
        </is>
      </c>
      <c r="E6554" s="20" t="inlineStr">
        <is>
          <t>고체향수</t>
        </is>
      </c>
      <c r="F6554" s="20" t="inlineStr">
        <is>
          <t>카페24</t>
        </is>
      </c>
      <c r="G6554" s="20" t="inlineStr">
        <is>
          <t>솔리드퍼퓸 스테이포에버 002제품선택=커플추천스테이포에버 + 이그나이트 세트</t>
        </is>
      </c>
      <c r="H6554" s="20" t="n">
        <v>15</v>
      </c>
      <c r="I6554" s="20" t="inlineStr">
        <is>
          <t>이그나이트 + 스테이포에버</t>
        </is>
      </c>
      <c r="J6554" s="20" t="inlineStr">
        <is>
          <t>210207</t>
        </is>
      </c>
      <c r="L6554" s="20" t="n">
        <v>882000</v>
      </c>
      <c r="M6554" s="20" t="n">
        <v>830403</v>
      </c>
      <c r="N6554" s="20" t="n">
        <v>80175</v>
      </c>
      <c r="O6554" s="20" t="inlineStr">
        <is>
          <t>카페24고체향수솔리드퍼퓸 스테이포에버 002제품선택=커플추천스테이포에버 + 이그나이트 세트210207</t>
        </is>
      </c>
    </row>
    <row r="6555">
      <c r="B6555" s="16" t="n">
        <v>44296</v>
      </c>
      <c r="C6555" s="20" t="inlineStr">
        <is>
          <t>토</t>
        </is>
      </c>
      <c r="E6555" s="20" t="inlineStr">
        <is>
          <t>쇼핑백</t>
        </is>
      </c>
      <c r="F6555" s="20" t="inlineStr">
        <is>
          <t>카페24</t>
        </is>
      </c>
      <c r="G6555" s="20" t="inlineStr">
        <is>
          <t>솔리드퍼퓸 스테이포에버 002쇼핑백=선물용 쇼핑백</t>
        </is>
      </c>
      <c r="H6555" s="20" t="n">
        <v>4</v>
      </c>
      <c r="I6555" s="20" t="inlineStr">
        <is>
          <t>쇼핑백</t>
        </is>
      </c>
      <c r="J6555" s="20" t="inlineStr">
        <is>
          <t>210207</t>
        </is>
      </c>
      <c r="L6555" s="20" t="n">
        <v>8000</v>
      </c>
      <c r="M6555" s="20" t="n">
        <v>7532</v>
      </c>
      <c r="N6555" s="20" t="n">
        <v>3320</v>
      </c>
      <c r="O6555" s="20" t="inlineStr">
        <is>
          <t>카페24쇼핑백솔리드퍼퓸 스테이포에버 002쇼핑백=선물용 쇼핑백210207</t>
        </is>
      </c>
    </row>
    <row r="6556">
      <c r="B6556" s="16" t="n">
        <v>44296</v>
      </c>
      <c r="C6556" s="20" t="inlineStr">
        <is>
          <t>토</t>
        </is>
      </c>
      <c r="E6556" s="20" t="inlineStr">
        <is>
          <t>고체향수</t>
        </is>
      </c>
      <c r="F6556" s="20" t="inlineStr">
        <is>
          <t>카페24</t>
        </is>
      </c>
      <c r="G6556" s="20" t="inlineStr">
        <is>
          <t>솔리드퍼퓸 이그나이트 001제품선택=이그나이트 솔리드퍼퓸 - 30ml</t>
        </is>
      </c>
      <c r="H6556" s="20" t="n">
        <v>3</v>
      </c>
      <c r="I6556" s="20" t="inlineStr">
        <is>
          <t>이그나이트</t>
        </is>
      </c>
      <c r="J6556" s="20" t="inlineStr">
        <is>
          <t>210207</t>
        </is>
      </c>
      <c r="L6556" s="20" t="n">
        <v>102000</v>
      </c>
      <c r="M6556" s="20" t="n">
        <v>96033</v>
      </c>
      <c r="N6556" s="20" t="n">
        <v>8259</v>
      </c>
      <c r="O6556" s="20" t="inlineStr">
        <is>
          <t>카페24고체향수솔리드퍼퓸 이그나이트 001제품선택=이그나이트 솔리드퍼퓸 - 30ml210207</t>
        </is>
      </c>
    </row>
    <row r="6557">
      <c r="B6557" s="16" t="n">
        <v>44296</v>
      </c>
      <c r="C6557" s="20" t="inlineStr">
        <is>
          <t>토</t>
        </is>
      </c>
      <c r="E6557" s="20" t="inlineStr">
        <is>
          <t>고체향수</t>
        </is>
      </c>
      <c r="F6557" s="20" t="inlineStr">
        <is>
          <t>카페24</t>
        </is>
      </c>
      <c r="G6557" s="20" t="inlineStr">
        <is>
          <t>솔리드퍼퓸 이그나이트 001제품선택=이그나이트 2개 세트</t>
        </is>
      </c>
      <c r="H6557" s="20" t="n">
        <v>4</v>
      </c>
      <c r="I6557" s="20" t="inlineStr">
        <is>
          <t>이그나이트 2set</t>
        </is>
      </c>
      <c r="J6557" s="20" t="inlineStr">
        <is>
          <t>210207</t>
        </is>
      </c>
      <c r="L6557" s="20" t="n">
        <v>235200</v>
      </c>
      <c r="M6557" s="20" t="n">
        <v>221440.8</v>
      </c>
      <c r="N6557" s="20" t="n">
        <v>22024</v>
      </c>
      <c r="O6557" s="20" t="inlineStr">
        <is>
          <t>카페24고체향수솔리드퍼퓸 이그나이트 001제품선택=이그나이트 2개 세트210207</t>
        </is>
      </c>
    </row>
    <row r="6558">
      <c r="B6558" s="16" t="n">
        <v>44297</v>
      </c>
      <c r="C6558" s="20" t="inlineStr">
        <is>
          <t>일</t>
        </is>
      </c>
      <c r="E6558" s="20" t="inlineStr">
        <is>
          <t>고체향수</t>
        </is>
      </c>
      <c r="F6558" s="20" t="inlineStr">
        <is>
          <t>스마트스토어</t>
        </is>
      </c>
      <c r="G6558" s="20" t="inlineStr">
        <is>
          <t>유즈 고체향수 세트(유즈 스테이포에버, 유즈 이그나이트)고체향수: 스테이포에버 1개</t>
        </is>
      </c>
      <c r="H6558" s="20" t="n">
        <v>2</v>
      </c>
      <c r="I6558" s="20" t="inlineStr">
        <is>
          <t>스테이포에버</t>
        </is>
      </c>
      <c r="J6558" s="20" t="inlineStr">
        <is>
          <t>210207</t>
        </is>
      </c>
      <c r="L6558" s="20" t="n">
        <v>68000</v>
      </c>
      <c r="M6558" s="20" t="n">
        <v>66640</v>
      </c>
      <c r="N6558" s="20" t="n">
        <v>5184</v>
      </c>
      <c r="O6558" s="20" t="inlineStr">
        <is>
          <t>스마트스토어고체향수유즈 고체향수 세트(유즈 스테이포에버, 유즈 이그나이트)고체향수: 스테이포에버 1개210207</t>
        </is>
      </c>
    </row>
    <row r="6559">
      <c r="B6559" s="16" t="n">
        <v>44297</v>
      </c>
      <c r="C6559" s="20" t="inlineStr">
        <is>
          <t>일</t>
        </is>
      </c>
      <c r="E6559" s="20" t="inlineStr">
        <is>
          <t>고체향수</t>
        </is>
      </c>
      <c r="F6559" s="20" t="inlineStr">
        <is>
          <t>스마트스토어</t>
        </is>
      </c>
      <c r="G6559" s="20" t="inlineStr">
        <is>
          <t>유즈 고체향수 세트(유즈 스테이포에버, 유즈 이그나이트)고체향수: 스테이포에버 1개 + 이그나이트 1개</t>
        </is>
      </c>
      <c r="H6559" s="20" t="n">
        <v>1</v>
      </c>
      <c r="I6559" s="20" t="inlineStr">
        <is>
          <t>이그나이트 + 스테이포에버</t>
        </is>
      </c>
      <c r="J6559" s="20" t="inlineStr">
        <is>
          <t>210207</t>
        </is>
      </c>
      <c r="L6559" s="20" t="n">
        <v>58800</v>
      </c>
      <c r="M6559" s="20" t="n">
        <v>55360.2</v>
      </c>
      <c r="N6559" s="20" t="n">
        <v>5345</v>
      </c>
      <c r="O6559" s="20" t="inlineStr">
        <is>
          <t>스마트스토어고체향수유즈 고체향수 세트(유즈 스테이포에버, 유즈 이그나이트)고체향수: 스테이포에버 1개 + 이그나이트 1개210207</t>
        </is>
      </c>
    </row>
    <row r="6560">
      <c r="B6560" s="16" t="n">
        <v>44297</v>
      </c>
      <c r="C6560" s="20" t="inlineStr">
        <is>
          <t>일</t>
        </is>
      </c>
      <c r="E6560" s="20" t="inlineStr">
        <is>
          <t>고체향수</t>
        </is>
      </c>
      <c r="F6560" s="20" t="inlineStr">
        <is>
          <t>스마트스토어</t>
        </is>
      </c>
      <c r="G6560" s="20" t="inlineStr">
        <is>
          <t>유즈 고체향수 세트(유즈 스테이포에버, 유즈 이그나이트)고체향수: 스테이포에버 2개</t>
        </is>
      </c>
      <c r="H6560" s="20" t="n">
        <v>2</v>
      </c>
      <c r="I6560" s="20" t="inlineStr">
        <is>
          <t>스테이포에버 2set</t>
        </is>
      </c>
      <c r="J6560" s="20" t="inlineStr">
        <is>
          <t>210207</t>
        </is>
      </c>
      <c r="L6560" s="20" t="n">
        <v>117600</v>
      </c>
      <c r="M6560" s="20" t="n">
        <v>115248</v>
      </c>
      <c r="N6560" s="20" t="n">
        <v>10368</v>
      </c>
      <c r="O6560" s="20" t="inlineStr">
        <is>
          <t>스마트스토어고체향수유즈 고체향수 세트(유즈 스테이포에버, 유즈 이그나이트)고체향수: 스테이포에버 2개210207</t>
        </is>
      </c>
    </row>
    <row r="6561">
      <c r="B6561" s="16" t="n">
        <v>44297</v>
      </c>
      <c r="C6561" s="20" t="inlineStr">
        <is>
          <t>일</t>
        </is>
      </c>
      <c r="E6561" s="20" t="inlineStr">
        <is>
          <t>고체향수</t>
        </is>
      </c>
      <c r="F6561" s="20" t="inlineStr">
        <is>
          <t>스마트스토어</t>
        </is>
      </c>
      <c r="G6561" s="20" t="inlineStr">
        <is>
          <t>유즈 고체향수 스테이포에버 002고체향수: 스테이포에버 1개</t>
        </is>
      </c>
      <c r="H6561" s="20" t="n">
        <v>13</v>
      </c>
      <c r="I6561" s="20" t="inlineStr">
        <is>
          <t>스테이포에버</t>
        </is>
      </c>
      <c r="J6561" s="20" t="inlineStr">
        <is>
          <t>210207</t>
        </is>
      </c>
      <c r="L6561" s="20" t="n">
        <v>442000</v>
      </c>
      <c r="M6561" s="20" t="n">
        <v>433160</v>
      </c>
      <c r="N6561" s="20" t="n">
        <v>33696</v>
      </c>
      <c r="O6561" s="20" t="inlineStr">
        <is>
          <t>스마트스토어고체향수유즈 고체향수 스테이포에버 002고체향수: 스테이포에버 1개210207</t>
        </is>
      </c>
    </row>
    <row r="6562">
      <c r="B6562" s="16" t="n">
        <v>44297</v>
      </c>
      <c r="C6562" s="20" t="inlineStr">
        <is>
          <t>일</t>
        </is>
      </c>
      <c r="E6562" s="20" t="inlineStr">
        <is>
          <t>고체향수</t>
        </is>
      </c>
      <c r="F6562" s="20" t="inlineStr">
        <is>
          <t>카페24</t>
        </is>
      </c>
      <c r="G6562" s="20" t="inlineStr">
        <is>
          <t>솔리드퍼퓸 세트향=이그나이트 001 SOLID PERFUME, 세트 선택=1개</t>
        </is>
      </c>
      <c r="H6562" s="20" t="n">
        <v>1</v>
      </c>
      <c r="I6562" s="20" t="inlineStr">
        <is>
          <t>이그나이트</t>
        </is>
      </c>
      <c r="J6562" s="20" t="inlineStr">
        <is>
          <t>210207</t>
        </is>
      </c>
      <c r="L6562" s="20" t="n">
        <v>34000</v>
      </c>
      <c r="M6562" s="20" t="n">
        <v>32011</v>
      </c>
      <c r="N6562" s="20" t="n">
        <v>2753</v>
      </c>
      <c r="O6562" s="20" t="inlineStr">
        <is>
          <t>카페24고체향수솔리드퍼퓸 세트향=이그나이트 001 SOLID PERFUME, 세트 선택=1개210207</t>
        </is>
      </c>
    </row>
    <row r="6563">
      <c r="B6563" s="16" t="n">
        <v>44297</v>
      </c>
      <c r="C6563" s="20" t="inlineStr">
        <is>
          <t>일</t>
        </is>
      </c>
      <c r="E6563" s="20" t="inlineStr">
        <is>
          <t>고체향수</t>
        </is>
      </c>
      <c r="F6563" s="20" t="inlineStr">
        <is>
          <t>카페24</t>
        </is>
      </c>
      <c r="G6563" s="20" t="inlineStr">
        <is>
          <t>솔리드퍼퓸 세트향=이그나이트 001 SOLID PERFUME, 세트 선택=best 2개 (28% 할인)</t>
        </is>
      </c>
      <c r="H6563" s="20" t="n">
        <v>2</v>
      </c>
      <c r="I6563" s="20" t="inlineStr">
        <is>
          <t>이그나이트 2set</t>
        </is>
      </c>
      <c r="J6563" s="20" t="inlineStr">
        <is>
          <t>210207</t>
        </is>
      </c>
      <c r="L6563" s="20" t="n">
        <v>117600</v>
      </c>
      <c r="M6563" s="20" t="n">
        <v>110720.4</v>
      </c>
      <c r="N6563" s="20" t="n">
        <v>11012</v>
      </c>
      <c r="O6563" s="20" t="inlineStr">
        <is>
          <t>카페24고체향수솔리드퍼퓸 세트향=이그나이트 001 SOLID PERFUME, 세트 선택=best 2개 (28% 할인)210207</t>
        </is>
      </c>
    </row>
    <row r="6564">
      <c r="B6564" s="16" t="n">
        <v>44297</v>
      </c>
      <c r="C6564" s="20" t="inlineStr">
        <is>
          <t>일</t>
        </is>
      </c>
      <c r="E6564" s="20" t="inlineStr">
        <is>
          <t>고체향수</t>
        </is>
      </c>
      <c r="F6564" s="20" t="inlineStr">
        <is>
          <t>카페24</t>
        </is>
      </c>
      <c r="G6564" s="20" t="inlineStr">
        <is>
          <t>솔리드퍼퓸 세트향=스테이포에버 002 SOLID PERFUME, 세트 선택=1개</t>
        </is>
      </c>
      <c r="H6564" s="20" t="n">
        <v>5</v>
      </c>
      <c r="I6564" s="20" t="inlineStr">
        <is>
          <t>스테이포에버</t>
        </is>
      </c>
      <c r="J6564" s="20" t="inlineStr">
        <is>
          <t>210207</t>
        </is>
      </c>
      <c r="L6564" s="20" t="n">
        <v>170000</v>
      </c>
      <c r="M6564" s="20" t="n">
        <v>160055</v>
      </c>
      <c r="N6564" s="20" t="n">
        <v>12960</v>
      </c>
      <c r="O6564" s="20" t="inlineStr">
        <is>
          <t>카페24고체향수솔리드퍼퓸 세트향=스테이포에버 002 SOLID PERFUME, 세트 선택=1개210207</t>
        </is>
      </c>
    </row>
    <row r="6565">
      <c r="B6565" s="16" t="n">
        <v>44297</v>
      </c>
      <c r="C6565" s="20" t="inlineStr">
        <is>
          <t>일</t>
        </is>
      </c>
      <c r="E6565" s="20" t="inlineStr">
        <is>
          <t>고체향수</t>
        </is>
      </c>
      <c r="F6565" s="20" t="inlineStr">
        <is>
          <t>카페24</t>
        </is>
      </c>
      <c r="G6565" s="20" t="inlineStr">
        <is>
          <t>솔리드퍼퓸 세트향=스테이포에버 002 SOLID PERFUME, 세트 선택=best 2개 (28% 할인)</t>
        </is>
      </c>
      <c r="H6565" s="20" t="n">
        <v>14</v>
      </c>
      <c r="I6565" s="20" t="inlineStr">
        <is>
          <t>스테이포에버 2set</t>
        </is>
      </c>
      <c r="J6565" s="20" t="inlineStr">
        <is>
          <t>210207</t>
        </is>
      </c>
      <c r="L6565" s="20" t="n">
        <v>823200</v>
      </c>
      <c r="M6565" s="20" t="n">
        <v>775042.7999999999</v>
      </c>
      <c r="N6565" s="20" t="n">
        <v>72576</v>
      </c>
      <c r="O6565" s="20" t="inlineStr">
        <is>
          <t>카페24고체향수솔리드퍼퓸 세트향=스테이포에버 002 SOLID PERFUME, 세트 선택=best 2개 (28% 할인)210207</t>
        </is>
      </c>
    </row>
    <row r="6566">
      <c r="B6566" s="16" t="n">
        <v>44297</v>
      </c>
      <c r="C6566" s="20" t="inlineStr">
        <is>
          <t>일</t>
        </is>
      </c>
      <c r="E6566" s="20" t="inlineStr">
        <is>
          <t>고체향수</t>
        </is>
      </c>
      <c r="F6566" s="20" t="inlineStr">
        <is>
          <t>카페24</t>
        </is>
      </c>
      <c r="G6566" s="20" t="inlineStr">
        <is>
          <t>솔리드퍼퓸 세트향=커플세트(이그나이트 + 스테이포에버), 세트 선택=1 SET</t>
        </is>
      </c>
      <c r="H6566" s="20" t="n">
        <v>12</v>
      </c>
      <c r="I6566" s="20" t="inlineStr">
        <is>
          <t>이그나이트 + 스테이포에버</t>
        </is>
      </c>
      <c r="J6566" s="20" t="inlineStr">
        <is>
          <t>210207</t>
        </is>
      </c>
      <c r="L6566" s="20" t="n">
        <v>705600</v>
      </c>
      <c r="M6566" s="20" t="n">
        <v>664322.3999999999</v>
      </c>
      <c r="N6566" s="20" t="n">
        <v>64140</v>
      </c>
      <c r="O6566" s="20" t="inlineStr">
        <is>
          <t>카페24고체향수솔리드퍼퓸 세트향=커플세트(이그나이트 + 스테이포에버), 세트 선택=1 SET210207</t>
        </is>
      </c>
    </row>
    <row r="6567">
      <c r="B6567" s="16" t="n">
        <v>44297</v>
      </c>
      <c r="C6567" s="20" t="inlineStr">
        <is>
          <t>일</t>
        </is>
      </c>
      <c r="E6567" s="20" t="inlineStr">
        <is>
          <t>고체향수</t>
        </is>
      </c>
      <c r="F6567" s="20" t="inlineStr">
        <is>
          <t>카페24</t>
        </is>
      </c>
      <c r="G6567" s="20" t="inlineStr">
        <is>
          <t>솔리드퍼퓸 세트향=커플세트(이그나이트 + 스테이포에버), 세트 선택=2 SET (42% 할인)</t>
        </is>
      </c>
      <c r="H6567" s="20" t="n">
        <v>2</v>
      </c>
      <c r="I6567" s="20" t="inlineStr">
        <is>
          <t>이그나이트 + 스테이포에버</t>
        </is>
      </c>
      <c r="J6567" s="20" t="inlineStr">
        <is>
          <t>210207</t>
        </is>
      </c>
      <c r="L6567" s="20" t="n">
        <v>117600</v>
      </c>
      <c r="M6567" s="20" t="n">
        <v>110720.4</v>
      </c>
      <c r="N6567" s="20" t="n">
        <v>10690</v>
      </c>
      <c r="O6567" s="20" t="inlineStr">
        <is>
          <t>카페24고체향수솔리드퍼퓸 세트향=커플세트(이그나이트 + 스테이포에버), 세트 선택=2 SET (42% 할인)210207</t>
        </is>
      </c>
    </row>
    <row r="6568">
      <c r="B6568" s="16" t="n">
        <v>44297</v>
      </c>
      <c r="C6568" s="20" t="inlineStr">
        <is>
          <t>일</t>
        </is>
      </c>
      <c r="E6568" s="20" t="inlineStr">
        <is>
          <t>고체향수</t>
        </is>
      </c>
      <c r="F6568" s="20" t="inlineStr">
        <is>
          <t>카페24</t>
        </is>
      </c>
      <c r="G6568" s="20" t="inlineStr">
        <is>
          <t>솔리드퍼퓸 스테이포에버 002제품선택=스테이포에버 1개</t>
        </is>
      </c>
      <c r="H6568" s="20" t="n">
        <v>214</v>
      </c>
      <c r="I6568" s="20" t="inlineStr">
        <is>
          <t>스테이포에버</t>
        </is>
      </c>
      <c r="J6568" s="20" t="inlineStr">
        <is>
          <t>210207</t>
        </is>
      </c>
      <c r="L6568" s="20" t="n">
        <v>7276000</v>
      </c>
      <c r="M6568" s="20" t="n">
        <v>6850354</v>
      </c>
      <c r="N6568" s="20" t="n">
        <v>554688</v>
      </c>
      <c r="O6568" s="20" t="inlineStr">
        <is>
          <t>카페24고체향수솔리드퍼퓸 스테이포에버 002제품선택=스테이포에버 1개210207</t>
        </is>
      </c>
    </row>
    <row r="6569">
      <c r="B6569" s="16" t="n">
        <v>44297</v>
      </c>
      <c r="C6569" s="20" t="inlineStr">
        <is>
          <t>일</t>
        </is>
      </c>
      <c r="E6569" s="20" t="inlineStr">
        <is>
          <t>고체향수</t>
        </is>
      </c>
      <c r="F6569" s="20" t="inlineStr">
        <is>
          <t>카페24</t>
        </is>
      </c>
      <c r="G6569" s="20" t="inlineStr">
        <is>
          <t>솔리드퍼퓸 스테이포에버 002제품선택=best스테이포에버 2개[28% 할인]</t>
        </is>
      </c>
      <c r="H6569" s="20" t="n">
        <v>144</v>
      </c>
      <c r="I6569" s="20" t="inlineStr">
        <is>
          <t>스테이포에버 2set</t>
        </is>
      </c>
      <c r="J6569" s="20" t="inlineStr">
        <is>
          <t>210207</t>
        </is>
      </c>
      <c r="L6569" s="20" t="n">
        <v>8467200</v>
      </c>
      <c r="M6569" s="20" t="n">
        <v>7971868.8</v>
      </c>
      <c r="N6569" s="20" t="n">
        <v>746496</v>
      </c>
      <c r="O6569" s="20" t="inlineStr">
        <is>
          <t>카페24고체향수솔리드퍼퓸 스테이포에버 002제품선택=best스테이포에버 2개[28% 할인]210207</t>
        </is>
      </c>
    </row>
    <row r="6570">
      <c r="B6570" s="16" t="n">
        <v>44297</v>
      </c>
      <c r="C6570" s="20" t="inlineStr">
        <is>
          <t>일</t>
        </is>
      </c>
      <c r="E6570" s="20" t="inlineStr">
        <is>
          <t>고체향수</t>
        </is>
      </c>
      <c r="F6570" s="20" t="inlineStr">
        <is>
          <t>카페24</t>
        </is>
      </c>
      <c r="G6570" s="20" t="inlineStr">
        <is>
          <t>솔리드퍼퓸 스테이포에버 002제품선택=커플추천스테이포에버 + 이그나이트 세트</t>
        </is>
      </c>
      <c r="H6570" s="20" t="n">
        <v>12</v>
      </c>
      <c r="I6570" s="20" t="inlineStr">
        <is>
          <t>이그나이트 + 스테이포에버</t>
        </is>
      </c>
      <c r="J6570" s="20" t="inlineStr">
        <is>
          <t>210207</t>
        </is>
      </c>
      <c r="L6570" s="20" t="n">
        <v>705600</v>
      </c>
      <c r="M6570" s="20" t="n">
        <v>664322.3999999999</v>
      </c>
      <c r="N6570" s="20" t="n">
        <v>64140</v>
      </c>
      <c r="O6570" s="20" t="inlineStr">
        <is>
          <t>카페24고체향수솔리드퍼퓸 스테이포에버 002제품선택=커플추천스테이포에버 + 이그나이트 세트210207</t>
        </is>
      </c>
    </row>
    <row r="6571">
      <c r="B6571" s="16" t="n">
        <v>44297</v>
      </c>
      <c r="C6571" s="20" t="inlineStr">
        <is>
          <t>일</t>
        </is>
      </c>
      <c r="E6571" s="20" t="inlineStr">
        <is>
          <t>쇼핑백</t>
        </is>
      </c>
      <c r="F6571" s="20" t="inlineStr">
        <is>
          <t>카페24</t>
        </is>
      </c>
      <c r="G6571" s="20" t="inlineStr">
        <is>
          <t>솔리드퍼퓸 스테이포에버 002쇼핑백=선물용 쇼핑백</t>
        </is>
      </c>
      <c r="H6571" s="20" t="n">
        <v>8</v>
      </c>
      <c r="I6571" s="20" t="inlineStr">
        <is>
          <t>쇼핑백</t>
        </is>
      </c>
      <c r="J6571" s="20" t="inlineStr">
        <is>
          <t>210207</t>
        </is>
      </c>
      <c r="L6571" s="20" t="n">
        <v>16000</v>
      </c>
      <c r="M6571" s="20" t="n">
        <v>15064</v>
      </c>
      <c r="N6571" s="20" t="n">
        <v>6640</v>
      </c>
      <c r="O6571" s="20" t="inlineStr">
        <is>
          <t>카페24쇼핑백솔리드퍼퓸 스테이포에버 002쇼핑백=선물용 쇼핑백210207</t>
        </is>
      </c>
    </row>
    <row r="6572">
      <c r="B6572" s="16" t="n">
        <v>44297</v>
      </c>
      <c r="C6572" s="20" t="inlineStr">
        <is>
          <t>일</t>
        </is>
      </c>
      <c r="E6572" s="20" t="inlineStr">
        <is>
          <t>고체향수</t>
        </is>
      </c>
      <c r="F6572" s="20" t="inlineStr">
        <is>
          <t>카페24</t>
        </is>
      </c>
      <c r="G6572" s="20" t="inlineStr">
        <is>
          <t>솔리드퍼퓸 이그나이트 001제품선택=이그나이트 솔리드퍼퓸 - 30ml</t>
        </is>
      </c>
      <c r="H6572" s="20" t="n">
        <v>2</v>
      </c>
      <c r="I6572" s="20" t="inlineStr">
        <is>
          <t>이그나이트</t>
        </is>
      </c>
      <c r="J6572" s="20" t="inlineStr">
        <is>
          <t>210207</t>
        </is>
      </c>
      <c r="L6572" s="20" t="n">
        <v>68000</v>
      </c>
      <c r="M6572" s="20" t="n">
        <v>64022</v>
      </c>
      <c r="N6572" s="20" t="n">
        <v>5506</v>
      </c>
      <c r="O6572" s="20" t="inlineStr">
        <is>
          <t>카페24고체향수솔리드퍼퓸 이그나이트 001제품선택=이그나이트 솔리드퍼퓸 - 30ml210207</t>
        </is>
      </c>
    </row>
    <row r="6573">
      <c r="A6573" s="20" t="inlineStr">
        <is>
          <t>고체향수</t>
        </is>
      </c>
      <c r="B6573" s="16" t="n">
        <v>44295</v>
      </c>
      <c r="C6573" s="20" t="inlineStr">
        <is>
          <t>금</t>
        </is>
      </c>
      <c r="D6573" s="20" t="inlineStr">
        <is>
          <t>네이버 배너</t>
        </is>
      </c>
      <c r="E6573" s="20" t="inlineStr">
        <is>
          <t>고체향수</t>
        </is>
      </c>
      <c r="K6573" s="20" t="n">
        <v>1604387.272727273</v>
      </c>
    </row>
    <row r="6574">
      <c r="A6574" s="20" t="inlineStr">
        <is>
          <t>고체향수</t>
        </is>
      </c>
      <c r="B6574" s="16" t="n">
        <v>44296</v>
      </c>
      <c r="C6574" s="20" t="inlineStr">
        <is>
          <t>토</t>
        </is>
      </c>
      <c r="D6574" s="20" t="inlineStr">
        <is>
          <t>네이버 배너</t>
        </is>
      </c>
      <c r="E6574" s="20" t="inlineStr">
        <is>
          <t>고체향수</t>
        </is>
      </c>
      <c r="K6574" s="20" t="n">
        <v>1440240.909090909</v>
      </c>
    </row>
    <row r="6575">
      <c r="A6575" s="20" t="inlineStr">
        <is>
          <t>고체향수</t>
        </is>
      </c>
      <c r="B6575" s="16" t="n">
        <v>44297</v>
      </c>
      <c r="C6575" s="20" t="inlineStr">
        <is>
          <t>일</t>
        </is>
      </c>
      <c r="D6575" s="20" t="inlineStr">
        <is>
          <t>네이버 배너</t>
        </is>
      </c>
      <c r="E6575" s="20" t="inlineStr">
        <is>
          <t>고체향수</t>
        </is>
      </c>
      <c r="K6575" s="20" t="n">
        <v>1505028.181818182</v>
      </c>
    </row>
    <row r="6576">
      <c r="B6576" s="16" t="n">
        <v>44295</v>
      </c>
      <c r="C6576" s="20" t="inlineStr">
        <is>
          <t>금</t>
        </is>
      </c>
      <c r="D6576" s="20" t="inlineStr">
        <is>
          <t>네이버 배너(대행사)</t>
        </is>
      </c>
      <c r="E6576" s="20" t="inlineStr">
        <is>
          <t>고체향수</t>
        </is>
      </c>
      <c r="K6576" s="20">
        <f>175497/1.1</f>
        <v/>
      </c>
    </row>
    <row r="6577">
      <c r="B6577" s="16" t="n">
        <v>44296</v>
      </c>
      <c r="C6577" s="20" t="inlineStr">
        <is>
          <t>토</t>
        </is>
      </c>
      <c r="D6577" s="20" t="inlineStr">
        <is>
          <t>네이버 배너(대행사)</t>
        </is>
      </c>
      <c r="E6577" s="20" t="inlineStr">
        <is>
          <t>고체향수</t>
        </is>
      </c>
      <c r="K6577" s="20">
        <f>231515/1.1</f>
        <v/>
      </c>
    </row>
    <row r="6578">
      <c r="B6578" s="16" t="n">
        <v>44297</v>
      </c>
      <c r="C6578" s="20" t="inlineStr">
        <is>
          <t>일</t>
        </is>
      </c>
      <c r="D6578" s="20" t="inlineStr">
        <is>
          <t>네이버 배너(대행사)</t>
        </is>
      </c>
      <c r="E6578" s="20" t="inlineStr">
        <is>
          <t>고체향수</t>
        </is>
      </c>
      <c r="K6578" s="20">
        <f>108521/1.1</f>
        <v/>
      </c>
    </row>
    <row r="6579">
      <c r="A6579" s="20" t="inlineStr">
        <is>
          <t>[승희 TEST] 스테이포에버_이미지</t>
        </is>
      </c>
      <c r="B6579" s="16" t="n">
        <v>44298</v>
      </c>
      <c r="C6579" s="20" t="inlineStr">
        <is>
          <t>월</t>
        </is>
      </c>
      <c r="D6579" s="20">
        <f>VLOOKUP($A6579,매칭테이블!$B$548:$D$1048576,2,0)</f>
        <v/>
      </c>
      <c r="E6579" s="20" t="inlineStr">
        <is>
          <t>고체향수</t>
        </is>
      </c>
      <c r="K6579" s="20" t="n">
        <v>12637</v>
      </c>
    </row>
    <row r="6580">
      <c r="A6580" s="20" t="inlineStr">
        <is>
          <t>[올리브영] 스테이포에버_영상</t>
        </is>
      </c>
      <c r="B6580" s="16" t="n">
        <v>44298</v>
      </c>
      <c r="C6580" s="20" t="inlineStr">
        <is>
          <t>월</t>
        </is>
      </c>
      <c r="D6580" s="20">
        <f>VLOOKUP($A6580,매칭테이블!$B$548:$D$1048576,2,0)</f>
        <v/>
      </c>
      <c r="E6580" s="20" t="inlineStr">
        <is>
          <t>고체향수</t>
        </is>
      </c>
      <c r="K6580" s="20" t="n">
        <v>34250</v>
      </c>
    </row>
    <row r="6581">
      <c r="A6581" s="20" t="inlineStr">
        <is>
          <t>[올리브영] 스테이포에버_이미지</t>
        </is>
      </c>
      <c r="B6581" s="16" t="n">
        <v>44298</v>
      </c>
      <c r="C6581" s="20" t="inlineStr">
        <is>
          <t>월</t>
        </is>
      </c>
      <c r="D6581" s="20">
        <f>VLOOKUP($A6581,매칭테이블!$B$548:$D$1048576,2,0)</f>
        <v/>
      </c>
      <c r="E6581" s="20" t="inlineStr">
        <is>
          <t>고체향수</t>
        </is>
      </c>
      <c r="K6581" s="20" t="n">
        <v>26912</v>
      </c>
    </row>
    <row r="6582">
      <c r="A6582" s="20" t="inlineStr">
        <is>
          <t>[승무원] 유튜브재편집_스테이포에버_영상</t>
        </is>
      </c>
      <c r="B6582" s="16" t="n">
        <v>44298</v>
      </c>
      <c r="C6582" s="20" t="inlineStr">
        <is>
          <t>월</t>
        </is>
      </c>
      <c r="D6582" s="20" t="inlineStr">
        <is>
          <t>페이스북/인스타그램</t>
        </is>
      </c>
      <c r="E6582" s="20" t="inlineStr">
        <is>
          <t>고체향수</t>
        </is>
      </c>
      <c r="K6582" s="20" t="n">
        <v>176403</v>
      </c>
    </row>
    <row r="6583">
      <c r="A6583" s="20" t="inlineStr">
        <is>
          <t>[다현 TEST] 스테이포에버_유즈모먼트</t>
        </is>
      </c>
      <c r="B6583" s="16" t="n">
        <v>44298</v>
      </c>
      <c r="C6583" s="20" t="inlineStr">
        <is>
          <t>월</t>
        </is>
      </c>
      <c r="D6583" s="20" t="inlineStr">
        <is>
          <t>페이스북/인스타그램</t>
        </is>
      </c>
      <c r="E6583" s="20" t="inlineStr">
        <is>
          <t>고체향수</t>
        </is>
      </c>
      <c r="K6583" s="20" t="n">
        <v>58695</v>
      </c>
    </row>
    <row r="6584">
      <c r="A6584" s="20" t="inlineStr">
        <is>
          <t>[성민 TEST] 스테이포에버_이미지</t>
        </is>
      </c>
      <c r="B6584" s="16" t="n">
        <v>44298</v>
      </c>
      <c r="C6584" s="20" t="inlineStr">
        <is>
          <t>월</t>
        </is>
      </c>
      <c r="D6584" s="20" t="inlineStr">
        <is>
          <t>페이스북/인스타그램</t>
        </is>
      </c>
      <c r="E6584" s="20" t="inlineStr">
        <is>
          <t>고체향수</t>
        </is>
      </c>
      <c r="K6584" s="20" t="n">
        <v>262415</v>
      </c>
    </row>
    <row r="6585">
      <c r="A6585" s="20" t="inlineStr">
        <is>
          <t>[승은 TEST] 스테이포에버_카드뉴스</t>
        </is>
      </c>
      <c r="B6585" s="16" t="n">
        <v>44298</v>
      </c>
      <c r="C6585" s="20" t="inlineStr">
        <is>
          <t>월</t>
        </is>
      </c>
      <c r="D6585" s="20" t="inlineStr">
        <is>
          <t>페이스북/인스타그램</t>
        </is>
      </c>
      <c r="E6585" s="20" t="inlineStr">
        <is>
          <t>고체향수</t>
        </is>
      </c>
      <c r="K6585" s="20" t="n">
        <v>97482</v>
      </c>
    </row>
    <row r="6586">
      <c r="A6586" s="20" t="inlineStr">
        <is>
          <t>[승무원 2] 스테이포에버_카드뉴스</t>
        </is>
      </c>
      <c r="B6586" s="16" t="n">
        <v>44298</v>
      </c>
      <c r="C6586" s="20" t="inlineStr">
        <is>
          <t>월</t>
        </is>
      </c>
      <c r="D6586" s="20" t="inlineStr">
        <is>
          <t>페이스북/인스타그램</t>
        </is>
      </c>
      <c r="E6586" s="20" t="inlineStr">
        <is>
          <t>고체향수</t>
        </is>
      </c>
      <c r="K6586" s="20" t="n">
        <v>67706</v>
      </c>
    </row>
    <row r="6587">
      <c r="A6587" s="20" t="inlineStr">
        <is>
          <t>[테스트]아줌마</t>
        </is>
      </c>
      <c r="B6587" s="16" t="n">
        <v>44298</v>
      </c>
      <c r="C6587" s="20" t="inlineStr">
        <is>
          <t>월</t>
        </is>
      </c>
      <c r="D6587" s="20" t="inlineStr">
        <is>
          <t>페이스북/인스타그램</t>
        </is>
      </c>
      <c r="E6587" s="20" t="inlineStr">
        <is>
          <t>고체향수</t>
        </is>
      </c>
      <c r="K6587" s="20" t="n">
        <v>107299</v>
      </c>
    </row>
    <row r="6588">
      <c r="A6588" s="20" t="inlineStr">
        <is>
          <t>[다양한 키워드] 스테이포에버_이미지</t>
        </is>
      </c>
      <c r="B6588" s="16" t="n">
        <v>44298</v>
      </c>
      <c r="C6588" s="20" t="inlineStr">
        <is>
          <t>월</t>
        </is>
      </c>
      <c r="D6588" s="20" t="inlineStr">
        <is>
          <t>페이스북/인스타그램</t>
        </is>
      </c>
      <c r="E6588" s="20" t="inlineStr">
        <is>
          <t>고체향수</t>
        </is>
      </c>
      <c r="K6588" s="20" t="n">
        <v>262521</v>
      </c>
    </row>
    <row r="6589">
      <c r="A6589" s="20" t="inlineStr">
        <is>
          <t>[재입고]스테이포에버_이미지</t>
        </is>
      </c>
      <c r="B6589" s="16" t="n">
        <v>44298</v>
      </c>
      <c r="C6589" s="20" t="inlineStr">
        <is>
          <t>월</t>
        </is>
      </c>
      <c r="D6589" s="20" t="inlineStr">
        <is>
          <t>페이스북/인스타그램</t>
        </is>
      </c>
      <c r="E6589" s="20" t="inlineStr">
        <is>
          <t>고체향수</t>
        </is>
      </c>
      <c r="K6589" s="20" t="n">
        <v>244598</v>
      </c>
    </row>
    <row r="6590">
      <c r="A6590" s="20" t="inlineStr">
        <is>
          <t>[승무원]숏폼_영상</t>
        </is>
      </c>
      <c r="B6590" s="16" t="n">
        <v>44298</v>
      </c>
      <c r="C6590" s="20" t="inlineStr">
        <is>
          <t>월</t>
        </is>
      </c>
      <c r="D6590" s="20" t="inlineStr">
        <is>
          <t>페이스북/인스타그램</t>
        </is>
      </c>
      <c r="E6590" s="20" t="inlineStr">
        <is>
          <t>고체향수</t>
        </is>
      </c>
      <c r="K6590" s="20" t="n">
        <v>47950</v>
      </c>
    </row>
    <row r="6591">
      <c r="A6591" s="20" t="inlineStr">
        <is>
          <t>[재입고]스테이포에버_영상</t>
        </is>
      </c>
      <c r="B6591" s="16" t="n">
        <v>44298</v>
      </c>
      <c r="C6591" s="20" t="inlineStr">
        <is>
          <t>월</t>
        </is>
      </c>
      <c r="D6591" s="20" t="inlineStr">
        <is>
          <t>페이스북/인스타그램</t>
        </is>
      </c>
      <c r="E6591" s="20" t="inlineStr">
        <is>
          <t>고체향수</t>
        </is>
      </c>
      <c r="K6591" s="20" t="n">
        <v>194310</v>
      </c>
    </row>
    <row r="6592">
      <c r="A6592" s="20" t="inlineStr">
        <is>
          <t>[승무원]2019년썰 카드뉴스+ 향묘사_영상</t>
        </is>
      </c>
      <c r="B6592" s="16" t="n">
        <v>44298</v>
      </c>
      <c r="C6592" s="20" t="inlineStr">
        <is>
          <t>월</t>
        </is>
      </c>
      <c r="D6592" s="20" t="inlineStr">
        <is>
          <t>페이스북/인스타그램</t>
        </is>
      </c>
      <c r="E6592" s="20" t="inlineStr">
        <is>
          <t>고체향수</t>
        </is>
      </c>
      <c r="K6592" s="20" t="n">
        <v>48099</v>
      </c>
    </row>
    <row r="6593">
      <c r="A6593" s="20" t="inlineStr">
        <is>
          <t>[승무원어피]스테이포에버_이미지</t>
        </is>
      </c>
      <c r="B6593" s="16" t="n">
        <v>44298</v>
      </c>
      <c r="C6593" s="20" t="inlineStr">
        <is>
          <t>월</t>
        </is>
      </c>
      <c r="D6593" s="20" t="inlineStr">
        <is>
          <t>페이스북/인스타그램</t>
        </is>
      </c>
      <c r="E6593" s="20" t="inlineStr">
        <is>
          <t>고체향수</t>
        </is>
      </c>
      <c r="K6593" s="20" t="n">
        <v>96924</v>
      </c>
    </row>
    <row r="6594">
      <c r="A6594" s="20" t="inlineStr">
        <is>
          <t>[다현]스테이포에버_이미지</t>
        </is>
      </c>
      <c r="B6594" s="16" t="n">
        <v>44298</v>
      </c>
      <c r="C6594" s="20" t="inlineStr">
        <is>
          <t>월</t>
        </is>
      </c>
      <c r="D6594" s="20" t="inlineStr">
        <is>
          <t>페이스북/인스타그램</t>
        </is>
      </c>
      <c r="E6594" s="20" t="inlineStr">
        <is>
          <t>고체향수</t>
        </is>
      </c>
      <c r="K6594" s="20" t="n">
        <v>144441</v>
      </c>
    </row>
    <row r="6595">
      <c r="A6595" s="20" t="inlineStr">
        <is>
          <t>[승무원]스테이포에버_카드뉴스</t>
        </is>
      </c>
      <c r="B6595" s="16" t="n">
        <v>44298</v>
      </c>
      <c r="C6595" s="20" t="inlineStr">
        <is>
          <t>월</t>
        </is>
      </c>
      <c r="D6595" s="20" t="inlineStr">
        <is>
          <t>페이스북/인스타그램</t>
        </is>
      </c>
      <c r="E6595" s="20" t="inlineStr">
        <is>
          <t>고체향수</t>
        </is>
      </c>
      <c r="K6595" s="20" t="n">
        <v>67286</v>
      </c>
    </row>
    <row r="6596">
      <c r="A6596" s="20" t="inlineStr">
        <is>
          <t>[후기타입]스테이포에버_영상</t>
        </is>
      </c>
      <c r="B6596" s="16" t="n">
        <v>44298</v>
      </c>
      <c r="C6596" s="20" t="inlineStr">
        <is>
          <t>월</t>
        </is>
      </c>
      <c r="D6596" s="20" t="inlineStr">
        <is>
          <t>페이스북/인스타그램</t>
        </is>
      </c>
      <c r="E6596" s="20" t="inlineStr">
        <is>
          <t>고체향수</t>
        </is>
      </c>
      <c r="K6596" s="20" t="n">
        <v>146071</v>
      </c>
    </row>
    <row r="6597">
      <c r="A6597" s="20" t="inlineStr">
        <is>
          <t>전환_스테이포에버</t>
        </is>
      </c>
      <c r="B6597" s="16" t="n">
        <v>44298</v>
      </c>
      <c r="C6597" s="20" t="inlineStr">
        <is>
          <t>월</t>
        </is>
      </c>
      <c r="D6597" s="20" t="inlineStr">
        <is>
          <t>페이스북/인스타그램</t>
        </is>
      </c>
      <c r="E6597" s="20" t="inlineStr">
        <is>
          <t>고체향수</t>
        </is>
      </c>
      <c r="K6597" s="20" t="n">
        <v>67736</v>
      </c>
    </row>
    <row r="6598">
      <c r="A6598" s="20" t="inlineStr">
        <is>
          <t>[권태기커플]스테이포에버_영상</t>
        </is>
      </c>
      <c r="B6598" s="16" t="n">
        <v>44298</v>
      </c>
      <c r="C6598" s="20" t="inlineStr">
        <is>
          <t>월</t>
        </is>
      </c>
      <c r="D6598" s="20" t="inlineStr">
        <is>
          <t>페이스북/인스타그램</t>
        </is>
      </c>
      <c r="E6598" s="20" t="inlineStr">
        <is>
          <t>고체향수</t>
        </is>
      </c>
      <c r="K6598" s="20" t="n">
        <v>49878</v>
      </c>
    </row>
    <row r="6599">
      <c r="A6599" s="20" t="inlineStr">
        <is>
          <t>웹사이트 트래픽 서치</t>
        </is>
      </c>
      <c r="B6599" s="16" t="n">
        <v>44298</v>
      </c>
      <c r="C6599" s="20" t="inlineStr">
        <is>
          <t>월</t>
        </is>
      </c>
      <c r="D6599" s="20" t="inlineStr">
        <is>
          <t>유튜브 광고</t>
        </is>
      </c>
      <c r="E6599" s="20" t="inlineStr">
        <is>
          <t>고체향수</t>
        </is>
      </c>
      <c r="K6599" s="20" t="n">
        <v>35183</v>
      </c>
    </row>
    <row r="6600">
      <c r="A6600" s="20" t="inlineStr">
        <is>
          <t>동영상캠페인_승무원_보이는 라디오(cpa)</t>
        </is>
      </c>
      <c r="B6600" s="16" t="n">
        <v>44298</v>
      </c>
      <c r="C6600" s="20" t="inlineStr">
        <is>
          <t>월</t>
        </is>
      </c>
      <c r="D6600" s="20" t="inlineStr">
        <is>
          <t>유튜브 광고</t>
        </is>
      </c>
      <c r="E6600" s="20" t="inlineStr">
        <is>
          <t>고체향수</t>
        </is>
      </c>
      <c r="K6600" s="20" t="n">
        <v>42156</v>
      </c>
    </row>
    <row r="6601">
      <c r="A6601" s="20" t="inlineStr">
        <is>
          <t>디스커버리 배너_승무원,할인_리마케팅</t>
        </is>
      </c>
      <c r="B6601" s="16" t="n">
        <v>44298</v>
      </c>
      <c r="C6601" s="20" t="inlineStr">
        <is>
          <t>월</t>
        </is>
      </c>
      <c r="D6601" s="20" t="inlineStr">
        <is>
          <t>유튜브 광고</t>
        </is>
      </c>
      <c r="E6601" s="20" t="inlineStr">
        <is>
          <t>고체향수</t>
        </is>
      </c>
      <c r="K6601" s="20" t="n">
        <v>449543</v>
      </c>
    </row>
    <row r="6602">
      <c r="A6602" s="20" t="inlineStr">
        <is>
          <t>동영상캠페인_승무원_써니스카이</t>
        </is>
      </c>
      <c r="B6602" s="16" t="n">
        <v>44298</v>
      </c>
      <c r="C6602" s="20" t="inlineStr">
        <is>
          <t>월</t>
        </is>
      </c>
      <c r="D6602" s="20" t="inlineStr">
        <is>
          <t>유튜브 광고</t>
        </is>
      </c>
      <c r="E6602" s="20" t="inlineStr">
        <is>
          <t>고체향수</t>
        </is>
      </c>
      <c r="K6602" s="20" t="n">
        <v>200751</v>
      </c>
    </row>
    <row r="6603">
      <c r="A6603" s="20" t="inlineStr">
        <is>
          <t>동영상캠페인_필라테스_자기관리(타겟 cpa)</t>
        </is>
      </c>
      <c r="B6603" s="16" t="n">
        <v>44298</v>
      </c>
      <c r="C6603" s="20" t="inlineStr">
        <is>
          <t>월</t>
        </is>
      </c>
      <c r="D6603" s="20" t="inlineStr">
        <is>
          <t>유튜브 광고</t>
        </is>
      </c>
      <c r="E6603" s="20" t="inlineStr">
        <is>
          <t>고체향수</t>
        </is>
      </c>
      <c r="K6603" s="20" t="n">
        <v>59369</v>
      </c>
    </row>
    <row r="6604">
      <c r="A6604" s="20" t="inlineStr">
        <is>
          <t>동영상캠페인_승무원_비누향 나는 승무원에게(cpa)</t>
        </is>
      </c>
      <c r="B6604" s="16" t="n">
        <v>44298</v>
      </c>
      <c r="C6604" s="20" t="inlineStr">
        <is>
          <t>월</t>
        </is>
      </c>
      <c r="D6604" s="20" t="inlineStr">
        <is>
          <t>유튜브 광고</t>
        </is>
      </c>
      <c r="E6604" s="20" t="inlineStr">
        <is>
          <t>고체향수</t>
        </is>
      </c>
      <c r="K6604" s="20" t="n">
        <v>20062</v>
      </c>
    </row>
    <row r="6605">
      <c r="A6605" s="20" t="inlineStr">
        <is>
          <t>동영상캠페인_유즈모먼트_조향사 친구(cpa)</t>
        </is>
      </c>
      <c r="B6605" s="16" t="n">
        <v>44298</v>
      </c>
      <c r="C6605" s="20" t="inlineStr">
        <is>
          <t>월</t>
        </is>
      </c>
      <c r="D6605" s="20" t="inlineStr">
        <is>
          <t>유튜브 광고</t>
        </is>
      </c>
      <c r="E6605" s="20" t="inlineStr">
        <is>
          <t>고체향수</t>
        </is>
      </c>
      <c r="K6605" s="20" t="n">
        <v>200486</v>
      </c>
    </row>
    <row r="6606">
      <c r="A6606" s="20" t="inlineStr">
        <is>
          <t>동영상 캠페인_유튜버 수지큐 2차활용</t>
        </is>
      </c>
      <c r="B6606" s="16" t="n">
        <v>44298</v>
      </c>
      <c r="C6606" s="20" t="inlineStr">
        <is>
          <t>월</t>
        </is>
      </c>
      <c r="D6606" s="20" t="inlineStr">
        <is>
          <t>유튜브 광고</t>
        </is>
      </c>
      <c r="E6606" s="20" t="inlineStr">
        <is>
          <t>고체향수</t>
        </is>
      </c>
      <c r="K6606" s="20" t="n">
        <v>100079</v>
      </c>
    </row>
    <row r="6607">
      <c r="A6607" s="20" t="inlineStr">
        <is>
          <t>동영상캠페인_유즈모먼트_4화_강한향대신</t>
        </is>
      </c>
      <c r="B6607" s="16" t="n">
        <v>44298</v>
      </c>
      <c r="C6607" s="20" t="inlineStr">
        <is>
          <t>월</t>
        </is>
      </c>
      <c r="D6607" s="20" t="inlineStr">
        <is>
          <t>유튜브 광고</t>
        </is>
      </c>
      <c r="E6607" s="20" t="inlineStr">
        <is>
          <t>고체향수</t>
        </is>
      </c>
      <c r="K6607" s="20" t="n">
        <v>99810</v>
      </c>
    </row>
    <row r="6608">
      <c r="A6608" s="20" t="inlineStr">
        <is>
          <t>[5화자] 동영상 캠페인_벨라의 비행일기</t>
        </is>
      </c>
      <c r="B6608" s="16" t="n">
        <v>44298</v>
      </c>
      <c r="C6608" s="20" t="inlineStr">
        <is>
          <t>월</t>
        </is>
      </c>
      <c r="D6608" s="20" t="inlineStr">
        <is>
          <t>유튜브 광고</t>
        </is>
      </c>
      <c r="E6608" s="20" t="inlineStr">
        <is>
          <t>고체향수</t>
        </is>
      </c>
      <c r="K6608" s="20" t="n">
        <v>400022</v>
      </c>
    </row>
    <row r="6609">
      <c r="A6609" s="20" t="inlineStr">
        <is>
          <t>[5화자] 동영상 캠페인_비행하고 여행하는 은선씨</t>
        </is>
      </c>
      <c r="B6609" s="16" t="n">
        <v>44298</v>
      </c>
      <c r="C6609" s="20" t="inlineStr">
        <is>
          <t>월</t>
        </is>
      </c>
      <c r="D6609" s="20" t="inlineStr">
        <is>
          <t>유튜브 광고</t>
        </is>
      </c>
      <c r="E6609" s="20" t="inlineStr">
        <is>
          <t>고체향수</t>
        </is>
      </c>
      <c r="K6609" s="20" t="n">
        <v>400000</v>
      </c>
    </row>
    <row r="6610">
      <c r="A6610" s="20" t="inlineStr">
        <is>
          <t>[5화자 재편집] 승무원_벨라_면세점에서 천만원</t>
        </is>
      </c>
      <c r="B6610" s="16" t="n">
        <v>44298</v>
      </c>
      <c r="C6610" s="20" t="inlineStr">
        <is>
          <t>월</t>
        </is>
      </c>
      <c r="D6610" s="20" t="inlineStr">
        <is>
          <t>유튜브 광고</t>
        </is>
      </c>
      <c r="E6610" s="20" t="inlineStr">
        <is>
          <t>고체향수</t>
        </is>
      </c>
      <c r="K6610" s="20" t="n">
        <v>199977</v>
      </c>
    </row>
    <row r="6611">
      <c r="A6611" s="20" t="inlineStr">
        <is>
          <t>동영상캠페인_유즈모먼트_면세점뒤졌는데</t>
        </is>
      </c>
      <c r="B6611" s="16" t="n">
        <v>44298</v>
      </c>
      <c r="C6611" s="20" t="inlineStr">
        <is>
          <t>월</t>
        </is>
      </c>
      <c r="D6611" s="20">
        <f>VLOOKUP($A6611,매칭테이블!$B$548:$D$1048576,2,0)</f>
        <v/>
      </c>
      <c r="E6611" s="20" t="inlineStr">
        <is>
          <t>고체향수</t>
        </is>
      </c>
      <c r="K6611" s="20" t="n">
        <v>100800</v>
      </c>
    </row>
    <row r="6612">
      <c r="A6612" s="20" t="inlineStr">
        <is>
          <t>메인키워드</t>
        </is>
      </c>
      <c r="B6612" s="16" t="n">
        <v>44298</v>
      </c>
      <c r="C6612" s="20" t="inlineStr">
        <is>
          <t>월</t>
        </is>
      </c>
      <c r="D6612" s="20" t="inlineStr">
        <is>
          <t>네이버 쇼핑검색</t>
        </is>
      </c>
      <c r="E6612" s="20" t="inlineStr">
        <is>
          <t>고체향수</t>
        </is>
      </c>
      <c r="K6612" s="20" t="n">
        <v>22380</v>
      </c>
    </row>
    <row r="6613">
      <c r="A6613" s="20" t="inlineStr">
        <is>
          <t>세부키워드1</t>
        </is>
      </c>
      <c r="B6613" s="16" t="n">
        <v>44298</v>
      </c>
      <c r="C6613" s="20" t="inlineStr">
        <is>
          <t>월</t>
        </is>
      </c>
      <c r="D6613" s="20" t="inlineStr">
        <is>
          <t>네이버 쇼핑검색</t>
        </is>
      </c>
      <c r="E6613" s="20" t="inlineStr">
        <is>
          <t>고체향수</t>
        </is>
      </c>
      <c r="K6613" s="20" t="n">
        <v>0</v>
      </c>
    </row>
    <row r="6614">
      <c r="A6614" s="20" t="inlineStr">
        <is>
          <t>세부키워드3</t>
        </is>
      </c>
      <c r="B6614" s="16" t="n">
        <v>44298</v>
      </c>
      <c r="C6614" s="20" t="inlineStr">
        <is>
          <t>월</t>
        </is>
      </c>
      <c r="D6614" s="20" t="inlineStr">
        <is>
          <t>네이버 쇼핑검색</t>
        </is>
      </c>
      <c r="E6614" s="20" t="inlineStr">
        <is>
          <t>고체향수</t>
        </is>
      </c>
      <c r="K6614" s="20" t="n">
        <v>114790</v>
      </c>
    </row>
    <row r="6615">
      <c r="A6615" s="20" t="inlineStr">
        <is>
          <t>모바일 브검</t>
        </is>
      </c>
      <c r="B6615" s="16" t="n">
        <v>44298</v>
      </c>
      <c r="C6615" s="20" t="inlineStr">
        <is>
          <t>월</t>
        </is>
      </c>
      <c r="D6615" s="20" t="inlineStr">
        <is>
          <t>네이버 브랜드검색</t>
        </is>
      </c>
      <c r="E6615" s="20" t="inlineStr">
        <is>
          <t>브랜드</t>
        </is>
      </c>
      <c r="K6615" s="20" t="n">
        <v>0</v>
      </c>
    </row>
    <row r="6616">
      <c r="A6616" s="20" t="inlineStr">
        <is>
          <t>PC 브랜드검색</t>
        </is>
      </c>
      <c r="B6616" s="16" t="n">
        <v>44298</v>
      </c>
      <c r="C6616" s="20" t="inlineStr">
        <is>
          <t>월</t>
        </is>
      </c>
      <c r="D6616" s="20" t="inlineStr">
        <is>
          <t>네이버 브랜드검색</t>
        </is>
      </c>
      <c r="E6616" s="20" t="inlineStr">
        <is>
          <t>브랜드</t>
        </is>
      </c>
      <c r="K6616" s="20" t="n">
        <v>0</v>
      </c>
    </row>
    <row r="6617">
      <c r="A6617" s="20" t="inlineStr">
        <is>
          <t>고체향수_승무원 어피_Npay 추적</t>
        </is>
      </c>
      <c r="B6617" s="16" t="n">
        <v>44298</v>
      </c>
      <c r="C6617" s="20" t="inlineStr">
        <is>
          <t>월</t>
        </is>
      </c>
      <c r="D6617" s="20" t="inlineStr">
        <is>
          <t>카카오 배너</t>
        </is>
      </c>
      <c r="E6617" s="20" t="inlineStr">
        <is>
          <t>고체향수</t>
        </is>
      </c>
      <c r="K6617" s="20" t="n">
        <v>181950</v>
      </c>
    </row>
    <row r="6618">
      <c r="A6618" s="20" t="inlineStr">
        <is>
          <t>고체향수_Npay 추적</t>
        </is>
      </c>
      <c r="B6618" s="16" t="n">
        <v>44298</v>
      </c>
      <c r="C6618" s="20" t="inlineStr">
        <is>
          <t>월</t>
        </is>
      </c>
      <c r="D6618" s="20" t="inlineStr">
        <is>
          <t>카카오 배너</t>
        </is>
      </c>
      <c r="E6618" s="20" t="inlineStr">
        <is>
          <t>고체향수</t>
        </is>
      </c>
      <c r="K6618" s="20" t="n">
        <v>893669.9999999999</v>
      </c>
    </row>
    <row r="6619">
      <c r="B6619" s="16" t="n">
        <v>44298</v>
      </c>
      <c r="C6619" s="20" t="inlineStr">
        <is>
          <t>월</t>
        </is>
      </c>
      <c r="E6619" s="20" t="inlineStr">
        <is>
          <t>고체향수</t>
        </is>
      </c>
      <c r="F6619" s="20" t="inlineStr">
        <is>
          <t>W컨셉</t>
        </is>
      </c>
      <c r="G6619" s="20" t="inlineStr">
        <is>
          <t>솔리드퍼퓸 이그나이트/스테이포에버 30ml (2종 택1)&lt;옵션1&gt;002 STAY FOREVER</t>
        </is>
      </c>
      <c r="H6619" s="20" t="n">
        <v>12</v>
      </c>
      <c r="I6619" s="20" t="inlineStr">
        <is>
          <t>스테이포에버</t>
        </is>
      </c>
      <c r="J6619" s="20" t="inlineStr">
        <is>
          <t>210207</t>
        </is>
      </c>
      <c r="L6619" s="20" t="n">
        <v>408000</v>
      </c>
      <c r="M6619" s="20" t="n">
        <v>285600</v>
      </c>
      <c r="N6619" s="20" t="n">
        <v>31104</v>
      </c>
      <c r="O6619" s="20" t="inlineStr">
        <is>
          <t>W컨셉고체향수솔리드퍼퓸 이그나이트/스테이포에버 30ml (2종 택1)&lt;옵션1&gt;002 STAY FOREVER210207</t>
        </is>
      </c>
    </row>
    <row r="6620">
      <c r="B6620" s="16" t="n">
        <v>44298</v>
      </c>
      <c r="C6620" s="20" t="inlineStr">
        <is>
          <t>월</t>
        </is>
      </c>
      <c r="E6620" s="20" t="inlineStr">
        <is>
          <t>고체향수</t>
        </is>
      </c>
      <c r="F6620" s="20" t="inlineStr">
        <is>
          <t>W컨셉</t>
        </is>
      </c>
      <c r="G6620" s="20" t="inlineStr">
        <is>
          <t>솔리드퍼퓸 이그나이트/스테이포에버 30ml (2종 택1)&lt;옵션1&gt;IGNITE + STAY FOREVER</t>
        </is>
      </c>
      <c r="H6620" s="20" t="n">
        <v>2</v>
      </c>
      <c r="I6620" s="20" t="inlineStr">
        <is>
          <t>이그나이트 + 스테이포에버</t>
        </is>
      </c>
      <c r="J6620" s="20" t="inlineStr">
        <is>
          <t>210207</t>
        </is>
      </c>
      <c r="L6620" s="20" t="n">
        <v>117600</v>
      </c>
      <c r="M6620" s="20" t="n">
        <v>94080</v>
      </c>
      <c r="N6620" s="20" t="n">
        <v>10690</v>
      </c>
      <c r="O6620" s="20" t="inlineStr">
        <is>
          <t>W컨셉고체향수솔리드퍼퓸 이그나이트/스테이포에버 30ml (2종 택1)&lt;옵션1&gt;IGNITE + STAY FOREVER210207</t>
        </is>
      </c>
    </row>
    <row r="6621">
      <c r="B6621" s="16" t="n">
        <v>44298</v>
      </c>
      <c r="C6621" s="20" t="inlineStr">
        <is>
          <t>월</t>
        </is>
      </c>
      <c r="E6621" s="20" t="inlineStr">
        <is>
          <t>고체향수</t>
        </is>
      </c>
      <c r="F6621" s="20" t="inlineStr">
        <is>
          <t>스마트스토어</t>
        </is>
      </c>
      <c r="G6621" s="20" t="inlineStr">
        <is>
          <t>유즈 고체향수 세트(유즈 스테이포에버, 유즈 이그나이트)고체향수: 스테이포에버 1개 + 이그나이트 1개</t>
        </is>
      </c>
      <c r="H6621" s="20" t="n">
        <v>2</v>
      </c>
      <c r="I6621" s="20" t="inlineStr">
        <is>
          <t>이그나이트 + 스테이포에버</t>
        </is>
      </c>
      <c r="J6621" s="20" t="inlineStr">
        <is>
          <t>210207</t>
        </is>
      </c>
      <c r="L6621" s="20" t="n">
        <v>117600</v>
      </c>
      <c r="M6621" s="20" t="n">
        <v>110720.4</v>
      </c>
      <c r="N6621" s="20" t="n">
        <v>10690</v>
      </c>
      <c r="O6621" s="20" t="inlineStr">
        <is>
          <t>스마트스토어고체향수유즈 고체향수 세트(유즈 스테이포에버, 유즈 이그나이트)고체향수: 스테이포에버 1개 + 이그나이트 1개210207</t>
        </is>
      </c>
    </row>
    <row r="6622">
      <c r="B6622" s="16" t="n">
        <v>44298</v>
      </c>
      <c r="C6622" s="20" t="inlineStr">
        <is>
          <t>월</t>
        </is>
      </c>
      <c r="E6622" s="20" t="inlineStr">
        <is>
          <t>고체향수</t>
        </is>
      </c>
      <c r="F6622" s="20" t="inlineStr">
        <is>
          <t>스마트스토어</t>
        </is>
      </c>
      <c r="G6622" s="20" t="inlineStr">
        <is>
          <t>유즈 고체향수 세트(유즈 스테이포에버, 유즈 이그나이트)고체향수: 스테이포에버 2개</t>
        </is>
      </c>
      <c r="H6622" s="20" t="n">
        <v>1</v>
      </c>
      <c r="I6622" s="20" t="inlineStr">
        <is>
          <t>스테이포에버 2set</t>
        </is>
      </c>
      <c r="J6622" s="20" t="inlineStr">
        <is>
          <t>210207</t>
        </is>
      </c>
      <c r="L6622" s="20" t="n">
        <v>58800</v>
      </c>
      <c r="M6622" s="20" t="n">
        <v>57624</v>
      </c>
      <c r="N6622" s="20" t="n">
        <v>5184</v>
      </c>
      <c r="O6622" s="20" t="inlineStr">
        <is>
          <t>스마트스토어고체향수유즈 고체향수 세트(유즈 스테이포에버, 유즈 이그나이트)고체향수: 스테이포에버 2개210207</t>
        </is>
      </c>
    </row>
    <row r="6623">
      <c r="B6623" s="16" t="n">
        <v>44298</v>
      </c>
      <c r="C6623" s="20" t="inlineStr">
        <is>
          <t>월</t>
        </is>
      </c>
      <c r="E6623" s="20" t="inlineStr">
        <is>
          <t>고체향수</t>
        </is>
      </c>
      <c r="F6623" s="20" t="inlineStr">
        <is>
          <t>스마트스토어</t>
        </is>
      </c>
      <c r="G6623" s="20" t="inlineStr">
        <is>
          <t>유즈 고체향수 세트(유즈 스테이포에버, 유즈 이그나이트)고체향수: 이그나이트 2개</t>
        </is>
      </c>
      <c r="H6623" s="20" t="n">
        <v>1</v>
      </c>
      <c r="I6623" s="20" t="inlineStr">
        <is>
          <t>이그나이트 2set</t>
        </is>
      </c>
      <c r="J6623" s="20" t="inlineStr">
        <is>
          <t>210207</t>
        </is>
      </c>
      <c r="L6623" s="20" t="n">
        <v>58800</v>
      </c>
      <c r="M6623" s="20" t="n">
        <v>57624</v>
      </c>
      <c r="N6623" s="20" t="n">
        <v>5506</v>
      </c>
      <c r="O6623" s="20" t="inlineStr">
        <is>
          <t>스마트스토어고체향수유즈 고체향수 세트(유즈 스테이포에버, 유즈 이그나이트)고체향수: 이그나이트 2개210207</t>
        </is>
      </c>
    </row>
    <row r="6624">
      <c r="B6624" s="16" t="n">
        <v>44298</v>
      </c>
      <c r="C6624" s="20" t="inlineStr">
        <is>
          <t>월</t>
        </is>
      </c>
      <c r="E6624" s="20" t="inlineStr">
        <is>
          <t>고체향수</t>
        </is>
      </c>
      <c r="F6624" s="20" t="inlineStr">
        <is>
          <t>스마트스토어</t>
        </is>
      </c>
      <c r="G6624" s="20" t="inlineStr">
        <is>
          <t>유즈 고체향수 스테이포에버 002고체향수: 스테이포에버 1개</t>
        </is>
      </c>
      <c r="H6624" s="20" t="n">
        <v>20</v>
      </c>
      <c r="I6624" s="20" t="inlineStr">
        <is>
          <t>스테이포에버</t>
        </is>
      </c>
      <c r="J6624" s="20" t="inlineStr">
        <is>
          <t>210207</t>
        </is>
      </c>
      <c r="L6624" s="20" t="n">
        <v>680000</v>
      </c>
      <c r="M6624" s="20" t="n">
        <v>666400</v>
      </c>
      <c r="N6624" s="20" t="n">
        <v>51840</v>
      </c>
      <c r="O6624" s="20" t="inlineStr">
        <is>
          <t>스마트스토어고체향수유즈 고체향수 스테이포에버 002고체향수: 스테이포에버 1개210207</t>
        </is>
      </c>
    </row>
    <row r="6625">
      <c r="B6625" s="16" t="n">
        <v>44298</v>
      </c>
      <c r="C6625" s="20" t="inlineStr">
        <is>
          <t>월</t>
        </is>
      </c>
      <c r="E6625" s="20" t="inlineStr">
        <is>
          <t>쇼핑백</t>
        </is>
      </c>
      <c r="F6625" s="20" t="inlineStr">
        <is>
          <t>카페24</t>
        </is>
      </c>
      <c r="G6625" s="20" t="inlineStr">
        <is>
          <t>선물용 쇼핑백</t>
        </is>
      </c>
      <c r="H6625" s="20" t="n">
        <v>2</v>
      </c>
      <c r="I6625" s="20" t="inlineStr">
        <is>
          <t>쇼핑백</t>
        </is>
      </c>
      <c r="J6625" s="20" t="inlineStr">
        <is>
          <t>210207</t>
        </is>
      </c>
      <c r="L6625" s="20" t="n">
        <v>4000</v>
      </c>
      <c r="M6625" s="20" t="n">
        <v>3766</v>
      </c>
      <c r="N6625" s="20" t="n">
        <v>1660</v>
      </c>
      <c r="O6625" s="20" t="inlineStr">
        <is>
          <t>카페24쇼핑백선물용 쇼핑백210207</t>
        </is>
      </c>
    </row>
    <row r="6626">
      <c r="B6626" s="16" t="n">
        <v>44298</v>
      </c>
      <c r="C6626" s="20" t="inlineStr">
        <is>
          <t>월</t>
        </is>
      </c>
      <c r="E6626" s="20" t="inlineStr">
        <is>
          <t>고체향수</t>
        </is>
      </c>
      <c r="F6626" s="20" t="inlineStr">
        <is>
          <t>카페24</t>
        </is>
      </c>
      <c r="G6626" s="20" t="inlineStr">
        <is>
          <t>솔리드퍼퓸 세트향=이그나이트 001 SOLID PERFUME, 세트 선택=1개</t>
        </is>
      </c>
      <c r="H6626" s="20" t="n">
        <v>1</v>
      </c>
      <c r="I6626" s="20" t="inlineStr">
        <is>
          <t>이그나이트</t>
        </is>
      </c>
      <c r="J6626" s="20" t="inlineStr">
        <is>
          <t>210207</t>
        </is>
      </c>
      <c r="L6626" s="20" t="n">
        <v>34000</v>
      </c>
      <c r="M6626" s="20" t="n">
        <v>32011</v>
      </c>
      <c r="N6626" s="20" t="n">
        <v>2753</v>
      </c>
      <c r="O6626" s="20" t="inlineStr">
        <is>
          <t>카페24고체향수솔리드퍼퓸 세트향=이그나이트 001 SOLID PERFUME, 세트 선택=1개210207</t>
        </is>
      </c>
    </row>
    <row r="6627">
      <c r="B6627" s="16" t="n">
        <v>44298</v>
      </c>
      <c r="C6627" s="20" t="inlineStr">
        <is>
          <t>월</t>
        </is>
      </c>
      <c r="E6627" s="20" t="inlineStr">
        <is>
          <t>고체향수</t>
        </is>
      </c>
      <c r="F6627" s="20" t="inlineStr">
        <is>
          <t>카페24</t>
        </is>
      </c>
      <c r="G6627" s="20" t="inlineStr">
        <is>
          <t>솔리드퍼퓸 세트향=스테이포에버 002 SOLID PERFUME, 세트 선택=1개</t>
        </is>
      </c>
      <c r="H6627" s="20" t="n">
        <v>9</v>
      </c>
      <c r="I6627" s="20" t="inlineStr">
        <is>
          <t>스테이포에버</t>
        </is>
      </c>
      <c r="J6627" s="20" t="inlineStr">
        <is>
          <t>210207</t>
        </is>
      </c>
      <c r="L6627" s="20" t="n">
        <v>306000</v>
      </c>
      <c r="M6627" s="20" t="n">
        <v>288099</v>
      </c>
      <c r="N6627" s="20" t="n">
        <v>23328</v>
      </c>
      <c r="O6627" s="20" t="inlineStr">
        <is>
          <t>카페24고체향수솔리드퍼퓸 세트향=스테이포에버 002 SOLID PERFUME, 세트 선택=1개210207</t>
        </is>
      </c>
    </row>
    <row r="6628">
      <c r="B6628" s="16" t="n">
        <v>44298</v>
      </c>
      <c r="C6628" s="20" t="inlineStr">
        <is>
          <t>월</t>
        </is>
      </c>
      <c r="E6628" s="20" t="inlineStr">
        <is>
          <t>고체향수</t>
        </is>
      </c>
      <c r="F6628" s="20" t="inlineStr">
        <is>
          <t>카페24</t>
        </is>
      </c>
      <c r="G6628" s="20" t="inlineStr">
        <is>
          <t>솔리드퍼퓸 세트향=스테이포에버 002 SOLID PERFUME, 세트 선택=best 2개 (28% 할인)</t>
        </is>
      </c>
      <c r="H6628" s="20" t="n">
        <v>11</v>
      </c>
      <c r="I6628" s="20" t="inlineStr">
        <is>
          <t>스테이포에버 2set</t>
        </is>
      </c>
      <c r="J6628" s="20" t="inlineStr">
        <is>
          <t>210207</t>
        </is>
      </c>
      <c r="L6628" s="20" t="n">
        <v>646800</v>
      </c>
      <c r="M6628" s="20" t="n">
        <v>608962.2</v>
      </c>
      <c r="N6628" s="20" t="n">
        <v>57024</v>
      </c>
      <c r="O6628" s="20" t="inlineStr">
        <is>
          <t>카페24고체향수솔리드퍼퓸 세트향=스테이포에버 002 SOLID PERFUME, 세트 선택=best 2개 (28% 할인)210207</t>
        </is>
      </c>
    </row>
    <row r="6629">
      <c r="B6629" s="16" t="n">
        <v>44298</v>
      </c>
      <c r="C6629" s="20" t="inlineStr">
        <is>
          <t>월</t>
        </is>
      </c>
      <c r="E6629" s="20" t="inlineStr">
        <is>
          <t>고체향수</t>
        </is>
      </c>
      <c r="F6629" s="20" t="inlineStr">
        <is>
          <t>카페24</t>
        </is>
      </c>
      <c r="G6629" s="20" t="inlineStr">
        <is>
          <t>솔리드퍼퓸 세트향=커플세트(이그나이트 + 스테이포에버), 세트 선택=1 SET</t>
        </is>
      </c>
      <c r="H6629" s="20" t="n">
        <v>8</v>
      </c>
      <c r="I6629" s="20" t="inlineStr">
        <is>
          <t>이그나이트 + 스테이포에버</t>
        </is>
      </c>
      <c r="J6629" s="20" t="inlineStr">
        <is>
          <t>210207</t>
        </is>
      </c>
      <c r="L6629" s="20" t="n">
        <v>470400</v>
      </c>
      <c r="M6629" s="20" t="n">
        <v>442881.6</v>
      </c>
      <c r="N6629" s="20" t="n">
        <v>42760</v>
      </c>
      <c r="O6629" s="20" t="inlineStr">
        <is>
          <t>카페24고체향수솔리드퍼퓸 세트향=커플세트(이그나이트 + 스테이포에버), 세트 선택=1 SET210207</t>
        </is>
      </c>
    </row>
    <row r="6630">
      <c r="B6630" s="16" t="n">
        <v>44298</v>
      </c>
      <c r="C6630" s="20" t="inlineStr">
        <is>
          <t>월</t>
        </is>
      </c>
      <c r="E6630" s="20" t="inlineStr">
        <is>
          <t>고체향수</t>
        </is>
      </c>
      <c r="F6630" s="20" t="inlineStr">
        <is>
          <t>카페24</t>
        </is>
      </c>
      <c r="G6630" s="20" t="inlineStr">
        <is>
          <t>솔리드퍼퓸 세트향=커플세트(이그나이트 + 스테이포에버), 세트 선택=2 SET (42% 할인)</t>
        </is>
      </c>
      <c r="H6630" s="20" t="n">
        <v>3</v>
      </c>
      <c r="I6630" s="20" t="inlineStr">
        <is>
          <t>이그나이트 + 스테이포에버</t>
        </is>
      </c>
      <c r="J6630" s="20" t="inlineStr">
        <is>
          <t>210207</t>
        </is>
      </c>
      <c r="L6630" s="20" t="n">
        <v>176400</v>
      </c>
      <c r="M6630" s="20" t="n">
        <v>166080.6</v>
      </c>
      <c r="N6630" s="20" t="n">
        <v>16035</v>
      </c>
      <c r="O6630" s="20" t="inlineStr">
        <is>
          <t>카페24고체향수솔리드퍼퓸 세트향=커플세트(이그나이트 + 스테이포에버), 세트 선택=2 SET (42% 할인)210207</t>
        </is>
      </c>
    </row>
    <row r="6631">
      <c r="B6631" s="16" t="n">
        <v>44298</v>
      </c>
      <c r="C6631" s="20" t="inlineStr">
        <is>
          <t>월</t>
        </is>
      </c>
      <c r="E6631" s="20" t="inlineStr">
        <is>
          <t>고체향수</t>
        </is>
      </c>
      <c r="F6631" s="20" t="inlineStr">
        <is>
          <t>카페24</t>
        </is>
      </c>
      <c r="G6631" s="20" t="inlineStr">
        <is>
          <t>솔리드퍼퓸 스테이포에버 002제품선택=스테이포에버 1개</t>
        </is>
      </c>
      <c r="H6631" s="20" t="n">
        <v>212</v>
      </c>
      <c r="I6631" s="20" t="inlineStr">
        <is>
          <t>스테이포에버</t>
        </is>
      </c>
      <c r="J6631" s="20" t="inlineStr">
        <is>
          <t>210207</t>
        </is>
      </c>
      <c r="L6631" s="20" t="n">
        <v>7208000</v>
      </c>
      <c r="M6631" s="20" t="n">
        <v>6786332</v>
      </c>
      <c r="N6631" s="20" t="n">
        <v>549504</v>
      </c>
      <c r="O6631" s="20" t="inlineStr">
        <is>
          <t>카페24고체향수솔리드퍼퓸 스테이포에버 002제품선택=스테이포에버 1개210207</t>
        </is>
      </c>
    </row>
    <row r="6632">
      <c r="B6632" s="16" t="n">
        <v>44298</v>
      </c>
      <c r="C6632" s="20" t="inlineStr">
        <is>
          <t>월</t>
        </is>
      </c>
      <c r="E6632" s="20" t="inlineStr">
        <is>
          <t>고체향수</t>
        </is>
      </c>
      <c r="F6632" s="20" t="inlineStr">
        <is>
          <t>카페24</t>
        </is>
      </c>
      <c r="G6632" s="20" t="inlineStr">
        <is>
          <t>솔리드퍼퓸 스테이포에버 002제품선택=best스테이포에버 2개[28% 할인]</t>
        </is>
      </c>
      <c r="H6632" s="20" t="n">
        <v>133</v>
      </c>
      <c r="I6632" s="20" t="inlineStr">
        <is>
          <t>스테이포에버 2set</t>
        </is>
      </c>
      <c r="J6632" s="20" t="inlineStr">
        <is>
          <t>210207</t>
        </is>
      </c>
      <c r="L6632" s="20" t="n">
        <v>7820400</v>
      </c>
      <c r="M6632" s="20" t="n">
        <v>7362906.6</v>
      </c>
      <c r="N6632" s="20" t="n">
        <v>689472</v>
      </c>
      <c r="O6632" s="20" t="inlineStr">
        <is>
          <t>카페24고체향수솔리드퍼퓸 스테이포에버 002제품선택=best스테이포에버 2개[28% 할인]210207</t>
        </is>
      </c>
    </row>
    <row r="6633">
      <c r="B6633" s="16" t="n">
        <v>44298</v>
      </c>
      <c r="C6633" s="20" t="inlineStr">
        <is>
          <t>월</t>
        </is>
      </c>
      <c r="E6633" s="20" t="inlineStr">
        <is>
          <t>고체향수</t>
        </is>
      </c>
      <c r="F6633" s="20" t="inlineStr">
        <is>
          <t>카페24</t>
        </is>
      </c>
      <c r="G6633" s="20" t="inlineStr">
        <is>
          <t>솔리드퍼퓸 스테이포에버 002제품선택=커플추천스테이포에버 + 이그나이트 세트</t>
        </is>
      </c>
      <c r="H6633" s="20" t="n">
        <v>14</v>
      </c>
      <c r="I6633" s="20" t="inlineStr">
        <is>
          <t>이그나이트 + 스테이포에버</t>
        </is>
      </c>
      <c r="J6633" s="20" t="inlineStr">
        <is>
          <t>210207</t>
        </is>
      </c>
      <c r="L6633" s="20" t="n">
        <v>823200</v>
      </c>
      <c r="M6633" s="20" t="n">
        <v>775042.7999999999</v>
      </c>
      <c r="N6633" s="20" t="n">
        <v>74830</v>
      </c>
      <c r="O6633" s="20" t="inlineStr">
        <is>
          <t>카페24고체향수솔리드퍼퓸 스테이포에버 002제품선택=커플추천스테이포에버 + 이그나이트 세트210207</t>
        </is>
      </c>
    </row>
    <row r="6634">
      <c r="B6634" s="16" t="n">
        <v>44298</v>
      </c>
      <c r="C6634" s="20" t="inlineStr">
        <is>
          <t>월</t>
        </is>
      </c>
      <c r="E6634" s="20" t="inlineStr">
        <is>
          <t>쇼핑백</t>
        </is>
      </c>
      <c r="F6634" s="20" t="inlineStr">
        <is>
          <t>카페24</t>
        </is>
      </c>
      <c r="G6634" s="20" t="inlineStr">
        <is>
          <t>솔리드퍼퓸 스테이포에버 002쇼핑백=선물용 쇼핑백</t>
        </is>
      </c>
      <c r="H6634" s="20" t="n">
        <v>6</v>
      </c>
      <c r="I6634" s="20" t="inlineStr">
        <is>
          <t>쇼핑백</t>
        </is>
      </c>
      <c r="J6634" s="20" t="inlineStr">
        <is>
          <t>210207</t>
        </is>
      </c>
      <c r="L6634" s="20" t="n">
        <v>12000</v>
      </c>
      <c r="M6634" s="20" t="n">
        <v>11298</v>
      </c>
      <c r="N6634" s="20" t="n">
        <v>4980</v>
      </c>
      <c r="O6634" s="20" t="inlineStr">
        <is>
          <t>카페24쇼핑백솔리드퍼퓸 스테이포에버 002쇼핑백=선물용 쇼핑백210207</t>
        </is>
      </c>
    </row>
    <row r="6635">
      <c r="B6635" s="16" t="n">
        <v>44298</v>
      </c>
      <c r="C6635" s="20" t="inlineStr">
        <is>
          <t>월</t>
        </is>
      </c>
      <c r="E6635" s="20" t="inlineStr">
        <is>
          <t>고체향수</t>
        </is>
      </c>
      <c r="F6635" s="20" t="inlineStr">
        <is>
          <t>카페24</t>
        </is>
      </c>
      <c r="G6635" s="20" t="inlineStr">
        <is>
          <t>솔리드퍼퓸 이그나이트 001제품선택=이그나이트 솔리드퍼퓸 - 30ml</t>
        </is>
      </c>
      <c r="H6635" s="20" t="n">
        <v>1</v>
      </c>
      <c r="I6635" s="20" t="inlineStr">
        <is>
          <t>이그나이트</t>
        </is>
      </c>
      <c r="J6635" s="20" t="inlineStr">
        <is>
          <t>210207</t>
        </is>
      </c>
      <c r="L6635" s="20" t="n">
        <v>34000</v>
      </c>
      <c r="M6635" s="20" t="n">
        <v>32011</v>
      </c>
      <c r="N6635" s="20" t="n">
        <v>2753</v>
      </c>
      <c r="O6635" s="20" t="inlineStr">
        <is>
          <t>카페24고체향수솔리드퍼퓸 이그나이트 001제품선택=이그나이트 솔리드퍼퓸 - 30ml210207</t>
        </is>
      </c>
    </row>
    <row r="6636">
      <c r="A6636" s="20" t="inlineStr">
        <is>
          <t>고체향수</t>
        </is>
      </c>
      <c r="B6636" s="16" t="n">
        <v>44298</v>
      </c>
      <c r="C6636" s="20" t="inlineStr">
        <is>
          <t>월</t>
        </is>
      </c>
      <c r="D6636" s="20" t="inlineStr">
        <is>
          <t>네이버 배너</t>
        </is>
      </c>
      <c r="E6636" s="20" t="inlineStr">
        <is>
          <t>고체향수</t>
        </is>
      </c>
      <c r="K6636" s="20" t="n">
        <v>1610337.272727273</v>
      </c>
    </row>
    <row r="6637">
      <c r="A6637" s="20" t="inlineStr">
        <is>
          <t>[올리브영] 이그나이트_영상</t>
        </is>
      </c>
      <c r="B6637" s="16" t="n">
        <v>44299</v>
      </c>
      <c r="C6637" s="20" t="inlineStr">
        <is>
          <t>화</t>
        </is>
      </c>
      <c r="D6637" s="20">
        <f>VLOOKUP($A6637,매칭테이블!$B$548:$D$1048576,2,0)</f>
        <v/>
      </c>
      <c r="E6637" s="20" t="inlineStr">
        <is>
          <t>고체향수</t>
        </is>
      </c>
      <c r="K6637" s="20" t="n">
        <v>15618</v>
      </c>
    </row>
    <row r="6638">
      <c r="A6638" s="20" t="inlineStr">
        <is>
          <t>[승희 TEST] 스테이포에버_이미지</t>
        </is>
      </c>
      <c r="B6638" s="16" t="n">
        <v>44299</v>
      </c>
      <c r="C6638" s="20" t="inlineStr">
        <is>
          <t>화</t>
        </is>
      </c>
      <c r="D6638" s="20">
        <f>VLOOKUP($A6638,매칭테이블!$B$548:$D$1048576,2,0)</f>
        <v/>
      </c>
      <c r="E6638" s="20" t="inlineStr">
        <is>
          <t>고체향수</t>
        </is>
      </c>
      <c r="K6638" s="20" t="n">
        <v>47661</v>
      </c>
    </row>
    <row r="6639">
      <c r="A6639" s="20" t="inlineStr">
        <is>
          <t>[올리브영] 스테이포에버_영상</t>
        </is>
      </c>
      <c r="B6639" s="16" t="n">
        <v>44299</v>
      </c>
      <c r="C6639" s="20" t="inlineStr">
        <is>
          <t>화</t>
        </is>
      </c>
      <c r="D6639" s="20">
        <f>VLOOKUP($A6639,매칭테이블!$B$548:$D$1048576,2,0)</f>
        <v/>
      </c>
      <c r="E6639" s="20" t="inlineStr">
        <is>
          <t>고체향수</t>
        </is>
      </c>
      <c r="K6639" s="20" t="n">
        <v>95330</v>
      </c>
    </row>
    <row r="6640">
      <c r="A6640" s="20" t="inlineStr">
        <is>
          <t>[올리브영] 스테이포에버_이미지</t>
        </is>
      </c>
      <c r="B6640" s="16" t="n">
        <v>44299</v>
      </c>
      <c r="C6640" s="20" t="inlineStr">
        <is>
          <t>화</t>
        </is>
      </c>
      <c r="D6640" s="20">
        <f>VLOOKUP($A6640,매칭테이블!$B$548:$D$1048576,2,0)</f>
        <v/>
      </c>
      <c r="E6640" s="20" t="inlineStr">
        <is>
          <t>고체향수</t>
        </is>
      </c>
      <c r="K6640" s="20" t="n">
        <v>38343</v>
      </c>
    </row>
    <row r="6641">
      <c r="A6641" s="20" t="inlineStr">
        <is>
          <t>[승무원] 유튜브재편집_스테이포에버_영상</t>
        </is>
      </c>
      <c r="B6641" s="16" t="n">
        <v>44299</v>
      </c>
      <c r="C6641" s="20" t="inlineStr">
        <is>
          <t>화</t>
        </is>
      </c>
      <c r="D6641" s="20" t="inlineStr">
        <is>
          <t>페이스북/인스타그램</t>
        </is>
      </c>
      <c r="E6641" s="20" t="inlineStr">
        <is>
          <t>고체향수</t>
        </is>
      </c>
      <c r="K6641" s="20" t="n">
        <v>227786</v>
      </c>
    </row>
    <row r="6642">
      <c r="A6642" s="20" t="inlineStr">
        <is>
          <t>[다현 TEST] 스테이포에버_유즈모먼트</t>
        </is>
      </c>
      <c r="B6642" s="16" t="n">
        <v>44299</v>
      </c>
      <c r="C6642" s="20" t="inlineStr">
        <is>
          <t>화</t>
        </is>
      </c>
      <c r="D6642" s="20" t="inlineStr">
        <is>
          <t>페이스북/인스타그램</t>
        </is>
      </c>
      <c r="E6642" s="20" t="inlineStr">
        <is>
          <t>고체향수</t>
        </is>
      </c>
      <c r="K6642" s="20" t="n">
        <v>48014</v>
      </c>
    </row>
    <row r="6643">
      <c r="A6643" s="20" t="inlineStr">
        <is>
          <t>[성민 TEST] 스테이포에버_이미지</t>
        </is>
      </c>
      <c r="B6643" s="16" t="n">
        <v>44299</v>
      </c>
      <c r="C6643" s="20" t="inlineStr">
        <is>
          <t>화</t>
        </is>
      </c>
      <c r="D6643" s="20" t="inlineStr">
        <is>
          <t>페이스북/인스타그램</t>
        </is>
      </c>
      <c r="E6643" s="20" t="inlineStr">
        <is>
          <t>고체향수</t>
        </is>
      </c>
      <c r="K6643" s="20" t="n">
        <v>307556</v>
      </c>
    </row>
    <row r="6644">
      <c r="A6644" s="20" t="inlineStr">
        <is>
          <t>[승은 TEST] 스테이포에버_카드뉴스</t>
        </is>
      </c>
      <c r="B6644" s="16" t="n">
        <v>44299</v>
      </c>
      <c r="C6644" s="20" t="inlineStr">
        <is>
          <t>화</t>
        </is>
      </c>
      <c r="D6644" s="20" t="inlineStr">
        <is>
          <t>페이스북/인스타그램</t>
        </is>
      </c>
      <c r="E6644" s="20" t="inlineStr">
        <is>
          <t>고체향수</t>
        </is>
      </c>
      <c r="K6644" s="20" t="n">
        <v>133981</v>
      </c>
    </row>
    <row r="6645">
      <c r="A6645" s="20" t="inlineStr">
        <is>
          <t>[승무원 2] 스테이포에버_카드뉴스</t>
        </is>
      </c>
      <c r="B6645" s="16" t="n">
        <v>44299</v>
      </c>
      <c r="C6645" s="20" t="inlineStr">
        <is>
          <t>화</t>
        </is>
      </c>
      <c r="D6645" s="20" t="inlineStr">
        <is>
          <t>페이스북/인스타그램</t>
        </is>
      </c>
      <c r="E6645" s="20" t="inlineStr">
        <is>
          <t>고체향수</t>
        </is>
      </c>
      <c r="K6645" s="20" t="n">
        <v>69004</v>
      </c>
    </row>
    <row r="6646">
      <c r="A6646" s="20" t="inlineStr">
        <is>
          <t>[테스트]아줌마</t>
        </is>
      </c>
      <c r="B6646" s="16" t="n">
        <v>44299</v>
      </c>
      <c r="C6646" s="20" t="inlineStr">
        <is>
          <t>화</t>
        </is>
      </c>
      <c r="D6646" s="20" t="inlineStr">
        <is>
          <t>페이스북/인스타그램</t>
        </is>
      </c>
      <c r="E6646" s="20" t="inlineStr">
        <is>
          <t>고체향수</t>
        </is>
      </c>
      <c r="K6646" s="20" t="n">
        <v>111550</v>
      </c>
    </row>
    <row r="6647">
      <c r="A6647" s="20" t="inlineStr">
        <is>
          <t>[다양한 키워드] 스테이포에버_이미지</t>
        </is>
      </c>
      <c r="B6647" s="16" t="n">
        <v>44299</v>
      </c>
      <c r="C6647" s="20" t="inlineStr">
        <is>
          <t>화</t>
        </is>
      </c>
      <c r="D6647" s="20" t="inlineStr">
        <is>
          <t>페이스북/인스타그램</t>
        </is>
      </c>
      <c r="E6647" s="20" t="inlineStr">
        <is>
          <t>고체향수</t>
        </is>
      </c>
      <c r="K6647" s="20" t="n">
        <v>278782</v>
      </c>
    </row>
    <row r="6648">
      <c r="A6648" s="20" t="inlineStr">
        <is>
          <t>[재입고]스테이포에버_이미지</t>
        </is>
      </c>
      <c r="B6648" s="16" t="n">
        <v>44299</v>
      </c>
      <c r="C6648" s="20" t="inlineStr">
        <is>
          <t>화</t>
        </is>
      </c>
      <c r="D6648" s="20" t="inlineStr">
        <is>
          <t>페이스북/인스타그램</t>
        </is>
      </c>
      <c r="E6648" s="20" t="inlineStr">
        <is>
          <t>고체향수</t>
        </is>
      </c>
      <c r="K6648" s="20" t="n">
        <v>251306</v>
      </c>
    </row>
    <row r="6649">
      <c r="A6649" s="20" t="inlineStr">
        <is>
          <t>[승무원]숏폼_영상</t>
        </is>
      </c>
      <c r="B6649" s="16" t="n">
        <v>44299</v>
      </c>
      <c r="C6649" s="20" t="inlineStr">
        <is>
          <t>화</t>
        </is>
      </c>
      <c r="D6649" s="20" t="inlineStr">
        <is>
          <t>페이스북/인스타그램</t>
        </is>
      </c>
      <c r="E6649" s="20" t="inlineStr">
        <is>
          <t>고체향수</t>
        </is>
      </c>
      <c r="K6649" s="20" t="n">
        <v>50245</v>
      </c>
    </row>
    <row r="6650">
      <c r="A6650" s="20" t="inlineStr">
        <is>
          <t>[재입고]스테이포에버_영상</t>
        </is>
      </c>
      <c r="B6650" s="16" t="n">
        <v>44299</v>
      </c>
      <c r="C6650" s="20" t="inlineStr">
        <is>
          <t>화</t>
        </is>
      </c>
      <c r="D6650" s="20" t="inlineStr">
        <is>
          <t>페이스북/인스타그램</t>
        </is>
      </c>
      <c r="E6650" s="20" t="inlineStr">
        <is>
          <t>고체향수</t>
        </is>
      </c>
      <c r="K6650" s="20" t="n">
        <v>196677</v>
      </c>
    </row>
    <row r="6651">
      <c r="A6651" s="20" t="inlineStr">
        <is>
          <t>[승무원]2019년썰 카드뉴스+ 향묘사_영상</t>
        </is>
      </c>
      <c r="B6651" s="16" t="n">
        <v>44299</v>
      </c>
      <c r="C6651" s="20" t="inlineStr">
        <is>
          <t>화</t>
        </is>
      </c>
      <c r="D6651" s="20" t="inlineStr">
        <is>
          <t>페이스북/인스타그램</t>
        </is>
      </c>
      <c r="E6651" s="20" t="inlineStr">
        <is>
          <t>고체향수</t>
        </is>
      </c>
      <c r="K6651" s="20" t="n">
        <v>50443</v>
      </c>
    </row>
    <row r="6652">
      <c r="A6652" s="20" t="inlineStr">
        <is>
          <t>[승무원어피]스테이포에버_이미지</t>
        </is>
      </c>
      <c r="B6652" s="16" t="n">
        <v>44299</v>
      </c>
      <c r="C6652" s="20" t="inlineStr">
        <is>
          <t>화</t>
        </is>
      </c>
      <c r="D6652" s="20" t="inlineStr">
        <is>
          <t>페이스북/인스타그램</t>
        </is>
      </c>
      <c r="E6652" s="20" t="inlineStr">
        <is>
          <t>고체향수</t>
        </is>
      </c>
      <c r="K6652" s="20" t="n">
        <v>97767</v>
      </c>
    </row>
    <row r="6653">
      <c r="A6653" s="20" t="inlineStr">
        <is>
          <t>[다현]스테이포에버_이미지</t>
        </is>
      </c>
      <c r="B6653" s="16" t="n">
        <v>44299</v>
      </c>
      <c r="C6653" s="20" t="inlineStr">
        <is>
          <t>화</t>
        </is>
      </c>
      <c r="D6653" s="20" t="inlineStr">
        <is>
          <t>페이스북/인스타그램</t>
        </is>
      </c>
      <c r="E6653" s="20" t="inlineStr">
        <is>
          <t>고체향수</t>
        </is>
      </c>
      <c r="K6653" s="20" t="n">
        <v>146909</v>
      </c>
    </row>
    <row r="6654">
      <c r="A6654" s="20" t="inlineStr">
        <is>
          <t>[승무원]스테이포에버_카드뉴스</t>
        </is>
      </c>
      <c r="B6654" s="16" t="n">
        <v>44299</v>
      </c>
      <c r="C6654" s="20" t="inlineStr">
        <is>
          <t>화</t>
        </is>
      </c>
      <c r="D6654" s="20" t="inlineStr">
        <is>
          <t>페이스북/인스타그램</t>
        </is>
      </c>
      <c r="E6654" s="20" t="inlineStr">
        <is>
          <t>고체향수</t>
        </is>
      </c>
      <c r="K6654" s="20" t="n">
        <v>41085</v>
      </c>
    </row>
    <row r="6655">
      <c r="A6655" s="20" t="inlineStr">
        <is>
          <t>[후기타입]스테이포에버_영상</t>
        </is>
      </c>
      <c r="B6655" s="16" t="n">
        <v>44299</v>
      </c>
      <c r="C6655" s="20" t="inlineStr">
        <is>
          <t>화</t>
        </is>
      </c>
      <c r="D6655" s="20" t="inlineStr">
        <is>
          <t>페이스북/인스타그램</t>
        </is>
      </c>
      <c r="E6655" s="20" t="inlineStr">
        <is>
          <t>고체향수</t>
        </is>
      </c>
      <c r="K6655" s="20" t="n">
        <v>151265</v>
      </c>
    </row>
    <row r="6656">
      <c r="A6656" s="20" t="inlineStr">
        <is>
          <t>전환_스테이포에버</t>
        </is>
      </c>
      <c r="B6656" s="16" t="n">
        <v>44299</v>
      </c>
      <c r="C6656" s="20" t="inlineStr">
        <is>
          <t>화</t>
        </is>
      </c>
      <c r="D6656" s="20" t="inlineStr">
        <is>
          <t>페이스북/인스타그램</t>
        </is>
      </c>
      <c r="E6656" s="20" t="inlineStr">
        <is>
          <t>고체향수</t>
        </is>
      </c>
      <c r="K6656" s="20" t="n">
        <v>69590</v>
      </c>
    </row>
    <row r="6657">
      <c r="A6657" s="20" t="inlineStr">
        <is>
          <t>[권태기커플]스테이포에버_영상</t>
        </is>
      </c>
      <c r="B6657" s="16" t="n">
        <v>44299</v>
      </c>
      <c r="C6657" s="20" t="inlineStr">
        <is>
          <t>화</t>
        </is>
      </c>
      <c r="D6657" s="20" t="inlineStr">
        <is>
          <t>페이스북/인스타그램</t>
        </is>
      </c>
      <c r="E6657" s="20" t="inlineStr">
        <is>
          <t>고체향수</t>
        </is>
      </c>
      <c r="K6657" s="20" t="n">
        <v>35053</v>
      </c>
    </row>
    <row r="6658">
      <c r="A6658" s="20" t="inlineStr">
        <is>
          <t>웹사이트 트래픽 서치</t>
        </is>
      </c>
      <c r="B6658" s="16" t="n">
        <v>44299</v>
      </c>
      <c r="C6658" s="20" t="inlineStr">
        <is>
          <t>화</t>
        </is>
      </c>
      <c r="D6658" s="20" t="inlineStr">
        <is>
          <t>유튜브 광고</t>
        </is>
      </c>
      <c r="E6658" s="20" t="inlineStr">
        <is>
          <t>고체향수</t>
        </is>
      </c>
      <c r="K6658" s="20" t="n">
        <v>32370</v>
      </c>
    </row>
    <row r="6659">
      <c r="A6659" s="20" t="inlineStr">
        <is>
          <t>동영상캠페인_승무원_보이는 라디오(cpa)</t>
        </is>
      </c>
      <c r="B6659" s="16" t="n">
        <v>44299</v>
      </c>
      <c r="C6659" s="20" t="inlineStr">
        <is>
          <t>화</t>
        </is>
      </c>
      <c r="D6659" s="20" t="inlineStr">
        <is>
          <t>유튜브 광고</t>
        </is>
      </c>
      <c r="E6659" s="20" t="inlineStr">
        <is>
          <t>고체향수</t>
        </is>
      </c>
      <c r="K6659" s="20" t="n">
        <v>12335</v>
      </c>
    </row>
    <row r="6660">
      <c r="A6660" s="20" t="inlineStr">
        <is>
          <t>디스커버리 배너_승무원,할인_리마케팅</t>
        </is>
      </c>
      <c r="B6660" s="16" t="n">
        <v>44299</v>
      </c>
      <c r="C6660" s="20" t="inlineStr">
        <is>
          <t>화</t>
        </is>
      </c>
      <c r="D6660" s="20" t="inlineStr">
        <is>
          <t>유튜브 광고</t>
        </is>
      </c>
      <c r="E6660" s="20" t="inlineStr">
        <is>
          <t>고체향수</t>
        </is>
      </c>
      <c r="K6660" s="20" t="n">
        <v>439645</v>
      </c>
    </row>
    <row r="6661">
      <c r="A6661" s="20" t="inlineStr">
        <is>
          <t>동영상캠페인_승무원_써니스카이</t>
        </is>
      </c>
      <c r="B6661" s="16" t="n">
        <v>44299</v>
      </c>
      <c r="C6661" s="20" t="inlineStr">
        <is>
          <t>화</t>
        </is>
      </c>
      <c r="D6661" s="20" t="inlineStr">
        <is>
          <t>유튜브 광고</t>
        </is>
      </c>
      <c r="E6661" s="20" t="inlineStr">
        <is>
          <t>고체향수</t>
        </is>
      </c>
      <c r="K6661" s="20" t="n">
        <v>200614</v>
      </c>
    </row>
    <row r="6662">
      <c r="A6662" s="20" t="inlineStr">
        <is>
          <t>동영상캠페인_필라테스_자기관리(타겟 cpa)</t>
        </is>
      </c>
      <c r="B6662" s="16" t="n">
        <v>44299</v>
      </c>
      <c r="C6662" s="20" t="inlineStr">
        <is>
          <t>화</t>
        </is>
      </c>
      <c r="D6662" s="20" t="inlineStr">
        <is>
          <t>유튜브 광고</t>
        </is>
      </c>
      <c r="E6662" s="20" t="inlineStr">
        <is>
          <t>고체향수</t>
        </is>
      </c>
      <c r="K6662" s="20" t="n">
        <v>58544</v>
      </c>
    </row>
    <row r="6663">
      <c r="A6663" s="20" t="inlineStr">
        <is>
          <t>동영상캠페인_승무원_비누향 나는 승무원에게(cpa)</t>
        </is>
      </c>
      <c r="B6663" s="16" t="n">
        <v>44299</v>
      </c>
      <c r="C6663" s="20" t="inlineStr">
        <is>
          <t>화</t>
        </is>
      </c>
      <c r="D6663" s="20" t="inlineStr">
        <is>
          <t>유튜브 광고</t>
        </is>
      </c>
      <c r="E6663" s="20" t="inlineStr">
        <is>
          <t>고체향수</t>
        </is>
      </c>
      <c r="K6663" s="20" t="n">
        <v>11613</v>
      </c>
    </row>
    <row r="6664">
      <c r="A6664" s="20" t="inlineStr">
        <is>
          <t>동영상캠페인_유즈모먼트_조향사 친구(cpa)</t>
        </is>
      </c>
      <c r="B6664" s="16" t="n">
        <v>44299</v>
      </c>
      <c r="C6664" s="20" t="inlineStr">
        <is>
          <t>화</t>
        </is>
      </c>
      <c r="D6664" s="20" t="inlineStr">
        <is>
          <t>유튜브 광고</t>
        </is>
      </c>
      <c r="E6664" s="20" t="inlineStr">
        <is>
          <t>고체향수</t>
        </is>
      </c>
      <c r="K6664" s="20" t="n">
        <v>149872</v>
      </c>
    </row>
    <row r="6665">
      <c r="A6665" s="20" t="inlineStr">
        <is>
          <t>동영상 캠페인_유튜버 수지큐 2차활용</t>
        </is>
      </c>
      <c r="B6665" s="16" t="n">
        <v>44299</v>
      </c>
      <c r="C6665" s="20" t="inlineStr">
        <is>
          <t>화</t>
        </is>
      </c>
      <c r="D6665" s="20" t="inlineStr">
        <is>
          <t>유튜브 광고</t>
        </is>
      </c>
      <c r="E6665" s="20" t="inlineStr">
        <is>
          <t>고체향수</t>
        </is>
      </c>
      <c r="K6665" s="20" t="n">
        <v>69993</v>
      </c>
    </row>
    <row r="6666">
      <c r="A6666" s="20" t="inlineStr">
        <is>
          <t>동영상캠페인_유즈모먼트_4화_강한향대신</t>
        </is>
      </c>
      <c r="B6666" s="16" t="n">
        <v>44299</v>
      </c>
      <c r="C6666" s="20" t="inlineStr">
        <is>
          <t>화</t>
        </is>
      </c>
      <c r="D6666" s="20" t="inlineStr">
        <is>
          <t>유튜브 광고</t>
        </is>
      </c>
      <c r="E6666" s="20" t="inlineStr">
        <is>
          <t>고체향수</t>
        </is>
      </c>
      <c r="K6666" s="20" t="n">
        <v>99769</v>
      </c>
    </row>
    <row r="6667">
      <c r="A6667" s="20" t="inlineStr">
        <is>
          <t>[5화자] 동영상 캠페인_벨라의 비행일기</t>
        </is>
      </c>
      <c r="B6667" s="16" t="n">
        <v>44299</v>
      </c>
      <c r="C6667" s="20" t="inlineStr">
        <is>
          <t>화</t>
        </is>
      </c>
      <c r="D6667" s="20" t="inlineStr">
        <is>
          <t>유튜브 광고</t>
        </is>
      </c>
      <c r="E6667" s="20" t="inlineStr">
        <is>
          <t>고체향수</t>
        </is>
      </c>
      <c r="K6667" s="20" t="n">
        <v>400565</v>
      </c>
    </row>
    <row r="6668">
      <c r="A6668" s="20" t="inlineStr">
        <is>
          <t>[5화자] 동영상 캠페인_비행하고 여행하는 은선씨</t>
        </is>
      </c>
      <c r="B6668" s="16" t="n">
        <v>44299</v>
      </c>
      <c r="C6668" s="20" t="inlineStr">
        <is>
          <t>화</t>
        </is>
      </c>
      <c r="D6668" s="20" t="inlineStr">
        <is>
          <t>유튜브 광고</t>
        </is>
      </c>
      <c r="E6668" s="20" t="inlineStr">
        <is>
          <t>고체향수</t>
        </is>
      </c>
      <c r="K6668" s="20" t="n">
        <v>400341</v>
      </c>
    </row>
    <row r="6669">
      <c r="A6669" s="20" t="inlineStr">
        <is>
          <t>[5화자 재편집] 승무원_벨라_면세점에서 천만원</t>
        </is>
      </c>
      <c r="B6669" s="16" t="n">
        <v>44299</v>
      </c>
      <c r="C6669" s="20" t="inlineStr">
        <is>
          <t>화</t>
        </is>
      </c>
      <c r="D6669" s="20" t="inlineStr">
        <is>
          <t>유튜브 광고</t>
        </is>
      </c>
      <c r="E6669" s="20" t="inlineStr">
        <is>
          <t>고체향수</t>
        </is>
      </c>
      <c r="K6669" s="20" t="n">
        <v>300015</v>
      </c>
    </row>
    <row r="6670">
      <c r="A6670" s="20" t="inlineStr">
        <is>
          <t>동영상캠페인_유즈모먼트_면세점뒤졌는데</t>
        </is>
      </c>
      <c r="B6670" s="16" t="n">
        <v>44299</v>
      </c>
      <c r="C6670" s="20" t="inlineStr">
        <is>
          <t>화</t>
        </is>
      </c>
      <c r="D6670" s="20">
        <f>VLOOKUP($A6670,매칭테이블!$B$548:$D$1048576,2,0)</f>
        <v/>
      </c>
      <c r="E6670" s="20" t="inlineStr">
        <is>
          <t>고체향수</t>
        </is>
      </c>
      <c r="K6670" s="20" t="n">
        <v>99941</v>
      </c>
    </row>
    <row r="6671">
      <c r="A6671" s="20" t="inlineStr">
        <is>
          <t>메인키워드</t>
        </is>
      </c>
      <c r="B6671" s="16" t="n">
        <v>44299</v>
      </c>
      <c r="C6671" s="20" t="inlineStr">
        <is>
          <t>화</t>
        </is>
      </c>
      <c r="D6671" s="20" t="inlineStr">
        <is>
          <t>네이버 쇼핑검색</t>
        </is>
      </c>
      <c r="E6671" s="20" t="inlineStr">
        <is>
          <t>고체향수</t>
        </is>
      </c>
      <c r="K6671" s="20" t="n">
        <v>9620</v>
      </c>
    </row>
    <row r="6672">
      <c r="A6672" s="20" t="inlineStr">
        <is>
          <t>세부키워드1</t>
        </is>
      </c>
      <c r="B6672" s="16" t="n">
        <v>44299</v>
      </c>
      <c r="C6672" s="20" t="inlineStr">
        <is>
          <t>화</t>
        </is>
      </c>
      <c r="D6672" s="20" t="inlineStr">
        <is>
          <t>네이버 쇼핑검색</t>
        </is>
      </c>
      <c r="E6672" s="20" t="inlineStr">
        <is>
          <t>고체향수</t>
        </is>
      </c>
      <c r="K6672" s="20" t="n">
        <v>0</v>
      </c>
    </row>
    <row r="6673">
      <c r="A6673" s="20" t="inlineStr">
        <is>
          <t>세부키워드3</t>
        </is>
      </c>
      <c r="B6673" s="16" t="n">
        <v>44299</v>
      </c>
      <c r="C6673" s="20" t="inlineStr">
        <is>
          <t>화</t>
        </is>
      </c>
      <c r="D6673" s="20" t="inlineStr">
        <is>
          <t>네이버 쇼핑검색</t>
        </is>
      </c>
      <c r="E6673" s="20" t="inlineStr">
        <is>
          <t>고체향수</t>
        </is>
      </c>
      <c r="K6673" s="20" t="n">
        <v>126400</v>
      </c>
    </row>
    <row r="6674">
      <c r="A6674" s="20" t="inlineStr">
        <is>
          <t>모바일 브검</t>
        </is>
      </c>
      <c r="B6674" s="16" t="n">
        <v>44299</v>
      </c>
      <c r="C6674" s="20" t="inlineStr">
        <is>
          <t>화</t>
        </is>
      </c>
      <c r="D6674" s="20" t="inlineStr">
        <is>
          <t>네이버 브랜드검색</t>
        </is>
      </c>
      <c r="E6674" s="20" t="inlineStr">
        <is>
          <t>브랜드</t>
        </is>
      </c>
      <c r="K6674" s="20" t="n">
        <v>140000</v>
      </c>
    </row>
    <row r="6675">
      <c r="A6675" s="20" t="inlineStr">
        <is>
          <t>PC 브랜드검색</t>
        </is>
      </c>
      <c r="B6675" s="16" t="n">
        <v>44299</v>
      </c>
      <c r="C6675" s="20" t="inlineStr">
        <is>
          <t>화</t>
        </is>
      </c>
      <c r="D6675" s="20" t="inlineStr">
        <is>
          <t>네이버 브랜드검색</t>
        </is>
      </c>
      <c r="E6675" s="20" t="inlineStr">
        <is>
          <t>브랜드</t>
        </is>
      </c>
      <c r="K6675" s="20" t="n">
        <v>16700</v>
      </c>
    </row>
    <row r="6676">
      <c r="A6676" s="20" t="inlineStr">
        <is>
          <t>고체향수_승무원 어피_Npay 추적</t>
        </is>
      </c>
      <c r="B6676" s="16" t="n">
        <v>44299</v>
      </c>
      <c r="C6676" s="20" t="inlineStr">
        <is>
          <t>화</t>
        </is>
      </c>
      <c r="D6676" s="20" t="inlineStr">
        <is>
          <t>카카오 배너</t>
        </is>
      </c>
      <c r="E6676" s="20" t="inlineStr">
        <is>
          <t>고체향수</t>
        </is>
      </c>
      <c r="K6676" s="20" t="n">
        <v>182310</v>
      </c>
    </row>
    <row r="6677">
      <c r="A6677" s="20" t="inlineStr">
        <is>
          <t>고체향수_Npay 추적</t>
        </is>
      </c>
      <c r="B6677" s="16" t="n">
        <v>44299</v>
      </c>
      <c r="C6677" s="20" t="inlineStr">
        <is>
          <t>화</t>
        </is>
      </c>
      <c r="D6677" s="20" t="inlineStr">
        <is>
          <t>카카오 배너</t>
        </is>
      </c>
      <c r="E6677" s="20" t="inlineStr">
        <is>
          <t>고체향수</t>
        </is>
      </c>
      <c r="K6677" s="20" t="n">
        <v>940279.9999999999</v>
      </c>
    </row>
    <row r="6678">
      <c r="B6678" s="16" t="n">
        <v>44299</v>
      </c>
      <c r="C6678" s="20" t="inlineStr">
        <is>
          <t>화</t>
        </is>
      </c>
      <c r="E6678" s="20" t="inlineStr">
        <is>
          <t>고체향수</t>
        </is>
      </c>
      <c r="F6678" s="20" t="inlineStr">
        <is>
          <t>W컨셉</t>
        </is>
      </c>
      <c r="G6678" s="20" t="inlineStr">
        <is>
          <t>솔리드퍼퓸 이그나이트/스테이포에버 30ml (2종 택1)&lt;옵션1&gt;002 STAY FOREVER</t>
        </is>
      </c>
      <c r="H6678" s="20" t="n">
        <v>7</v>
      </c>
      <c r="I6678" s="20" t="inlineStr">
        <is>
          <t>스테이포에버</t>
        </is>
      </c>
      <c r="J6678" s="20" t="inlineStr">
        <is>
          <t>210207</t>
        </is>
      </c>
      <c r="L6678" s="20" t="n">
        <v>238000</v>
      </c>
      <c r="M6678" s="20" t="n">
        <v>166600</v>
      </c>
      <c r="N6678" s="20" t="n">
        <v>18144</v>
      </c>
      <c r="O6678" s="20" t="inlineStr">
        <is>
          <t>W컨셉고체향수솔리드퍼퓸 이그나이트/스테이포에버 30ml (2종 택1)&lt;옵션1&gt;002 STAY FOREVER210207</t>
        </is>
      </c>
    </row>
    <row r="6679">
      <c r="B6679" s="16" t="n">
        <v>44299</v>
      </c>
      <c r="C6679" s="20" t="inlineStr">
        <is>
          <t>화</t>
        </is>
      </c>
      <c r="E6679" s="20" t="inlineStr">
        <is>
          <t>고체향수</t>
        </is>
      </c>
      <c r="F6679" s="20" t="inlineStr">
        <is>
          <t>스마트스토어</t>
        </is>
      </c>
      <c r="G6679" s="20" t="inlineStr">
        <is>
          <t>유즈 고체향수 세트(유즈 스테이포에버, 유즈 이그나이트)고체향수: 스테이포에버 1개 + 이그나이트 1개</t>
        </is>
      </c>
      <c r="H6679" s="20" t="n">
        <v>4</v>
      </c>
      <c r="I6679" s="20" t="inlineStr">
        <is>
          <t>이그나이트 + 스테이포에버</t>
        </is>
      </c>
      <c r="J6679" s="20" t="inlineStr">
        <is>
          <t>210207</t>
        </is>
      </c>
      <c r="L6679" s="20" t="n">
        <v>235200</v>
      </c>
      <c r="M6679" s="20" t="n">
        <v>221440.8</v>
      </c>
      <c r="N6679" s="20" t="n">
        <v>21380</v>
      </c>
      <c r="O6679" s="20" t="inlineStr">
        <is>
          <t>스마트스토어고체향수유즈 고체향수 세트(유즈 스테이포에버, 유즈 이그나이트)고체향수: 스테이포에버 1개 + 이그나이트 1개210207</t>
        </is>
      </c>
    </row>
    <row r="6680">
      <c r="B6680" s="16" t="n">
        <v>44299</v>
      </c>
      <c r="C6680" s="20" t="inlineStr">
        <is>
          <t>화</t>
        </is>
      </c>
      <c r="E6680" s="20" t="inlineStr">
        <is>
          <t>고체향수</t>
        </is>
      </c>
      <c r="F6680" s="20" t="inlineStr">
        <is>
          <t>스마트스토어</t>
        </is>
      </c>
      <c r="G6680" s="20" t="inlineStr">
        <is>
          <t>유즈 고체향수 세트(유즈 스테이포에버, 유즈 이그나이트)고체향수: 스테이포에버 2개</t>
        </is>
      </c>
      <c r="H6680" s="20" t="n">
        <v>2</v>
      </c>
      <c r="I6680" s="20" t="inlineStr">
        <is>
          <t>스테이포에버 2set</t>
        </is>
      </c>
      <c r="J6680" s="20" t="inlineStr">
        <is>
          <t>210207</t>
        </is>
      </c>
      <c r="L6680" s="20" t="n">
        <v>117600</v>
      </c>
      <c r="M6680" s="20" t="n">
        <v>115248</v>
      </c>
      <c r="N6680" s="20" t="n">
        <v>10368</v>
      </c>
      <c r="O6680" s="20" t="inlineStr">
        <is>
          <t>스마트스토어고체향수유즈 고체향수 세트(유즈 스테이포에버, 유즈 이그나이트)고체향수: 스테이포에버 2개210207</t>
        </is>
      </c>
    </row>
    <row r="6681">
      <c r="B6681" s="16" t="n">
        <v>44299</v>
      </c>
      <c r="C6681" s="20" t="inlineStr">
        <is>
          <t>화</t>
        </is>
      </c>
      <c r="E6681" s="20" t="inlineStr">
        <is>
          <t>고체향수</t>
        </is>
      </c>
      <c r="F6681" s="20" t="inlineStr">
        <is>
          <t>스마트스토어</t>
        </is>
      </c>
      <c r="G6681" s="20" t="inlineStr">
        <is>
          <t>유즈 고체향수 스테이포에버 002고체향수: 스테이포에버 1개</t>
        </is>
      </c>
      <c r="H6681" s="20" t="n">
        <v>17</v>
      </c>
      <c r="I6681" s="20" t="inlineStr">
        <is>
          <t>스테이포에버</t>
        </is>
      </c>
      <c r="J6681" s="20" t="inlineStr">
        <is>
          <t>210207</t>
        </is>
      </c>
      <c r="L6681" s="20" t="n">
        <v>578000</v>
      </c>
      <c r="M6681" s="20" t="n">
        <v>566440</v>
      </c>
      <c r="N6681" s="20" t="n">
        <v>44064</v>
      </c>
      <c r="O6681" s="20" t="inlineStr">
        <is>
          <t>스마트스토어고체향수유즈 고체향수 스테이포에버 002고체향수: 스테이포에버 1개210207</t>
        </is>
      </c>
    </row>
    <row r="6682">
      <c r="B6682" s="16" t="n">
        <v>44299</v>
      </c>
      <c r="C6682" s="20" t="inlineStr">
        <is>
          <t>화</t>
        </is>
      </c>
      <c r="E6682" s="20" t="inlineStr">
        <is>
          <t>고체향수</t>
        </is>
      </c>
      <c r="F6682" s="20" t="inlineStr">
        <is>
          <t>유즈 CS</t>
        </is>
      </c>
      <c r="G6682" s="20" t="inlineStr">
        <is>
          <t>솔리드퍼퓸 이그나이트 001 30ml</t>
        </is>
      </c>
      <c r="H6682" s="20" t="n">
        <v>2</v>
      </c>
      <c r="I6682" s="20" t="inlineStr">
        <is>
          <t>이그나이트</t>
        </is>
      </c>
      <c r="J6682" s="20" t="inlineStr">
        <is>
          <t>210207</t>
        </is>
      </c>
      <c r="L6682" s="20" t="n">
        <v>0</v>
      </c>
      <c r="M6682" s="20" t="n">
        <v>0</v>
      </c>
      <c r="N6682" s="20" t="n">
        <v>5506</v>
      </c>
      <c r="O6682" s="20" t="inlineStr">
        <is>
          <t>유즈 CS고체향수솔리드퍼퓸 이그나이트 001 30ml210207</t>
        </is>
      </c>
    </row>
    <row r="6683">
      <c r="B6683" s="16" t="n">
        <v>44299</v>
      </c>
      <c r="C6683" s="20" t="inlineStr">
        <is>
          <t>화</t>
        </is>
      </c>
      <c r="E6683" s="20" t="inlineStr">
        <is>
          <t>고체향수</t>
        </is>
      </c>
      <c r="F6683" s="20" t="inlineStr">
        <is>
          <t>카페24</t>
        </is>
      </c>
      <c r="G6683" s="20" t="inlineStr">
        <is>
          <t>솔리드퍼퓸 세트향=이그나이트 001 SOLID PERFUME, 세트 선택=1개</t>
        </is>
      </c>
      <c r="H6683" s="20" t="n">
        <v>1</v>
      </c>
      <c r="I6683" s="20" t="inlineStr">
        <is>
          <t>이그나이트</t>
        </is>
      </c>
      <c r="J6683" s="20" t="inlineStr">
        <is>
          <t>210207</t>
        </is>
      </c>
      <c r="L6683" s="20" t="n">
        <v>34000</v>
      </c>
      <c r="M6683" s="20" t="n">
        <v>32011</v>
      </c>
      <c r="N6683" s="20" t="n">
        <v>2753</v>
      </c>
      <c r="O6683" s="20" t="inlineStr">
        <is>
          <t>카페24고체향수솔리드퍼퓸 세트향=이그나이트 001 SOLID PERFUME, 세트 선택=1개210207</t>
        </is>
      </c>
    </row>
    <row r="6684">
      <c r="B6684" s="16" t="n">
        <v>44299</v>
      </c>
      <c r="C6684" s="20" t="inlineStr">
        <is>
          <t>화</t>
        </is>
      </c>
      <c r="E6684" s="20" t="inlineStr">
        <is>
          <t>고체향수</t>
        </is>
      </c>
      <c r="F6684" s="20" t="inlineStr">
        <is>
          <t>카페24</t>
        </is>
      </c>
      <c r="G6684" s="20" t="inlineStr">
        <is>
          <t>솔리드퍼퓸 세트향=스테이포에버 002 SOLID PERFUME, 세트 선택=1개</t>
        </is>
      </c>
      <c r="H6684" s="20" t="n">
        <v>4</v>
      </c>
      <c r="I6684" s="20" t="inlineStr">
        <is>
          <t>스테이포에버</t>
        </is>
      </c>
      <c r="J6684" s="20" t="inlineStr">
        <is>
          <t>210207</t>
        </is>
      </c>
      <c r="L6684" s="20" t="n">
        <v>136000</v>
      </c>
      <c r="M6684" s="20" t="n">
        <v>128044</v>
      </c>
      <c r="N6684" s="20" t="n">
        <v>10368</v>
      </c>
      <c r="O6684" s="20" t="inlineStr">
        <is>
          <t>카페24고체향수솔리드퍼퓸 세트향=스테이포에버 002 SOLID PERFUME, 세트 선택=1개210207</t>
        </is>
      </c>
    </row>
    <row r="6685">
      <c r="B6685" s="16" t="n">
        <v>44299</v>
      </c>
      <c r="C6685" s="20" t="inlineStr">
        <is>
          <t>화</t>
        </is>
      </c>
      <c r="E6685" s="20" t="inlineStr">
        <is>
          <t>고체향수</t>
        </is>
      </c>
      <c r="F6685" s="20" t="inlineStr">
        <is>
          <t>카페24</t>
        </is>
      </c>
      <c r="G6685" s="20" t="inlineStr">
        <is>
          <t>솔리드퍼퓸 세트향=스테이포에버 002 SOLID PERFUME, 세트 선택=best 2개 (28% 할인)</t>
        </is>
      </c>
      <c r="H6685" s="20" t="n">
        <v>7</v>
      </c>
      <c r="I6685" s="20" t="inlineStr">
        <is>
          <t>스테이포에버 2set</t>
        </is>
      </c>
      <c r="J6685" s="20" t="inlineStr">
        <is>
          <t>210207</t>
        </is>
      </c>
      <c r="L6685" s="20" t="n">
        <v>411600</v>
      </c>
      <c r="M6685" s="20" t="n">
        <v>387521.4</v>
      </c>
      <c r="N6685" s="20" t="n">
        <v>36288</v>
      </c>
      <c r="O6685" s="20" t="inlineStr">
        <is>
          <t>카페24고체향수솔리드퍼퓸 세트향=스테이포에버 002 SOLID PERFUME, 세트 선택=best 2개 (28% 할인)210207</t>
        </is>
      </c>
    </row>
    <row r="6686">
      <c r="B6686" s="16" t="n">
        <v>44299</v>
      </c>
      <c r="C6686" s="20" t="inlineStr">
        <is>
          <t>화</t>
        </is>
      </c>
      <c r="E6686" s="20" t="inlineStr">
        <is>
          <t>고체향수</t>
        </is>
      </c>
      <c r="F6686" s="20" t="inlineStr">
        <is>
          <t>카페24</t>
        </is>
      </c>
      <c r="G6686" s="20" t="inlineStr">
        <is>
          <t>솔리드퍼퓸 세트향=커플세트(이그나이트 + 스테이포에버), 세트 선택=1 SET</t>
        </is>
      </c>
      <c r="H6686" s="20" t="n">
        <v>11</v>
      </c>
      <c r="I6686" s="20" t="inlineStr">
        <is>
          <t>이그나이트 + 스테이포에버</t>
        </is>
      </c>
      <c r="J6686" s="20" t="inlineStr">
        <is>
          <t>210207</t>
        </is>
      </c>
      <c r="L6686" s="20" t="n">
        <v>646800</v>
      </c>
      <c r="M6686" s="20" t="n">
        <v>608962.2</v>
      </c>
      <c r="N6686" s="20" t="n">
        <v>58795</v>
      </c>
      <c r="O6686" s="20" t="inlineStr">
        <is>
          <t>카페24고체향수솔리드퍼퓸 세트향=커플세트(이그나이트 + 스테이포에버), 세트 선택=1 SET210207</t>
        </is>
      </c>
    </row>
    <row r="6687">
      <c r="B6687" s="16" t="n">
        <v>44299</v>
      </c>
      <c r="C6687" s="20" t="inlineStr">
        <is>
          <t>화</t>
        </is>
      </c>
      <c r="E6687" s="20" t="inlineStr">
        <is>
          <t>고체향수</t>
        </is>
      </c>
      <c r="F6687" s="20" t="inlineStr">
        <is>
          <t>카페24</t>
        </is>
      </c>
      <c r="G6687" s="20" t="inlineStr">
        <is>
          <t>솔리드퍼퓸 세트향=커플세트(이그나이트 + 스테이포에버), 세트 선택=2 SET (42% 할인)</t>
        </is>
      </c>
      <c r="H6687" s="20" t="n">
        <v>1</v>
      </c>
      <c r="I6687" s="20" t="inlineStr">
        <is>
          <t>이그나이트 + 스테이포에버</t>
        </is>
      </c>
      <c r="J6687" s="20" t="inlineStr">
        <is>
          <t>210207</t>
        </is>
      </c>
      <c r="L6687" s="20" t="n">
        <v>58800</v>
      </c>
      <c r="M6687" s="20" t="n">
        <v>55360.2</v>
      </c>
      <c r="N6687" s="20" t="n">
        <v>5345</v>
      </c>
      <c r="O6687" s="20" t="inlineStr">
        <is>
          <t>카페24고체향수솔리드퍼퓸 세트향=커플세트(이그나이트 + 스테이포에버), 세트 선택=2 SET (42% 할인)210207</t>
        </is>
      </c>
    </row>
    <row r="6688">
      <c r="B6688" s="16" t="n">
        <v>44299</v>
      </c>
      <c r="C6688" s="20" t="inlineStr">
        <is>
          <t>화</t>
        </is>
      </c>
      <c r="E6688" s="20" t="inlineStr">
        <is>
          <t>고체향수</t>
        </is>
      </c>
      <c r="F6688" s="20" t="inlineStr">
        <is>
          <t>카페24</t>
        </is>
      </c>
      <c r="G6688" s="20" t="inlineStr">
        <is>
          <t>솔리드퍼퓸 스테이포에버 002제품선택=스테이포에버 1개</t>
        </is>
      </c>
      <c r="H6688" s="20" t="n">
        <v>195</v>
      </c>
      <c r="I6688" s="20" t="inlineStr">
        <is>
          <t>스테이포에버</t>
        </is>
      </c>
      <c r="J6688" s="20" t="inlineStr">
        <is>
          <t>210207</t>
        </is>
      </c>
      <c r="L6688" s="20" t="n">
        <v>6630000</v>
      </c>
      <c r="M6688" s="20" t="n">
        <v>6242145</v>
      </c>
      <c r="N6688" s="20" t="n">
        <v>505440</v>
      </c>
      <c r="O6688" s="20" t="inlineStr">
        <is>
          <t>카페24고체향수솔리드퍼퓸 스테이포에버 002제품선택=스테이포에버 1개210207</t>
        </is>
      </c>
    </row>
    <row r="6689">
      <c r="B6689" s="16" t="n">
        <v>44299</v>
      </c>
      <c r="C6689" s="20" t="inlineStr">
        <is>
          <t>화</t>
        </is>
      </c>
      <c r="E6689" s="20" t="inlineStr">
        <is>
          <t>고체향수</t>
        </is>
      </c>
      <c r="F6689" s="20" t="inlineStr">
        <is>
          <t>카페24</t>
        </is>
      </c>
      <c r="G6689" s="20" t="inlineStr">
        <is>
          <t>솔리드퍼퓸 스테이포에버 002제품선택=best스테이포에버 2개[28% 할인]</t>
        </is>
      </c>
      <c r="H6689" s="20" t="n">
        <v>126</v>
      </c>
      <c r="I6689" s="20" t="inlineStr">
        <is>
          <t>스테이포에버 2set</t>
        </is>
      </c>
      <c r="J6689" s="20" t="inlineStr">
        <is>
          <t>210207</t>
        </is>
      </c>
      <c r="L6689" s="20" t="n">
        <v>7408800</v>
      </c>
      <c r="M6689" s="20" t="n">
        <v>6975385.199999999</v>
      </c>
      <c r="N6689" s="20" t="n">
        <v>653184</v>
      </c>
      <c r="O6689" s="20" t="inlineStr">
        <is>
          <t>카페24고체향수솔리드퍼퓸 스테이포에버 002제품선택=best스테이포에버 2개[28% 할인]210207</t>
        </is>
      </c>
    </row>
    <row r="6690">
      <c r="B6690" s="16" t="n">
        <v>44299</v>
      </c>
      <c r="C6690" s="20" t="inlineStr">
        <is>
          <t>화</t>
        </is>
      </c>
      <c r="E6690" s="20" t="inlineStr">
        <is>
          <t>고체향수</t>
        </is>
      </c>
      <c r="F6690" s="20" t="inlineStr">
        <is>
          <t>카페24</t>
        </is>
      </c>
      <c r="G6690" s="20" t="inlineStr">
        <is>
          <t>솔리드퍼퓸 스테이포에버 002제품선택=커플추천스테이포에버 + 이그나이트 세트</t>
        </is>
      </c>
      <c r="H6690" s="20" t="n">
        <v>15</v>
      </c>
      <c r="I6690" s="20" t="inlineStr">
        <is>
          <t>이그나이트 + 스테이포에버</t>
        </is>
      </c>
      <c r="J6690" s="20" t="inlineStr">
        <is>
          <t>210207</t>
        </is>
      </c>
      <c r="L6690" s="20" t="n">
        <v>882000</v>
      </c>
      <c r="M6690" s="20" t="n">
        <v>830403</v>
      </c>
      <c r="N6690" s="20" t="n">
        <v>80175</v>
      </c>
      <c r="O6690" s="20" t="inlineStr">
        <is>
          <t>카페24고체향수솔리드퍼퓸 스테이포에버 002제품선택=커플추천스테이포에버 + 이그나이트 세트210207</t>
        </is>
      </c>
    </row>
    <row r="6691">
      <c r="B6691" s="16" t="n">
        <v>44299</v>
      </c>
      <c r="C6691" s="20" t="inlineStr">
        <is>
          <t>화</t>
        </is>
      </c>
      <c r="E6691" s="20" t="inlineStr">
        <is>
          <t>쇼핑백</t>
        </is>
      </c>
      <c r="F6691" s="20" t="inlineStr">
        <is>
          <t>카페24</t>
        </is>
      </c>
      <c r="G6691" s="20" t="inlineStr">
        <is>
          <t>솔리드퍼퓸 스테이포에버 002쇼핑백=선물용 쇼핑백</t>
        </is>
      </c>
      <c r="H6691" s="20" t="n">
        <v>6</v>
      </c>
      <c r="I6691" s="20" t="inlineStr">
        <is>
          <t>쇼핑백</t>
        </is>
      </c>
      <c r="J6691" s="20" t="inlineStr">
        <is>
          <t>210207</t>
        </is>
      </c>
      <c r="L6691" s="20" t="n">
        <v>12000</v>
      </c>
      <c r="M6691" s="20" t="n">
        <v>11298</v>
      </c>
      <c r="N6691" s="20" t="n">
        <v>4980</v>
      </c>
      <c r="O6691" s="20" t="inlineStr">
        <is>
          <t>카페24쇼핑백솔리드퍼퓸 스테이포에버 002쇼핑백=선물용 쇼핑백210207</t>
        </is>
      </c>
    </row>
    <row r="6692">
      <c r="B6692" s="16" t="n">
        <v>44299</v>
      </c>
      <c r="C6692" s="20" t="inlineStr">
        <is>
          <t>화</t>
        </is>
      </c>
      <c r="E6692" s="20" t="inlineStr">
        <is>
          <t>고체향수</t>
        </is>
      </c>
      <c r="F6692" s="20" t="inlineStr">
        <is>
          <t>카페24</t>
        </is>
      </c>
      <c r="G6692" s="20" t="inlineStr">
        <is>
          <t>솔리드퍼퓸 이그나이트 001제품선택=이그나이트 솔리드퍼퓸 - 30ml</t>
        </is>
      </c>
      <c r="H6692" s="20" t="n">
        <v>2</v>
      </c>
      <c r="I6692" s="20" t="inlineStr">
        <is>
          <t>이그나이트</t>
        </is>
      </c>
      <c r="J6692" s="20" t="inlineStr">
        <is>
          <t>210207</t>
        </is>
      </c>
      <c r="L6692" s="20" t="n">
        <v>68000</v>
      </c>
      <c r="M6692" s="20" t="n">
        <v>64022</v>
      </c>
      <c r="N6692" s="20" t="n">
        <v>5506</v>
      </c>
      <c r="O6692" s="20" t="inlineStr">
        <is>
          <t>카페24고체향수솔리드퍼퓸 이그나이트 001제품선택=이그나이트 솔리드퍼퓸 - 30ml210207</t>
        </is>
      </c>
    </row>
    <row r="6693">
      <c r="B6693" s="16" t="n">
        <v>44299</v>
      </c>
      <c r="C6693" s="20" t="inlineStr">
        <is>
          <t>화</t>
        </is>
      </c>
      <c r="E6693" s="20" t="inlineStr">
        <is>
          <t>고체향수</t>
        </is>
      </c>
      <c r="F6693" s="20" t="inlineStr">
        <is>
          <t>카페24</t>
        </is>
      </c>
      <c r="G6693" s="20" t="inlineStr">
        <is>
          <t>솔리드퍼퓸 이그나이트 001제품선택=이그나이트 2개 세트</t>
        </is>
      </c>
      <c r="H6693" s="20" t="n">
        <v>1</v>
      </c>
      <c r="I6693" s="20" t="inlineStr">
        <is>
          <t>이그나이트 2set</t>
        </is>
      </c>
      <c r="J6693" s="20" t="inlineStr">
        <is>
          <t>210207</t>
        </is>
      </c>
      <c r="L6693" s="20" t="n">
        <v>58800</v>
      </c>
      <c r="M6693" s="20" t="n">
        <v>55360.2</v>
      </c>
      <c r="N6693" s="20" t="n">
        <v>5506</v>
      </c>
      <c r="O6693" s="20" t="inlineStr">
        <is>
          <t>카페24고체향수솔리드퍼퓸 이그나이트 001제품선택=이그나이트 2개 세트210207</t>
        </is>
      </c>
    </row>
    <row r="6694">
      <c r="B6694" s="16" t="n">
        <v>44299</v>
      </c>
      <c r="C6694" s="20" t="inlineStr">
        <is>
          <t>화</t>
        </is>
      </c>
      <c r="E6694" s="20" t="inlineStr">
        <is>
          <t>고체향수</t>
        </is>
      </c>
      <c r="F6694" s="20" t="inlineStr">
        <is>
          <t>카페24</t>
        </is>
      </c>
      <c r="G6694" s="20" t="inlineStr">
        <is>
          <t>유즈 솔리드퍼퓸 세트향=스테이포에버 002 SOLID PERFUME, 세트 선택=1개</t>
        </is>
      </c>
      <c r="H6694" s="20" t="n">
        <v>1</v>
      </c>
      <c r="I6694" s="20" t="inlineStr">
        <is>
          <t>스테이포에버</t>
        </is>
      </c>
      <c r="J6694" s="20" t="inlineStr">
        <is>
          <t>210207</t>
        </is>
      </c>
      <c r="L6694" s="20" t="n">
        <v>34000</v>
      </c>
      <c r="M6694" s="20" t="n">
        <v>32011</v>
      </c>
      <c r="N6694" s="20" t="n">
        <v>2592</v>
      </c>
      <c r="O6694" s="20" t="inlineStr">
        <is>
          <t>카페24고체향수유즈 솔리드퍼퓸 세트향=스테이포에버 002 SOLID PERFUME, 세트 선택=1개210207</t>
        </is>
      </c>
    </row>
    <row r="6695">
      <c r="A6695" s="20" t="inlineStr">
        <is>
          <t>고체향수</t>
        </is>
      </c>
      <c r="B6695" s="16" t="n">
        <v>44299</v>
      </c>
      <c r="C6695" s="20" t="inlineStr">
        <is>
          <t>화</t>
        </is>
      </c>
      <c r="D6695" s="20" t="inlineStr">
        <is>
          <t>네이버 배너</t>
        </is>
      </c>
      <c r="E6695" s="20" t="inlineStr">
        <is>
          <t>고체향수</t>
        </is>
      </c>
      <c r="K6695" s="20" t="n">
        <v>1467889.090909091</v>
      </c>
    </row>
    <row r="6696">
      <c r="B6696" s="16" t="n">
        <v>44299</v>
      </c>
      <c r="C6696" s="20" t="inlineStr">
        <is>
          <t>화</t>
        </is>
      </c>
      <c r="D6696" s="20" t="inlineStr">
        <is>
          <t>네이버 배너(대행사)</t>
        </is>
      </c>
      <c r="E6696" s="20" t="inlineStr">
        <is>
          <t>고체향수</t>
        </is>
      </c>
      <c r="K6696" s="20">
        <f>85819/1.1</f>
        <v/>
      </c>
    </row>
    <row r="6697">
      <c r="A6697" s="20" t="inlineStr">
        <is>
          <t>[올리브영] 이그나이트_영상</t>
        </is>
      </c>
      <c r="B6697" s="16" t="n">
        <v>44300</v>
      </c>
      <c r="C6697" s="20" t="inlineStr">
        <is>
          <t>수</t>
        </is>
      </c>
      <c r="D6697" s="20" t="inlineStr">
        <is>
          <t>페이스북/인스타그램</t>
        </is>
      </c>
      <c r="E6697" s="20" t="inlineStr">
        <is>
          <t>고체향수</t>
        </is>
      </c>
      <c r="K6697" s="20" t="n">
        <v>28241</v>
      </c>
    </row>
    <row r="6698">
      <c r="A6698" s="20" t="inlineStr">
        <is>
          <t>[승희 TEST] 스테이포에버_이미지</t>
        </is>
      </c>
      <c r="B6698" s="16" t="n">
        <v>44300</v>
      </c>
      <c r="C6698" s="20" t="inlineStr">
        <is>
          <t>수</t>
        </is>
      </c>
      <c r="D6698" s="20" t="inlineStr">
        <is>
          <t>페이스북/인스타그램</t>
        </is>
      </c>
      <c r="E6698" s="20" t="inlineStr">
        <is>
          <t>고체향수</t>
        </is>
      </c>
      <c r="K6698" s="20" t="n">
        <v>58057</v>
      </c>
    </row>
    <row r="6699">
      <c r="A6699" s="20" t="inlineStr">
        <is>
          <t>[올리브영] 스테이포에버_영상</t>
        </is>
      </c>
      <c r="B6699" s="16" t="n">
        <v>44300</v>
      </c>
      <c r="C6699" s="20" t="inlineStr">
        <is>
          <t>수</t>
        </is>
      </c>
      <c r="D6699" s="20" t="inlineStr">
        <is>
          <t>페이스북/인스타그램</t>
        </is>
      </c>
      <c r="E6699" s="20" t="inlineStr">
        <is>
          <t>고체향수</t>
        </is>
      </c>
      <c r="K6699" s="20" t="n">
        <v>97074</v>
      </c>
    </row>
    <row r="6700">
      <c r="A6700" s="20" t="inlineStr">
        <is>
          <t>[올리브영] 스테이포에버_이미지</t>
        </is>
      </c>
      <c r="B6700" s="16" t="n">
        <v>44300</v>
      </c>
      <c r="C6700" s="20" t="inlineStr">
        <is>
          <t>수</t>
        </is>
      </c>
      <c r="D6700" s="20" t="inlineStr">
        <is>
          <t>페이스북/인스타그램</t>
        </is>
      </c>
      <c r="E6700" s="20" t="inlineStr">
        <is>
          <t>고체향수</t>
        </is>
      </c>
      <c r="K6700" s="20" t="n">
        <v>38518</v>
      </c>
    </row>
    <row r="6701">
      <c r="A6701" s="20" t="inlineStr">
        <is>
          <t>[승무원] 유튜브재편집_스테이포에버_영상</t>
        </is>
      </c>
      <c r="B6701" s="16" t="n">
        <v>44300</v>
      </c>
      <c r="C6701" s="20" t="inlineStr">
        <is>
          <t>수</t>
        </is>
      </c>
      <c r="D6701" s="20" t="inlineStr">
        <is>
          <t>페이스북/인스타그램</t>
        </is>
      </c>
      <c r="E6701" s="20" t="inlineStr">
        <is>
          <t>고체향수</t>
        </is>
      </c>
      <c r="K6701" s="20" t="n">
        <v>246875</v>
      </c>
    </row>
    <row r="6702">
      <c r="A6702" s="20" t="inlineStr">
        <is>
          <t>[다현 TEST] 스테이포에버_유즈모먼트</t>
        </is>
      </c>
      <c r="B6702" s="16" t="n">
        <v>44300</v>
      </c>
      <c r="C6702" s="20" t="inlineStr">
        <is>
          <t>수</t>
        </is>
      </c>
      <c r="D6702" s="20" t="inlineStr">
        <is>
          <t>페이스북/인스타그램</t>
        </is>
      </c>
      <c r="E6702" s="20" t="inlineStr">
        <is>
          <t>고체향수</t>
        </is>
      </c>
      <c r="K6702" s="20" t="n">
        <v>48722</v>
      </c>
    </row>
    <row r="6703">
      <c r="A6703" s="20" t="inlineStr">
        <is>
          <t>[성민 TEST] 스테이포에버_이미지</t>
        </is>
      </c>
      <c r="B6703" s="16" t="n">
        <v>44300</v>
      </c>
      <c r="C6703" s="20" t="inlineStr">
        <is>
          <t>수</t>
        </is>
      </c>
      <c r="D6703" s="20" t="inlineStr">
        <is>
          <t>페이스북/인스타그램</t>
        </is>
      </c>
      <c r="E6703" s="20" t="inlineStr">
        <is>
          <t>고체향수</t>
        </is>
      </c>
      <c r="K6703" s="20" t="n">
        <v>315050</v>
      </c>
    </row>
    <row r="6704">
      <c r="A6704" s="20" t="inlineStr">
        <is>
          <t>[승은 TEST] 스테이포에버_카드뉴스</t>
        </is>
      </c>
      <c r="B6704" s="16" t="n">
        <v>44300</v>
      </c>
      <c r="C6704" s="20" t="inlineStr">
        <is>
          <t>수</t>
        </is>
      </c>
      <c r="D6704" s="20" t="inlineStr">
        <is>
          <t>페이스북/인스타그램</t>
        </is>
      </c>
      <c r="E6704" s="20" t="inlineStr">
        <is>
          <t>고체향수</t>
        </is>
      </c>
      <c r="K6704" s="20" t="n">
        <v>164358</v>
      </c>
    </row>
    <row r="6705">
      <c r="A6705" s="20" t="inlineStr">
        <is>
          <t>[승무원 2] 스테이포에버_카드뉴스</t>
        </is>
      </c>
      <c r="B6705" s="16" t="n">
        <v>44300</v>
      </c>
      <c r="C6705" s="20" t="inlineStr">
        <is>
          <t>수</t>
        </is>
      </c>
      <c r="D6705" s="20" t="inlineStr">
        <is>
          <t>페이스북/인스타그램</t>
        </is>
      </c>
      <c r="E6705" s="20" t="inlineStr">
        <is>
          <t>고체향수</t>
        </is>
      </c>
      <c r="K6705" s="20" t="n">
        <v>46880</v>
      </c>
    </row>
    <row r="6706">
      <c r="A6706" s="20" t="inlineStr">
        <is>
          <t>[테스트]아줌마</t>
        </is>
      </c>
      <c r="B6706" s="16" t="n">
        <v>44300</v>
      </c>
      <c r="C6706" s="20" t="inlineStr">
        <is>
          <t>수</t>
        </is>
      </c>
      <c r="D6706" s="20" t="inlineStr">
        <is>
          <t>페이스북/인스타그램</t>
        </is>
      </c>
      <c r="E6706" s="20" t="inlineStr">
        <is>
          <t>고체향수</t>
        </is>
      </c>
      <c r="K6706" s="20" t="n">
        <v>107642</v>
      </c>
    </row>
    <row r="6707">
      <c r="A6707" s="20" t="inlineStr">
        <is>
          <t>[다양한 키워드] 스테이포에버_이미지</t>
        </is>
      </c>
      <c r="B6707" s="16" t="n">
        <v>44300</v>
      </c>
      <c r="C6707" s="20" t="inlineStr">
        <is>
          <t>수</t>
        </is>
      </c>
      <c r="D6707" s="20" t="inlineStr">
        <is>
          <t>페이스북/인스타그램</t>
        </is>
      </c>
      <c r="E6707" s="20" t="inlineStr">
        <is>
          <t>고체향수</t>
        </is>
      </c>
      <c r="K6707" s="20" t="n">
        <v>275157</v>
      </c>
    </row>
    <row r="6708">
      <c r="A6708" s="20" t="inlineStr">
        <is>
          <t>[재입고]스테이포에버_이미지</t>
        </is>
      </c>
      <c r="B6708" s="16" t="n">
        <v>44300</v>
      </c>
      <c r="C6708" s="20" t="inlineStr">
        <is>
          <t>수</t>
        </is>
      </c>
      <c r="D6708" s="20" t="inlineStr">
        <is>
          <t>페이스북/인스타그램</t>
        </is>
      </c>
      <c r="E6708" s="20" t="inlineStr">
        <is>
          <t>고체향수</t>
        </is>
      </c>
      <c r="K6708" s="20" t="n">
        <v>247027</v>
      </c>
    </row>
    <row r="6709">
      <c r="A6709" s="20" t="inlineStr">
        <is>
          <t>[승무원]숏폼_영상</t>
        </is>
      </c>
      <c r="B6709" s="16" t="n">
        <v>44300</v>
      </c>
      <c r="C6709" s="20" t="inlineStr">
        <is>
          <t>수</t>
        </is>
      </c>
      <c r="D6709" s="20" t="inlineStr">
        <is>
          <t>페이스북/인스타그램</t>
        </is>
      </c>
      <c r="E6709" s="20" t="inlineStr">
        <is>
          <t>고체향수</t>
        </is>
      </c>
      <c r="K6709" s="20" t="n">
        <v>49655</v>
      </c>
    </row>
    <row r="6710">
      <c r="A6710" s="20" t="inlineStr">
        <is>
          <t>[재입고]스테이포에버_영상</t>
        </is>
      </c>
      <c r="B6710" s="16" t="n">
        <v>44300</v>
      </c>
      <c r="C6710" s="20" t="inlineStr">
        <is>
          <t>수</t>
        </is>
      </c>
      <c r="D6710" s="20" t="inlineStr">
        <is>
          <t>페이스북/인스타그램</t>
        </is>
      </c>
      <c r="E6710" s="20" t="inlineStr">
        <is>
          <t>고체향수</t>
        </is>
      </c>
      <c r="K6710" s="20" t="n">
        <v>198960</v>
      </c>
    </row>
    <row r="6711">
      <c r="A6711" s="20" t="inlineStr">
        <is>
          <t>[승무원]2019년썰 카드뉴스+ 향묘사_영상</t>
        </is>
      </c>
      <c r="B6711" s="16" t="n">
        <v>44300</v>
      </c>
      <c r="C6711" s="20" t="inlineStr">
        <is>
          <t>수</t>
        </is>
      </c>
      <c r="D6711" s="20" t="inlineStr">
        <is>
          <t>페이스북/인스타그램</t>
        </is>
      </c>
      <c r="E6711" s="20" t="inlineStr">
        <is>
          <t>고체향수</t>
        </is>
      </c>
      <c r="K6711" s="20" t="n">
        <v>49530</v>
      </c>
    </row>
    <row r="6712">
      <c r="A6712" s="20" t="inlineStr">
        <is>
          <t>[승무원어피]스테이포에버_이미지</t>
        </is>
      </c>
      <c r="B6712" s="16" t="n">
        <v>44300</v>
      </c>
      <c r="C6712" s="20" t="inlineStr">
        <is>
          <t>수</t>
        </is>
      </c>
      <c r="D6712" s="20" t="inlineStr">
        <is>
          <t>페이스북/인스타그램</t>
        </is>
      </c>
      <c r="E6712" s="20" t="inlineStr">
        <is>
          <t>고체향수</t>
        </is>
      </c>
      <c r="K6712" s="20" t="n">
        <v>98955</v>
      </c>
    </row>
    <row r="6713">
      <c r="A6713" s="20" t="inlineStr">
        <is>
          <t>[다현]스테이포에버_이미지</t>
        </is>
      </c>
      <c r="B6713" s="16" t="n">
        <v>44300</v>
      </c>
      <c r="C6713" s="20" t="inlineStr">
        <is>
          <t>수</t>
        </is>
      </c>
      <c r="D6713" s="20" t="inlineStr">
        <is>
          <t>페이스북/인스타그램</t>
        </is>
      </c>
      <c r="E6713" s="20" t="inlineStr">
        <is>
          <t>고체향수</t>
        </is>
      </c>
      <c r="K6713" s="20" t="n">
        <v>149320</v>
      </c>
    </row>
    <row r="6714">
      <c r="A6714" s="20" t="inlineStr">
        <is>
          <t>[승무원]스테이포에버_카드뉴스</t>
        </is>
      </c>
      <c r="B6714" s="16" t="n">
        <v>44300</v>
      </c>
      <c r="C6714" s="20" t="inlineStr">
        <is>
          <t>수</t>
        </is>
      </c>
      <c r="D6714" s="20" t="inlineStr">
        <is>
          <t>페이스북/인스타그램</t>
        </is>
      </c>
      <c r="E6714" s="20" t="inlineStr">
        <is>
          <t>고체향수</t>
        </is>
      </c>
      <c r="K6714" s="20" t="n">
        <v>28576</v>
      </c>
    </row>
    <row r="6715">
      <c r="A6715" s="20" t="inlineStr">
        <is>
          <t>[후기타입]스테이포에버_영상</t>
        </is>
      </c>
      <c r="B6715" s="16" t="n">
        <v>44300</v>
      </c>
      <c r="C6715" s="20" t="inlineStr">
        <is>
          <t>수</t>
        </is>
      </c>
      <c r="D6715" s="20" t="inlineStr">
        <is>
          <t>페이스북/인스타그램</t>
        </is>
      </c>
      <c r="E6715" s="20" t="inlineStr">
        <is>
          <t>고체향수</t>
        </is>
      </c>
      <c r="K6715" s="20" t="n">
        <v>147008</v>
      </c>
    </row>
    <row r="6716">
      <c r="A6716" s="20" t="inlineStr">
        <is>
          <t>전환_스테이포에버</t>
        </is>
      </c>
      <c r="B6716" s="16" t="n">
        <v>44300</v>
      </c>
      <c r="C6716" s="20" t="inlineStr">
        <is>
          <t>수</t>
        </is>
      </c>
      <c r="D6716" s="20" t="inlineStr">
        <is>
          <t>페이스북/인스타그램</t>
        </is>
      </c>
      <c r="E6716" s="20" t="inlineStr">
        <is>
          <t>고체향수</t>
        </is>
      </c>
      <c r="K6716" s="20" t="n">
        <v>69448</v>
      </c>
    </row>
    <row r="6717">
      <c r="A6717" s="20" t="inlineStr">
        <is>
          <t>[권태기커플]스테이포에버_영상</t>
        </is>
      </c>
      <c r="B6717" s="16" t="n">
        <v>44300</v>
      </c>
      <c r="C6717" s="20" t="inlineStr">
        <is>
          <t>수</t>
        </is>
      </c>
      <c r="D6717" s="20" t="inlineStr">
        <is>
          <t>페이스북/인스타그램</t>
        </is>
      </c>
      <c r="E6717" s="20" t="inlineStr">
        <is>
          <t>고체향수</t>
        </is>
      </c>
      <c r="K6717" s="20" t="n">
        <v>28492</v>
      </c>
    </row>
    <row r="6718">
      <c r="A6718" s="20" t="inlineStr">
        <is>
          <t>웹사이트 트래픽 서치</t>
        </is>
      </c>
      <c r="B6718" s="16" t="n">
        <v>44300</v>
      </c>
      <c r="C6718" s="20" t="inlineStr">
        <is>
          <t>수</t>
        </is>
      </c>
      <c r="D6718" s="20" t="inlineStr">
        <is>
          <t>유튜브 광고</t>
        </is>
      </c>
      <c r="E6718" s="20" t="inlineStr">
        <is>
          <t>고체향수</t>
        </is>
      </c>
      <c r="K6718" s="20" t="n">
        <v>43314</v>
      </c>
    </row>
    <row r="6719">
      <c r="A6719" s="20" t="inlineStr">
        <is>
          <t>동영상캠페인_승무원_보이는 라디오(cpa)</t>
        </is>
      </c>
      <c r="B6719" s="16" t="n">
        <v>44300</v>
      </c>
      <c r="C6719" s="20" t="inlineStr">
        <is>
          <t>수</t>
        </is>
      </c>
      <c r="D6719" s="20" t="inlineStr">
        <is>
          <t>유튜브 광고</t>
        </is>
      </c>
      <c r="E6719" s="20" t="inlineStr">
        <is>
          <t>고체향수</t>
        </is>
      </c>
      <c r="K6719" s="20" t="n">
        <v>10686</v>
      </c>
    </row>
    <row r="6720">
      <c r="A6720" s="20" t="inlineStr">
        <is>
          <t>디스커버리 배너_승무원,할인_리마케팅</t>
        </is>
      </c>
      <c r="B6720" s="16" t="n">
        <v>44300</v>
      </c>
      <c r="C6720" s="20" t="inlineStr">
        <is>
          <t>수</t>
        </is>
      </c>
      <c r="D6720" s="20" t="inlineStr">
        <is>
          <t>유튜브 광고</t>
        </is>
      </c>
      <c r="E6720" s="20" t="inlineStr">
        <is>
          <t>고체향수</t>
        </is>
      </c>
      <c r="K6720" s="20" t="n">
        <v>610791</v>
      </c>
    </row>
    <row r="6721">
      <c r="A6721" s="20" t="inlineStr">
        <is>
          <t>동영상캠페인_승무원_써니스카이</t>
        </is>
      </c>
      <c r="B6721" s="16" t="n">
        <v>44300</v>
      </c>
      <c r="C6721" s="20" t="inlineStr">
        <is>
          <t>수</t>
        </is>
      </c>
      <c r="D6721" s="20" t="inlineStr">
        <is>
          <t>유튜브 광고</t>
        </is>
      </c>
      <c r="E6721" s="20" t="inlineStr">
        <is>
          <t>고체향수</t>
        </is>
      </c>
      <c r="K6721" s="20" t="n">
        <v>204976</v>
      </c>
    </row>
    <row r="6722">
      <c r="A6722" s="20" t="inlineStr">
        <is>
          <t>동영상캠페인_필라테스_자기관리(타겟 cpa)</t>
        </is>
      </c>
      <c r="B6722" s="16" t="n">
        <v>44300</v>
      </c>
      <c r="C6722" s="20" t="inlineStr">
        <is>
          <t>수</t>
        </is>
      </c>
      <c r="D6722" s="20" t="inlineStr">
        <is>
          <t>유튜브 광고</t>
        </is>
      </c>
      <c r="E6722" s="20" t="inlineStr">
        <is>
          <t>고체향수</t>
        </is>
      </c>
      <c r="K6722" s="20" t="n">
        <v>87237</v>
      </c>
    </row>
    <row r="6723">
      <c r="A6723" s="20" t="inlineStr">
        <is>
          <t>동영상캠페인_승무원_비누향 나는 승무원에게(cpa)</t>
        </is>
      </c>
      <c r="B6723" s="16" t="n">
        <v>44300</v>
      </c>
      <c r="C6723" s="20" t="inlineStr">
        <is>
          <t>수</t>
        </is>
      </c>
      <c r="D6723" s="20" t="inlineStr">
        <is>
          <t>유튜브 광고</t>
        </is>
      </c>
      <c r="E6723" s="20" t="inlineStr">
        <is>
          <t>고체향수</t>
        </is>
      </c>
      <c r="K6723" s="20" t="n">
        <v>12056</v>
      </c>
    </row>
    <row r="6724">
      <c r="A6724" s="20" t="inlineStr">
        <is>
          <t>동영상캠페인_유즈모먼트_조향사 친구(cpa)</t>
        </is>
      </c>
      <c r="B6724" s="16" t="n">
        <v>44300</v>
      </c>
      <c r="C6724" s="20" t="inlineStr">
        <is>
          <t>수</t>
        </is>
      </c>
      <c r="D6724" s="20" t="inlineStr">
        <is>
          <t>유튜브 광고</t>
        </is>
      </c>
      <c r="E6724" s="20" t="inlineStr">
        <is>
          <t>고체향수</t>
        </is>
      </c>
      <c r="K6724" s="20" t="n">
        <v>111792</v>
      </c>
    </row>
    <row r="6725">
      <c r="A6725" s="20" t="inlineStr">
        <is>
          <t>동영상 캠페인_유튜버 수지큐 2차활용_리마케팅</t>
        </is>
      </c>
      <c r="B6725" s="16" t="n">
        <v>44300</v>
      </c>
      <c r="C6725" s="20" t="inlineStr">
        <is>
          <t>수</t>
        </is>
      </c>
      <c r="D6725" s="20">
        <f>VLOOKUP($A6725,매칭테이블!$B$548:$D$1048576,2,0)</f>
        <v/>
      </c>
      <c r="E6725" s="20" t="inlineStr">
        <is>
          <t>고체향수</t>
        </is>
      </c>
      <c r="K6725" s="20" t="n">
        <v>71456</v>
      </c>
    </row>
    <row r="6726">
      <c r="A6726" s="20" t="inlineStr">
        <is>
          <t>동영상캠페인_유즈모먼트_4화_강한향대신</t>
        </is>
      </c>
      <c r="B6726" s="16" t="n">
        <v>44300</v>
      </c>
      <c r="C6726" s="20" t="inlineStr">
        <is>
          <t>수</t>
        </is>
      </c>
      <c r="D6726" s="20" t="inlineStr">
        <is>
          <t>유튜브 광고</t>
        </is>
      </c>
      <c r="E6726" s="20" t="inlineStr">
        <is>
          <t>고체향수</t>
        </is>
      </c>
      <c r="K6726" s="20" t="n">
        <v>101824</v>
      </c>
    </row>
    <row r="6727">
      <c r="A6727" s="20" t="inlineStr">
        <is>
          <t>[5화자] 동영상 캠페인_벨라의 비행일기</t>
        </is>
      </c>
      <c r="B6727" s="16" t="n">
        <v>44300</v>
      </c>
      <c r="C6727" s="20" t="inlineStr">
        <is>
          <t>수</t>
        </is>
      </c>
      <c r="D6727" s="20" t="inlineStr">
        <is>
          <t>유튜브 광고</t>
        </is>
      </c>
      <c r="E6727" s="20" t="inlineStr">
        <is>
          <t>고체향수</t>
        </is>
      </c>
      <c r="K6727" s="20" t="n">
        <v>408586</v>
      </c>
    </row>
    <row r="6728">
      <c r="A6728" s="20" t="inlineStr">
        <is>
          <t>[5화자] 동영상 캠페인_비행하고 여행하는 은선씨</t>
        </is>
      </c>
      <c r="B6728" s="16" t="n">
        <v>44300</v>
      </c>
      <c r="C6728" s="20" t="inlineStr">
        <is>
          <t>수</t>
        </is>
      </c>
      <c r="D6728" s="20" t="inlineStr">
        <is>
          <t>유튜브 광고</t>
        </is>
      </c>
      <c r="E6728" s="20" t="inlineStr">
        <is>
          <t>고체향수</t>
        </is>
      </c>
      <c r="K6728" s="20" t="n">
        <v>408154</v>
      </c>
    </row>
    <row r="6729">
      <c r="A6729" s="20" t="inlineStr">
        <is>
          <t>[5화자 재편집] 승무원_벨라_면세점에서 천만원</t>
        </is>
      </c>
      <c r="B6729" s="16" t="n">
        <v>44300</v>
      </c>
      <c r="C6729" s="20" t="inlineStr">
        <is>
          <t>수</t>
        </is>
      </c>
      <c r="D6729" s="20" t="inlineStr">
        <is>
          <t>유튜브 광고</t>
        </is>
      </c>
      <c r="E6729" s="20" t="inlineStr">
        <is>
          <t>고체향수</t>
        </is>
      </c>
      <c r="K6729" s="20" t="n">
        <v>306060</v>
      </c>
    </row>
    <row r="6730">
      <c r="A6730" s="20" t="inlineStr">
        <is>
          <t>동영상캠페인_유즈모먼트_면세점뒤졌는데</t>
        </is>
      </c>
      <c r="B6730" s="16" t="n">
        <v>44300</v>
      </c>
      <c r="C6730" s="20" t="inlineStr">
        <is>
          <t>수</t>
        </is>
      </c>
      <c r="D6730" s="20" t="inlineStr">
        <is>
          <t>유튜브 광고</t>
        </is>
      </c>
      <c r="E6730" s="20" t="inlineStr">
        <is>
          <t>고체향수</t>
        </is>
      </c>
      <c r="K6730" s="20" t="n">
        <v>203962</v>
      </c>
    </row>
    <row r="6731">
      <c r="A6731" s="20" t="inlineStr">
        <is>
          <t>메인키워드</t>
        </is>
      </c>
      <c r="B6731" s="16" t="n">
        <v>44300</v>
      </c>
      <c r="C6731" s="20" t="inlineStr">
        <is>
          <t>수</t>
        </is>
      </c>
      <c r="D6731" s="20" t="inlineStr">
        <is>
          <t>네이버 쇼핑검색</t>
        </is>
      </c>
      <c r="E6731" s="20" t="inlineStr">
        <is>
          <t>고체향수</t>
        </is>
      </c>
      <c r="K6731" s="20" t="n">
        <v>9160</v>
      </c>
    </row>
    <row r="6732">
      <c r="A6732" s="20" t="inlineStr">
        <is>
          <t>세부키워드1</t>
        </is>
      </c>
      <c r="B6732" s="16" t="n">
        <v>44300</v>
      </c>
      <c r="C6732" s="20" t="inlineStr">
        <is>
          <t>수</t>
        </is>
      </c>
      <c r="D6732" s="20" t="inlineStr">
        <is>
          <t>네이버 쇼핑검색</t>
        </is>
      </c>
      <c r="E6732" s="20" t="inlineStr">
        <is>
          <t>고체향수</t>
        </is>
      </c>
      <c r="K6732" s="20" t="n">
        <v>0</v>
      </c>
    </row>
    <row r="6733">
      <c r="A6733" s="20" t="inlineStr">
        <is>
          <t>세부키워드3</t>
        </is>
      </c>
      <c r="B6733" s="16" t="n">
        <v>44300</v>
      </c>
      <c r="C6733" s="20" t="inlineStr">
        <is>
          <t>수</t>
        </is>
      </c>
      <c r="D6733" s="20" t="inlineStr">
        <is>
          <t>네이버 쇼핑검색</t>
        </is>
      </c>
      <c r="E6733" s="20" t="inlineStr">
        <is>
          <t>고체향수</t>
        </is>
      </c>
      <c r="K6733" s="20" t="n">
        <v>128620</v>
      </c>
    </row>
    <row r="6734">
      <c r="A6734" s="20" t="inlineStr">
        <is>
          <t>모바일 브검</t>
        </is>
      </c>
      <c r="B6734" s="16" t="n">
        <v>44300</v>
      </c>
      <c r="C6734" s="20" t="inlineStr">
        <is>
          <t>수</t>
        </is>
      </c>
      <c r="D6734" s="20" t="inlineStr">
        <is>
          <t>네이버 브랜드검색</t>
        </is>
      </c>
      <c r="E6734" s="20" t="inlineStr">
        <is>
          <t>브랜드</t>
        </is>
      </c>
      <c r="K6734" s="20" t="n">
        <v>140000</v>
      </c>
    </row>
    <row r="6735">
      <c r="A6735" s="20" t="inlineStr">
        <is>
          <t>PC 브랜드검색</t>
        </is>
      </c>
      <c r="B6735" s="16" t="n">
        <v>44300</v>
      </c>
      <c r="C6735" s="20" t="inlineStr">
        <is>
          <t>수</t>
        </is>
      </c>
      <c r="D6735" s="20" t="inlineStr">
        <is>
          <t>네이버 브랜드검색</t>
        </is>
      </c>
      <c r="E6735" s="20" t="inlineStr">
        <is>
          <t>브랜드</t>
        </is>
      </c>
      <c r="K6735" s="20" t="n">
        <v>16700</v>
      </c>
    </row>
    <row r="6736">
      <c r="A6736" s="20" t="inlineStr">
        <is>
          <t>고체향수_승무원 어피_Npay 추적</t>
        </is>
      </c>
      <c r="B6736" s="16" t="n">
        <v>44300</v>
      </c>
      <c r="C6736" s="20" t="inlineStr">
        <is>
          <t>수</t>
        </is>
      </c>
      <c r="D6736" s="20" t="inlineStr">
        <is>
          <t>카카오 배너</t>
        </is>
      </c>
      <c r="E6736" s="20" t="inlineStr">
        <is>
          <t>고체향수</t>
        </is>
      </c>
      <c r="K6736" s="20" t="n">
        <v>181930</v>
      </c>
    </row>
    <row r="6737">
      <c r="A6737" s="20" t="inlineStr">
        <is>
          <t>고체향수_Npay 추적</t>
        </is>
      </c>
      <c r="B6737" s="16" t="n">
        <v>44300</v>
      </c>
      <c r="C6737" s="20" t="inlineStr">
        <is>
          <t>수</t>
        </is>
      </c>
      <c r="D6737" s="20" t="inlineStr">
        <is>
          <t>카카오 배너</t>
        </is>
      </c>
      <c r="E6737" s="20" t="inlineStr">
        <is>
          <t>고체향수</t>
        </is>
      </c>
      <c r="K6737" s="20" t="n">
        <v>1018320</v>
      </c>
    </row>
    <row r="6738">
      <c r="B6738" s="16" t="n">
        <v>44300</v>
      </c>
      <c r="C6738" s="20" t="inlineStr">
        <is>
          <t>수</t>
        </is>
      </c>
      <c r="E6738" s="20" t="inlineStr">
        <is>
          <t>고체향수</t>
        </is>
      </c>
      <c r="F6738" s="20" t="inlineStr">
        <is>
          <t>W컨셉</t>
        </is>
      </c>
      <c r="G6738" s="20" t="inlineStr">
        <is>
          <t>솔리드퍼퓸 이그나이트/스테이포에버 30ml (2종 택1)&lt;옵션1&gt;002 STAY FOREVER</t>
        </is>
      </c>
      <c r="H6738" s="20" t="n">
        <v>6</v>
      </c>
      <c r="I6738" s="20" t="inlineStr">
        <is>
          <t>스테이포에버</t>
        </is>
      </c>
      <c r="J6738" s="20" t="inlineStr">
        <is>
          <t>210207</t>
        </is>
      </c>
      <c r="L6738" s="20" t="n">
        <v>204000</v>
      </c>
      <c r="M6738" s="20" t="n">
        <v>142800</v>
      </c>
      <c r="N6738" s="20" t="n">
        <v>15552</v>
      </c>
      <c r="O6738" s="20" t="inlineStr">
        <is>
          <t>W컨셉고체향수솔리드퍼퓸 이그나이트/스테이포에버 30ml (2종 택1)&lt;옵션1&gt;002 STAY FOREVER210207</t>
        </is>
      </c>
    </row>
    <row r="6739">
      <c r="B6739" s="16" t="n">
        <v>44300</v>
      </c>
      <c r="C6739" s="20" t="inlineStr">
        <is>
          <t>수</t>
        </is>
      </c>
      <c r="E6739" s="20" t="inlineStr">
        <is>
          <t>고체향수</t>
        </is>
      </c>
      <c r="F6739" s="20" t="inlineStr">
        <is>
          <t>스마트스토어</t>
        </is>
      </c>
      <c r="G6739" s="20" t="inlineStr">
        <is>
          <t>유즈 고체향수 세트(유즈 스테이포에버, 유즈 이그나이트)고체향수: 스테이포에버 1개 + 이그나이트 1개</t>
        </is>
      </c>
      <c r="H6739" s="20" t="n">
        <v>2</v>
      </c>
      <c r="I6739" s="20" t="inlineStr">
        <is>
          <t>이그나이트 + 스테이포에버</t>
        </is>
      </c>
      <c r="J6739" s="20" t="inlineStr">
        <is>
          <t>210207</t>
        </is>
      </c>
      <c r="L6739" s="20" t="n">
        <v>117600</v>
      </c>
      <c r="M6739" s="20" t="n">
        <v>110720.4</v>
      </c>
      <c r="N6739" s="20" t="n">
        <v>10690</v>
      </c>
      <c r="O6739" s="20" t="inlineStr">
        <is>
          <t>스마트스토어고체향수유즈 고체향수 세트(유즈 스테이포에버, 유즈 이그나이트)고체향수: 스테이포에버 1개 + 이그나이트 1개210207</t>
        </is>
      </c>
    </row>
    <row r="6740">
      <c r="B6740" s="16" t="n">
        <v>44300</v>
      </c>
      <c r="C6740" s="20" t="inlineStr">
        <is>
          <t>수</t>
        </is>
      </c>
      <c r="E6740" s="20" t="inlineStr">
        <is>
          <t>고체향수</t>
        </is>
      </c>
      <c r="F6740" s="20" t="inlineStr">
        <is>
          <t>스마트스토어</t>
        </is>
      </c>
      <c r="G6740" s="20" t="inlineStr">
        <is>
          <t>유즈 고체향수 세트(유즈 스테이포에버, 유즈 이그나이트)고체향수: 스테이포에버 2개</t>
        </is>
      </c>
      <c r="H6740" s="20" t="n">
        <v>2</v>
      </c>
      <c r="I6740" s="20" t="inlineStr">
        <is>
          <t>스테이포에버 2set</t>
        </is>
      </c>
      <c r="J6740" s="20" t="inlineStr">
        <is>
          <t>210207</t>
        </is>
      </c>
      <c r="L6740" s="20" t="n">
        <v>117600</v>
      </c>
      <c r="M6740" s="20" t="n">
        <v>115248</v>
      </c>
      <c r="N6740" s="20" t="n">
        <v>10368</v>
      </c>
      <c r="O6740" s="20" t="inlineStr">
        <is>
          <t>스마트스토어고체향수유즈 고체향수 세트(유즈 스테이포에버, 유즈 이그나이트)고체향수: 스테이포에버 2개210207</t>
        </is>
      </c>
    </row>
    <row r="6741">
      <c r="B6741" s="16" t="n">
        <v>44300</v>
      </c>
      <c r="C6741" s="20" t="inlineStr">
        <is>
          <t>수</t>
        </is>
      </c>
      <c r="E6741" s="20" t="inlineStr">
        <is>
          <t>고체향수</t>
        </is>
      </c>
      <c r="F6741" s="20" t="inlineStr">
        <is>
          <t>스마트스토어</t>
        </is>
      </c>
      <c r="G6741" s="20" t="inlineStr">
        <is>
          <t>유즈 고체향수 스테이포에버 002고체향수: 스테이포에버 1개</t>
        </is>
      </c>
      <c r="H6741" s="20" t="n">
        <v>22</v>
      </c>
      <c r="I6741" s="20" t="inlineStr">
        <is>
          <t>스테이포에버</t>
        </is>
      </c>
      <c r="J6741" s="20" t="inlineStr">
        <is>
          <t>210207</t>
        </is>
      </c>
      <c r="L6741" s="20" t="n">
        <v>748000</v>
      </c>
      <c r="M6741" s="20" t="n">
        <v>733040</v>
      </c>
      <c r="N6741" s="20" t="n">
        <v>57024</v>
      </c>
      <c r="O6741" s="20" t="inlineStr">
        <is>
          <t>스마트스토어고체향수유즈 고체향수 스테이포에버 002고체향수: 스테이포에버 1개210207</t>
        </is>
      </c>
    </row>
    <row r="6742">
      <c r="B6742" s="16" t="n">
        <v>44300</v>
      </c>
      <c r="C6742" s="20" t="inlineStr">
        <is>
          <t>수</t>
        </is>
      </c>
      <c r="E6742" s="20" t="inlineStr">
        <is>
          <t>쇼핑백</t>
        </is>
      </c>
      <c r="F6742" s="20" t="inlineStr">
        <is>
          <t>카페24</t>
        </is>
      </c>
      <c r="G6742" s="20" t="inlineStr">
        <is>
          <t>선물용 쇼핑백</t>
        </is>
      </c>
      <c r="H6742" s="20" t="n">
        <v>1</v>
      </c>
      <c r="I6742" s="20" t="inlineStr">
        <is>
          <t>쇼핑백</t>
        </is>
      </c>
      <c r="J6742" s="20" t="inlineStr">
        <is>
          <t>210207</t>
        </is>
      </c>
      <c r="L6742" s="20" t="n">
        <v>2000</v>
      </c>
      <c r="M6742" s="20" t="n">
        <v>1883</v>
      </c>
      <c r="N6742" s="20" t="n">
        <v>830</v>
      </c>
      <c r="O6742" s="20" t="inlineStr">
        <is>
          <t>카페24쇼핑백선물용 쇼핑백210207</t>
        </is>
      </c>
    </row>
    <row r="6743">
      <c r="B6743" s="16" t="n">
        <v>44300</v>
      </c>
      <c r="C6743" s="20" t="inlineStr">
        <is>
          <t>수</t>
        </is>
      </c>
      <c r="E6743" s="20" t="inlineStr">
        <is>
          <t>고체향수</t>
        </is>
      </c>
      <c r="F6743" s="20" t="inlineStr">
        <is>
          <t>카페24</t>
        </is>
      </c>
      <c r="G6743" s="20" t="inlineStr">
        <is>
          <t>솔리드퍼퓸 세트향=이그나이트 001 SOLID PERFUME, 세트 선택=best 2개 (28% 할인)</t>
        </is>
      </c>
      <c r="H6743" s="20" t="n">
        <v>1</v>
      </c>
      <c r="I6743" s="20" t="inlineStr">
        <is>
          <t>이그나이트 2set</t>
        </is>
      </c>
      <c r="J6743" s="20" t="inlineStr">
        <is>
          <t>210207</t>
        </is>
      </c>
      <c r="L6743" s="20" t="n">
        <v>58800</v>
      </c>
      <c r="M6743" s="20" t="n">
        <v>55360.2</v>
      </c>
      <c r="N6743" s="20" t="n">
        <v>5506</v>
      </c>
      <c r="O6743" s="20" t="inlineStr">
        <is>
          <t>카페24고체향수솔리드퍼퓸 세트향=이그나이트 001 SOLID PERFUME, 세트 선택=best 2개 (28% 할인)210207</t>
        </is>
      </c>
    </row>
    <row r="6744">
      <c r="B6744" s="16" t="n">
        <v>44300</v>
      </c>
      <c r="C6744" s="20" t="inlineStr">
        <is>
          <t>수</t>
        </is>
      </c>
      <c r="E6744" s="20" t="inlineStr">
        <is>
          <t>고체향수</t>
        </is>
      </c>
      <c r="F6744" s="20" t="inlineStr">
        <is>
          <t>카페24</t>
        </is>
      </c>
      <c r="G6744" s="20" t="inlineStr">
        <is>
          <t>솔리드퍼퓸 세트향=스테이포에버 002 SOLID PERFUME, 세트 선택=1개</t>
        </is>
      </c>
      <c r="H6744" s="20" t="n">
        <v>7</v>
      </c>
      <c r="I6744" s="20" t="inlineStr">
        <is>
          <t>스테이포에버</t>
        </is>
      </c>
      <c r="J6744" s="20" t="inlineStr">
        <is>
          <t>210207</t>
        </is>
      </c>
      <c r="L6744" s="20" t="n">
        <v>238000</v>
      </c>
      <c r="M6744" s="20" t="n">
        <v>224077</v>
      </c>
      <c r="N6744" s="20" t="n">
        <v>18144</v>
      </c>
      <c r="O6744" s="20" t="inlineStr">
        <is>
          <t>카페24고체향수솔리드퍼퓸 세트향=스테이포에버 002 SOLID PERFUME, 세트 선택=1개210207</t>
        </is>
      </c>
    </row>
    <row r="6745">
      <c r="B6745" s="16" t="n">
        <v>44300</v>
      </c>
      <c r="C6745" s="20" t="inlineStr">
        <is>
          <t>수</t>
        </is>
      </c>
      <c r="E6745" s="20" t="inlineStr">
        <is>
          <t>고체향수</t>
        </is>
      </c>
      <c r="F6745" s="20" t="inlineStr">
        <is>
          <t>카페24</t>
        </is>
      </c>
      <c r="G6745" s="20" t="inlineStr">
        <is>
          <t>솔리드퍼퓸 세트향=스테이포에버 002 SOLID PERFUME, 세트 선택=best 2개 (28% 할인)</t>
        </is>
      </c>
      <c r="H6745" s="20" t="n">
        <v>10</v>
      </c>
      <c r="I6745" s="20" t="inlineStr">
        <is>
          <t>스테이포에버 2set</t>
        </is>
      </c>
      <c r="J6745" s="20" t="inlineStr">
        <is>
          <t>210207</t>
        </is>
      </c>
      <c r="L6745" s="20" t="n">
        <v>588000</v>
      </c>
      <c r="M6745" s="20" t="n">
        <v>553602</v>
      </c>
      <c r="N6745" s="20" t="n">
        <v>51840</v>
      </c>
      <c r="O6745" s="20" t="inlineStr">
        <is>
          <t>카페24고체향수솔리드퍼퓸 세트향=스테이포에버 002 SOLID PERFUME, 세트 선택=best 2개 (28% 할인)210207</t>
        </is>
      </c>
    </row>
    <row r="6746">
      <c r="B6746" s="16" t="n">
        <v>44300</v>
      </c>
      <c r="C6746" s="20" t="inlineStr">
        <is>
          <t>수</t>
        </is>
      </c>
      <c r="E6746" s="20" t="inlineStr">
        <is>
          <t>고체향수</t>
        </is>
      </c>
      <c r="F6746" s="20" t="inlineStr">
        <is>
          <t>카페24</t>
        </is>
      </c>
      <c r="G6746" s="20" t="inlineStr">
        <is>
          <t>솔리드퍼퓸 세트향=커플세트(이그나이트 + 스테이포에버), 세트 선택=1 SET</t>
        </is>
      </c>
      <c r="H6746" s="20" t="n">
        <v>7</v>
      </c>
      <c r="I6746" s="20" t="inlineStr">
        <is>
          <t>이그나이트 + 스테이포에버</t>
        </is>
      </c>
      <c r="J6746" s="20" t="inlineStr">
        <is>
          <t>210207</t>
        </is>
      </c>
      <c r="L6746" s="20" t="n">
        <v>411600</v>
      </c>
      <c r="M6746" s="20" t="n">
        <v>387521.4</v>
      </c>
      <c r="N6746" s="20" t="n">
        <v>37415</v>
      </c>
      <c r="O6746" s="20" t="inlineStr">
        <is>
          <t>카페24고체향수솔리드퍼퓸 세트향=커플세트(이그나이트 + 스테이포에버), 세트 선택=1 SET210207</t>
        </is>
      </c>
    </row>
    <row r="6747">
      <c r="B6747" s="16" t="n">
        <v>44300</v>
      </c>
      <c r="C6747" s="20" t="inlineStr">
        <is>
          <t>수</t>
        </is>
      </c>
      <c r="E6747" s="20" t="inlineStr">
        <is>
          <t>고체향수</t>
        </is>
      </c>
      <c r="F6747" s="20" t="inlineStr">
        <is>
          <t>카페24</t>
        </is>
      </c>
      <c r="G6747" s="20" t="inlineStr">
        <is>
          <t>솔리드퍼퓸 세트향=커플세트(이그나이트 + 스테이포에버), 세트 선택=2 SET (42% 할인)</t>
        </is>
      </c>
      <c r="H6747" s="20" t="n">
        <v>2</v>
      </c>
      <c r="I6747" s="20" t="inlineStr">
        <is>
          <t>이그나이트 + 스테이포에버</t>
        </is>
      </c>
      <c r="J6747" s="20" t="inlineStr">
        <is>
          <t>210207</t>
        </is>
      </c>
      <c r="L6747" s="20" t="n">
        <v>117600</v>
      </c>
      <c r="M6747" s="20" t="n">
        <v>110720.4</v>
      </c>
      <c r="N6747" s="20" t="n">
        <v>10690</v>
      </c>
      <c r="O6747" s="20" t="inlineStr">
        <is>
          <t>카페24고체향수솔리드퍼퓸 세트향=커플세트(이그나이트 + 스테이포에버), 세트 선택=2 SET (42% 할인)210207</t>
        </is>
      </c>
    </row>
    <row r="6748">
      <c r="B6748" s="16" t="n">
        <v>44300</v>
      </c>
      <c r="C6748" s="20" t="inlineStr">
        <is>
          <t>수</t>
        </is>
      </c>
      <c r="E6748" s="20" t="inlineStr">
        <is>
          <t>고체향수</t>
        </is>
      </c>
      <c r="F6748" s="20" t="inlineStr">
        <is>
          <t>카페24</t>
        </is>
      </c>
      <c r="G6748" s="20" t="inlineStr">
        <is>
          <t>솔리드퍼퓸 스테이포에버 002제품선택=스테이포에버 1개</t>
        </is>
      </c>
      <c r="H6748" s="20" t="n">
        <v>201</v>
      </c>
      <c r="I6748" s="20" t="inlineStr">
        <is>
          <t>스테이포에버</t>
        </is>
      </c>
      <c r="J6748" s="20" t="inlineStr">
        <is>
          <t>210207</t>
        </is>
      </c>
      <c r="L6748" s="20" t="n">
        <v>6834000</v>
      </c>
      <c r="M6748" s="20" t="n">
        <v>6434211</v>
      </c>
      <c r="N6748" s="20" t="n">
        <v>520992</v>
      </c>
      <c r="O6748" s="20" t="inlineStr">
        <is>
          <t>카페24고체향수솔리드퍼퓸 스테이포에버 002제품선택=스테이포에버 1개210207</t>
        </is>
      </c>
    </row>
    <row r="6749">
      <c r="B6749" s="16" t="n">
        <v>44300</v>
      </c>
      <c r="C6749" s="20" t="inlineStr">
        <is>
          <t>수</t>
        </is>
      </c>
      <c r="E6749" s="20" t="inlineStr">
        <is>
          <t>고체향수</t>
        </is>
      </c>
      <c r="F6749" s="20" t="inlineStr">
        <is>
          <t>카페24</t>
        </is>
      </c>
      <c r="G6749" s="20" t="inlineStr">
        <is>
          <t>솔리드퍼퓸 스테이포에버 002제품선택=best스테이포에버 2개[28% 할인]</t>
        </is>
      </c>
      <c r="H6749" s="20" t="n">
        <v>115</v>
      </c>
      <c r="I6749" s="20" t="inlineStr">
        <is>
          <t>스테이포에버 2set</t>
        </is>
      </c>
      <c r="J6749" s="20" t="inlineStr">
        <is>
          <t>210207</t>
        </is>
      </c>
      <c r="L6749" s="20" t="n">
        <v>6762000</v>
      </c>
      <c r="M6749" s="20" t="n">
        <v>6366423</v>
      </c>
      <c r="N6749" s="20" t="n">
        <v>596160</v>
      </c>
      <c r="O6749" s="20" t="inlineStr">
        <is>
          <t>카페24고체향수솔리드퍼퓸 스테이포에버 002제품선택=best스테이포에버 2개[28% 할인]210207</t>
        </is>
      </c>
    </row>
    <row r="6750">
      <c r="B6750" s="16" t="n">
        <v>44300</v>
      </c>
      <c r="C6750" s="20" t="inlineStr">
        <is>
          <t>수</t>
        </is>
      </c>
      <c r="E6750" s="20" t="inlineStr">
        <is>
          <t>고체향수</t>
        </is>
      </c>
      <c r="F6750" s="20" t="inlineStr">
        <is>
          <t>카페24</t>
        </is>
      </c>
      <c r="G6750" s="20" t="inlineStr">
        <is>
          <t>솔리드퍼퓸 스테이포에버 002제품선택=커플추천스테이포에버 + 이그나이트 세트</t>
        </is>
      </c>
      <c r="H6750" s="20" t="n">
        <v>11</v>
      </c>
      <c r="I6750" s="20" t="inlineStr">
        <is>
          <t>이그나이트 + 스테이포에버</t>
        </is>
      </c>
      <c r="J6750" s="20" t="inlineStr">
        <is>
          <t>210207</t>
        </is>
      </c>
      <c r="L6750" s="20" t="n">
        <v>646800</v>
      </c>
      <c r="M6750" s="20" t="n">
        <v>608962.2</v>
      </c>
      <c r="N6750" s="20" t="n">
        <v>58795</v>
      </c>
      <c r="O6750" s="20" t="inlineStr">
        <is>
          <t>카페24고체향수솔리드퍼퓸 스테이포에버 002제품선택=커플추천스테이포에버 + 이그나이트 세트210207</t>
        </is>
      </c>
    </row>
    <row r="6751">
      <c r="B6751" s="16" t="n">
        <v>44300</v>
      </c>
      <c r="C6751" s="20" t="inlineStr">
        <is>
          <t>수</t>
        </is>
      </c>
      <c r="E6751" s="20" t="inlineStr">
        <is>
          <t>쇼핑백</t>
        </is>
      </c>
      <c r="F6751" s="20" t="inlineStr">
        <is>
          <t>카페24</t>
        </is>
      </c>
      <c r="G6751" s="20" t="inlineStr">
        <is>
          <t>솔리드퍼퓸 스테이포에버 002쇼핑백=선물용 쇼핑백</t>
        </is>
      </c>
      <c r="H6751" s="20" t="n">
        <v>5</v>
      </c>
      <c r="I6751" s="20" t="inlineStr">
        <is>
          <t>쇼핑백</t>
        </is>
      </c>
      <c r="J6751" s="20" t="inlineStr">
        <is>
          <t>210207</t>
        </is>
      </c>
      <c r="L6751" s="20" t="n">
        <v>10000</v>
      </c>
      <c r="M6751" s="20" t="n">
        <v>9415</v>
      </c>
      <c r="N6751" s="20" t="n">
        <v>4150</v>
      </c>
      <c r="O6751" s="20" t="inlineStr">
        <is>
          <t>카페24쇼핑백솔리드퍼퓸 스테이포에버 002쇼핑백=선물용 쇼핑백210207</t>
        </is>
      </c>
    </row>
    <row r="6752">
      <c r="A6752" s="20" t="inlineStr">
        <is>
          <t>고체향수</t>
        </is>
      </c>
      <c r="B6752" s="16" t="n">
        <v>44300</v>
      </c>
      <c r="C6752" s="20" t="inlineStr">
        <is>
          <t>수</t>
        </is>
      </c>
      <c r="D6752" s="20" t="inlineStr">
        <is>
          <t>네이버 배너</t>
        </is>
      </c>
      <c r="E6752" s="20" t="inlineStr">
        <is>
          <t>고체향수</t>
        </is>
      </c>
      <c r="K6752" s="20" t="n">
        <v>1279975.454545454</v>
      </c>
    </row>
    <row r="6753">
      <c r="B6753" s="16" t="n">
        <v>44300</v>
      </c>
      <c r="C6753" s="20" t="inlineStr">
        <is>
          <t>수</t>
        </is>
      </c>
      <c r="D6753" s="20" t="inlineStr">
        <is>
          <t>네이버 배너(대행사)</t>
        </is>
      </c>
      <c r="E6753" s="20" t="inlineStr">
        <is>
          <t>고체향수</t>
        </is>
      </c>
      <c r="K6753" s="20">
        <f>112591/1.1</f>
        <v/>
      </c>
    </row>
    <row r="6754">
      <c r="A6754" s="20" t="inlineStr">
        <is>
          <t>[승무원]유튜브_스테이포에버_카드뉴스</t>
        </is>
      </c>
      <c r="B6754" s="16" t="n">
        <v>44301</v>
      </c>
      <c r="C6754" s="20" t="inlineStr">
        <is>
          <t>목</t>
        </is>
      </c>
      <c r="D6754" s="20">
        <f>VLOOKUP($A6754,매칭테이블!$B$548:$D$1048576,2,0)</f>
        <v/>
      </c>
      <c r="K6754" s="20" t="n">
        <v>12158</v>
      </c>
    </row>
    <row r="6755">
      <c r="A6755" s="20" t="inlineStr">
        <is>
          <t>[올리브영] 이그나이트_영상</t>
        </is>
      </c>
      <c r="B6755" s="16" t="n">
        <v>44301</v>
      </c>
      <c r="C6755" s="20" t="inlineStr">
        <is>
          <t>목</t>
        </is>
      </c>
      <c r="D6755" s="20" t="inlineStr">
        <is>
          <t>페이스북/인스타그램</t>
        </is>
      </c>
      <c r="E6755" s="20" t="inlineStr">
        <is>
          <t>고체향수</t>
        </is>
      </c>
      <c r="K6755" s="20" t="n">
        <v>25573</v>
      </c>
    </row>
    <row r="6756">
      <c r="A6756" s="20" t="inlineStr">
        <is>
          <t>[승희 TEST] 스테이포에버_이미지</t>
        </is>
      </c>
      <c r="B6756" s="16" t="n">
        <v>44301</v>
      </c>
      <c r="C6756" s="20" t="inlineStr">
        <is>
          <t>목</t>
        </is>
      </c>
      <c r="D6756" s="20" t="inlineStr">
        <is>
          <t>페이스북/인스타그램</t>
        </is>
      </c>
      <c r="E6756" s="20" t="inlineStr">
        <is>
          <t>고체향수</t>
        </is>
      </c>
      <c r="K6756" s="20" t="n">
        <v>59518</v>
      </c>
    </row>
    <row r="6757">
      <c r="A6757" s="20" t="inlineStr">
        <is>
          <t>[올리브영] 스테이포에버_카드뉴스</t>
        </is>
      </c>
      <c r="B6757" s="16" t="n">
        <v>44301</v>
      </c>
      <c r="C6757" s="20" t="inlineStr">
        <is>
          <t>목</t>
        </is>
      </c>
      <c r="D6757" s="20">
        <f>VLOOKUP($A6757,매칭테이블!$B$548:$D$1048576,2,0)</f>
        <v/>
      </c>
      <c r="K6757" s="20" t="n">
        <v>30540</v>
      </c>
    </row>
    <row r="6758">
      <c r="A6758" s="20" t="inlineStr">
        <is>
          <t>[올리브영] 스테이포에버_영상</t>
        </is>
      </c>
      <c r="B6758" s="16" t="n">
        <v>44301</v>
      </c>
      <c r="C6758" s="20" t="inlineStr">
        <is>
          <t>목</t>
        </is>
      </c>
      <c r="D6758" s="20" t="inlineStr">
        <is>
          <t>페이스북/인스타그램</t>
        </is>
      </c>
      <c r="E6758" s="20" t="inlineStr">
        <is>
          <t>고체향수</t>
        </is>
      </c>
      <c r="K6758" s="20" t="n">
        <v>63413</v>
      </c>
    </row>
    <row r="6759">
      <c r="A6759" s="20" t="inlineStr">
        <is>
          <t>[올리브영] 스테이포에버_이미지</t>
        </is>
      </c>
      <c r="B6759" s="16" t="n">
        <v>44301</v>
      </c>
      <c r="C6759" s="20" t="inlineStr">
        <is>
          <t>목</t>
        </is>
      </c>
      <c r="D6759" s="20" t="inlineStr">
        <is>
          <t>페이스북/인스타그램</t>
        </is>
      </c>
      <c r="E6759" s="20" t="inlineStr">
        <is>
          <t>고체향수</t>
        </is>
      </c>
      <c r="K6759" s="20" t="n">
        <v>28503</v>
      </c>
    </row>
    <row r="6760">
      <c r="A6760" s="20" t="inlineStr">
        <is>
          <t>[승무원] 유튜브재편집_스테이포에버_영상</t>
        </is>
      </c>
      <c r="B6760" s="16" t="n">
        <v>44301</v>
      </c>
      <c r="C6760" s="20" t="inlineStr">
        <is>
          <t>목</t>
        </is>
      </c>
      <c r="D6760" s="20" t="inlineStr">
        <is>
          <t>페이스북/인스타그램</t>
        </is>
      </c>
      <c r="E6760" s="20" t="inlineStr">
        <is>
          <t>고체향수</t>
        </is>
      </c>
      <c r="K6760" s="20" t="n">
        <v>268492</v>
      </c>
    </row>
    <row r="6761">
      <c r="A6761" s="20" t="inlineStr">
        <is>
          <t>[다현 TEST] 스테이포에버_유즈모먼트</t>
        </is>
      </c>
      <c r="B6761" s="16" t="n">
        <v>44301</v>
      </c>
      <c r="C6761" s="20" t="inlineStr">
        <is>
          <t>목</t>
        </is>
      </c>
      <c r="D6761" s="20" t="inlineStr">
        <is>
          <t>페이스북/인스타그램</t>
        </is>
      </c>
      <c r="E6761" s="20" t="inlineStr">
        <is>
          <t>고체향수</t>
        </is>
      </c>
      <c r="K6761" s="20" t="n">
        <v>48230</v>
      </c>
    </row>
    <row r="6762">
      <c r="A6762" s="20" t="inlineStr">
        <is>
          <t>[성민 TEST] 스테이포에버_이미지</t>
        </is>
      </c>
      <c r="B6762" s="16" t="n">
        <v>44301</v>
      </c>
      <c r="C6762" s="20" t="inlineStr">
        <is>
          <t>목</t>
        </is>
      </c>
      <c r="D6762" s="20" t="inlineStr">
        <is>
          <t>페이스북/인스타그램</t>
        </is>
      </c>
      <c r="E6762" s="20" t="inlineStr">
        <is>
          <t>고체향수</t>
        </is>
      </c>
      <c r="K6762" s="20" t="n">
        <v>309903</v>
      </c>
    </row>
    <row r="6763">
      <c r="A6763" s="20" t="inlineStr">
        <is>
          <t>[승은 TEST] 스테이포에버</t>
        </is>
      </c>
      <c r="B6763" s="16" t="n">
        <v>44301</v>
      </c>
      <c r="C6763" s="20" t="inlineStr">
        <is>
          <t>목</t>
        </is>
      </c>
      <c r="D6763" s="20">
        <f>VLOOKUP($A6763,매칭테이블!$B$548:$D$1048576,2,0)</f>
        <v/>
      </c>
      <c r="K6763" s="20" t="n">
        <v>186180</v>
      </c>
    </row>
    <row r="6764">
      <c r="A6764" s="20" t="inlineStr">
        <is>
          <t>[승무원 2] 스테이포에버_카드뉴스</t>
        </is>
      </c>
      <c r="B6764" s="16" t="n">
        <v>44301</v>
      </c>
      <c r="C6764" s="20" t="inlineStr">
        <is>
          <t>목</t>
        </is>
      </c>
      <c r="D6764" s="20" t="inlineStr">
        <is>
          <t>페이스북/인스타그램</t>
        </is>
      </c>
      <c r="E6764" s="20" t="inlineStr">
        <is>
          <t>고체향수</t>
        </is>
      </c>
      <c r="K6764" s="20" t="n">
        <v>11384</v>
      </c>
    </row>
    <row r="6765">
      <c r="A6765" s="20" t="inlineStr">
        <is>
          <t>[테스트]아줌마</t>
        </is>
      </c>
      <c r="B6765" s="16" t="n">
        <v>44301</v>
      </c>
      <c r="C6765" s="20" t="inlineStr">
        <is>
          <t>목</t>
        </is>
      </c>
      <c r="D6765" s="20" t="inlineStr">
        <is>
          <t>페이스북/인스타그램</t>
        </is>
      </c>
      <c r="E6765" s="20" t="inlineStr">
        <is>
          <t>고체향수</t>
        </is>
      </c>
      <c r="K6765" s="20" t="n">
        <v>108585</v>
      </c>
    </row>
    <row r="6766">
      <c r="A6766" s="20" t="inlineStr">
        <is>
          <t>[다양한 키워드] 스테이포에버_이미지</t>
        </is>
      </c>
      <c r="B6766" s="16" t="n">
        <v>44301</v>
      </c>
      <c r="C6766" s="20" t="inlineStr">
        <is>
          <t>목</t>
        </is>
      </c>
      <c r="D6766" s="20" t="inlineStr">
        <is>
          <t>페이스북/인스타그램</t>
        </is>
      </c>
      <c r="E6766" s="20" t="inlineStr">
        <is>
          <t>고체향수</t>
        </is>
      </c>
      <c r="K6766" s="20" t="n">
        <v>253692</v>
      </c>
    </row>
    <row r="6767">
      <c r="A6767" s="20" t="inlineStr">
        <is>
          <t>[재입고]스테이포에버_이미지</t>
        </is>
      </c>
      <c r="B6767" s="16" t="n">
        <v>44301</v>
      </c>
      <c r="C6767" s="20" t="inlineStr">
        <is>
          <t>목</t>
        </is>
      </c>
      <c r="D6767" s="20" t="inlineStr">
        <is>
          <t>페이스북/인스타그램</t>
        </is>
      </c>
      <c r="E6767" s="20" t="inlineStr">
        <is>
          <t>고체향수</t>
        </is>
      </c>
      <c r="K6767" s="20" t="n">
        <v>243792</v>
      </c>
    </row>
    <row r="6768">
      <c r="A6768" s="20" t="inlineStr">
        <is>
          <t>[승무원]숏폼_영상</t>
        </is>
      </c>
      <c r="B6768" s="16" t="n">
        <v>44301</v>
      </c>
      <c r="C6768" s="20" t="inlineStr">
        <is>
          <t>목</t>
        </is>
      </c>
      <c r="D6768" s="20" t="inlineStr">
        <is>
          <t>페이스북/인스타그램</t>
        </is>
      </c>
      <c r="E6768" s="20" t="inlineStr">
        <is>
          <t>고체향수</t>
        </is>
      </c>
      <c r="K6768" s="20" t="n">
        <v>49135</v>
      </c>
    </row>
    <row r="6769">
      <c r="A6769" s="20" t="inlineStr">
        <is>
          <t>[재입고]스테이포에버_영상</t>
        </is>
      </c>
      <c r="B6769" s="16" t="n">
        <v>44301</v>
      </c>
      <c r="C6769" s="20" t="inlineStr">
        <is>
          <t>목</t>
        </is>
      </c>
      <c r="D6769" s="20" t="inlineStr">
        <is>
          <t>페이스북/인스타그램</t>
        </is>
      </c>
      <c r="E6769" s="20" t="inlineStr">
        <is>
          <t>고체향수</t>
        </is>
      </c>
      <c r="K6769" s="20" t="n">
        <v>198143</v>
      </c>
    </row>
    <row r="6770">
      <c r="A6770" s="20" t="inlineStr">
        <is>
          <t>[승무원]2019년썰 카드뉴스+ 향묘사_영상</t>
        </is>
      </c>
      <c r="B6770" s="16" t="n">
        <v>44301</v>
      </c>
      <c r="C6770" s="20" t="inlineStr">
        <is>
          <t>목</t>
        </is>
      </c>
      <c r="D6770" s="20" t="inlineStr">
        <is>
          <t>페이스북/인스타그램</t>
        </is>
      </c>
      <c r="E6770" s="20" t="inlineStr">
        <is>
          <t>고체향수</t>
        </is>
      </c>
      <c r="K6770" s="20" t="n">
        <v>34410</v>
      </c>
    </row>
    <row r="6771">
      <c r="A6771" s="20" t="inlineStr">
        <is>
          <t>[승무원어피]스테이포에버_이미지</t>
        </is>
      </c>
      <c r="B6771" s="16" t="n">
        <v>44301</v>
      </c>
      <c r="C6771" s="20" t="inlineStr">
        <is>
          <t>목</t>
        </is>
      </c>
      <c r="D6771" s="20" t="inlineStr">
        <is>
          <t>페이스북/인스타그램</t>
        </is>
      </c>
      <c r="E6771" s="20" t="inlineStr">
        <is>
          <t>고체향수</t>
        </is>
      </c>
      <c r="K6771" s="20" t="n">
        <v>71854</v>
      </c>
    </row>
    <row r="6772">
      <c r="A6772" s="20" t="inlineStr">
        <is>
          <t>[다현]스테이포에버_이미지</t>
        </is>
      </c>
      <c r="B6772" s="16" t="n">
        <v>44301</v>
      </c>
      <c r="C6772" s="20" t="inlineStr">
        <is>
          <t>목</t>
        </is>
      </c>
      <c r="D6772" s="20" t="inlineStr">
        <is>
          <t>페이스북/인스타그램</t>
        </is>
      </c>
      <c r="E6772" s="20" t="inlineStr">
        <is>
          <t>고체향수</t>
        </is>
      </c>
      <c r="K6772" s="20" t="n">
        <v>149369</v>
      </c>
    </row>
    <row r="6773">
      <c r="A6773" s="20" t="inlineStr">
        <is>
          <t>[승무원]스테이포에버_카드뉴스</t>
        </is>
      </c>
      <c r="B6773" s="16" t="n">
        <v>44301</v>
      </c>
      <c r="C6773" s="20" t="inlineStr">
        <is>
          <t>목</t>
        </is>
      </c>
      <c r="D6773" s="20" t="inlineStr">
        <is>
          <t>페이스북/인스타그램</t>
        </is>
      </c>
      <c r="E6773" s="20" t="inlineStr">
        <is>
          <t>고체향수</t>
        </is>
      </c>
      <c r="K6773" s="20" t="n">
        <v>7134</v>
      </c>
    </row>
    <row r="6774">
      <c r="A6774" s="20" t="inlineStr">
        <is>
          <t>[후기타입]스테이포에버_영상</t>
        </is>
      </c>
      <c r="B6774" s="16" t="n">
        <v>44301</v>
      </c>
      <c r="C6774" s="20" t="inlineStr">
        <is>
          <t>목</t>
        </is>
      </c>
      <c r="D6774" s="20" t="inlineStr">
        <is>
          <t>페이스북/인스타그램</t>
        </is>
      </c>
      <c r="E6774" s="20" t="inlineStr">
        <is>
          <t>고체향수</t>
        </is>
      </c>
      <c r="K6774" s="20" t="n">
        <v>147505</v>
      </c>
    </row>
    <row r="6775">
      <c r="A6775" s="20" t="inlineStr">
        <is>
          <t>전환_스테이포에버</t>
        </is>
      </c>
      <c r="B6775" s="16" t="n">
        <v>44301</v>
      </c>
      <c r="C6775" s="20" t="inlineStr">
        <is>
          <t>목</t>
        </is>
      </c>
      <c r="D6775" s="20" t="inlineStr">
        <is>
          <t>페이스북/인스타그램</t>
        </is>
      </c>
      <c r="E6775" s="20" t="inlineStr">
        <is>
          <t>고체향수</t>
        </is>
      </c>
      <c r="K6775" s="20" t="n">
        <v>70165</v>
      </c>
    </row>
    <row r="6776">
      <c r="A6776" s="20" t="inlineStr">
        <is>
          <t>[권태기커플]스테이포에버_영상</t>
        </is>
      </c>
      <c r="B6776" s="16" t="n">
        <v>44301</v>
      </c>
      <c r="C6776" s="20" t="inlineStr">
        <is>
          <t>목</t>
        </is>
      </c>
      <c r="D6776" s="20" t="inlineStr">
        <is>
          <t>페이스북/인스타그램</t>
        </is>
      </c>
      <c r="E6776" s="20" t="inlineStr">
        <is>
          <t>고체향수</t>
        </is>
      </c>
      <c r="K6776" s="20" t="n">
        <v>29343</v>
      </c>
    </row>
    <row r="6777">
      <c r="A6777" s="20" t="inlineStr">
        <is>
          <t>웹사이트 트래픽 서치</t>
        </is>
      </c>
      <c r="B6777" s="16" t="n">
        <v>44301</v>
      </c>
      <c r="C6777" s="20" t="inlineStr">
        <is>
          <t>목</t>
        </is>
      </c>
      <c r="D6777" s="20" t="inlineStr">
        <is>
          <t>유튜브 광고</t>
        </is>
      </c>
      <c r="E6777" s="20" t="inlineStr">
        <is>
          <t>고체향수</t>
        </is>
      </c>
      <c r="K6777" s="20" t="n">
        <v>42333</v>
      </c>
    </row>
    <row r="6778">
      <c r="A6778" s="20" t="inlineStr">
        <is>
          <t>동영상캠페인_승무원_보이는 라디오(cpa)</t>
        </is>
      </c>
      <c r="B6778" s="16" t="n">
        <v>44301</v>
      </c>
      <c r="C6778" s="20" t="inlineStr">
        <is>
          <t>목</t>
        </is>
      </c>
      <c r="D6778" s="20" t="inlineStr">
        <is>
          <t>유튜브 광고</t>
        </is>
      </c>
      <c r="E6778" s="20" t="inlineStr">
        <is>
          <t>고체향수</t>
        </is>
      </c>
      <c r="K6778" s="20" t="n">
        <v>8748</v>
      </c>
    </row>
    <row r="6779">
      <c r="A6779" s="20" t="inlineStr">
        <is>
          <t>디스커버리 배너_승무원,할인_리마케팅</t>
        </is>
      </c>
      <c r="B6779" s="16" t="n">
        <v>44301</v>
      </c>
      <c r="C6779" s="20" t="inlineStr">
        <is>
          <t>목</t>
        </is>
      </c>
      <c r="D6779" s="20" t="inlineStr">
        <is>
          <t>유튜브 광고</t>
        </is>
      </c>
      <c r="E6779" s="20" t="inlineStr">
        <is>
          <t>고체향수</t>
        </is>
      </c>
      <c r="K6779" s="20" t="n">
        <v>392053</v>
      </c>
    </row>
    <row r="6780">
      <c r="A6780" s="20" t="inlineStr">
        <is>
          <t>동영상캠페인_승무원_써니스카이</t>
        </is>
      </c>
      <c r="B6780" s="16" t="n">
        <v>44301</v>
      </c>
      <c r="C6780" s="20" t="inlineStr">
        <is>
          <t>목</t>
        </is>
      </c>
      <c r="D6780" s="20" t="inlineStr">
        <is>
          <t>유튜브 광고</t>
        </is>
      </c>
      <c r="E6780" s="20" t="inlineStr">
        <is>
          <t>고체향수</t>
        </is>
      </c>
      <c r="K6780" s="20" t="n">
        <v>155792</v>
      </c>
    </row>
    <row r="6781">
      <c r="A6781" s="20" t="inlineStr">
        <is>
          <t>동영상캠페인_필라테스_자기관리(타겟 cpa)</t>
        </is>
      </c>
      <c r="B6781" s="16" t="n">
        <v>44301</v>
      </c>
      <c r="C6781" s="20" t="inlineStr">
        <is>
          <t>목</t>
        </is>
      </c>
      <c r="D6781" s="20" t="inlineStr">
        <is>
          <t>유튜브 광고</t>
        </is>
      </c>
      <c r="E6781" s="20" t="inlineStr">
        <is>
          <t>고체향수</t>
        </is>
      </c>
      <c r="K6781" s="20" t="n">
        <v>114035</v>
      </c>
    </row>
    <row r="6782">
      <c r="A6782" s="20" t="inlineStr">
        <is>
          <t>동영상캠페인_승무원_비누향 나는 승무원에게(cpa)</t>
        </is>
      </c>
      <c r="B6782" s="16" t="n">
        <v>44301</v>
      </c>
      <c r="C6782" s="20" t="inlineStr">
        <is>
          <t>목</t>
        </is>
      </c>
      <c r="D6782" s="20" t="inlineStr">
        <is>
          <t>유튜브 광고</t>
        </is>
      </c>
      <c r="E6782" s="20" t="inlineStr">
        <is>
          <t>고체향수</t>
        </is>
      </c>
      <c r="K6782" s="20" t="n">
        <v>7426</v>
      </c>
    </row>
    <row r="6783">
      <c r="A6783" s="20" t="inlineStr">
        <is>
          <t>동영상캠페인_유즈모먼트_조향사 친구(cpa)</t>
        </is>
      </c>
      <c r="B6783" s="16" t="n">
        <v>44301</v>
      </c>
      <c r="C6783" s="20" t="inlineStr">
        <is>
          <t>목</t>
        </is>
      </c>
      <c r="D6783" s="20" t="inlineStr">
        <is>
          <t>유튜브 광고</t>
        </is>
      </c>
      <c r="E6783" s="20" t="inlineStr">
        <is>
          <t>고체향수</t>
        </is>
      </c>
      <c r="K6783" s="20" t="n">
        <v>196815</v>
      </c>
    </row>
    <row r="6784">
      <c r="A6784" s="20" t="inlineStr">
        <is>
          <t>동영상 캠페인_유튜버 수지큐 2차활용_리마케팅</t>
        </is>
      </c>
      <c r="B6784" s="16" t="n">
        <v>44301</v>
      </c>
      <c r="C6784" s="20" t="inlineStr">
        <is>
          <t>목</t>
        </is>
      </c>
      <c r="D6784" s="20" t="inlineStr">
        <is>
          <t>유튜브 광고</t>
        </is>
      </c>
      <c r="E6784" s="20" t="inlineStr">
        <is>
          <t>고체향수</t>
        </is>
      </c>
      <c r="K6784" s="20" t="n">
        <v>72739</v>
      </c>
    </row>
    <row r="6785">
      <c r="A6785" s="20" t="inlineStr">
        <is>
          <t>동영상캠페인_유즈모먼트_4화_강한향대신</t>
        </is>
      </c>
      <c r="B6785" s="16" t="n">
        <v>44301</v>
      </c>
      <c r="C6785" s="20" t="inlineStr">
        <is>
          <t>목</t>
        </is>
      </c>
      <c r="D6785" s="20" t="inlineStr">
        <is>
          <t>유튜브 광고</t>
        </is>
      </c>
      <c r="E6785" s="20" t="inlineStr">
        <is>
          <t>고체향수</t>
        </is>
      </c>
      <c r="K6785" s="20" t="n">
        <v>51938</v>
      </c>
    </row>
    <row r="6786">
      <c r="A6786" s="20" t="inlineStr">
        <is>
          <t>[5화자] 동영상 캠페인_벨라의 비행일기</t>
        </is>
      </c>
      <c r="B6786" s="16" t="n">
        <v>44301</v>
      </c>
      <c r="C6786" s="20" t="inlineStr">
        <is>
          <t>목</t>
        </is>
      </c>
      <c r="D6786" s="20" t="inlineStr">
        <is>
          <t>유튜브 광고</t>
        </is>
      </c>
      <c r="E6786" s="20" t="inlineStr">
        <is>
          <t>고체향수</t>
        </is>
      </c>
      <c r="K6786" s="20" t="n">
        <v>415813</v>
      </c>
    </row>
    <row r="6787">
      <c r="A6787" s="20" t="inlineStr">
        <is>
          <t>[5화자] 동영상 캠페인_비행하고 여행하는 은선씨</t>
        </is>
      </c>
      <c r="B6787" s="16" t="n">
        <v>44301</v>
      </c>
      <c r="C6787" s="20" t="inlineStr">
        <is>
          <t>목</t>
        </is>
      </c>
      <c r="D6787" s="20" t="inlineStr">
        <is>
          <t>유튜브 광고</t>
        </is>
      </c>
      <c r="E6787" s="20" t="inlineStr">
        <is>
          <t>고체향수</t>
        </is>
      </c>
      <c r="K6787" s="20" t="n">
        <v>416206</v>
      </c>
    </row>
    <row r="6788">
      <c r="A6788" s="20" t="inlineStr">
        <is>
          <t>[5화자 재편집] 승무원_벨라_면세점에서 천만원</t>
        </is>
      </c>
      <c r="B6788" s="16" t="n">
        <v>44301</v>
      </c>
      <c r="C6788" s="20" t="inlineStr">
        <is>
          <t>목</t>
        </is>
      </c>
      <c r="D6788" s="20" t="inlineStr">
        <is>
          <t>유튜브 광고</t>
        </is>
      </c>
      <c r="E6788" s="20" t="inlineStr">
        <is>
          <t>고체향수</t>
        </is>
      </c>
      <c r="K6788" s="20" t="n">
        <v>311900</v>
      </c>
    </row>
    <row r="6789">
      <c r="A6789" s="20" t="inlineStr">
        <is>
          <t>동영상캠페인_유즈모먼트_면세점뒤졌는데</t>
        </is>
      </c>
      <c r="B6789" s="16" t="n">
        <v>44301</v>
      </c>
      <c r="C6789" s="20" t="inlineStr">
        <is>
          <t>목</t>
        </is>
      </c>
      <c r="D6789" s="20" t="inlineStr">
        <is>
          <t>유튜브 광고</t>
        </is>
      </c>
      <c r="E6789" s="20" t="inlineStr">
        <is>
          <t>고체향수</t>
        </is>
      </c>
      <c r="K6789" s="20" t="n">
        <v>207817</v>
      </c>
    </row>
    <row r="6790">
      <c r="A6790" s="20" t="inlineStr">
        <is>
          <t>메인키워드</t>
        </is>
      </c>
      <c r="B6790" s="16" t="n">
        <v>44301</v>
      </c>
      <c r="C6790" s="20" t="inlineStr">
        <is>
          <t>목</t>
        </is>
      </c>
      <c r="D6790" s="20" t="inlineStr">
        <is>
          <t>네이버 쇼핑검색</t>
        </is>
      </c>
      <c r="E6790" s="20" t="inlineStr">
        <is>
          <t>고체향수</t>
        </is>
      </c>
      <c r="K6790" s="20" t="n">
        <v>13940</v>
      </c>
    </row>
    <row r="6791">
      <c r="A6791" s="20" t="inlineStr">
        <is>
          <t>세부키워드1</t>
        </is>
      </c>
      <c r="B6791" s="16" t="n">
        <v>44301</v>
      </c>
      <c r="C6791" s="20" t="inlineStr">
        <is>
          <t>목</t>
        </is>
      </c>
      <c r="D6791" s="20" t="inlineStr">
        <is>
          <t>네이버 쇼핑검색</t>
        </is>
      </c>
      <c r="E6791" s="20" t="inlineStr">
        <is>
          <t>고체향수</t>
        </is>
      </c>
      <c r="K6791" s="20" t="n">
        <v>0</v>
      </c>
    </row>
    <row r="6792">
      <c r="A6792" s="20" t="inlineStr">
        <is>
          <t>세부키워드3</t>
        </is>
      </c>
      <c r="B6792" s="16" t="n">
        <v>44301</v>
      </c>
      <c r="C6792" s="20" t="inlineStr">
        <is>
          <t>목</t>
        </is>
      </c>
      <c r="D6792" s="20" t="inlineStr">
        <is>
          <t>네이버 쇼핑검색</t>
        </is>
      </c>
      <c r="E6792" s="20" t="inlineStr">
        <is>
          <t>고체향수</t>
        </is>
      </c>
      <c r="K6792" s="20" t="n">
        <v>131070</v>
      </c>
    </row>
    <row r="6793">
      <c r="A6793" s="20" t="inlineStr">
        <is>
          <t>모바일 브검</t>
        </is>
      </c>
      <c r="B6793" s="16" t="n">
        <v>44301</v>
      </c>
      <c r="C6793" s="20" t="inlineStr">
        <is>
          <t>목</t>
        </is>
      </c>
      <c r="D6793" s="20" t="inlineStr">
        <is>
          <t>네이버 브랜드검색</t>
        </is>
      </c>
      <c r="E6793" s="20" t="inlineStr">
        <is>
          <t>브랜드</t>
        </is>
      </c>
      <c r="K6793" s="20" t="n">
        <v>0</v>
      </c>
    </row>
    <row r="6794">
      <c r="A6794" s="20" t="inlineStr">
        <is>
          <t>PC 브랜드검색</t>
        </is>
      </c>
      <c r="B6794" s="16" t="n">
        <v>44301</v>
      </c>
      <c r="C6794" s="20" t="inlineStr">
        <is>
          <t>목</t>
        </is>
      </c>
      <c r="D6794" s="20" t="inlineStr">
        <is>
          <t>네이버 브랜드검색</t>
        </is>
      </c>
      <c r="E6794" s="20" t="inlineStr">
        <is>
          <t>브랜드</t>
        </is>
      </c>
      <c r="K6794" s="20" t="n">
        <v>0</v>
      </c>
    </row>
    <row r="6795">
      <c r="A6795" s="20" t="inlineStr">
        <is>
          <t>고체향수_승무원 어피_Npay 추적</t>
        </is>
      </c>
      <c r="B6795" s="16" t="n">
        <v>44301</v>
      </c>
      <c r="C6795" s="20" t="inlineStr">
        <is>
          <t>목</t>
        </is>
      </c>
      <c r="D6795" s="20" t="inlineStr">
        <is>
          <t>카카오 배너</t>
        </is>
      </c>
      <c r="E6795" s="20" t="inlineStr">
        <is>
          <t>고체향수</t>
        </is>
      </c>
      <c r="K6795" s="20" t="n">
        <v>181950</v>
      </c>
    </row>
    <row r="6796">
      <c r="A6796" s="20" t="inlineStr">
        <is>
          <t>고체향수_Npay 추적</t>
        </is>
      </c>
      <c r="B6796" s="16" t="n">
        <v>44301</v>
      </c>
      <c r="C6796" s="20" t="inlineStr">
        <is>
          <t>목</t>
        </is>
      </c>
      <c r="D6796" s="20" t="inlineStr">
        <is>
          <t>카카오 배너</t>
        </is>
      </c>
      <c r="E6796" s="20" t="inlineStr">
        <is>
          <t>고체향수</t>
        </is>
      </c>
      <c r="K6796" s="20" t="n">
        <v>928779.9999999999</v>
      </c>
    </row>
    <row r="6797">
      <c r="B6797" s="16" t="n">
        <v>44301</v>
      </c>
      <c r="C6797" s="20" t="inlineStr">
        <is>
          <t>목</t>
        </is>
      </c>
      <c r="E6797" s="20" t="inlineStr">
        <is>
          <t>고체향수</t>
        </is>
      </c>
      <c r="F6797" s="20" t="inlineStr">
        <is>
          <t>W컨셉</t>
        </is>
      </c>
      <c r="G6797" s="20" t="inlineStr">
        <is>
          <t>솔리드퍼퓸 이그나이트/스테이포에버 30ml (2종 택1)&lt;옵션1&gt;002 STAY FOREVER</t>
        </is>
      </c>
      <c r="H6797" s="20" t="n">
        <v>12</v>
      </c>
      <c r="I6797" s="20" t="inlineStr">
        <is>
          <t>스테이포에버</t>
        </is>
      </c>
      <c r="J6797" s="20" t="inlineStr">
        <is>
          <t>210207</t>
        </is>
      </c>
      <c r="L6797" s="20" t="n">
        <v>408000</v>
      </c>
      <c r="M6797" s="20" t="n">
        <v>285600</v>
      </c>
      <c r="N6797" s="20" t="n">
        <v>31104</v>
      </c>
      <c r="O6797" s="20" t="inlineStr">
        <is>
          <t>W컨셉고체향수솔리드퍼퓸 이그나이트/스테이포에버 30ml (2종 택1)&lt;옵션1&gt;002 STAY FOREVER210207</t>
        </is>
      </c>
    </row>
    <row r="6798">
      <c r="B6798" s="16" t="n">
        <v>44301</v>
      </c>
      <c r="C6798" s="20" t="inlineStr">
        <is>
          <t>목</t>
        </is>
      </c>
      <c r="E6798" s="20" t="inlineStr">
        <is>
          <t>고체향수</t>
        </is>
      </c>
      <c r="F6798" s="20" t="inlineStr">
        <is>
          <t>스마트스토어</t>
        </is>
      </c>
      <c r="G6798" s="20" t="inlineStr">
        <is>
          <t>유즈 고체향수 세트(유즈 스테이포에버, 유즈 이그나이트)고체향수: 스테이포에버 1개 + 이그나이트 1개</t>
        </is>
      </c>
      <c r="H6798" s="20" t="n">
        <v>3</v>
      </c>
      <c r="I6798" s="20" t="inlineStr">
        <is>
          <t>이그나이트 + 스테이포에버</t>
        </is>
      </c>
      <c r="J6798" s="20" t="inlineStr">
        <is>
          <t>210207</t>
        </is>
      </c>
      <c r="L6798" s="20" t="n">
        <v>176400</v>
      </c>
      <c r="M6798" s="20" t="n">
        <v>166080.6</v>
      </c>
      <c r="N6798" s="20" t="n">
        <v>16035</v>
      </c>
      <c r="O6798" s="20" t="inlineStr">
        <is>
          <t>스마트스토어고체향수유즈 고체향수 세트(유즈 스테이포에버, 유즈 이그나이트)고체향수: 스테이포에버 1개 + 이그나이트 1개210207</t>
        </is>
      </c>
    </row>
    <row r="6799">
      <c r="B6799" s="16" t="n">
        <v>44301</v>
      </c>
      <c r="C6799" s="20" t="inlineStr">
        <is>
          <t>목</t>
        </is>
      </c>
      <c r="E6799" s="20" t="inlineStr">
        <is>
          <t>고체향수</t>
        </is>
      </c>
      <c r="F6799" s="20" t="inlineStr">
        <is>
          <t>스마트스토어</t>
        </is>
      </c>
      <c r="G6799" s="20" t="inlineStr">
        <is>
          <t>유즈 고체향수 세트(유즈 스테이포에버, 유즈 이그나이트)고체향수: 스테이포에버 2개</t>
        </is>
      </c>
      <c r="H6799" s="20" t="n">
        <v>1</v>
      </c>
      <c r="I6799" s="20" t="inlineStr">
        <is>
          <t>스테이포에버 2set</t>
        </is>
      </c>
      <c r="J6799" s="20" t="inlineStr">
        <is>
          <t>210207</t>
        </is>
      </c>
      <c r="L6799" s="20" t="n">
        <v>58800</v>
      </c>
      <c r="M6799" s="20" t="n">
        <v>57624</v>
      </c>
      <c r="N6799" s="20" t="n">
        <v>5184</v>
      </c>
      <c r="O6799" s="20" t="inlineStr">
        <is>
          <t>스마트스토어고체향수유즈 고체향수 세트(유즈 스테이포에버, 유즈 이그나이트)고체향수: 스테이포에버 2개210207</t>
        </is>
      </c>
    </row>
    <row r="6800">
      <c r="B6800" s="16" t="n">
        <v>44301</v>
      </c>
      <c r="C6800" s="20" t="inlineStr">
        <is>
          <t>목</t>
        </is>
      </c>
      <c r="E6800" s="20" t="inlineStr">
        <is>
          <t>고체향수</t>
        </is>
      </c>
      <c r="F6800" s="20" t="inlineStr">
        <is>
          <t>스마트스토어</t>
        </is>
      </c>
      <c r="G6800" s="20" t="inlineStr">
        <is>
          <t>유즈 고체향수 세트(유즈 스테이포에버, 유즈 이그나이트)고체향수: 이그나이트 2개</t>
        </is>
      </c>
      <c r="H6800" s="20" t="n">
        <v>1</v>
      </c>
      <c r="I6800" s="20" t="inlineStr">
        <is>
          <t>이그나이트 2set</t>
        </is>
      </c>
      <c r="J6800" s="20" t="inlineStr">
        <is>
          <t>210207</t>
        </is>
      </c>
      <c r="L6800" s="20" t="n">
        <v>58800</v>
      </c>
      <c r="M6800" s="20" t="n">
        <v>57624</v>
      </c>
      <c r="N6800" s="20" t="n">
        <v>5506</v>
      </c>
      <c r="O6800" s="20" t="inlineStr">
        <is>
          <t>스마트스토어고체향수유즈 고체향수 세트(유즈 스테이포에버, 유즈 이그나이트)고체향수: 이그나이트 2개210207</t>
        </is>
      </c>
    </row>
    <row r="6801">
      <c r="B6801" s="16" t="n">
        <v>44301</v>
      </c>
      <c r="C6801" s="20" t="inlineStr">
        <is>
          <t>목</t>
        </is>
      </c>
      <c r="E6801" s="20" t="inlineStr">
        <is>
          <t>고체향수</t>
        </is>
      </c>
      <c r="F6801" s="20" t="inlineStr">
        <is>
          <t>스마트스토어</t>
        </is>
      </c>
      <c r="G6801" s="20" t="inlineStr">
        <is>
          <t>유즈 고체향수 스테이포에버 002고체향수: 스테이포에버 1개</t>
        </is>
      </c>
      <c r="H6801" s="20" t="n">
        <v>15</v>
      </c>
      <c r="I6801" s="20" t="inlineStr">
        <is>
          <t>스테이포에버</t>
        </is>
      </c>
      <c r="J6801" s="20" t="inlineStr">
        <is>
          <t>210207</t>
        </is>
      </c>
      <c r="L6801" s="20" t="n">
        <v>510000</v>
      </c>
      <c r="M6801" s="20" t="n">
        <v>499800</v>
      </c>
      <c r="N6801" s="20" t="n">
        <v>38880</v>
      </c>
      <c r="O6801" s="20" t="inlineStr">
        <is>
          <t>스마트스토어고체향수유즈 고체향수 스테이포에버 002고체향수: 스테이포에버 1개210207</t>
        </is>
      </c>
    </row>
    <row r="6802">
      <c r="B6802" s="16" t="n">
        <v>44301</v>
      </c>
      <c r="C6802" s="20" t="inlineStr">
        <is>
          <t>목</t>
        </is>
      </c>
      <c r="E6802" s="20" t="inlineStr">
        <is>
          <t>고체향수</t>
        </is>
      </c>
      <c r="F6802" s="20" t="inlineStr">
        <is>
          <t>카페24</t>
        </is>
      </c>
      <c r="G6802" s="20" t="inlineStr">
        <is>
          <t>솔리드퍼퓸 세트향=이그나이트 001 SOLID PERFUME, 세트 선택=best 2개 (28% 할인)</t>
        </is>
      </c>
      <c r="H6802" s="20" t="n">
        <v>1</v>
      </c>
      <c r="I6802" s="20" t="inlineStr">
        <is>
          <t>이그나이트 2set</t>
        </is>
      </c>
      <c r="J6802" s="20" t="inlineStr">
        <is>
          <t>210207</t>
        </is>
      </c>
      <c r="L6802" s="20" t="n">
        <v>58800</v>
      </c>
      <c r="M6802" s="20" t="n">
        <v>55360.2</v>
      </c>
      <c r="N6802" s="20" t="n">
        <v>5506</v>
      </c>
      <c r="O6802" s="20" t="inlineStr">
        <is>
          <t>카페24고체향수솔리드퍼퓸 세트향=이그나이트 001 SOLID PERFUME, 세트 선택=best 2개 (28% 할인)210207</t>
        </is>
      </c>
    </row>
    <row r="6803">
      <c r="B6803" s="16" t="n">
        <v>44301</v>
      </c>
      <c r="C6803" s="20" t="inlineStr">
        <is>
          <t>목</t>
        </is>
      </c>
      <c r="E6803" s="20" t="inlineStr">
        <is>
          <t>고체향수</t>
        </is>
      </c>
      <c r="F6803" s="20" t="inlineStr">
        <is>
          <t>카페24</t>
        </is>
      </c>
      <c r="G6803" s="20" t="inlineStr">
        <is>
          <t>솔리드퍼퓸 세트향=스테이포에버 002 SOLID PERFUME, 세트 선택=1개</t>
        </is>
      </c>
      <c r="H6803" s="20" t="n">
        <v>3</v>
      </c>
      <c r="I6803" s="20" t="inlineStr">
        <is>
          <t>스테이포에버</t>
        </is>
      </c>
      <c r="J6803" s="20" t="inlineStr">
        <is>
          <t>210207</t>
        </is>
      </c>
      <c r="L6803" s="20" t="n">
        <v>102000</v>
      </c>
      <c r="M6803" s="20" t="n">
        <v>96033</v>
      </c>
      <c r="N6803" s="20" t="n">
        <v>7776</v>
      </c>
      <c r="O6803" s="20" t="inlineStr">
        <is>
          <t>카페24고체향수솔리드퍼퓸 세트향=스테이포에버 002 SOLID PERFUME, 세트 선택=1개210207</t>
        </is>
      </c>
    </row>
    <row r="6804">
      <c r="B6804" s="16" t="n">
        <v>44301</v>
      </c>
      <c r="C6804" s="20" t="inlineStr">
        <is>
          <t>목</t>
        </is>
      </c>
      <c r="E6804" s="20" t="inlineStr">
        <is>
          <t>고체향수</t>
        </is>
      </c>
      <c r="F6804" s="20" t="inlineStr">
        <is>
          <t>카페24</t>
        </is>
      </c>
      <c r="G6804" s="20" t="inlineStr">
        <is>
          <t>솔리드퍼퓸 세트향=스테이포에버 002 SOLID PERFUME, 세트 선택=best 2개 (28% 할인)</t>
        </is>
      </c>
      <c r="H6804" s="20" t="n">
        <v>9</v>
      </c>
      <c r="I6804" s="20" t="inlineStr">
        <is>
          <t>스테이포에버 2set</t>
        </is>
      </c>
      <c r="J6804" s="20" t="inlineStr">
        <is>
          <t>210207</t>
        </is>
      </c>
      <c r="L6804" s="20" t="n">
        <v>529200</v>
      </c>
      <c r="M6804" s="20" t="n">
        <v>498241.8</v>
      </c>
      <c r="N6804" s="20" t="n">
        <v>46656</v>
      </c>
      <c r="O6804" s="20" t="inlineStr">
        <is>
          <t>카페24고체향수솔리드퍼퓸 세트향=스테이포에버 002 SOLID PERFUME, 세트 선택=best 2개 (28% 할인)210207</t>
        </is>
      </c>
    </row>
    <row r="6805">
      <c r="B6805" s="16" t="n">
        <v>44301</v>
      </c>
      <c r="C6805" s="20" t="inlineStr">
        <is>
          <t>목</t>
        </is>
      </c>
      <c r="E6805" s="20" t="inlineStr">
        <is>
          <t>고체향수</t>
        </is>
      </c>
      <c r="F6805" s="20" t="inlineStr">
        <is>
          <t>카페24</t>
        </is>
      </c>
      <c r="G6805" s="20" t="inlineStr">
        <is>
          <t>솔리드퍼퓸 세트향=커플세트(이그나이트 + 스테이포에버), 세트 선택=1 SET</t>
        </is>
      </c>
      <c r="H6805" s="20" t="n">
        <v>7</v>
      </c>
      <c r="I6805" s="20" t="inlineStr">
        <is>
          <t>이그나이트 + 스테이포에버</t>
        </is>
      </c>
      <c r="J6805" s="20" t="inlineStr">
        <is>
          <t>210207</t>
        </is>
      </c>
      <c r="L6805" s="20" t="n">
        <v>411600</v>
      </c>
      <c r="M6805" s="20" t="n">
        <v>387521.4</v>
      </c>
      <c r="N6805" s="20" t="n">
        <v>37415</v>
      </c>
      <c r="O6805" s="20" t="inlineStr">
        <is>
          <t>카페24고체향수솔리드퍼퓸 세트향=커플세트(이그나이트 + 스테이포에버), 세트 선택=1 SET210207</t>
        </is>
      </c>
    </row>
    <row r="6806">
      <c r="B6806" s="16" t="n">
        <v>44301</v>
      </c>
      <c r="C6806" s="20" t="inlineStr">
        <is>
          <t>목</t>
        </is>
      </c>
      <c r="E6806" s="20" t="inlineStr">
        <is>
          <t>고체향수</t>
        </is>
      </c>
      <c r="F6806" s="20" t="inlineStr">
        <is>
          <t>카페24</t>
        </is>
      </c>
      <c r="G6806" s="20" t="inlineStr">
        <is>
          <t>솔리드퍼퓸 세트향=커플세트(이그나이트 + 스테이포에버), 세트 선택=2 SET (42% 할인)</t>
        </is>
      </c>
      <c r="H6806" s="20" t="n">
        <v>1</v>
      </c>
      <c r="I6806" s="20" t="inlineStr">
        <is>
          <t>이그나이트 + 스테이포에버</t>
        </is>
      </c>
      <c r="J6806" s="20" t="inlineStr">
        <is>
          <t>210207</t>
        </is>
      </c>
      <c r="L6806" s="20" t="n">
        <v>58800</v>
      </c>
      <c r="M6806" s="20" t="n">
        <v>55360.2</v>
      </c>
      <c r="N6806" s="20" t="n">
        <v>5345</v>
      </c>
      <c r="O6806" s="20" t="inlineStr">
        <is>
          <t>카페24고체향수솔리드퍼퓸 세트향=커플세트(이그나이트 + 스테이포에버), 세트 선택=2 SET (42% 할인)210207</t>
        </is>
      </c>
    </row>
    <row r="6807">
      <c r="B6807" s="16" t="n">
        <v>44301</v>
      </c>
      <c r="C6807" s="20" t="inlineStr">
        <is>
          <t>목</t>
        </is>
      </c>
      <c r="E6807" s="20" t="inlineStr">
        <is>
          <t>고체향수</t>
        </is>
      </c>
      <c r="F6807" s="20" t="inlineStr">
        <is>
          <t>카페24</t>
        </is>
      </c>
      <c r="G6807" s="20" t="inlineStr">
        <is>
          <t>솔리드퍼퓸 스테이포에버 002제품선택=스테이포에버 1개</t>
        </is>
      </c>
      <c r="H6807" s="20" t="n">
        <v>179</v>
      </c>
      <c r="I6807" s="20" t="inlineStr">
        <is>
          <t>스테이포에버</t>
        </is>
      </c>
      <c r="J6807" s="20" t="inlineStr">
        <is>
          <t>210207</t>
        </is>
      </c>
      <c r="L6807" s="20" t="n">
        <v>6086000</v>
      </c>
      <c r="M6807" s="20" t="n">
        <v>5729969</v>
      </c>
      <c r="N6807" s="20" t="n">
        <v>463968</v>
      </c>
      <c r="O6807" s="20" t="inlineStr">
        <is>
          <t>카페24고체향수솔리드퍼퓸 스테이포에버 002제품선택=스테이포에버 1개210207</t>
        </is>
      </c>
    </row>
    <row r="6808">
      <c r="B6808" s="16" t="n">
        <v>44301</v>
      </c>
      <c r="C6808" s="20" t="inlineStr">
        <is>
          <t>목</t>
        </is>
      </c>
      <c r="E6808" s="20" t="inlineStr">
        <is>
          <t>고체향수</t>
        </is>
      </c>
      <c r="F6808" s="20" t="inlineStr">
        <is>
          <t>카페24</t>
        </is>
      </c>
      <c r="G6808" s="20" t="inlineStr">
        <is>
          <t>솔리드퍼퓸 스테이포에버 002제품선택=best스테이포에버 2개[28% 할인]</t>
        </is>
      </c>
      <c r="H6808" s="20" t="n">
        <v>95</v>
      </c>
      <c r="I6808" s="20" t="inlineStr">
        <is>
          <t>스테이포에버 2set</t>
        </is>
      </c>
      <c r="J6808" s="20" t="inlineStr">
        <is>
          <t>210207</t>
        </is>
      </c>
      <c r="L6808" s="20" t="n">
        <v>5586000</v>
      </c>
      <c r="M6808" s="20" t="n">
        <v>5259219</v>
      </c>
      <c r="N6808" s="20" t="n">
        <v>492480</v>
      </c>
      <c r="O6808" s="20" t="inlineStr">
        <is>
          <t>카페24고체향수솔리드퍼퓸 스테이포에버 002제품선택=best스테이포에버 2개[28% 할인]210207</t>
        </is>
      </c>
    </row>
    <row r="6809">
      <c r="B6809" s="16" t="n">
        <v>44301</v>
      </c>
      <c r="C6809" s="20" t="inlineStr">
        <is>
          <t>목</t>
        </is>
      </c>
      <c r="E6809" s="20" t="inlineStr">
        <is>
          <t>고체향수</t>
        </is>
      </c>
      <c r="F6809" s="20" t="inlineStr">
        <is>
          <t>카페24</t>
        </is>
      </c>
      <c r="G6809" s="20" t="inlineStr">
        <is>
          <t>솔리드퍼퓸 스테이포에버 002제품선택=커플추천스테이포에버 + 이그나이트 세트</t>
        </is>
      </c>
      <c r="H6809" s="20" t="n">
        <v>13</v>
      </c>
      <c r="I6809" s="20" t="inlineStr">
        <is>
          <t>이그나이트 + 스테이포에버</t>
        </is>
      </c>
      <c r="J6809" s="20" t="inlineStr">
        <is>
          <t>210207</t>
        </is>
      </c>
      <c r="L6809" s="20" t="n">
        <v>764400</v>
      </c>
      <c r="M6809" s="20" t="n">
        <v>719682.6</v>
      </c>
      <c r="N6809" s="20" t="n">
        <v>69485</v>
      </c>
      <c r="O6809" s="20" t="inlineStr">
        <is>
          <t>카페24고체향수솔리드퍼퓸 스테이포에버 002제품선택=커플추천스테이포에버 + 이그나이트 세트210207</t>
        </is>
      </c>
    </row>
    <row r="6810">
      <c r="B6810" s="16" t="n">
        <v>44301</v>
      </c>
      <c r="C6810" s="20" t="inlineStr">
        <is>
          <t>목</t>
        </is>
      </c>
      <c r="E6810" s="20" t="inlineStr">
        <is>
          <t>쇼핑백</t>
        </is>
      </c>
      <c r="F6810" s="20" t="inlineStr">
        <is>
          <t>카페24</t>
        </is>
      </c>
      <c r="G6810" s="20" t="inlineStr">
        <is>
          <t>솔리드퍼퓸 스테이포에버 002쇼핑백=선물용 쇼핑백</t>
        </is>
      </c>
      <c r="H6810" s="20" t="n">
        <v>6</v>
      </c>
      <c r="I6810" s="20" t="inlineStr">
        <is>
          <t>쇼핑백</t>
        </is>
      </c>
      <c r="J6810" s="20" t="inlineStr">
        <is>
          <t>210207</t>
        </is>
      </c>
      <c r="L6810" s="20" t="n">
        <v>12000</v>
      </c>
      <c r="M6810" s="20" t="n">
        <v>11298</v>
      </c>
      <c r="N6810" s="20" t="n">
        <v>4980</v>
      </c>
      <c r="O6810" s="20" t="inlineStr">
        <is>
          <t>카페24쇼핑백솔리드퍼퓸 스테이포에버 002쇼핑백=선물용 쇼핑백210207</t>
        </is>
      </c>
    </row>
    <row r="6811">
      <c r="B6811" s="16" t="n">
        <v>44301</v>
      </c>
      <c r="C6811" s="20" t="inlineStr">
        <is>
          <t>목</t>
        </is>
      </c>
      <c r="E6811" s="20" t="inlineStr">
        <is>
          <t>고체향수</t>
        </is>
      </c>
      <c r="F6811" s="20" t="inlineStr">
        <is>
          <t>카페24</t>
        </is>
      </c>
      <c r="G6811" s="20" t="inlineStr">
        <is>
          <t>솔리드퍼퓸 이그나이트 001제품선택=이그나이트 솔리드퍼퓸 - 30ml</t>
        </is>
      </c>
      <c r="H6811" s="20" t="n">
        <v>5</v>
      </c>
      <c r="I6811" s="20" t="inlineStr">
        <is>
          <t>이그나이트</t>
        </is>
      </c>
      <c r="J6811" s="20" t="inlineStr">
        <is>
          <t>210207</t>
        </is>
      </c>
      <c r="L6811" s="20" t="n">
        <v>170000</v>
      </c>
      <c r="M6811" s="20" t="n">
        <v>160055</v>
      </c>
      <c r="N6811" s="20" t="n">
        <v>13765</v>
      </c>
      <c r="O6811" s="20" t="inlineStr">
        <is>
          <t>카페24고체향수솔리드퍼퓸 이그나이트 001제품선택=이그나이트 솔리드퍼퓸 - 30ml210207</t>
        </is>
      </c>
    </row>
    <row r="6812">
      <c r="B6812" s="16" t="n">
        <v>44301</v>
      </c>
      <c r="C6812" s="20" t="inlineStr">
        <is>
          <t>목</t>
        </is>
      </c>
      <c r="E6812" s="20" t="inlineStr">
        <is>
          <t>고체향수</t>
        </is>
      </c>
      <c r="F6812" s="20" t="inlineStr">
        <is>
          <t>카페24</t>
        </is>
      </c>
      <c r="G6812" s="20" t="inlineStr">
        <is>
          <t>솔리드퍼퓸 이그나이트 001제품선택=이그나이트 2개 세트</t>
        </is>
      </c>
      <c r="H6812" s="20" t="n">
        <v>2</v>
      </c>
      <c r="I6812" s="20" t="inlineStr">
        <is>
          <t>이그나이트 2set</t>
        </is>
      </c>
      <c r="J6812" s="20" t="inlineStr">
        <is>
          <t>210207</t>
        </is>
      </c>
      <c r="L6812" s="20" t="n">
        <v>117600</v>
      </c>
      <c r="M6812" s="20" t="n">
        <v>110720.4</v>
      </c>
      <c r="N6812" s="20" t="n">
        <v>11012</v>
      </c>
      <c r="O6812" s="20" t="inlineStr">
        <is>
          <t>카페24고체향수솔리드퍼퓸 이그나이트 001제품선택=이그나이트 2개 세트210207</t>
        </is>
      </c>
    </row>
    <row r="6813">
      <c r="A6813" s="20" t="inlineStr">
        <is>
          <t>고체향수</t>
        </is>
      </c>
      <c r="B6813" s="16" t="n">
        <v>44301</v>
      </c>
      <c r="C6813" s="20" t="inlineStr">
        <is>
          <t>목</t>
        </is>
      </c>
      <c r="D6813" s="20" t="inlineStr">
        <is>
          <t>네이버 배너</t>
        </is>
      </c>
      <c r="E6813" s="20" t="inlineStr">
        <is>
          <t>고체향수</t>
        </is>
      </c>
      <c r="K6813" s="20" t="n">
        <v>1136484.545454545</v>
      </c>
    </row>
    <row r="6814">
      <c r="A6814" s="20" t="inlineStr">
        <is>
          <t>[승무원]유튜브_스테이포에버_카드뉴스</t>
        </is>
      </c>
      <c r="B6814" s="16" t="n">
        <v>44302</v>
      </c>
      <c r="C6814" s="20" t="inlineStr">
        <is>
          <t>금</t>
        </is>
      </c>
      <c r="D6814" s="20">
        <f>VLOOKUP($A6814,매칭테이블!$B$548:$D$1048576,2,0)</f>
        <v/>
      </c>
      <c r="E6814" s="20" t="inlineStr">
        <is>
          <t>고체향수</t>
        </is>
      </c>
      <c r="K6814" s="20" t="n">
        <v>28421</v>
      </c>
    </row>
    <row r="6815">
      <c r="A6815" s="20" t="inlineStr">
        <is>
          <t>[올리브영] 이그나이트_영상</t>
        </is>
      </c>
      <c r="B6815" s="16" t="n">
        <v>44302</v>
      </c>
      <c r="C6815" s="20" t="inlineStr">
        <is>
          <t>금</t>
        </is>
      </c>
      <c r="D6815" s="20" t="inlineStr">
        <is>
          <t>페이스북/인스타그램</t>
        </is>
      </c>
      <c r="E6815" s="20" t="inlineStr">
        <is>
          <t>고체향수</t>
        </is>
      </c>
      <c r="K6815" s="20" t="n">
        <v>27387</v>
      </c>
    </row>
    <row r="6816">
      <c r="A6816" s="20" t="inlineStr">
        <is>
          <t>[승희 TEST] 스테이포에버_이미지</t>
        </is>
      </c>
      <c r="B6816" s="16" t="n">
        <v>44302</v>
      </c>
      <c r="C6816" s="20" t="inlineStr">
        <is>
          <t>금</t>
        </is>
      </c>
      <c r="D6816" s="20" t="inlineStr">
        <is>
          <t>페이스북/인스타그램</t>
        </is>
      </c>
      <c r="E6816" s="20" t="inlineStr">
        <is>
          <t>고체향수</t>
        </is>
      </c>
      <c r="K6816" s="20" t="n">
        <v>58207</v>
      </c>
    </row>
    <row r="6817">
      <c r="A6817" s="20" t="inlineStr">
        <is>
          <t>[올리브영] 스테이포에버_카드뉴스</t>
        </is>
      </c>
      <c r="B6817" s="16" t="n">
        <v>44302</v>
      </c>
      <c r="C6817" s="20" t="inlineStr">
        <is>
          <t>금</t>
        </is>
      </c>
      <c r="D6817" s="20">
        <f>VLOOKUP($A6817,매칭테이블!$B$548:$D$1048576,2,0)</f>
        <v/>
      </c>
      <c r="E6817" s="20" t="inlineStr">
        <is>
          <t>고체향수</t>
        </is>
      </c>
      <c r="K6817" s="20" t="n">
        <v>7475</v>
      </c>
    </row>
    <row r="6818">
      <c r="A6818" s="20" t="inlineStr">
        <is>
          <t>[올리브영] 스테이포에버_영상</t>
        </is>
      </c>
      <c r="B6818" s="16" t="n">
        <v>44302</v>
      </c>
      <c r="C6818" s="20" t="inlineStr">
        <is>
          <t>금</t>
        </is>
      </c>
      <c r="D6818" s="20" t="inlineStr">
        <is>
          <t>페이스북/인스타그램</t>
        </is>
      </c>
      <c r="E6818" s="20" t="inlineStr">
        <is>
          <t>고체향수</t>
        </is>
      </c>
      <c r="K6818" s="20" t="n">
        <v>45858</v>
      </c>
    </row>
    <row r="6819">
      <c r="A6819" s="20" t="inlineStr">
        <is>
          <t>[올리브영] 스테이포에버_이미지</t>
        </is>
      </c>
      <c r="B6819" s="16" t="n">
        <v>44302</v>
      </c>
      <c r="C6819" s="20" t="inlineStr">
        <is>
          <t>금</t>
        </is>
      </c>
      <c r="D6819" s="20" t="inlineStr">
        <is>
          <t>페이스북/인스타그램</t>
        </is>
      </c>
      <c r="E6819" s="20" t="inlineStr">
        <is>
          <t>고체향수</t>
        </is>
      </c>
      <c r="K6819" s="20" t="n">
        <v>27156</v>
      </c>
    </row>
    <row r="6820">
      <c r="A6820" s="20" t="inlineStr">
        <is>
          <t>[승무원] 유튜브재편집_스테이포에버_영상</t>
        </is>
      </c>
      <c r="B6820" s="16" t="n">
        <v>44302</v>
      </c>
      <c r="C6820" s="20" t="inlineStr">
        <is>
          <t>금</t>
        </is>
      </c>
      <c r="D6820" s="20" t="inlineStr">
        <is>
          <t>페이스북/인스타그램</t>
        </is>
      </c>
      <c r="E6820" s="20" t="inlineStr">
        <is>
          <t>고체향수</t>
        </is>
      </c>
      <c r="K6820" s="20" t="n">
        <v>317338</v>
      </c>
    </row>
    <row r="6821">
      <c r="A6821" s="20" t="inlineStr">
        <is>
          <t>[다현 TEST] 스테이포에버_유즈모먼트</t>
        </is>
      </c>
      <c r="B6821" s="16" t="n">
        <v>44302</v>
      </c>
      <c r="C6821" s="20" t="inlineStr">
        <is>
          <t>금</t>
        </is>
      </c>
      <c r="D6821" s="20" t="inlineStr">
        <is>
          <t>페이스북/인스타그램</t>
        </is>
      </c>
      <c r="E6821" s="20" t="inlineStr">
        <is>
          <t>고체향수</t>
        </is>
      </c>
      <c r="K6821" s="20" t="n">
        <v>48598</v>
      </c>
    </row>
    <row r="6822">
      <c r="A6822" s="20" t="inlineStr">
        <is>
          <t>[승무원 면세점] 스테이포에버_카드뉴스</t>
        </is>
      </c>
      <c r="B6822" s="16" t="n">
        <v>44302</v>
      </c>
      <c r="C6822" s="20" t="inlineStr">
        <is>
          <t>금</t>
        </is>
      </c>
      <c r="D6822" s="20">
        <f>VLOOKUP($A6822,매칭테이블!$B$548:$D$1048576,2,0)</f>
        <v/>
      </c>
      <c r="E6822" s="20" t="inlineStr">
        <is>
          <t>고체향수</t>
        </is>
      </c>
      <c r="K6822" s="20" t="n">
        <v>290589</v>
      </c>
    </row>
    <row r="6823">
      <c r="A6823" s="20" t="inlineStr">
        <is>
          <t>[승은 TEST] 스테이포에버</t>
        </is>
      </c>
      <c r="B6823" s="16" t="n">
        <v>44302</v>
      </c>
      <c r="C6823" s="20" t="inlineStr">
        <is>
          <t>금</t>
        </is>
      </c>
      <c r="D6823" s="20">
        <f>VLOOKUP($A6823,매칭테이블!$B$548:$D$1048576,2,0)</f>
        <v/>
      </c>
      <c r="E6823" s="20" t="inlineStr">
        <is>
          <t>고체향수</t>
        </is>
      </c>
      <c r="K6823" s="20" t="n">
        <v>251692</v>
      </c>
    </row>
    <row r="6824">
      <c r="A6824" s="20" t="inlineStr">
        <is>
          <t>[승무원 2] 스테이포에버_카드뉴스</t>
        </is>
      </c>
      <c r="B6824" s="16" t="n">
        <v>44302</v>
      </c>
      <c r="C6824" s="20" t="inlineStr">
        <is>
          <t>금</t>
        </is>
      </c>
      <c r="D6824" s="20" t="inlineStr">
        <is>
          <t>페이스북/인스타그램</t>
        </is>
      </c>
      <c r="E6824" s="20" t="inlineStr">
        <is>
          <t>고체향수</t>
        </is>
      </c>
      <c r="K6824" s="20" t="n">
        <v>56910</v>
      </c>
    </row>
    <row r="6825">
      <c r="A6825" s="20" t="inlineStr">
        <is>
          <t>[테스트]아줌마</t>
        </is>
      </c>
      <c r="B6825" s="16" t="n">
        <v>44302</v>
      </c>
      <c r="C6825" s="20" t="inlineStr">
        <is>
          <t>금</t>
        </is>
      </c>
      <c r="D6825" s="20" t="inlineStr">
        <is>
          <t>페이스북/인스타그램</t>
        </is>
      </c>
      <c r="E6825" s="20" t="inlineStr">
        <is>
          <t>고체향수</t>
        </is>
      </c>
      <c r="K6825" s="20" t="n">
        <v>108910</v>
      </c>
    </row>
    <row r="6826">
      <c r="A6826" s="20" t="inlineStr">
        <is>
          <t>[다양한 키워드] 스테이포에버_이미지</t>
        </is>
      </c>
      <c r="B6826" s="16" t="n">
        <v>44302</v>
      </c>
      <c r="C6826" s="20" t="inlineStr">
        <is>
          <t>금</t>
        </is>
      </c>
      <c r="D6826" s="20" t="inlineStr">
        <is>
          <t>페이스북/인스타그램</t>
        </is>
      </c>
      <c r="E6826" s="20" t="inlineStr">
        <is>
          <t>고체향수</t>
        </is>
      </c>
      <c r="K6826" s="20" t="n">
        <v>243993</v>
      </c>
    </row>
    <row r="6827">
      <c r="A6827" s="20" t="inlineStr">
        <is>
          <t>[재입고]스테이포에버_이미지</t>
        </is>
      </c>
      <c r="B6827" s="16" t="n">
        <v>44302</v>
      </c>
      <c r="C6827" s="20" t="inlineStr">
        <is>
          <t>금</t>
        </is>
      </c>
      <c r="D6827" s="20" t="inlineStr">
        <is>
          <t>페이스북/인스타그램</t>
        </is>
      </c>
      <c r="E6827" s="20" t="inlineStr">
        <is>
          <t>고체향수</t>
        </is>
      </c>
      <c r="K6827" s="20" t="n">
        <v>246866</v>
      </c>
    </row>
    <row r="6828">
      <c r="A6828" s="20" t="inlineStr">
        <is>
          <t>[승무원]숏폼_영상</t>
        </is>
      </c>
      <c r="B6828" s="16" t="n">
        <v>44302</v>
      </c>
      <c r="C6828" s="20" t="inlineStr">
        <is>
          <t>금</t>
        </is>
      </c>
      <c r="D6828" s="20" t="inlineStr">
        <is>
          <t>페이스북/인스타그램</t>
        </is>
      </c>
      <c r="E6828" s="20" t="inlineStr">
        <is>
          <t>고체향수</t>
        </is>
      </c>
      <c r="K6828" s="20" t="n">
        <v>50296</v>
      </c>
    </row>
    <row r="6829">
      <c r="A6829" s="20" t="inlineStr">
        <is>
          <t>[재입고]스테이포에버_영상</t>
        </is>
      </c>
      <c r="B6829" s="16" t="n">
        <v>44302</v>
      </c>
      <c r="C6829" s="20" t="inlineStr">
        <is>
          <t>금</t>
        </is>
      </c>
      <c r="D6829" s="20" t="inlineStr">
        <is>
          <t>페이스북/인스타그램</t>
        </is>
      </c>
      <c r="E6829" s="20" t="inlineStr">
        <is>
          <t>고체향수</t>
        </is>
      </c>
      <c r="K6829" s="20" t="n">
        <v>199496</v>
      </c>
    </row>
    <row r="6830">
      <c r="A6830" s="20" t="inlineStr">
        <is>
          <t>[승무원]2019년썰 카드뉴스+ 향묘사_영상</t>
        </is>
      </c>
      <c r="B6830" s="16" t="n">
        <v>44302</v>
      </c>
      <c r="C6830" s="20" t="inlineStr">
        <is>
          <t>금</t>
        </is>
      </c>
      <c r="D6830" s="20" t="inlineStr">
        <is>
          <t>페이스북/인스타그램</t>
        </is>
      </c>
      <c r="E6830" s="20" t="inlineStr">
        <is>
          <t>고체향수</t>
        </is>
      </c>
      <c r="K6830" s="20" t="n">
        <v>27959</v>
      </c>
    </row>
    <row r="6831">
      <c r="A6831" s="20" t="inlineStr">
        <is>
          <t>[승무원어피]스테이포에버_이미지</t>
        </is>
      </c>
      <c r="B6831" s="16" t="n">
        <v>44302</v>
      </c>
      <c r="C6831" s="20" t="inlineStr">
        <is>
          <t>금</t>
        </is>
      </c>
      <c r="D6831" s="20" t="inlineStr">
        <is>
          <t>페이스북/인스타그램</t>
        </is>
      </c>
      <c r="E6831" s="20" t="inlineStr">
        <is>
          <t>고체향수</t>
        </is>
      </c>
      <c r="K6831" s="20" t="n">
        <v>65503</v>
      </c>
    </row>
    <row r="6832">
      <c r="A6832" s="20" t="inlineStr">
        <is>
          <t>[다현]스테이포에버_이미지</t>
        </is>
      </c>
      <c r="B6832" s="16" t="n">
        <v>44302</v>
      </c>
      <c r="C6832" s="20" t="inlineStr">
        <is>
          <t>금</t>
        </is>
      </c>
      <c r="D6832" s="20" t="inlineStr">
        <is>
          <t>페이스북/인스타그램</t>
        </is>
      </c>
      <c r="E6832" s="20" t="inlineStr">
        <is>
          <t>고체향수</t>
        </is>
      </c>
      <c r="K6832" s="20" t="n">
        <v>149723</v>
      </c>
    </row>
    <row r="6833">
      <c r="A6833" s="20" t="inlineStr">
        <is>
          <t>[승무원]스테이포에버_카드뉴스</t>
        </is>
      </c>
      <c r="B6833" s="16" t="n">
        <v>44302</v>
      </c>
      <c r="C6833" s="20" t="inlineStr">
        <is>
          <t>금</t>
        </is>
      </c>
      <c r="D6833" s="20" t="inlineStr">
        <is>
          <t>페이스북/인스타그램</t>
        </is>
      </c>
      <c r="E6833" s="20" t="inlineStr">
        <is>
          <t>고체향수</t>
        </is>
      </c>
      <c r="K6833" s="20" t="n">
        <v>34053</v>
      </c>
    </row>
    <row r="6834">
      <c r="A6834" s="20" t="inlineStr">
        <is>
          <t>[후기타입]스테이포에버_영상</t>
        </is>
      </c>
      <c r="B6834" s="16" t="n">
        <v>44302</v>
      </c>
      <c r="C6834" s="20" t="inlineStr">
        <is>
          <t>금</t>
        </is>
      </c>
      <c r="D6834" s="20" t="inlineStr">
        <is>
          <t>페이스북/인스타그램</t>
        </is>
      </c>
      <c r="E6834" s="20" t="inlineStr">
        <is>
          <t>고체향수</t>
        </is>
      </c>
      <c r="K6834" s="20" t="n">
        <v>148759</v>
      </c>
    </row>
    <row r="6835">
      <c r="A6835" s="20" t="inlineStr">
        <is>
          <t>전환_스테이포에버</t>
        </is>
      </c>
      <c r="B6835" s="16" t="n">
        <v>44302</v>
      </c>
      <c r="C6835" s="20" t="inlineStr">
        <is>
          <t>금</t>
        </is>
      </c>
      <c r="D6835" s="20" t="inlineStr">
        <is>
          <t>페이스북/인스타그램</t>
        </is>
      </c>
      <c r="E6835" s="20" t="inlineStr">
        <is>
          <t>고체향수</t>
        </is>
      </c>
      <c r="K6835" s="20" t="n">
        <v>68906</v>
      </c>
    </row>
    <row r="6836">
      <c r="A6836" s="20" t="inlineStr">
        <is>
          <t>[권태기커플]스테이포에버_영상</t>
        </is>
      </c>
      <c r="B6836" s="16" t="n">
        <v>44302</v>
      </c>
      <c r="C6836" s="20" t="inlineStr">
        <is>
          <t>금</t>
        </is>
      </c>
      <c r="D6836" s="20" t="inlineStr">
        <is>
          <t>페이스북/인스타그램</t>
        </is>
      </c>
      <c r="E6836" s="20" t="inlineStr">
        <is>
          <t>고체향수</t>
        </is>
      </c>
      <c r="K6836" s="20" t="n">
        <v>29383</v>
      </c>
    </row>
    <row r="6837">
      <c r="A6837" s="20" t="inlineStr">
        <is>
          <t>[승무원]유튜브_스테이포에버_카드뉴스</t>
        </is>
      </c>
      <c r="B6837" s="16" t="n">
        <v>44303</v>
      </c>
      <c r="C6837" s="20" t="inlineStr">
        <is>
          <t>토</t>
        </is>
      </c>
      <c r="D6837" s="20">
        <f>VLOOKUP($A6837,매칭테이블!$B$548:$D$1048576,2,0)</f>
        <v/>
      </c>
      <c r="E6837" s="20" t="inlineStr">
        <is>
          <t>고체향수</t>
        </is>
      </c>
      <c r="K6837" s="20" t="n">
        <v>29686</v>
      </c>
    </row>
    <row r="6838">
      <c r="A6838" s="20" t="inlineStr">
        <is>
          <t>[올리브영] 이그나이트_영상</t>
        </is>
      </c>
      <c r="B6838" s="16" t="n">
        <v>44303</v>
      </c>
      <c r="C6838" s="20" t="inlineStr">
        <is>
          <t>토</t>
        </is>
      </c>
      <c r="D6838" s="20" t="inlineStr">
        <is>
          <t>페이스북/인스타그램</t>
        </is>
      </c>
      <c r="E6838" s="20" t="inlineStr">
        <is>
          <t>고체향수</t>
        </is>
      </c>
      <c r="K6838" s="20" t="n">
        <v>30249</v>
      </c>
    </row>
    <row r="6839">
      <c r="A6839" s="20" t="inlineStr">
        <is>
          <t>[승희 TEST] 스테이포에버_이미지</t>
        </is>
      </c>
      <c r="B6839" s="16" t="n">
        <v>44303</v>
      </c>
      <c r="C6839" s="20" t="inlineStr">
        <is>
          <t>토</t>
        </is>
      </c>
      <c r="D6839" s="20" t="inlineStr">
        <is>
          <t>페이스북/인스타그램</t>
        </is>
      </c>
      <c r="E6839" s="20" t="inlineStr">
        <is>
          <t>고체향수</t>
        </is>
      </c>
      <c r="K6839" s="20" t="n">
        <v>61064</v>
      </c>
    </row>
    <row r="6840">
      <c r="A6840" s="20" t="inlineStr">
        <is>
          <t>[올리브영] 스테이포에버_영상</t>
        </is>
      </c>
      <c r="B6840" s="16" t="n">
        <v>44303</v>
      </c>
      <c r="C6840" s="20" t="inlineStr">
        <is>
          <t>토</t>
        </is>
      </c>
      <c r="D6840" s="20" t="inlineStr">
        <is>
          <t>페이스북/인스타그램</t>
        </is>
      </c>
      <c r="E6840" s="20" t="inlineStr">
        <is>
          <t>고체향수</t>
        </is>
      </c>
      <c r="K6840" s="20" t="n">
        <v>45308</v>
      </c>
    </row>
    <row r="6841">
      <c r="A6841" s="20" t="inlineStr">
        <is>
          <t>[올리브영] 스테이포에버_이미지</t>
        </is>
      </c>
      <c r="B6841" s="16" t="n">
        <v>44303</v>
      </c>
      <c r="C6841" s="20" t="inlineStr">
        <is>
          <t>토</t>
        </is>
      </c>
      <c r="D6841" s="20" t="inlineStr">
        <is>
          <t>페이스북/인스타그램</t>
        </is>
      </c>
      <c r="E6841" s="20" t="inlineStr">
        <is>
          <t>고체향수</t>
        </is>
      </c>
      <c r="K6841" s="20" t="n">
        <v>30218</v>
      </c>
    </row>
    <row r="6842">
      <c r="A6842" s="20" t="inlineStr">
        <is>
          <t>[승무원] 유튜브재편집_스테이포에버_영상</t>
        </is>
      </c>
      <c r="B6842" s="16" t="n">
        <v>44303</v>
      </c>
      <c r="C6842" s="20" t="inlineStr">
        <is>
          <t>토</t>
        </is>
      </c>
      <c r="D6842" s="20" t="inlineStr">
        <is>
          <t>페이스북/인스타그램</t>
        </is>
      </c>
      <c r="E6842" s="20" t="inlineStr">
        <is>
          <t>고체향수</t>
        </is>
      </c>
      <c r="K6842" s="20" t="n">
        <v>318144</v>
      </c>
    </row>
    <row r="6843">
      <c r="A6843" s="20" t="inlineStr">
        <is>
          <t>[다현 TEST] 스테이포에버_유즈모먼트</t>
        </is>
      </c>
      <c r="B6843" s="16" t="n">
        <v>44303</v>
      </c>
      <c r="C6843" s="20" t="inlineStr">
        <is>
          <t>토</t>
        </is>
      </c>
      <c r="D6843" s="20" t="inlineStr">
        <is>
          <t>페이스북/인스타그램</t>
        </is>
      </c>
      <c r="E6843" s="20" t="inlineStr">
        <is>
          <t>고체향수</t>
        </is>
      </c>
      <c r="K6843" s="20" t="n">
        <v>51723</v>
      </c>
    </row>
    <row r="6844">
      <c r="A6844" s="20" t="inlineStr">
        <is>
          <t>[승무원 면세점] 스테이포에버_카드뉴스</t>
        </is>
      </c>
      <c r="B6844" s="16" t="n">
        <v>44303</v>
      </c>
      <c r="C6844" s="20" t="inlineStr">
        <is>
          <t>토</t>
        </is>
      </c>
      <c r="D6844" s="20">
        <f>VLOOKUP($A6844,매칭테이블!$B$548:$D$1048576,2,0)</f>
        <v/>
      </c>
      <c r="E6844" s="20" t="inlineStr">
        <is>
          <t>고체향수</t>
        </is>
      </c>
      <c r="K6844" s="20" t="n">
        <v>305941</v>
      </c>
    </row>
    <row r="6845">
      <c r="A6845" s="20" t="inlineStr">
        <is>
          <t>[승은 TEST] 스테이포에버</t>
        </is>
      </c>
      <c r="B6845" s="16" t="n">
        <v>44303</v>
      </c>
      <c r="C6845" s="20" t="inlineStr">
        <is>
          <t>토</t>
        </is>
      </c>
      <c r="D6845" s="20">
        <f>VLOOKUP($A6845,매칭테이블!$B$548:$D$1048576,2,0)</f>
        <v/>
      </c>
      <c r="E6845" s="20" t="inlineStr">
        <is>
          <t>고체향수</t>
        </is>
      </c>
      <c r="K6845" s="20" t="n">
        <v>273397</v>
      </c>
    </row>
    <row r="6846">
      <c r="A6846" s="20" t="inlineStr">
        <is>
          <t>[승무원 2] 스테이포에버_카드뉴스</t>
        </is>
      </c>
      <c r="B6846" s="16" t="n">
        <v>44303</v>
      </c>
      <c r="C6846" s="20" t="inlineStr">
        <is>
          <t>토</t>
        </is>
      </c>
      <c r="D6846" s="20" t="inlineStr">
        <is>
          <t>페이스북/인스타그램</t>
        </is>
      </c>
      <c r="E6846" s="20" t="inlineStr">
        <is>
          <t>고체향수</t>
        </is>
      </c>
      <c r="K6846" s="20" t="n">
        <v>57861</v>
      </c>
    </row>
    <row r="6847">
      <c r="A6847" s="20" t="inlineStr">
        <is>
          <t>[테스트]아줌마</t>
        </is>
      </c>
      <c r="B6847" s="16" t="n">
        <v>44303</v>
      </c>
      <c r="C6847" s="20" t="inlineStr">
        <is>
          <t>토</t>
        </is>
      </c>
      <c r="D6847" s="20" t="inlineStr">
        <is>
          <t>페이스북/인스타그램</t>
        </is>
      </c>
      <c r="E6847" s="20" t="inlineStr">
        <is>
          <t>고체향수</t>
        </is>
      </c>
      <c r="K6847" s="20" t="n">
        <v>115151</v>
      </c>
    </row>
    <row r="6848">
      <c r="A6848" s="20" t="inlineStr">
        <is>
          <t>[다양한 키워드] 스테이포에버_이미지</t>
        </is>
      </c>
      <c r="B6848" s="16" t="n">
        <v>44303</v>
      </c>
      <c r="C6848" s="20" t="inlineStr">
        <is>
          <t>토</t>
        </is>
      </c>
      <c r="D6848" s="20" t="inlineStr">
        <is>
          <t>페이스북/인스타그램</t>
        </is>
      </c>
      <c r="E6848" s="20" t="inlineStr">
        <is>
          <t>고체향수</t>
        </is>
      </c>
      <c r="K6848" s="20" t="n">
        <v>258232</v>
      </c>
    </row>
    <row r="6849">
      <c r="A6849" s="20" t="inlineStr">
        <is>
          <t>[재입고]스테이포에버_이미지</t>
        </is>
      </c>
      <c r="B6849" s="16" t="n">
        <v>44303</v>
      </c>
      <c r="C6849" s="20" t="inlineStr">
        <is>
          <t>토</t>
        </is>
      </c>
      <c r="D6849" s="20" t="inlineStr">
        <is>
          <t>페이스북/인스타그램</t>
        </is>
      </c>
      <c r="E6849" s="20" t="inlineStr">
        <is>
          <t>고체향수</t>
        </is>
      </c>
      <c r="K6849" s="20" t="n">
        <v>264823</v>
      </c>
    </row>
    <row r="6850">
      <c r="A6850" s="20" t="inlineStr">
        <is>
          <t>[승무원]숏폼_영상</t>
        </is>
      </c>
      <c r="B6850" s="16" t="n">
        <v>44303</v>
      </c>
      <c r="C6850" s="20" t="inlineStr">
        <is>
          <t>토</t>
        </is>
      </c>
      <c r="D6850" s="20" t="inlineStr">
        <is>
          <t>페이스북/인스타그램</t>
        </is>
      </c>
      <c r="E6850" s="20" t="inlineStr">
        <is>
          <t>고체향수</t>
        </is>
      </c>
      <c r="K6850" s="20" t="n">
        <v>51849</v>
      </c>
    </row>
    <row r="6851">
      <c r="A6851" s="20" t="inlineStr">
        <is>
          <t>[재입고]스테이포에버_영상</t>
        </is>
      </c>
      <c r="B6851" s="16" t="n">
        <v>44303</v>
      </c>
      <c r="C6851" s="20" t="inlineStr">
        <is>
          <t>토</t>
        </is>
      </c>
      <c r="D6851" s="20" t="inlineStr">
        <is>
          <t>페이스북/인스타그램</t>
        </is>
      </c>
      <c r="E6851" s="20" t="inlineStr">
        <is>
          <t>고체향수</t>
        </is>
      </c>
      <c r="K6851" s="20" t="n">
        <v>210071</v>
      </c>
    </row>
    <row r="6852">
      <c r="A6852" s="20" t="inlineStr">
        <is>
          <t>[승무원]2019년썰 카드뉴스+ 향묘사_영상</t>
        </is>
      </c>
      <c r="B6852" s="16" t="n">
        <v>44303</v>
      </c>
      <c r="C6852" s="20" t="inlineStr">
        <is>
          <t>토</t>
        </is>
      </c>
      <c r="D6852" s="20" t="inlineStr">
        <is>
          <t>페이스북/인스타그램</t>
        </is>
      </c>
      <c r="E6852" s="20" t="inlineStr">
        <is>
          <t>고체향수</t>
        </is>
      </c>
      <c r="K6852" s="20" t="n">
        <v>29823</v>
      </c>
    </row>
    <row r="6853">
      <c r="A6853" s="20" t="inlineStr">
        <is>
          <t>[승무원어피]스테이포에버_이미지</t>
        </is>
      </c>
      <c r="B6853" s="16" t="n">
        <v>44303</v>
      </c>
      <c r="C6853" s="20" t="inlineStr">
        <is>
          <t>토</t>
        </is>
      </c>
      <c r="D6853" s="20" t="inlineStr">
        <is>
          <t>페이스북/인스타그램</t>
        </is>
      </c>
      <c r="E6853" s="20" t="inlineStr">
        <is>
          <t>고체향수</t>
        </is>
      </c>
      <c r="K6853" s="20" t="n">
        <v>69180</v>
      </c>
    </row>
    <row r="6854">
      <c r="A6854" s="20" t="inlineStr">
        <is>
          <t>[다현]스테이포에버_이미지</t>
        </is>
      </c>
      <c r="B6854" s="16" t="n">
        <v>44303</v>
      </c>
      <c r="C6854" s="20" t="inlineStr">
        <is>
          <t>토</t>
        </is>
      </c>
      <c r="D6854" s="20" t="inlineStr">
        <is>
          <t>페이스북/인스타그램</t>
        </is>
      </c>
      <c r="E6854" s="20" t="inlineStr">
        <is>
          <t>고체향수</t>
        </is>
      </c>
      <c r="K6854" s="20" t="n">
        <v>157591</v>
      </c>
    </row>
    <row r="6855">
      <c r="A6855" s="20" t="inlineStr">
        <is>
          <t>[승무원]스테이포에버_카드뉴스</t>
        </is>
      </c>
      <c r="B6855" s="16" t="n">
        <v>44303</v>
      </c>
      <c r="C6855" s="20" t="inlineStr">
        <is>
          <t>토</t>
        </is>
      </c>
      <c r="D6855" s="20" t="inlineStr">
        <is>
          <t>페이스북/인스타그램</t>
        </is>
      </c>
      <c r="E6855" s="20" t="inlineStr">
        <is>
          <t>고체향수</t>
        </is>
      </c>
      <c r="K6855" s="20" t="n">
        <v>34949</v>
      </c>
    </row>
    <row r="6856">
      <c r="A6856" s="20" t="inlineStr">
        <is>
          <t>[후기타입]스테이포에버_영상</t>
        </is>
      </c>
      <c r="B6856" s="16" t="n">
        <v>44303</v>
      </c>
      <c r="C6856" s="20" t="inlineStr">
        <is>
          <t>토</t>
        </is>
      </c>
      <c r="D6856" s="20" t="inlineStr">
        <is>
          <t>페이스북/인스타그램</t>
        </is>
      </c>
      <c r="E6856" s="20" t="inlineStr">
        <is>
          <t>고체향수</t>
        </is>
      </c>
      <c r="K6856" s="20" t="n">
        <v>158731</v>
      </c>
    </row>
    <row r="6857">
      <c r="A6857" s="20" t="inlineStr">
        <is>
          <t>전환_스테이포에버</t>
        </is>
      </c>
      <c r="B6857" s="16" t="n">
        <v>44303</v>
      </c>
      <c r="C6857" s="20" t="inlineStr">
        <is>
          <t>토</t>
        </is>
      </c>
      <c r="D6857" s="20" t="inlineStr">
        <is>
          <t>페이스북/인스타그램</t>
        </is>
      </c>
      <c r="E6857" s="20" t="inlineStr">
        <is>
          <t>고체향수</t>
        </is>
      </c>
      <c r="K6857" s="20" t="n">
        <v>73559</v>
      </c>
    </row>
    <row r="6858">
      <c r="A6858" s="20" t="inlineStr">
        <is>
          <t>[권태기커플]스테이포에버_영상</t>
        </is>
      </c>
      <c r="B6858" s="16" t="n">
        <v>44303</v>
      </c>
      <c r="C6858" s="20" t="inlineStr">
        <is>
          <t>토</t>
        </is>
      </c>
      <c r="D6858" s="20" t="inlineStr">
        <is>
          <t>페이스북/인스타그램</t>
        </is>
      </c>
      <c r="E6858" s="20" t="inlineStr">
        <is>
          <t>고체향수</t>
        </is>
      </c>
      <c r="K6858" s="20" t="n">
        <v>30157</v>
      </c>
    </row>
    <row r="6859">
      <c r="A6859" s="20" t="inlineStr">
        <is>
          <t>[승무원]유튜브_스테이포에버_카드뉴스</t>
        </is>
      </c>
      <c r="B6859" s="16" t="n">
        <v>44304</v>
      </c>
      <c r="C6859" s="20" t="inlineStr">
        <is>
          <t>일</t>
        </is>
      </c>
      <c r="D6859" s="20">
        <f>VLOOKUP($A6859,매칭테이블!$B$548:$D$1048576,2,0)</f>
        <v/>
      </c>
      <c r="E6859" s="20" t="inlineStr">
        <is>
          <t>고체향수</t>
        </is>
      </c>
      <c r="K6859" s="20" t="n">
        <v>30077</v>
      </c>
    </row>
    <row r="6860">
      <c r="A6860" s="20" t="inlineStr">
        <is>
          <t>[올리브영] 이그나이트_영상</t>
        </is>
      </c>
      <c r="B6860" s="16" t="n">
        <v>44304</v>
      </c>
      <c r="C6860" s="20" t="inlineStr">
        <is>
          <t>일</t>
        </is>
      </c>
      <c r="D6860" s="20" t="inlineStr">
        <is>
          <t>페이스북/인스타그램</t>
        </is>
      </c>
      <c r="E6860" s="20" t="inlineStr">
        <is>
          <t>고체향수</t>
        </is>
      </c>
      <c r="K6860" s="20" t="n">
        <v>30101</v>
      </c>
    </row>
    <row r="6861">
      <c r="A6861" s="20" t="inlineStr">
        <is>
          <t>[승희 TEST] 스테이포에버_이미지</t>
        </is>
      </c>
      <c r="B6861" s="16" t="n">
        <v>44304</v>
      </c>
      <c r="C6861" s="20" t="inlineStr">
        <is>
          <t>일</t>
        </is>
      </c>
      <c r="D6861" s="20" t="inlineStr">
        <is>
          <t>페이스북/인스타그램</t>
        </is>
      </c>
      <c r="E6861" s="20" t="inlineStr">
        <is>
          <t>고체향수</t>
        </is>
      </c>
      <c r="K6861" s="20" t="n">
        <v>59668</v>
      </c>
    </row>
    <row r="6862">
      <c r="A6862" s="20" t="inlineStr">
        <is>
          <t>[올리브영] 스테이포에버_영상</t>
        </is>
      </c>
      <c r="B6862" s="16" t="n">
        <v>44304</v>
      </c>
      <c r="C6862" s="20" t="inlineStr">
        <is>
          <t>일</t>
        </is>
      </c>
      <c r="D6862" s="20" t="inlineStr">
        <is>
          <t>페이스북/인스타그램</t>
        </is>
      </c>
      <c r="E6862" s="20" t="inlineStr">
        <is>
          <t>고체향수</t>
        </is>
      </c>
      <c r="K6862" s="20" t="n">
        <v>49583</v>
      </c>
    </row>
    <row r="6863">
      <c r="A6863" s="20" t="inlineStr">
        <is>
          <t>[올리브영] 스테이포에버_이미지</t>
        </is>
      </c>
      <c r="B6863" s="16" t="n">
        <v>44304</v>
      </c>
      <c r="C6863" s="20" t="inlineStr">
        <is>
          <t>일</t>
        </is>
      </c>
      <c r="D6863" s="20" t="inlineStr">
        <is>
          <t>페이스북/인스타그램</t>
        </is>
      </c>
      <c r="E6863" s="20" t="inlineStr">
        <is>
          <t>고체향수</t>
        </is>
      </c>
      <c r="K6863" s="20" t="n">
        <v>30028</v>
      </c>
    </row>
    <row r="6864">
      <c r="A6864" s="20" t="inlineStr">
        <is>
          <t>[승무원] 유튜브재편집_스테이포에버_영상</t>
        </is>
      </c>
      <c r="B6864" s="16" t="n">
        <v>44304</v>
      </c>
      <c r="C6864" s="20" t="inlineStr">
        <is>
          <t>일</t>
        </is>
      </c>
      <c r="D6864" s="20" t="inlineStr">
        <is>
          <t>페이스북/인스타그램</t>
        </is>
      </c>
      <c r="E6864" s="20" t="inlineStr">
        <is>
          <t>고체향수</t>
        </is>
      </c>
      <c r="K6864" s="20" t="n">
        <v>316823</v>
      </c>
    </row>
    <row r="6865">
      <c r="A6865" s="20" t="inlineStr">
        <is>
          <t>[다현 TEST] 스테이포에버_유즈모먼트</t>
        </is>
      </c>
      <c r="B6865" s="16" t="n">
        <v>44304</v>
      </c>
      <c r="C6865" s="20" t="inlineStr">
        <is>
          <t>일</t>
        </is>
      </c>
      <c r="D6865" s="20" t="inlineStr">
        <is>
          <t>페이스북/인스타그램</t>
        </is>
      </c>
      <c r="E6865" s="20" t="inlineStr">
        <is>
          <t>고체향수</t>
        </is>
      </c>
      <c r="K6865" s="20" t="n">
        <v>50291</v>
      </c>
    </row>
    <row r="6866">
      <c r="A6866" s="20" t="inlineStr">
        <is>
          <t>[승무원 면세점] 스테이포에버_카드뉴스</t>
        </is>
      </c>
      <c r="B6866" s="16" t="n">
        <v>44304</v>
      </c>
      <c r="C6866" s="20" t="inlineStr">
        <is>
          <t>일</t>
        </is>
      </c>
      <c r="D6866" s="20">
        <f>VLOOKUP($A6866,매칭테이블!$B$548:$D$1048576,2,0)</f>
        <v/>
      </c>
      <c r="E6866" s="20" t="inlineStr">
        <is>
          <t>고체향수</t>
        </is>
      </c>
      <c r="K6866" s="20" t="n">
        <v>300116</v>
      </c>
    </row>
    <row r="6867">
      <c r="A6867" s="20" t="inlineStr">
        <is>
          <t>[승은 TEST] 스테이포에버</t>
        </is>
      </c>
      <c r="B6867" s="16" t="n">
        <v>44304</v>
      </c>
      <c r="C6867" s="20" t="inlineStr">
        <is>
          <t>일</t>
        </is>
      </c>
      <c r="D6867" s="20">
        <f>VLOOKUP($A6867,매칭테이블!$B$548:$D$1048576,2,0)</f>
        <v/>
      </c>
      <c r="E6867" s="20" t="inlineStr">
        <is>
          <t>고체향수</t>
        </is>
      </c>
      <c r="K6867" s="20" t="n">
        <v>280894</v>
      </c>
    </row>
    <row r="6868">
      <c r="A6868" s="20" t="inlineStr">
        <is>
          <t>[승무원 2] 스테이포에버_카드뉴스</t>
        </is>
      </c>
      <c r="B6868" s="16" t="n">
        <v>44304</v>
      </c>
      <c r="C6868" s="20" t="inlineStr">
        <is>
          <t>일</t>
        </is>
      </c>
      <c r="D6868" s="20" t="inlineStr">
        <is>
          <t>페이스북/인스타그램</t>
        </is>
      </c>
      <c r="E6868" s="20" t="inlineStr">
        <is>
          <t>고체향수</t>
        </is>
      </c>
      <c r="K6868" s="20" t="n">
        <v>50054</v>
      </c>
    </row>
    <row r="6869">
      <c r="A6869" s="20" t="inlineStr">
        <is>
          <t>[테스트]아줌마</t>
        </is>
      </c>
      <c r="B6869" s="16" t="n">
        <v>44304</v>
      </c>
      <c r="C6869" s="20" t="inlineStr">
        <is>
          <t>일</t>
        </is>
      </c>
      <c r="D6869" s="20" t="inlineStr">
        <is>
          <t>페이스북/인스타그램</t>
        </is>
      </c>
      <c r="E6869" s="20" t="inlineStr">
        <is>
          <t>고체향수</t>
        </is>
      </c>
      <c r="K6869" s="20" t="n">
        <v>110878</v>
      </c>
    </row>
    <row r="6870">
      <c r="A6870" s="20" t="inlineStr">
        <is>
          <t>[다양한 키워드] 스테이포에버_이미지</t>
        </is>
      </c>
      <c r="B6870" s="16" t="n">
        <v>44304</v>
      </c>
      <c r="C6870" s="20" t="inlineStr">
        <is>
          <t>일</t>
        </is>
      </c>
      <c r="D6870" s="20" t="inlineStr">
        <is>
          <t>페이스북/인스타그램</t>
        </is>
      </c>
      <c r="E6870" s="20" t="inlineStr">
        <is>
          <t>고체향수</t>
        </is>
      </c>
      <c r="K6870" s="20" t="n">
        <v>250421</v>
      </c>
    </row>
    <row r="6871">
      <c r="A6871" s="20" t="inlineStr">
        <is>
          <t>[재입고]스테이포에버_이미지</t>
        </is>
      </c>
      <c r="B6871" s="16" t="n">
        <v>44304</v>
      </c>
      <c r="C6871" s="20" t="inlineStr">
        <is>
          <t>일</t>
        </is>
      </c>
      <c r="D6871" s="20" t="inlineStr">
        <is>
          <t>페이스북/인스타그램</t>
        </is>
      </c>
      <c r="E6871" s="20" t="inlineStr">
        <is>
          <t>고체향수</t>
        </is>
      </c>
      <c r="K6871" s="20" t="n">
        <v>250267</v>
      </c>
    </row>
    <row r="6872">
      <c r="A6872" s="20" t="inlineStr">
        <is>
          <t>[승무원]숏폼_영상</t>
        </is>
      </c>
      <c r="B6872" s="16" t="n">
        <v>44304</v>
      </c>
      <c r="C6872" s="20" t="inlineStr">
        <is>
          <t>일</t>
        </is>
      </c>
      <c r="D6872" s="20" t="inlineStr">
        <is>
          <t>페이스북/인스타그램</t>
        </is>
      </c>
      <c r="E6872" s="20" t="inlineStr">
        <is>
          <t>고체향수</t>
        </is>
      </c>
      <c r="K6872" s="20" t="n">
        <v>49721</v>
      </c>
    </row>
    <row r="6873">
      <c r="A6873" s="20" t="inlineStr">
        <is>
          <t>[재입고]스테이포에버_영상</t>
        </is>
      </c>
      <c r="B6873" s="16" t="n">
        <v>44304</v>
      </c>
      <c r="C6873" s="20" t="inlineStr">
        <is>
          <t>일</t>
        </is>
      </c>
      <c r="D6873" s="20" t="inlineStr">
        <is>
          <t>페이스북/인스타그램</t>
        </is>
      </c>
      <c r="E6873" s="20" t="inlineStr">
        <is>
          <t>고체향수</t>
        </is>
      </c>
      <c r="K6873" s="20" t="n">
        <v>199967</v>
      </c>
    </row>
    <row r="6874">
      <c r="A6874" s="20" t="inlineStr">
        <is>
          <t>[승무원]2019년썰 카드뉴스+ 향묘사_영상</t>
        </is>
      </c>
      <c r="B6874" s="16" t="n">
        <v>44304</v>
      </c>
      <c r="C6874" s="20" t="inlineStr">
        <is>
          <t>일</t>
        </is>
      </c>
      <c r="D6874" s="20" t="inlineStr">
        <is>
          <t>페이스북/인스타그램</t>
        </is>
      </c>
      <c r="E6874" s="20" t="inlineStr">
        <is>
          <t>고체향수</t>
        </is>
      </c>
      <c r="K6874" s="20" t="n">
        <v>30076</v>
      </c>
    </row>
    <row r="6875">
      <c r="A6875" s="20" t="inlineStr">
        <is>
          <t>[승무원어피]스테이포에버_이미지</t>
        </is>
      </c>
      <c r="B6875" s="16" t="n">
        <v>44304</v>
      </c>
      <c r="C6875" s="20" t="inlineStr">
        <is>
          <t>일</t>
        </is>
      </c>
      <c r="D6875" s="20" t="inlineStr">
        <is>
          <t>페이스북/인스타그램</t>
        </is>
      </c>
      <c r="E6875" s="20" t="inlineStr">
        <is>
          <t>고체향수</t>
        </is>
      </c>
      <c r="K6875" s="20" t="n">
        <v>70176</v>
      </c>
    </row>
    <row r="6876">
      <c r="A6876" s="20" t="inlineStr">
        <is>
          <t>[다현]스테이포에버_이미지</t>
        </is>
      </c>
      <c r="B6876" s="16" t="n">
        <v>44304</v>
      </c>
      <c r="C6876" s="20" t="inlineStr">
        <is>
          <t>일</t>
        </is>
      </c>
      <c r="D6876" s="20" t="inlineStr">
        <is>
          <t>페이스북/인스타그램</t>
        </is>
      </c>
      <c r="E6876" s="20" t="inlineStr">
        <is>
          <t>고체향수</t>
        </is>
      </c>
      <c r="K6876" s="20" t="n">
        <v>151178</v>
      </c>
    </row>
    <row r="6877">
      <c r="A6877" s="20" t="inlineStr">
        <is>
          <t>[승무원]스테이포에버_카드뉴스</t>
        </is>
      </c>
      <c r="B6877" s="16" t="n">
        <v>44304</v>
      </c>
      <c r="C6877" s="20" t="inlineStr">
        <is>
          <t>일</t>
        </is>
      </c>
      <c r="D6877" s="20" t="inlineStr">
        <is>
          <t>페이스북/인스타그램</t>
        </is>
      </c>
      <c r="E6877" s="20" t="inlineStr">
        <is>
          <t>고체향수</t>
        </is>
      </c>
      <c r="K6877" s="20" t="n">
        <v>30012</v>
      </c>
    </row>
    <row r="6878">
      <c r="A6878" s="20" t="inlineStr">
        <is>
          <t>[후기타입]스테이포에버_영상</t>
        </is>
      </c>
      <c r="B6878" s="16" t="n">
        <v>44304</v>
      </c>
      <c r="C6878" s="20" t="inlineStr">
        <is>
          <t>일</t>
        </is>
      </c>
      <c r="D6878" s="20" t="inlineStr">
        <is>
          <t>페이스북/인스타그램</t>
        </is>
      </c>
      <c r="E6878" s="20" t="inlineStr">
        <is>
          <t>고체향수</t>
        </is>
      </c>
      <c r="K6878" s="20" t="n">
        <v>150517</v>
      </c>
    </row>
    <row r="6879">
      <c r="A6879" s="20" t="inlineStr">
        <is>
          <t>전환_스테이포에버</t>
        </is>
      </c>
      <c r="B6879" s="16" t="n">
        <v>44304</v>
      </c>
      <c r="C6879" s="20" t="inlineStr">
        <is>
          <t>일</t>
        </is>
      </c>
      <c r="D6879" s="20" t="inlineStr">
        <is>
          <t>페이스북/인스타그램</t>
        </is>
      </c>
      <c r="E6879" s="20" t="inlineStr">
        <is>
          <t>고체향수</t>
        </is>
      </c>
      <c r="K6879" s="20" t="n">
        <v>69868</v>
      </c>
    </row>
    <row r="6880">
      <c r="A6880" s="20" t="inlineStr">
        <is>
          <t>[권태기커플]스테이포에버_영상</t>
        </is>
      </c>
      <c r="B6880" s="16" t="n">
        <v>44304</v>
      </c>
      <c r="C6880" s="20" t="inlineStr">
        <is>
          <t>일</t>
        </is>
      </c>
      <c r="D6880" s="20" t="inlineStr">
        <is>
          <t>페이스북/인스타그램</t>
        </is>
      </c>
      <c r="E6880" s="20" t="inlineStr">
        <is>
          <t>고체향수</t>
        </is>
      </c>
      <c r="K6880" s="20" t="n">
        <v>30037</v>
      </c>
    </row>
    <row r="6881">
      <c r="A6881" s="20" t="inlineStr">
        <is>
          <t>웹사이트 트래픽 서치</t>
        </is>
      </c>
      <c r="B6881" s="16" t="n">
        <v>44302</v>
      </c>
      <c r="C6881" s="20" t="inlineStr">
        <is>
          <t>금</t>
        </is>
      </c>
      <c r="D6881" s="20" t="inlineStr">
        <is>
          <t>유튜브 광고</t>
        </is>
      </c>
      <c r="E6881" s="20" t="inlineStr">
        <is>
          <t>고체향수</t>
        </is>
      </c>
      <c r="K6881" s="20" t="n">
        <v>48568</v>
      </c>
    </row>
    <row r="6882">
      <c r="A6882" s="20" t="inlineStr">
        <is>
          <t>동영상캠페인_승무원_보이는 라디오(cpa)</t>
        </is>
      </c>
      <c r="B6882" s="16" t="n">
        <v>44302</v>
      </c>
      <c r="C6882" s="20" t="inlineStr">
        <is>
          <t>금</t>
        </is>
      </c>
      <c r="D6882" s="20" t="inlineStr">
        <is>
          <t>유튜브 광고</t>
        </is>
      </c>
      <c r="E6882" s="20" t="inlineStr">
        <is>
          <t>고체향수</t>
        </is>
      </c>
      <c r="K6882" s="20" t="n">
        <v>10380</v>
      </c>
    </row>
    <row r="6883">
      <c r="A6883" s="20" t="inlineStr">
        <is>
          <t>디스커버리 배너_승무원,할인_리마케팅</t>
        </is>
      </c>
      <c r="B6883" s="16" t="n">
        <v>44302</v>
      </c>
      <c r="C6883" s="20" t="inlineStr">
        <is>
          <t>금</t>
        </is>
      </c>
      <c r="D6883" s="20" t="inlineStr">
        <is>
          <t>유튜브 광고</t>
        </is>
      </c>
      <c r="E6883" s="20" t="inlineStr">
        <is>
          <t>고체향수</t>
        </is>
      </c>
      <c r="K6883" s="20" t="n">
        <v>518974</v>
      </c>
    </row>
    <row r="6884">
      <c r="A6884" s="20" t="inlineStr">
        <is>
          <t>동영상캠페인_승무원_써니스카이</t>
        </is>
      </c>
      <c r="B6884" s="16" t="n">
        <v>44302</v>
      </c>
      <c r="C6884" s="20" t="inlineStr">
        <is>
          <t>금</t>
        </is>
      </c>
      <c r="D6884" s="20" t="inlineStr">
        <is>
          <t>유튜브 광고</t>
        </is>
      </c>
      <c r="E6884" s="20" t="inlineStr">
        <is>
          <t>고체향수</t>
        </is>
      </c>
      <c r="K6884" s="20" t="n">
        <v>102657</v>
      </c>
    </row>
    <row r="6885">
      <c r="A6885" s="20" t="inlineStr">
        <is>
          <t>동영상캠페인_필라테스_자기관리(타겟 cpa)</t>
        </is>
      </c>
      <c r="B6885" s="16" t="n">
        <v>44302</v>
      </c>
      <c r="C6885" s="20" t="inlineStr">
        <is>
          <t>금</t>
        </is>
      </c>
      <c r="D6885" s="20" t="inlineStr">
        <is>
          <t>유튜브 광고</t>
        </is>
      </c>
      <c r="E6885" s="20" t="inlineStr">
        <is>
          <t>고체향수</t>
        </is>
      </c>
      <c r="K6885" s="20" t="n">
        <v>106695</v>
      </c>
    </row>
    <row r="6886">
      <c r="A6886" s="20" t="inlineStr">
        <is>
          <t>동영상캠페인_승무원_비누향 나는 승무원에게(cpa)</t>
        </is>
      </c>
      <c r="B6886" s="16" t="n">
        <v>44302</v>
      </c>
      <c r="C6886" s="20" t="inlineStr">
        <is>
          <t>금</t>
        </is>
      </c>
      <c r="D6886" s="20" t="inlineStr">
        <is>
          <t>유튜브 광고</t>
        </is>
      </c>
      <c r="E6886" s="20" t="inlineStr">
        <is>
          <t>고체향수</t>
        </is>
      </c>
      <c r="K6886" s="20" t="n">
        <v>8270</v>
      </c>
    </row>
    <row r="6887">
      <c r="A6887" s="20" t="inlineStr">
        <is>
          <t>동영상캠페인_유즈모먼트_조향사 친구(cpa)</t>
        </is>
      </c>
      <c r="B6887" s="16" t="n">
        <v>44302</v>
      </c>
      <c r="C6887" s="20" t="inlineStr">
        <is>
          <t>금</t>
        </is>
      </c>
      <c r="D6887" s="20" t="inlineStr">
        <is>
          <t>유튜브 광고</t>
        </is>
      </c>
      <c r="E6887" s="20" t="inlineStr">
        <is>
          <t>고체향수</t>
        </is>
      </c>
      <c r="K6887" s="20" t="n">
        <v>147987</v>
      </c>
    </row>
    <row r="6888">
      <c r="A6888" s="20" t="inlineStr">
        <is>
          <t>동영상 캠페인_유튜버 수지큐 2차활용_리마케팅</t>
        </is>
      </c>
      <c r="B6888" s="16" t="n">
        <v>44302</v>
      </c>
      <c r="C6888" s="20" t="inlineStr">
        <is>
          <t>금</t>
        </is>
      </c>
      <c r="D6888" s="20" t="inlineStr">
        <is>
          <t>유튜브 광고</t>
        </is>
      </c>
      <c r="E6888" s="20" t="inlineStr">
        <is>
          <t>고체향수</t>
        </is>
      </c>
      <c r="K6888" s="20" t="n">
        <v>71729</v>
      </c>
    </row>
    <row r="6889">
      <c r="A6889" s="20" t="inlineStr">
        <is>
          <t>동영상캠페인_유즈모먼트_4화_강한향대신</t>
        </is>
      </c>
      <c r="B6889" s="16" t="n">
        <v>44302</v>
      </c>
      <c r="C6889" s="20" t="inlineStr">
        <is>
          <t>금</t>
        </is>
      </c>
      <c r="D6889" s="20" t="inlineStr">
        <is>
          <t>유튜브 광고</t>
        </is>
      </c>
      <c r="E6889" s="20" t="inlineStr">
        <is>
          <t>고체향수</t>
        </is>
      </c>
      <c r="K6889" s="20" t="n">
        <v>35027</v>
      </c>
    </row>
    <row r="6890">
      <c r="A6890" s="20" t="inlineStr">
        <is>
          <t>[5화자] 동영상 캠페인_벨라의 비행일기</t>
        </is>
      </c>
      <c r="B6890" s="16" t="n">
        <v>44302</v>
      </c>
      <c r="C6890" s="20" t="inlineStr">
        <is>
          <t>금</t>
        </is>
      </c>
      <c r="D6890" s="20" t="inlineStr">
        <is>
          <t>유튜브 광고</t>
        </is>
      </c>
      <c r="E6890" s="20" t="inlineStr">
        <is>
          <t>고체향수</t>
        </is>
      </c>
      <c r="K6890" s="20" t="n">
        <v>410097</v>
      </c>
    </row>
    <row r="6891">
      <c r="A6891" s="20" t="inlineStr">
        <is>
          <t>[5화자] 동영상 캠페인_비행하고 여행하는 은선씨</t>
        </is>
      </c>
      <c r="B6891" s="16" t="n">
        <v>44302</v>
      </c>
      <c r="C6891" s="20" t="inlineStr">
        <is>
          <t>금</t>
        </is>
      </c>
      <c r="D6891" s="20" t="inlineStr">
        <is>
          <t>유튜브 광고</t>
        </is>
      </c>
      <c r="E6891" s="20" t="inlineStr">
        <is>
          <t>고체향수</t>
        </is>
      </c>
      <c r="K6891" s="20" t="n">
        <v>409991</v>
      </c>
    </row>
    <row r="6892">
      <c r="A6892" s="20" t="inlineStr">
        <is>
          <t>[5화자 재편집] 승무원_벨라_면세점에서 천만원</t>
        </is>
      </c>
      <c r="B6892" s="16" t="n">
        <v>44302</v>
      </c>
      <c r="C6892" s="20" t="inlineStr">
        <is>
          <t>금</t>
        </is>
      </c>
      <c r="D6892" s="20" t="inlineStr">
        <is>
          <t>유튜브 광고</t>
        </is>
      </c>
      <c r="E6892" s="20" t="inlineStr">
        <is>
          <t>고체향수</t>
        </is>
      </c>
      <c r="K6892" s="20" t="n">
        <v>307533</v>
      </c>
    </row>
    <row r="6893">
      <c r="A6893" s="20" t="inlineStr">
        <is>
          <t>동영상캠페인_유즈모먼트_면세점뒤졌는데</t>
        </is>
      </c>
      <c r="B6893" s="16" t="n">
        <v>44302</v>
      </c>
      <c r="C6893" s="20" t="inlineStr">
        <is>
          <t>금</t>
        </is>
      </c>
      <c r="D6893" s="20" t="inlineStr">
        <is>
          <t>유튜브 광고</t>
        </is>
      </c>
      <c r="E6893" s="20" t="inlineStr">
        <is>
          <t>고체향수</t>
        </is>
      </c>
      <c r="K6893" s="20" t="n">
        <v>309359</v>
      </c>
    </row>
    <row r="6894">
      <c r="A6894" s="20" t="inlineStr">
        <is>
          <t>웹사이트 트래픽 서치</t>
        </is>
      </c>
      <c r="B6894" s="16" t="n">
        <v>44303</v>
      </c>
      <c r="C6894" s="20" t="inlineStr">
        <is>
          <t>토</t>
        </is>
      </c>
      <c r="D6894" s="20" t="inlineStr">
        <is>
          <t>유튜브 광고</t>
        </is>
      </c>
      <c r="E6894" s="20" t="inlineStr">
        <is>
          <t>고체향수</t>
        </is>
      </c>
      <c r="K6894" s="20" t="n">
        <v>31238</v>
      </c>
    </row>
    <row r="6895">
      <c r="A6895" s="20" t="inlineStr">
        <is>
          <t>동영상캠페인_승무원_보이는 라디오(cpa)</t>
        </is>
      </c>
      <c r="B6895" s="16" t="n">
        <v>44303</v>
      </c>
      <c r="C6895" s="20" t="inlineStr">
        <is>
          <t>토</t>
        </is>
      </c>
      <c r="D6895" s="20" t="inlineStr">
        <is>
          <t>유튜브 광고</t>
        </is>
      </c>
      <c r="E6895" s="20" t="inlineStr">
        <is>
          <t>고체향수</t>
        </is>
      </c>
      <c r="K6895" s="20" t="n">
        <v>8095</v>
      </c>
    </row>
    <row r="6896">
      <c r="A6896" s="20" t="inlineStr">
        <is>
          <t>디스커버리 배너_승무원,할인_리마케팅</t>
        </is>
      </c>
      <c r="B6896" s="16" t="n">
        <v>44303</v>
      </c>
      <c r="C6896" s="20" t="inlineStr">
        <is>
          <t>토</t>
        </is>
      </c>
      <c r="D6896" s="20" t="inlineStr">
        <is>
          <t>유튜브 광고</t>
        </is>
      </c>
      <c r="E6896" s="20" t="inlineStr">
        <is>
          <t>고체향수</t>
        </is>
      </c>
      <c r="K6896" s="20" t="n">
        <v>458167</v>
      </c>
    </row>
    <row r="6897">
      <c r="A6897" s="20" t="inlineStr">
        <is>
          <t>동영상캠페인_승무원_써니스카이</t>
        </is>
      </c>
      <c r="B6897" s="16" t="n">
        <v>44303</v>
      </c>
      <c r="C6897" s="20" t="inlineStr">
        <is>
          <t>토</t>
        </is>
      </c>
      <c r="D6897" s="20" t="inlineStr">
        <is>
          <t>유튜브 광고</t>
        </is>
      </c>
      <c r="E6897" s="20" t="inlineStr">
        <is>
          <t>고체향수</t>
        </is>
      </c>
      <c r="K6897" s="20" t="n">
        <v>99682</v>
      </c>
    </row>
    <row r="6898">
      <c r="A6898" s="20" t="inlineStr">
        <is>
          <t>동영상캠페인_필라테스_자기관리(타겟 cpa)</t>
        </is>
      </c>
      <c r="B6898" s="16" t="n">
        <v>44303</v>
      </c>
      <c r="C6898" s="20" t="inlineStr">
        <is>
          <t>토</t>
        </is>
      </c>
      <c r="D6898" s="20" t="inlineStr">
        <is>
          <t>유튜브 광고</t>
        </is>
      </c>
      <c r="E6898" s="20" t="inlineStr">
        <is>
          <t>고체향수</t>
        </is>
      </c>
      <c r="K6898" s="20" t="n">
        <v>100007</v>
      </c>
    </row>
    <row r="6899">
      <c r="A6899" s="20" t="inlineStr">
        <is>
          <t>동영상캠페인_승무원_비누향 나는 승무원에게(cpa)</t>
        </is>
      </c>
      <c r="B6899" s="16" t="n">
        <v>44303</v>
      </c>
      <c r="C6899" s="20" t="inlineStr">
        <is>
          <t>토</t>
        </is>
      </c>
      <c r="D6899" s="20" t="inlineStr">
        <is>
          <t>유튜브 광고</t>
        </is>
      </c>
      <c r="E6899" s="20" t="inlineStr">
        <is>
          <t>고체향수</t>
        </is>
      </c>
      <c r="K6899" s="20" t="n">
        <v>6512</v>
      </c>
    </row>
    <row r="6900">
      <c r="A6900" s="20" t="inlineStr">
        <is>
          <t>동영상캠페인_유즈모먼트_조향사 친구(cpa)</t>
        </is>
      </c>
      <c r="B6900" s="16" t="n">
        <v>44303</v>
      </c>
      <c r="C6900" s="20" t="inlineStr">
        <is>
          <t>토</t>
        </is>
      </c>
      <c r="D6900" s="20" t="inlineStr">
        <is>
          <t>유튜브 광고</t>
        </is>
      </c>
      <c r="E6900" s="20" t="inlineStr">
        <is>
          <t>고체향수</t>
        </is>
      </c>
      <c r="K6900" s="20" t="n">
        <v>154700</v>
      </c>
    </row>
    <row r="6901">
      <c r="A6901" s="20" t="inlineStr">
        <is>
          <t>동영상 캠페인_유튜버 수지큐 2차활용_리마케팅</t>
        </is>
      </c>
      <c r="B6901" s="16" t="n">
        <v>44303</v>
      </c>
      <c r="C6901" s="20" t="inlineStr">
        <is>
          <t>토</t>
        </is>
      </c>
      <c r="D6901" s="20" t="inlineStr">
        <is>
          <t>유튜브 광고</t>
        </is>
      </c>
      <c r="E6901" s="20" t="inlineStr">
        <is>
          <t>고체향수</t>
        </is>
      </c>
      <c r="K6901" s="20" t="n">
        <v>69673</v>
      </c>
    </row>
    <row r="6902">
      <c r="A6902" s="20" t="inlineStr">
        <is>
          <t>[5화자] 동영상 캠페인_벨라의 비행일기</t>
        </is>
      </c>
      <c r="B6902" s="16" t="n">
        <v>44303</v>
      </c>
      <c r="C6902" s="20" t="inlineStr">
        <is>
          <t>토</t>
        </is>
      </c>
      <c r="D6902" s="20" t="inlineStr">
        <is>
          <t>유튜브 광고</t>
        </is>
      </c>
      <c r="E6902" s="20" t="inlineStr">
        <is>
          <t>고체향수</t>
        </is>
      </c>
      <c r="K6902" s="20" t="n">
        <v>398606</v>
      </c>
    </row>
    <row r="6903">
      <c r="A6903" s="20" t="inlineStr">
        <is>
          <t>[5화자] 동영상 캠페인_비행하고 여행하는 은선씨</t>
        </is>
      </c>
      <c r="B6903" s="16" t="n">
        <v>44303</v>
      </c>
      <c r="C6903" s="20" t="inlineStr">
        <is>
          <t>토</t>
        </is>
      </c>
      <c r="D6903" s="20" t="inlineStr">
        <is>
          <t>유튜브 광고</t>
        </is>
      </c>
      <c r="E6903" s="20" t="inlineStr">
        <is>
          <t>고체향수</t>
        </is>
      </c>
      <c r="K6903" s="20" t="n">
        <v>398179</v>
      </c>
    </row>
    <row r="6904">
      <c r="A6904" s="20" t="inlineStr">
        <is>
          <t>[5화자 재편집] 승무원_벨라_면세점에서 천만원</t>
        </is>
      </c>
      <c r="B6904" s="16" t="n">
        <v>44303</v>
      </c>
      <c r="C6904" s="20" t="inlineStr">
        <is>
          <t>토</t>
        </is>
      </c>
      <c r="D6904" s="20" t="inlineStr">
        <is>
          <t>유튜브 광고</t>
        </is>
      </c>
      <c r="E6904" s="20" t="inlineStr">
        <is>
          <t>고체향수</t>
        </is>
      </c>
      <c r="K6904" s="20" t="n">
        <v>298626</v>
      </c>
    </row>
    <row r="6905">
      <c r="A6905" s="20" t="inlineStr">
        <is>
          <t>동영상캠페인_유즈모먼트_면세점뒤졌는데</t>
        </is>
      </c>
      <c r="B6905" s="16" t="n">
        <v>44303</v>
      </c>
      <c r="C6905" s="20" t="inlineStr">
        <is>
          <t>토</t>
        </is>
      </c>
      <c r="D6905" s="20" t="inlineStr">
        <is>
          <t>유튜브 광고</t>
        </is>
      </c>
      <c r="E6905" s="20" t="inlineStr">
        <is>
          <t>고체향수</t>
        </is>
      </c>
      <c r="K6905" s="20" t="n">
        <v>299337</v>
      </c>
    </row>
    <row r="6906">
      <c r="A6906" s="20" t="inlineStr">
        <is>
          <t>웹사이트 트래픽 서치</t>
        </is>
      </c>
      <c r="B6906" s="16" t="n">
        <v>44304</v>
      </c>
      <c r="C6906" s="20" t="inlineStr">
        <is>
          <t>일</t>
        </is>
      </c>
      <c r="D6906" s="20" t="inlineStr">
        <is>
          <t>유튜브 광고</t>
        </is>
      </c>
      <c r="E6906" s="20" t="inlineStr">
        <is>
          <t>고체향수</t>
        </is>
      </c>
      <c r="K6906" s="20" t="n">
        <v>42163</v>
      </c>
    </row>
    <row r="6907">
      <c r="A6907" s="20" t="inlineStr">
        <is>
          <t>동영상캠페인_승무원_보이는 라디오(cpa)</t>
        </is>
      </c>
      <c r="B6907" s="16" t="n">
        <v>44304</v>
      </c>
      <c r="C6907" s="20" t="inlineStr">
        <is>
          <t>일</t>
        </is>
      </c>
      <c r="D6907" s="20" t="inlineStr">
        <is>
          <t>유튜브 광고</t>
        </is>
      </c>
      <c r="E6907" s="20" t="inlineStr">
        <is>
          <t>고체향수</t>
        </is>
      </c>
      <c r="K6907" s="20" t="n">
        <v>9096</v>
      </c>
    </row>
    <row r="6908">
      <c r="A6908" s="20" t="inlineStr">
        <is>
          <t>디스커버리 배너_승무원,할인_리마케팅</t>
        </is>
      </c>
      <c r="B6908" s="16" t="n">
        <v>44304</v>
      </c>
      <c r="C6908" s="20" t="inlineStr">
        <is>
          <t>일</t>
        </is>
      </c>
      <c r="D6908" s="20" t="inlineStr">
        <is>
          <t>유튜브 광고</t>
        </is>
      </c>
      <c r="E6908" s="20" t="inlineStr">
        <is>
          <t>고체향수</t>
        </is>
      </c>
      <c r="K6908" s="20" t="n">
        <v>436735</v>
      </c>
    </row>
    <row r="6909">
      <c r="A6909" s="20" t="inlineStr">
        <is>
          <t>동영상캠페인_승무원_써니스카이</t>
        </is>
      </c>
      <c r="B6909" s="16" t="n">
        <v>44304</v>
      </c>
      <c r="C6909" s="20" t="inlineStr">
        <is>
          <t>일</t>
        </is>
      </c>
      <c r="D6909" s="20" t="inlineStr">
        <is>
          <t>유튜브 광고</t>
        </is>
      </c>
      <c r="E6909" s="20" t="inlineStr">
        <is>
          <t>고체향수</t>
        </is>
      </c>
      <c r="K6909" s="20" t="n">
        <v>98916</v>
      </c>
    </row>
    <row r="6910">
      <c r="A6910" s="20" t="inlineStr">
        <is>
          <t>동영상캠페인_필라테스_자기관리(타겟 cpa)</t>
        </is>
      </c>
      <c r="B6910" s="16" t="n">
        <v>44304</v>
      </c>
      <c r="C6910" s="20" t="inlineStr">
        <is>
          <t>일</t>
        </is>
      </c>
      <c r="D6910" s="20" t="inlineStr">
        <is>
          <t>유튜브 광고</t>
        </is>
      </c>
      <c r="E6910" s="20" t="inlineStr">
        <is>
          <t>고체향수</t>
        </is>
      </c>
      <c r="K6910" s="20" t="n">
        <v>99635</v>
      </c>
    </row>
    <row r="6911">
      <c r="A6911" s="20" t="inlineStr">
        <is>
          <t>동영상캠페인_승무원_비누향 나는 승무원에게(cpa)</t>
        </is>
      </c>
      <c r="B6911" s="16" t="n">
        <v>44304</v>
      </c>
      <c r="C6911" s="20" t="inlineStr">
        <is>
          <t>일</t>
        </is>
      </c>
      <c r="D6911" s="20" t="inlineStr">
        <is>
          <t>유튜브 광고</t>
        </is>
      </c>
      <c r="E6911" s="20" t="inlineStr">
        <is>
          <t>고체향수</t>
        </is>
      </c>
      <c r="K6911" s="20" t="n">
        <v>11083</v>
      </c>
    </row>
    <row r="6912">
      <c r="A6912" s="20" t="inlineStr">
        <is>
          <t>동영상캠페인_유즈모먼트_조향사 친구(cpa)</t>
        </is>
      </c>
      <c r="B6912" s="16" t="n">
        <v>44304</v>
      </c>
      <c r="C6912" s="20" t="inlineStr">
        <is>
          <t>일</t>
        </is>
      </c>
      <c r="D6912" s="20" t="inlineStr">
        <is>
          <t>유튜브 광고</t>
        </is>
      </c>
      <c r="E6912" s="20" t="inlineStr">
        <is>
          <t>고체향수</t>
        </is>
      </c>
      <c r="K6912" s="20" t="n">
        <v>161564</v>
      </c>
    </row>
    <row r="6913">
      <c r="A6913" s="20" t="inlineStr">
        <is>
          <t>동영상 캠페인_유튜버 수지큐 2차활용_리마케팅</t>
        </is>
      </c>
      <c r="B6913" s="16" t="n">
        <v>44304</v>
      </c>
      <c r="C6913" s="20" t="inlineStr">
        <is>
          <t>일</t>
        </is>
      </c>
      <c r="D6913" s="20" t="inlineStr">
        <is>
          <t>유튜브 광고</t>
        </is>
      </c>
      <c r="E6913" s="20" t="inlineStr">
        <is>
          <t>고체향수</t>
        </is>
      </c>
      <c r="K6913" s="20" t="n">
        <v>69737</v>
      </c>
    </row>
    <row r="6914">
      <c r="A6914" s="20" t="inlineStr">
        <is>
          <t>[5화자] 동영상 캠페인_벨라의 비행일기</t>
        </is>
      </c>
      <c r="B6914" s="16" t="n">
        <v>44304</v>
      </c>
      <c r="C6914" s="20" t="inlineStr">
        <is>
          <t>일</t>
        </is>
      </c>
      <c r="D6914" s="20" t="inlineStr">
        <is>
          <t>유튜브 광고</t>
        </is>
      </c>
      <c r="E6914" s="20" t="inlineStr">
        <is>
          <t>고체향수</t>
        </is>
      </c>
      <c r="K6914" s="20" t="n">
        <v>398091</v>
      </c>
    </row>
    <row r="6915">
      <c r="A6915" s="20" t="inlineStr">
        <is>
          <t>[5화자] 동영상 캠페인_비행하고 여행하는 은선씨</t>
        </is>
      </c>
      <c r="B6915" s="16" t="n">
        <v>44304</v>
      </c>
      <c r="C6915" s="20" t="inlineStr">
        <is>
          <t>일</t>
        </is>
      </c>
      <c r="D6915" s="20" t="inlineStr">
        <is>
          <t>유튜브 광고</t>
        </is>
      </c>
      <c r="E6915" s="20" t="inlineStr">
        <is>
          <t>고체향수</t>
        </is>
      </c>
      <c r="K6915" s="20" t="n">
        <v>398271</v>
      </c>
    </row>
    <row r="6916">
      <c r="A6916" s="20" t="inlineStr">
        <is>
          <t>[5화자 재편집] 승무원_벨라_면세점에서 천만원</t>
        </is>
      </c>
      <c r="B6916" s="16" t="n">
        <v>44304</v>
      </c>
      <c r="C6916" s="20" t="inlineStr">
        <is>
          <t>일</t>
        </is>
      </c>
      <c r="D6916" s="20" t="inlineStr">
        <is>
          <t>유튜브 광고</t>
        </is>
      </c>
      <c r="E6916" s="20" t="inlineStr">
        <is>
          <t>고체향수</t>
        </is>
      </c>
      <c r="K6916" s="20" t="n">
        <v>298880</v>
      </c>
    </row>
    <row r="6917">
      <c r="A6917" s="20" t="inlineStr">
        <is>
          <t>동영상캠페인_유즈모먼트_면세점뒤졌는데</t>
        </is>
      </c>
      <c r="B6917" s="16" t="n">
        <v>44304</v>
      </c>
      <c r="C6917" s="20" t="inlineStr">
        <is>
          <t>일</t>
        </is>
      </c>
      <c r="D6917" s="20" t="inlineStr">
        <is>
          <t>유튜브 광고</t>
        </is>
      </c>
      <c r="E6917" s="20" t="inlineStr">
        <is>
          <t>고체향수</t>
        </is>
      </c>
      <c r="K6917" s="20" t="n">
        <v>299592</v>
      </c>
    </row>
    <row r="6918">
      <c r="A6918" s="20" t="inlineStr">
        <is>
          <t>메인키워드</t>
        </is>
      </c>
      <c r="B6918" s="16" t="n">
        <v>44304</v>
      </c>
      <c r="C6918" s="20" t="inlineStr">
        <is>
          <t>일</t>
        </is>
      </c>
      <c r="D6918" s="20" t="inlineStr">
        <is>
          <t>네이버 쇼핑검색</t>
        </is>
      </c>
      <c r="E6918" s="20" t="inlineStr">
        <is>
          <t>고체향수</t>
        </is>
      </c>
      <c r="K6918" s="20" t="n">
        <v>15620</v>
      </c>
    </row>
    <row r="6919">
      <c r="A6919" s="20" t="inlineStr">
        <is>
          <t>세부키워드1</t>
        </is>
      </c>
      <c r="B6919" s="16" t="n">
        <v>44304</v>
      </c>
      <c r="C6919" s="20" t="inlineStr">
        <is>
          <t>일</t>
        </is>
      </c>
      <c r="D6919" s="20" t="inlineStr">
        <is>
          <t>네이버 쇼핑검색</t>
        </is>
      </c>
      <c r="E6919" s="20" t="inlineStr">
        <is>
          <t>고체향수</t>
        </is>
      </c>
      <c r="K6919" s="20" t="n">
        <v>0</v>
      </c>
    </row>
    <row r="6920">
      <c r="A6920" s="20" t="inlineStr">
        <is>
          <t>세부키워드3</t>
        </is>
      </c>
      <c r="B6920" s="16" t="n">
        <v>44304</v>
      </c>
      <c r="C6920" s="20" t="inlineStr">
        <is>
          <t>일</t>
        </is>
      </c>
      <c r="D6920" s="20" t="inlineStr">
        <is>
          <t>네이버 쇼핑검색</t>
        </is>
      </c>
      <c r="E6920" s="20" t="inlineStr">
        <is>
          <t>고체향수</t>
        </is>
      </c>
      <c r="K6920" s="20" t="n">
        <v>124810</v>
      </c>
    </row>
    <row r="6921">
      <c r="A6921" s="20" t="inlineStr">
        <is>
          <t>모바일 브검</t>
        </is>
      </c>
      <c r="B6921" s="16" t="n">
        <v>44304</v>
      </c>
      <c r="C6921" s="20" t="inlineStr">
        <is>
          <t>일</t>
        </is>
      </c>
      <c r="D6921" s="20" t="inlineStr">
        <is>
          <t>네이버 브랜드검색</t>
        </is>
      </c>
      <c r="E6921" s="20" t="inlineStr">
        <is>
          <t>브랜드</t>
        </is>
      </c>
      <c r="K6921" s="20" t="n">
        <v>140000</v>
      </c>
    </row>
    <row r="6922">
      <c r="A6922" s="20" t="inlineStr">
        <is>
          <t>PC 브랜드검색</t>
        </is>
      </c>
      <c r="B6922" s="16" t="n">
        <v>44304</v>
      </c>
      <c r="C6922" s="20" t="inlineStr">
        <is>
          <t>일</t>
        </is>
      </c>
      <c r="D6922" s="20" t="inlineStr">
        <is>
          <t>네이버 브랜드검색</t>
        </is>
      </c>
      <c r="E6922" s="20" t="inlineStr">
        <is>
          <t>브랜드</t>
        </is>
      </c>
      <c r="K6922" s="20" t="n">
        <v>16700</v>
      </c>
    </row>
    <row r="6923">
      <c r="A6923" s="20" t="inlineStr">
        <is>
          <t>메인키워드</t>
        </is>
      </c>
      <c r="B6923" s="16" t="n">
        <v>44303</v>
      </c>
      <c r="C6923" s="20" t="inlineStr">
        <is>
          <t>토</t>
        </is>
      </c>
      <c r="D6923" s="20" t="inlineStr">
        <is>
          <t>네이버 쇼핑검색</t>
        </is>
      </c>
      <c r="E6923" s="20" t="inlineStr">
        <is>
          <t>고체향수</t>
        </is>
      </c>
      <c r="K6923" s="20" t="n">
        <v>4070</v>
      </c>
    </row>
    <row r="6924">
      <c r="A6924" s="20" t="inlineStr">
        <is>
          <t>세부키워드1</t>
        </is>
      </c>
      <c r="B6924" s="16" t="n">
        <v>44303</v>
      </c>
      <c r="C6924" s="20" t="inlineStr">
        <is>
          <t>토</t>
        </is>
      </c>
      <c r="D6924" s="20" t="inlineStr">
        <is>
          <t>네이버 쇼핑검색</t>
        </is>
      </c>
      <c r="E6924" s="20" t="inlineStr">
        <is>
          <t>고체향수</t>
        </is>
      </c>
      <c r="K6924" s="20" t="n">
        <v>0</v>
      </c>
    </row>
    <row r="6925">
      <c r="A6925" s="20" t="inlineStr">
        <is>
          <t>세부키워드3</t>
        </is>
      </c>
      <c r="B6925" s="16" t="n">
        <v>44303</v>
      </c>
      <c r="C6925" s="20" t="inlineStr">
        <is>
          <t>토</t>
        </is>
      </c>
      <c r="D6925" s="20" t="inlineStr">
        <is>
          <t>네이버 쇼핑검색</t>
        </is>
      </c>
      <c r="E6925" s="20" t="inlineStr">
        <is>
          <t>고체향수</t>
        </is>
      </c>
      <c r="K6925" s="20" t="n">
        <v>132790</v>
      </c>
    </row>
    <row r="6926">
      <c r="A6926" s="20" t="inlineStr">
        <is>
          <t>모바일 브검</t>
        </is>
      </c>
      <c r="B6926" s="16" t="n">
        <v>44303</v>
      </c>
      <c r="C6926" s="20" t="inlineStr">
        <is>
          <t>토</t>
        </is>
      </c>
      <c r="D6926" s="20" t="inlineStr">
        <is>
          <t>네이버 브랜드검색</t>
        </is>
      </c>
      <c r="E6926" s="20" t="inlineStr">
        <is>
          <t>브랜드</t>
        </is>
      </c>
      <c r="K6926" s="20" t="n">
        <v>140000</v>
      </c>
    </row>
    <row r="6927">
      <c r="A6927" s="20" t="inlineStr">
        <is>
          <t>PC 브랜드검색</t>
        </is>
      </c>
      <c r="B6927" s="16" t="n">
        <v>44303</v>
      </c>
      <c r="C6927" s="20" t="inlineStr">
        <is>
          <t>토</t>
        </is>
      </c>
      <c r="D6927" s="20" t="inlineStr">
        <is>
          <t>네이버 브랜드검색</t>
        </is>
      </c>
      <c r="E6927" s="20" t="inlineStr">
        <is>
          <t>브랜드</t>
        </is>
      </c>
      <c r="K6927" s="20" t="n">
        <v>16700</v>
      </c>
    </row>
    <row r="6928">
      <c r="A6928" s="20" t="inlineStr">
        <is>
          <t>메인키워드</t>
        </is>
      </c>
      <c r="B6928" s="16" t="n">
        <v>44302</v>
      </c>
      <c r="C6928" s="20" t="inlineStr">
        <is>
          <t>금</t>
        </is>
      </c>
      <c r="D6928" s="20" t="inlineStr">
        <is>
          <t>네이버 쇼핑검색</t>
        </is>
      </c>
      <c r="E6928" s="20" t="inlineStr">
        <is>
          <t>고체향수</t>
        </is>
      </c>
      <c r="K6928" s="20" t="n">
        <v>5340</v>
      </c>
    </row>
    <row r="6929">
      <c r="A6929" s="20" t="inlineStr">
        <is>
          <t>세부키워드1</t>
        </is>
      </c>
      <c r="B6929" s="16" t="n">
        <v>44302</v>
      </c>
      <c r="C6929" s="20" t="inlineStr">
        <is>
          <t>금</t>
        </is>
      </c>
      <c r="D6929" s="20" t="inlineStr">
        <is>
          <t>네이버 쇼핑검색</t>
        </is>
      </c>
      <c r="E6929" s="20" t="inlineStr">
        <is>
          <t>고체향수</t>
        </is>
      </c>
      <c r="K6929" s="20" t="n">
        <v>0</v>
      </c>
    </row>
    <row r="6930">
      <c r="A6930" s="20" t="inlineStr">
        <is>
          <t>세부키워드3</t>
        </is>
      </c>
      <c r="B6930" s="16" t="n">
        <v>44302</v>
      </c>
      <c r="C6930" s="20" t="inlineStr">
        <is>
          <t>금</t>
        </is>
      </c>
      <c r="D6930" s="20" t="inlineStr">
        <is>
          <t>네이버 쇼핑검색</t>
        </is>
      </c>
      <c r="E6930" s="20" t="inlineStr">
        <is>
          <t>고체향수</t>
        </is>
      </c>
      <c r="K6930" s="20" t="n">
        <v>130320</v>
      </c>
    </row>
    <row r="6931">
      <c r="A6931" s="20" t="inlineStr">
        <is>
          <t>모바일 브검</t>
        </is>
      </c>
      <c r="B6931" s="16" t="n">
        <v>44302</v>
      </c>
      <c r="C6931" s="20" t="inlineStr">
        <is>
          <t>금</t>
        </is>
      </c>
      <c r="D6931" s="20" t="inlineStr">
        <is>
          <t>네이버 브랜드검색</t>
        </is>
      </c>
      <c r="E6931" s="20" t="inlineStr">
        <is>
          <t>브랜드</t>
        </is>
      </c>
      <c r="K6931" s="20" t="n">
        <v>140000</v>
      </c>
    </row>
    <row r="6932">
      <c r="A6932" s="20" t="inlineStr">
        <is>
          <t>PC 브랜드검색</t>
        </is>
      </c>
      <c r="B6932" s="16" t="n">
        <v>44302</v>
      </c>
      <c r="C6932" s="20" t="inlineStr">
        <is>
          <t>금</t>
        </is>
      </c>
      <c r="D6932" s="20" t="inlineStr">
        <is>
          <t>네이버 브랜드검색</t>
        </is>
      </c>
      <c r="E6932" s="20" t="inlineStr">
        <is>
          <t>브랜드</t>
        </is>
      </c>
      <c r="K6932" s="20" t="n">
        <v>16700</v>
      </c>
    </row>
    <row r="6933">
      <c r="B6933" s="16" t="n">
        <v>44302</v>
      </c>
      <c r="C6933" s="20" t="inlineStr">
        <is>
          <t>금</t>
        </is>
      </c>
      <c r="E6933" s="20" t="inlineStr">
        <is>
          <t>고체향수</t>
        </is>
      </c>
      <c r="F6933" s="20" t="inlineStr">
        <is>
          <t>W컨셉</t>
        </is>
      </c>
      <c r="G6933" s="20" t="inlineStr">
        <is>
          <t>솔리드퍼퓸 이그나이트/스테이포에버 30ml (2종 택1)&lt;옵션1&gt;002 STAY FOREVER</t>
        </is>
      </c>
      <c r="H6933" s="20" t="n">
        <v>6</v>
      </c>
      <c r="I6933" s="20" t="inlineStr">
        <is>
          <t>스테이포에버</t>
        </is>
      </c>
      <c r="J6933" s="20" t="inlineStr">
        <is>
          <t>210207</t>
        </is>
      </c>
      <c r="L6933" s="20" t="n">
        <v>204000</v>
      </c>
      <c r="M6933" s="20" t="n">
        <v>142800</v>
      </c>
      <c r="N6933" s="20" t="n">
        <v>15552</v>
      </c>
      <c r="O6933" s="20" t="inlineStr">
        <is>
          <t>W컨셉고체향수솔리드퍼퓸 이그나이트/스테이포에버 30ml (2종 택1)&lt;옵션1&gt;002 STAY FOREVER210207</t>
        </is>
      </c>
    </row>
    <row r="6934">
      <c r="B6934" s="16" t="n">
        <v>44302</v>
      </c>
      <c r="C6934" s="20" t="inlineStr">
        <is>
          <t>금</t>
        </is>
      </c>
      <c r="E6934" s="20" t="inlineStr">
        <is>
          <t>고체향수</t>
        </is>
      </c>
      <c r="F6934" s="20" t="inlineStr">
        <is>
          <t>스마트스토어</t>
        </is>
      </c>
      <c r="G6934" s="20" t="inlineStr">
        <is>
          <t>유즈 고체향수 세트(유즈 스테이포에버, 유즈 이그나이트)고체향수: 스테이포에버 1개 + 이그나이트 1개</t>
        </is>
      </c>
      <c r="H6934" s="20" t="n">
        <v>3</v>
      </c>
      <c r="I6934" s="20" t="inlineStr">
        <is>
          <t>이그나이트 + 스테이포에버</t>
        </is>
      </c>
      <c r="J6934" s="20" t="inlineStr">
        <is>
          <t>210207</t>
        </is>
      </c>
      <c r="L6934" s="20" t="n">
        <v>176400</v>
      </c>
      <c r="M6934" s="20" t="n">
        <v>166080.6</v>
      </c>
      <c r="N6934" s="20" t="n">
        <v>16035</v>
      </c>
      <c r="O6934" s="20" t="inlineStr">
        <is>
          <t>스마트스토어고체향수유즈 고체향수 세트(유즈 스테이포에버, 유즈 이그나이트)고체향수: 스테이포에버 1개 + 이그나이트 1개210207</t>
        </is>
      </c>
    </row>
    <row r="6935">
      <c r="B6935" s="16" t="n">
        <v>44302</v>
      </c>
      <c r="C6935" s="20" t="inlineStr">
        <is>
          <t>금</t>
        </is>
      </c>
      <c r="E6935" s="20" t="inlineStr">
        <is>
          <t>고체향수</t>
        </is>
      </c>
      <c r="F6935" s="20" t="inlineStr">
        <is>
          <t>스마트스토어</t>
        </is>
      </c>
      <c r="G6935" s="20" t="inlineStr">
        <is>
          <t>유즈 고체향수 세트(유즈 스테이포에버, 유즈 이그나이트)고체향수: 스테이포에버 2개</t>
        </is>
      </c>
      <c r="H6935" s="20" t="n">
        <v>1</v>
      </c>
      <c r="I6935" s="20" t="inlineStr">
        <is>
          <t>스테이포에버 2set</t>
        </is>
      </c>
      <c r="J6935" s="20" t="inlineStr">
        <is>
          <t>210207</t>
        </is>
      </c>
      <c r="L6935" s="20" t="n">
        <v>58800</v>
      </c>
      <c r="M6935" s="20" t="n">
        <v>57624</v>
      </c>
      <c r="N6935" s="20" t="n">
        <v>5184</v>
      </c>
      <c r="O6935" s="20" t="inlineStr">
        <is>
          <t>스마트스토어고체향수유즈 고체향수 세트(유즈 스테이포에버, 유즈 이그나이트)고체향수: 스테이포에버 2개210207</t>
        </is>
      </c>
    </row>
    <row r="6936">
      <c r="B6936" s="16" t="n">
        <v>44302</v>
      </c>
      <c r="C6936" s="20" t="inlineStr">
        <is>
          <t>금</t>
        </is>
      </c>
      <c r="E6936" s="20" t="inlineStr">
        <is>
          <t>고체향수</t>
        </is>
      </c>
      <c r="F6936" s="20" t="inlineStr">
        <is>
          <t>스마트스토어</t>
        </is>
      </c>
      <c r="G6936" s="20" t="inlineStr">
        <is>
          <t>유즈 고체향수 스테이포에버 002고체향수: 스테이포에버 1개</t>
        </is>
      </c>
      <c r="H6936" s="20" t="n">
        <v>17</v>
      </c>
      <c r="I6936" s="20" t="inlineStr">
        <is>
          <t>스테이포에버</t>
        </is>
      </c>
      <c r="J6936" s="20" t="inlineStr">
        <is>
          <t>210207</t>
        </is>
      </c>
      <c r="L6936" s="20" t="n">
        <v>578000</v>
      </c>
      <c r="M6936" s="20" t="n">
        <v>566440</v>
      </c>
      <c r="N6936" s="20" t="n">
        <v>44064</v>
      </c>
      <c r="O6936" s="20" t="inlineStr">
        <is>
          <t>스마트스토어고체향수유즈 고체향수 스테이포에버 002고체향수: 스테이포에버 1개210207</t>
        </is>
      </c>
    </row>
    <row r="6937">
      <c r="B6937" s="16" t="n">
        <v>44302</v>
      </c>
      <c r="C6937" s="20" t="inlineStr">
        <is>
          <t>금</t>
        </is>
      </c>
      <c r="E6937" s="20" t="inlineStr">
        <is>
          <t>쇼핑백</t>
        </is>
      </c>
      <c r="F6937" s="20" t="inlineStr">
        <is>
          <t>카페24</t>
        </is>
      </c>
      <c r="G6937" s="20" t="inlineStr">
        <is>
          <t>선물용 쇼핑백</t>
        </is>
      </c>
      <c r="H6937" s="20" t="n">
        <v>1</v>
      </c>
      <c r="I6937" s="20" t="inlineStr">
        <is>
          <t>쇼핑백</t>
        </is>
      </c>
      <c r="J6937" s="20" t="inlineStr">
        <is>
          <t>210207</t>
        </is>
      </c>
      <c r="L6937" s="20" t="n">
        <v>2000</v>
      </c>
      <c r="M6937" s="20" t="n">
        <v>1883</v>
      </c>
      <c r="N6937" s="20" t="n">
        <v>830</v>
      </c>
      <c r="O6937" s="20" t="inlineStr">
        <is>
          <t>카페24쇼핑백선물용 쇼핑백210207</t>
        </is>
      </c>
    </row>
    <row r="6938">
      <c r="B6938" s="16" t="n">
        <v>44302</v>
      </c>
      <c r="C6938" s="20" t="inlineStr">
        <is>
          <t>금</t>
        </is>
      </c>
      <c r="E6938" s="20" t="inlineStr">
        <is>
          <t>고체향수</t>
        </is>
      </c>
      <c r="F6938" s="20" t="inlineStr">
        <is>
          <t>카페24</t>
        </is>
      </c>
      <c r="G6938" s="20" t="inlineStr">
        <is>
          <t>솔리드퍼퓸 세트향=이그나이트 001 SOLID PERFUME, 세트 선택=1개</t>
        </is>
      </c>
      <c r="H6938" s="20" t="n">
        <v>2</v>
      </c>
      <c r="I6938" s="20" t="inlineStr">
        <is>
          <t>이그나이트</t>
        </is>
      </c>
      <c r="J6938" s="20" t="inlineStr">
        <is>
          <t>210207</t>
        </is>
      </c>
      <c r="L6938" s="20" t="n">
        <v>68000</v>
      </c>
      <c r="M6938" s="20" t="n">
        <v>64022</v>
      </c>
      <c r="N6938" s="20" t="n">
        <v>5506</v>
      </c>
      <c r="O6938" s="20" t="inlineStr">
        <is>
          <t>카페24고체향수솔리드퍼퓸 세트향=이그나이트 001 SOLID PERFUME, 세트 선택=1개210207</t>
        </is>
      </c>
    </row>
    <row r="6939">
      <c r="B6939" s="16" t="n">
        <v>44302</v>
      </c>
      <c r="C6939" s="20" t="inlineStr">
        <is>
          <t>금</t>
        </is>
      </c>
      <c r="E6939" s="20" t="inlineStr">
        <is>
          <t>고체향수</t>
        </is>
      </c>
      <c r="F6939" s="20" t="inlineStr">
        <is>
          <t>카페24</t>
        </is>
      </c>
      <c r="G6939" s="20" t="inlineStr">
        <is>
          <t>솔리드퍼퓸 세트향=스테이포에버 002 SOLID PERFUME, 세트 선택=1개</t>
        </is>
      </c>
      <c r="H6939" s="20" t="n">
        <v>6</v>
      </c>
      <c r="I6939" s="20" t="inlineStr">
        <is>
          <t>스테이포에버</t>
        </is>
      </c>
      <c r="J6939" s="20" t="inlineStr">
        <is>
          <t>210207</t>
        </is>
      </c>
      <c r="L6939" s="20" t="n">
        <v>204000</v>
      </c>
      <c r="M6939" s="20" t="n">
        <v>192066</v>
      </c>
      <c r="N6939" s="20" t="n">
        <v>15552</v>
      </c>
      <c r="O6939" s="20" t="inlineStr">
        <is>
          <t>카페24고체향수솔리드퍼퓸 세트향=스테이포에버 002 SOLID PERFUME, 세트 선택=1개210207</t>
        </is>
      </c>
    </row>
    <row r="6940">
      <c r="B6940" s="16" t="n">
        <v>44302</v>
      </c>
      <c r="C6940" s="20" t="inlineStr">
        <is>
          <t>금</t>
        </is>
      </c>
      <c r="E6940" s="20" t="inlineStr">
        <is>
          <t>고체향수</t>
        </is>
      </c>
      <c r="F6940" s="20" t="inlineStr">
        <is>
          <t>카페24</t>
        </is>
      </c>
      <c r="G6940" s="20" t="inlineStr">
        <is>
          <t>솔리드퍼퓸 세트향=스테이포에버 002 SOLID PERFUME, 세트 선택=best 2개 (28% 할인)</t>
        </is>
      </c>
      <c r="H6940" s="20" t="n">
        <v>7</v>
      </c>
      <c r="I6940" s="20" t="inlineStr">
        <is>
          <t>스테이포에버 2set</t>
        </is>
      </c>
      <c r="J6940" s="20" t="inlineStr">
        <is>
          <t>210207</t>
        </is>
      </c>
      <c r="L6940" s="20" t="n">
        <v>411600</v>
      </c>
      <c r="M6940" s="20" t="n">
        <v>387521.4</v>
      </c>
      <c r="N6940" s="20" t="n">
        <v>36288</v>
      </c>
      <c r="O6940" s="20" t="inlineStr">
        <is>
          <t>카페24고체향수솔리드퍼퓸 세트향=스테이포에버 002 SOLID PERFUME, 세트 선택=best 2개 (28% 할인)210207</t>
        </is>
      </c>
    </row>
    <row r="6941">
      <c r="B6941" s="16" t="n">
        <v>44302</v>
      </c>
      <c r="C6941" s="20" t="inlineStr">
        <is>
          <t>금</t>
        </is>
      </c>
      <c r="E6941" s="20" t="inlineStr">
        <is>
          <t>고체향수</t>
        </is>
      </c>
      <c r="F6941" s="20" t="inlineStr">
        <is>
          <t>카페24</t>
        </is>
      </c>
      <c r="G6941" s="20" t="inlineStr">
        <is>
          <t>솔리드퍼퓸 세트향=커플세트(이그나이트 + 스테이포에버), 세트 선택=1 SET</t>
        </is>
      </c>
      <c r="H6941" s="20" t="n">
        <v>10</v>
      </c>
      <c r="I6941" s="20" t="inlineStr">
        <is>
          <t>이그나이트 + 스테이포에버</t>
        </is>
      </c>
      <c r="J6941" s="20" t="inlineStr">
        <is>
          <t>210207</t>
        </is>
      </c>
      <c r="L6941" s="20" t="n">
        <v>588000</v>
      </c>
      <c r="M6941" s="20" t="n">
        <v>553602</v>
      </c>
      <c r="N6941" s="20" t="n">
        <v>53450</v>
      </c>
      <c r="O6941" s="20" t="inlineStr">
        <is>
          <t>카페24고체향수솔리드퍼퓸 세트향=커플세트(이그나이트 + 스테이포에버), 세트 선택=1 SET210207</t>
        </is>
      </c>
    </row>
    <row r="6942">
      <c r="B6942" s="16" t="n">
        <v>44302</v>
      </c>
      <c r="C6942" s="20" t="inlineStr">
        <is>
          <t>금</t>
        </is>
      </c>
      <c r="E6942" s="20" t="inlineStr">
        <is>
          <t>고체향수</t>
        </is>
      </c>
      <c r="F6942" s="20" t="inlineStr">
        <is>
          <t>카페24</t>
        </is>
      </c>
      <c r="G6942" s="20" t="inlineStr">
        <is>
          <t>솔리드퍼퓸 세트향=커플세트(이그나이트 + 스테이포에버), 세트 선택=2 SET (42% 할인)</t>
        </is>
      </c>
      <c r="H6942" s="20" t="n">
        <v>3</v>
      </c>
      <c r="I6942" s="20" t="inlineStr">
        <is>
          <t>이그나이트 + 스테이포에버</t>
        </is>
      </c>
      <c r="J6942" s="20" t="inlineStr">
        <is>
          <t>210207</t>
        </is>
      </c>
      <c r="L6942" s="20" t="n">
        <v>176400</v>
      </c>
      <c r="M6942" s="20" t="n">
        <v>166080.6</v>
      </c>
      <c r="N6942" s="20" t="n">
        <v>16035</v>
      </c>
      <c r="O6942" s="20" t="inlineStr">
        <is>
          <t>카페24고체향수솔리드퍼퓸 세트향=커플세트(이그나이트 + 스테이포에버), 세트 선택=2 SET (42% 할인)210207</t>
        </is>
      </c>
    </row>
    <row r="6943">
      <c r="B6943" s="16" t="n">
        <v>44302</v>
      </c>
      <c r="C6943" s="20" t="inlineStr">
        <is>
          <t>금</t>
        </is>
      </c>
      <c r="E6943" s="20" t="inlineStr">
        <is>
          <t>고체향수</t>
        </is>
      </c>
      <c r="F6943" s="20" t="inlineStr">
        <is>
          <t>카페24</t>
        </is>
      </c>
      <c r="G6943" s="20" t="inlineStr">
        <is>
          <t>솔리드퍼퓸 스테이포에버 002제품선택=스테이포에버 1개</t>
        </is>
      </c>
      <c r="H6943" s="20" t="n">
        <v>228</v>
      </c>
      <c r="I6943" s="20" t="inlineStr">
        <is>
          <t>스테이포에버</t>
        </is>
      </c>
      <c r="J6943" s="20" t="inlineStr">
        <is>
          <t>210207</t>
        </is>
      </c>
      <c r="L6943" s="20" t="n">
        <v>7752000</v>
      </c>
      <c r="M6943" s="20" t="n">
        <v>7298508</v>
      </c>
      <c r="N6943" s="20" t="n">
        <v>590976</v>
      </c>
      <c r="O6943" s="20" t="inlineStr">
        <is>
          <t>카페24고체향수솔리드퍼퓸 스테이포에버 002제품선택=스테이포에버 1개210207</t>
        </is>
      </c>
    </row>
    <row r="6944">
      <c r="B6944" s="16" t="n">
        <v>44302</v>
      </c>
      <c r="C6944" s="20" t="inlineStr">
        <is>
          <t>금</t>
        </is>
      </c>
      <c r="E6944" s="20" t="inlineStr">
        <is>
          <t>고체향수</t>
        </is>
      </c>
      <c r="F6944" s="20" t="inlineStr">
        <is>
          <t>카페24</t>
        </is>
      </c>
      <c r="G6944" s="20" t="inlineStr">
        <is>
          <t>솔리드퍼퓸 스테이포에버 002제품선택=best스테이포에버 2개[28% 할인]</t>
        </is>
      </c>
      <c r="H6944" s="20" t="n">
        <v>129</v>
      </c>
      <c r="I6944" s="20" t="inlineStr">
        <is>
          <t>스테이포에버 2set</t>
        </is>
      </c>
      <c r="J6944" s="20" t="inlineStr">
        <is>
          <t>210207</t>
        </is>
      </c>
      <c r="L6944" s="20" t="n">
        <v>7585200</v>
      </c>
      <c r="M6944" s="20" t="n">
        <v>7141465.8</v>
      </c>
      <c r="N6944" s="20" t="n">
        <v>668736</v>
      </c>
      <c r="O6944" s="20" t="inlineStr">
        <is>
          <t>카페24고체향수솔리드퍼퓸 스테이포에버 002제품선택=best스테이포에버 2개[28% 할인]210207</t>
        </is>
      </c>
    </row>
    <row r="6945">
      <c r="B6945" s="16" t="n">
        <v>44302</v>
      </c>
      <c r="C6945" s="20" t="inlineStr">
        <is>
          <t>금</t>
        </is>
      </c>
      <c r="E6945" s="20" t="inlineStr">
        <is>
          <t>고체향수</t>
        </is>
      </c>
      <c r="F6945" s="20" t="inlineStr">
        <is>
          <t>카페24</t>
        </is>
      </c>
      <c r="G6945" s="20" t="inlineStr">
        <is>
          <t>솔리드퍼퓸 스테이포에버 002제품선택=커플추천스테이포에버 + 이그나이트 세트</t>
        </is>
      </c>
      <c r="H6945" s="20" t="n">
        <v>13</v>
      </c>
      <c r="I6945" s="20" t="inlineStr">
        <is>
          <t>이그나이트 + 스테이포에버</t>
        </is>
      </c>
      <c r="J6945" s="20" t="inlineStr">
        <is>
          <t>210207</t>
        </is>
      </c>
      <c r="L6945" s="20" t="n">
        <v>764400</v>
      </c>
      <c r="M6945" s="20" t="n">
        <v>719682.6</v>
      </c>
      <c r="N6945" s="20" t="n">
        <v>69485</v>
      </c>
      <c r="O6945" s="20" t="inlineStr">
        <is>
          <t>카페24고체향수솔리드퍼퓸 스테이포에버 002제품선택=커플추천스테이포에버 + 이그나이트 세트210207</t>
        </is>
      </c>
    </row>
    <row r="6946">
      <c r="B6946" s="16" t="n">
        <v>44302</v>
      </c>
      <c r="C6946" s="20" t="inlineStr">
        <is>
          <t>금</t>
        </is>
      </c>
      <c r="E6946" s="20" t="inlineStr">
        <is>
          <t>쇼핑백</t>
        </is>
      </c>
      <c r="F6946" s="20" t="inlineStr">
        <is>
          <t>카페24</t>
        </is>
      </c>
      <c r="G6946" s="20" t="inlineStr">
        <is>
          <t>솔리드퍼퓸 스테이포에버 002쇼핑백=선물용 쇼핑백</t>
        </is>
      </c>
      <c r="H6946" s="20" t="n">
        <v>8</v>
      </c>
      <c r="I6946" s="20" t="inlineStr">
        <is>
          <t>쇼핑백</t>
        </is>
      </c>
      <c r="J6946" s="20" t="inlineStr">
        <is>
          <t>210207</t>
        </is>
      </c>
      <c r="L6946" s="20" t="n">
        <v>16000</v>
      </c>
      <c r="M6946" s="20" t="n">
        <v>15064</v>
      </c>
      <c r="N6946" s="20" t="n">
        <v>6640</v>
      </c>
      <c r="O6946" s="20" t="inlineStr">
        <is>
          <t>카페24쇼핑백솔리드퍼퓸 스테이포에버 002쇼핑백=선물용 쇼핑백210207</t>
        </is>
      </c>
    </row>
    <row r="6947">
      <c r="B6947" s="16" t="n">
        <v>44302</v>
      </c>
      <c r="C6947" s="20" t="inlineStr">
        <is>
          <t>금</t>
        </is>
      </c>
      <c r="E6947" s="20" t="inlineStr">
        <is>
          <t>고체향수</t>
        </is>
      </c>
      <c r="F6947" s="20" t="inlineStr">
        <is>
          <t>카페24</t>
        </is>
      </c>
      <c r="G6947" s="20" t="inlineStr">
        <is>
          <t>솔리드퍼퓸 이그나이트 001제품선택=이그나이트 솔리드퍼퓸 - 30ml</t>
        </is>
      </c>
      <c r="H6947" s="20" t="n">
        <v>2</v>
      </c>
      <c r="I6947" s="20" t="inlineStr">
        <is>
          <t>이그나이트</t>
        </is>
      </c>
      <c r="J6947" s="20" t="inlineStr">
        <is>
          <t>210207</t>
        </is>
      </c>
      <c r="L6947" s="20" t="n">
        <v>68000</v>
      </c>
      <c r="M6947" s="20" t="n">
        <v>64022</v>
      </c>
      <c r="N6947" s="20" t="n">
        <v>5506</v>
      </c>
      <c r="O6947" s="20" t="inlineStr">
        <is>
          <t>카페24고체향수솔리드퍼퓸 이그나이트 001제품선택=이그나이트 솔리드퍼퓸 - 30ml210207</t>
        </is>
      </c>
    </row>
    <row r="6948">
      <c r="B6948" s="16" t="n">
        <v>44303</v>
      </c>
      <c r="C6948" s="20" t="inlineStr">
        <is>
          <t>토</t>
        </is>
      </c>
      <c r="E6948" s="20" t="inlineStr">
        <is>
          <t>고체향수</t>
        </is>
      </c>
      <c r="F6948" s="20" t="inlineStr">
        <is>
          <t>스마트스토어</t>
        </is>
      </c>
      <c r="G6948" s="20" t="inlineStr">
        <is>
          <t>유즈 고체향수 세트(유즈 스테이포에버, 유즈 이그나이트)고체향수: 스테이포에버 1개 + 이그나이트 1개</t>
        </is>
      </c>
      <c r="H6948" s="20" t="n">
        <v>1</v>
      </c>
      <c r="I6948" s="20" t="inlineStr">
        <is>
          <t>이그나이트 + 스테이포에버</t>
        </is>
      </c>
      <c r="J6948" s="20" t="inlineStr">
        <is>
          <t>210207</t>
        </is>
      </c>
      <c r="L6948" s="20" t="n">
        <v>58800</v>
      </c>
      <c r="M6948" s="20" t="n">
        <v>55360.2</v>
      </c>
      <c r="N6948" s="20" t="n">
        <v>5345</v>
      </c>
      <c r="O6948" s="20" t="inlineStr">
        <is>
          <t>스마트스토어고체향수유즈 고체향수 세트(유즈 스테이포에버, 유즈 이그나이트)고체향수: 스테이포에버 1개 + 이그나이트 1개210207</t>
        </is>
      </c>
    </row>
    <row r="6949">
      <c r="B6949" s="16" t="n">
        <v>44303</v>
      </c>
      <c r="C6949" s="20" t="inlineStr">
        <is>
          <t>토</t>
        </is>
      </c>
      <c r="E6949" s="20" t="inlineStr">
        <is>
          <t>고체향수</t>
        </is>
      </c>
      <c r="F6949" s="20" t="inlineStr">
        <is>
          <t>스마트스토어</t>
        </is>
      </c>
      <c r="G6949" s="20" t="inlineStr">
        <is>
          <t>유즈 고체향수 세트(유즈 스테이포에버, 유즈 이그나이트)고체향수: 스테이포에버 2개</t>
        </is>
      </c>
      <c r="H6949" s="20" t="n">
        <v>2</v>
      </c>
      <c r="I6949" s="20" t="inlineStr">
        <is>
          <t>스테이포에버 2set</t>
        </is>
      </c>
      <c r="J6949" s="20" t="inlineStr">
        <is>
          <t>210207</t>
        </is>
      </c>
      <c r="L6949" s="20" t="n">
        <v>117600</v>
      </c>
      <c r="M6949" s="20" t="n">
        <v>115248</v>
      </c>
      <c r="N6949" s="20" t="n">
        <v>10368</v>
      </c>
      <c r="O6949" s="20" t="inlineStr">
        <is>
          <t>스마트스토어고체향수유즈 고체향수 세트(유즈 스테이포에버, 유즈 이그나이트)고체향수: 스테이포에버 2개210207</t>
        </is>
      </c>
    </row>
    <row r="6950">
      <c r="B6950" s="16" t="n">
        <v>44303</v>
      </c>
      <c r="C6950" s="20" t="inlineStr">
        <is>
          <t>토</t>
        </is>
      </c>
      <c r="E6950" s="20" t="inlineStr">
        <is>
          <t>고체향수</t>
        </is>
      </c>
      <c r="F6950" s="20" t="inlineStr">
        <is>
          <t>스마트스토어</t>
        </is>
      </c>
      <c r="G6950" s="20" t="inlineStr">
        <is>
          <t>유즈 고체향수 스테이포에버 002고체향수: 스테이포에버 1개</t>
        </is>
      </c>
      <c r="H6950" s="20" t="n">
        <v>28</v>
      </c>
      <c r="I6950" s="20" t="inlineStr">
        <is>
          <t>스테이포에버</t>
        </is>
      </c>
      <c r="J6950" s="20" t="inlineStr">
        <is>
          <t>210207</t>
        </is>
      </c>
      <c r="L6950" s="20" t="n">
        <v>952000</v>
      </c>
      <c r="M6950" s="20" t="n">
        <v>932960</v>
      </c>
      <c r="N6950" s="20" t="n">
        <v>72576</v>
      </c>
      <c r="O6950" s="20" t="inlineStr">
        <is>
          <t>스마트스토어고체향수유즈 고체향수 스테이포에버 002고체향수: 스테이포에버 1개210207</t>
        </is>
      </c>
    </row>
    <row r="6951">
      <c r="B6951" s="16" t="n">
        <v>44303</v>
      </c>
      <c r="C6951" s="20" t="inlineStr">
        <is>
          <t>토</t>
        </is>
      </c>
      <c r="E6951" s="20" t="inlineStr">
        <is>
          <t>고체향수</t>
        </is>
      </c>
      <c r="F6951" s="20" t="inlineStr">
        <is>
          <t>카페24</t>
        </is>
      </c>
      <c r="G6951" s="20" t="inlineStr">
        <is>
          <t>솔리드퍼퓸 세트향=스테이포에버 002 SOLID PERFUME, 세트 선택=1개</t>
        </is>
      </c>
      <c r="H6951" s="20" t="n">
        <v>7</v>
      </c>
      <c r="I6951" s="20" t="inlineStr">
        <is>
          <t>스테이포에버</t>
        </is>
      </c>
      <c r="J6951" s="20" t="inlineStr">
        <is>
          <t>210207</t>
        </is>
      </c>
      <c r="L6951" s="20" t="n">
        <v>238000</v>
      </c>
      <c r="M6951" s="20" t="n">
        <v>224077</v>
      </c>
      <c r="N6951" s="20" t="n">
        <v>18144</v>
      </c>
      <c r="O6951" s="20" t="inlineStr">
        <is>
          <t>카페24고체향수솔리드퍼퓸 세트향=스테이포에버 002 SOLID PERFUME, 세트 선택=1개210207</t>
        </is>
      </c>
    </row>
    <row r="6952">
      <c r="B6952" s="16" t="n">
        <v>44303</v>
      </c>
      <c r="C6952" s="20" t="inlineStr">
        <is>
          <t>토</t>
        </is>
      </c>
      <c r="E6952" s="20" t="inlineStr">
        <is>
          <t>고체향수</t>
        </is>
      </c>
      <c r="F6952" s="20" t="inlineStr">
        <is>
          <t>카페24</t>
        </is>
      </c>
      <c r="G6952" s="20" t="inlineStr">
        <is>
          <t>솔리드퍼퓸 세트향=스테이포에버 002 SOLID PERFUME, 세트 선택=best 2개 (28% 할인)</t>
        </is>
      </c>
      <c r="H6952" s="20" t="n">
        <v>5</v>
      </c>
      <c r="I6952" s="20" t="inlineStr">
        <is>
          <t>스테이포에버 2set</t>
        </is>
      </c>
      <c r="J6952" s="20" t="inlineStr">
        <is>
          <t>210207</t>
        </is>
      </c>
      <c r="L6952" s="20" t="n">
        <v>294000</v>
      </c>
      <c r="M6952" s="20" t="n">
        <v>276801</v>
      </c>
      <c r="N6952" s="20" t="n">
        <v>25920</v>
      </c>
      <c r="O6952" s="20" t="inlineStr">
        <is>
          <t>카페24고체향수솔리드퍼퓸 세트향=스테이포에버 002 SOLID PERFUME, 세트 선택=best 2개 (28% 할인)210207</t>
        </is>
      </c>
    </row>
    <row r="6953">
      <c r="B6953" s="16" t="n">
        <v>44303</v>
      </c>
      <c r="C6953" s="20" t="inlineStr">
        <is>
          <t>토</t>
        </is>
      </c>
      <c r="E6953" s="20" t="inlineStr">
        <is>
          <t>고체향수</t>
        </is>
      </c>
      <c r="F6953" s="20" t="inlineStr">
        <is>
          <t>카페24</t>
        </is>
      </c>
      <c r="G6953" s="20" t="inlineStr">
        <is>
          <t>솔리드퍼퓸 세트향=커플세트(이그나이트 + 스테이포에버), 세트 선택=1 SET</t>
        </is>
      </c>
      <c r="H6953" s="20" t="n">
        <v>8</v>
      </c>
      <c r="I6953" s="20" t="inlineStr">
        <is>
          <t>이그나이트 + 스테이포에버</t>
        </is>
      </c>
      <c r="J6953" s="20" t="inlineStr">
        <is>
          <t>210207</t>
        </is>
      </c>
      <c r="L6953" s="20" t="n">
        <v>470400</v>
      </c>
      <c r="M6953" s="20" t="n">
        <v>442881.6</v>
      </c>
      <c r="N6953" s="20" t="n">
        <v>42760</v>
      </c>
      <c r="O6953" s="20" t="inlineStr">
        <is>
          <t>카페24고체향수솔리드퍼퓸 세트향=커플세트(이그나이트 + 스테이포에버), 세트 선택=1 SET210207</t>
        </is>
      </c>
    </row>
    <row r="6954">
      <c r="B6954" s="16" t="n">
        <v>44303</v>
      </c>
      <c r="C6954" s="20" t="inlineStr">
        <is>
          <t>토</t>
        </is>
      </c>
      <c r="E6954" s="20" t="inlineStr">
        <is>
          <t>고체향수</t>
        </is>
      </c>
      <c r="F6954" s="20" t="inlineStr">
        <is>
          <t>카페24</t>
        </is>
      </c>
      <c r="G6954" s="20" t="inlineStr">
        <is>
          <t>솔리드퍼퓸 세트향=커플세트(이그나이트 + 스테이포에버), 세트 선택=2 SET (42% 할인)</t>
        </is>
      </c>
      <c r="H6954" s="20" t="n">
        <v>1</v>
      </c>
      <c r="I6954" s="20" t="inlineStr">
        <is>
          <t>이그나이트 + 스테이포에버</t>
        </is>
      </c>
      <c r="J6954" s="20" t="inlineStr">
        <is>
          <t>210207</t>
        </is>
      </c>
      <c r="L6954" s="20" t="n">
        <v>58800</v>
      </c>
      <c r="M6954" s="20" t="n">
        <v>55360.2</v>
      </c>
      <c r="N6954" s="20" t="n">
        <v>5345</v>
      </c>
      <c r="O6954" s="20" t="inlineStr">
        <is>
          <t>카페24고체향수솔리드퍼퓸 세트향=커플세트(이그나이트 + 스테이포에버), 세트 선택=2 SET (42% 할인)210207</t>
        </is>
      </c>
    </row>
    <row r="6955">
      <c r="B6955" s="16" t="n">
        <v>44303</v>
      </c>
      <c r="C6955" s="20" t="inlineStr">
        <is>
          <t>토</t>
        </is>
      </c>
      <c r="E6955" s="20" t="inlineStr">
        <is>
          <t>고체향수</t>
        </is>
      </c>
      <c r="F6955" s="20" t="inlineStr">
        <is>
          <t>카페24</t>
        </is>
      </c>
      <c r="G6955" s="20" t="inlineStr">
        <is>
          <t>솔리드퍼퓸 스테이포에버 002제품선택=스테이포에버 1개</t>
        </is>
      </c>
      <c r="H6955" s="20" t="n">
        <v>202</v>
      </c>
      <c r="I6955" s="20" t="inlineStr">
        <is>
          <t>스테이포에버</t>
        </is>
      </c>
      <c r="J6955" s="20" t="inlineStr">
        <is>
          <t>210207</t>
        </is>
      </c>
      <c r="L6955" s="20" t="n">
        <v>6868000</v>
      </c>
      <c r="M6955" s="20" t="n">
        <v>6466222</v>
      </c>
      <c r="N6955" s="20" t="n">
        <v>523584</v>
      </c>
      <c r="O6955" s="20" t="inlineStr">
        <is>
          <t>카페24고체향수솔리드퍼퓸 스테이포에버 002제품선택=스테이포에버 1개210207</t>
        </is>
      </c>
    </row>
    <row r="6956">
      <c r="B6956" s="16" t="n">
        <v>44303</v>
      </c>
      <c r="C6956" s="20" t="inlineStr">
        <is>
          <t>토</t>
        </is>
      </c>
      <c r="E6956" s="20" t="inlineStr">
        <is>
          <t>고체향수</t>
        </is>
      </c>
      <c r="F6956" s="20" t="inlineStr">
        <is>
          <t>카페24</t>
        </is>
      </c>
      <c r="G6956" s="20" t="inlineStr">
        <is>
          <t>솔리드퍼퓸 스테이포에버 002제품선택=best스테이포에버 2개[28% 할인]</t>
        </is>
      </c>
      <c r="H6956" s="20" t="n">
        <v>144</v>
      </c>
      <c r="I6956" s="20" t="inlineStr">
        <is>
          <t>스테이포에버 2set</t>
        </is>
      </c>
      <c r="J6956" s="20" t="inlineStr">
        <is>
          <t>210207</t>
        </is>
      </c>
      <c r="L6956" s="20" t="n">
        <v>8467200</v>
      </c>
      <c r="M6956" s="20" t="n">
        <v>7971868.8</v>
      </c>
      <c r="N6956" s="20" t="n">
        <v>746496</v>
      </c>
      <c r="O6956" s="20" t="inlineStr">
        <is>
          <t>카페24고체향수솔리드퍼퓸 스테이포에버 002제품선택=best스테이포에버 2개[28% 할인]210207</t>
        </is>
      </c>
    </row>
    <row r="6957">
      <c r="B6957" s="16" t="n">
        <v>44303</v>
      </c>
      <c r="C6957" s="20" t="inlineStr">
        <is>
          <t>토</t>
        </is>
      </c>
      <c r="E6957" s="20" t="inlineStr">
        <is>
          <t>고체향수</t>
        </is>
      </c>
      <c r="F6957" s="20" t="inlineStr">
        <is>
          <t>카페24</t>
        </is>
      </c>
      <c r="G6957" s="20" t="inlineStr">
        <is>
          <t>솔리드퍼퓸 스테이포에버 002제품선택=커플추천스테이포에버 + 이그나이트 세트</t>
        </is>
      </c>
      <c r="H6957" s="20" t="n">
        <v>15</v>
      </c>
      <c r="I6957" s="20" t="inlineStr">
        <is>
          <t>이그나이트 + 스테이포에버</t>
        </is>
      </c>
      <c r="J6957" s="20" t="inlineStr">
        <is>
          <t>210207</t>
        </is>
      </c>
      <c r="L6957" s="20" t="n">
        <v>882000</v>
      </c>
      <c r="M6957" s="20" t="n">
        <v>830403</v>
      </c>
      <c r="N6957" s="20" t="n">
        <v>80175</v>
      </c>
      <c r="O6957" s="20" t="inlineStr">
        <is>
          <t>카페24고체향수솔리드퍼퓸 스테이포에버 002제품선택=커플추천스테이포에버 + 이그나이트 세트210207</t>
        </is>
      </c>
    </row>
    <row r="6958">
      <c r="B6958" s="16" t="n">
        <v>44303</v>
      </c>
      <c r="C6958" s="20" t="inlineStr">
        <is>
          <t>토</t>
        </is>
      </c>
      <c r="E6958" s="20" t="inlineStr">
        <is>
          <t>쇼핑백</t>
        </is>
      </c>
      <c r="F6958" s="20" t="inlineStr">
        <is>
          <t>카페24</t>
        </is>
      </c>
      <c r="G6958" s="20" t="inlineStr">
        <is>
          <t>솔리드퍼퓸 스테이포에버 002쇼핑백=선물용 쇼핑백</t>
        </is>
      </c>
      <c r="H6958" s="20" t="n">
        <v>6</v>
      </c>
      <c r="I6958" s="20" t="inlineStr">
        <is>
          <t>쇼핑백</t>
        </is>
      </c>
      <c r="J6958" s="20" t="inlineStr">
        <is>
          <t>210207</t>
        </is>
      </c>
      <c r="L6958" s="20" t="n">
        <v>12000</v>
      </c>
      <c r="M6958" s="20" t="n">
        <v>11298</v>
      </c>
      <c r="N6958" s="20" t="n">
        <v>4980</v>
      </c>
      <c r="O6958" s="20" t="inlineStr">
        <is>
          <t>카페24쇼핑백솔리드퍼퓸 스테이포에버 002쇼핑백=선물용 쇼핑백210207</t>
        </is>
      </c>
    </row>
    <row r="6959">
      <c r="B6959" s="16" t="n">
        <v>44303</v>
      </c>
      <c r="C6959" s="20" t="inlineStr">
        <is>
          <t>토</t>
        </is>
      </c>
      <c r="E6959" s="20" t="inlineStr">
        <is>
          <t>고체향수</t>
        </is>
      </c>
      <c r="F6959" s="20" t="inlineStr">
        <is>
          <t>카페24</t>
        </is>
      </c>
      <c r="G6959" s="20" t="inlineStr">
        <is>
          <t>솔리드퍼퓸 이그나이트 001제품선택=이그나이트 솔리드퍼퓸 - 30ml</t>
        </is>
      </c>
      <c r="H6959" s="20" t="n">
        <v>2</v>
      </c>
      <c r="I6959" s="20" t="inlineStr">
        <is>
          <t>이그나이트</t>
        </is>
      </c>
      <c r="J6959" s="20" t="inlineStr">
        <is>
          <t>210207</t>
        </is>
      </c>
      <c r="L6959" s="20" t="n">
        <v>68000</v>
      </c>
      <c r="M6959" s="20" t="n">
        <v>64022</v>
      </c>
      <c r="N6959" s="20" t="n">
        <v>5506</v>
      </c>
      <c r="O6959" s="20" t="inlineStr">
        <is>
          <t>카페24고체향수솔리드퍼퓸 이그나이트 001제품선택=이그나이트 솔리드퍼퓸 - 30ml210207</t>
        </is>
      </c>
    </row>
    <row r="6960">
      <c r="B6960" s="16" t="n">
        <v>44303</v>
      </c>
      <c r="C6960" s="20" t="inlineStr">
        <is>
          <t>토</t>
        </is>
      </c>
      <c r="E6960" s="20" t="inlineStr">
        <is>
          <t>고체향수</t>
        </is>
      </c>
      <c r="F6960" s="20" t="inlineStr">
        <is>
          <t>카페24</t>
        </is>
      </c>
      <c r="G6960" s="20" t="inlineStr">
        <is>
          <t>솔리드퍼퓸 이그나이트 001제품선택=이그나이트 2개 세트</t>
        </is>
      </c>
      <c r="H6960" s="20" t="n">
        <v>1</v>
      </c>
      <c r="I6960" s="20" t="inlineStr">
        <is>
          <t>이그나이트 2set</t>
        </is>
      </c>
      <c r="J6960" s="20" t="inlineStr">
        <is>
          <t>210207</t>
        </is>
      </c>
      <c r="L6960" s="20" t="n">
        <v>58800</v>
      </c>
      <c r="M6960" s="20" t="n">
        <v>55360.2</v>
      </c>
      <c r="N6960" s="20" t="n">
        <v>5506</v>
      </c>
      <c r="O6960" s="20" t="inlineStr">
        <is>
          <t>카페24고체향수솔리드퍼퓸 이그나이트 001제품선택=이그나이트 2개 세트210207</t>
        </is>
      </c>
    </row>
    <row r="6961">
      <c r="B6961" s="16" t="n">
        <v>44304</v>
      </c>
      <c r="C6961" s="20" t="inlineStr">
        <is>
          <t>일</t>
        </is>
      </c>
      <c r="E6961" s="20" t="inlineStr">
        <is>
          <t>고체향수</t>
        </is>
      </c>
      <c r="F6961" s="20" t="inlineStr">
        <is>
          <t>스마트스토어</t>
        </is>
      </c>
      <c r="G6961" s="20" t="inlineStr">
        <is>
          <t>유즈 고체향수 세트(유즈 스테이포에버, 유즈 이그나이트)고체향수: 스테이포에버 1개 + 이그나이트 1개</t>
        </is>
      </c>
      <c r="H6961" s="20" t="n">
        <v>3</v>
      </c>
      <c r="I6961" s="20" t="inlineStr">
        <is>
          <t>이그나이트 + 스테이포에버</t>
        </is>
      </c>
      <c r="J6961" s="20" t="inlineStr">
        <is>
          <t>210207</t>
        </is>
      </c>
      <c r="L6961" s="20" t="n">
        <v>176400</v>
      </c>
      <c r="M6961" s="20" t="n">
        <v>166080.6</v>
      </c>
      <c r="N6961" s="20" t="n">
        <v>16035</v>
      </c>
      <c r="O6961" s="20" t="inlineStr">
        <is>
          <t>스마트스토어고체향수유즈 고체향수 세트(유즈 스테이포에버, 유즈 이그나이트)고체향수: 스테이포에버 1개 + 이그나이트 1개210207</t>
        </is>
      </c>
    </row>
    <row r="6962">
      <c r="B6962" s="16" t="n">
        <v>44304</v>
      </c>
      <c r="C6962" s="20" t="inlineStr">
        <is>
          <t>일</t>
        </is>
      </c>
      <c r="E6962" s="20" t="inlineStr">
        <is>
          <t>고체향수</t>
        </is>
      </c>
      <c r="F6962" s="20" t="inlineStr">
        <is>
          <t>스마트스토어</t>
        </is>
      </c>
      <c r="G6962" s="20" t="inlineStr">
        <is>
          <t>유즈 고체향수 세트(유즈 스테이포에버, 유즈 이그나이트)고체향수: 스테이포에버 2개</t>
        </is>
      </c>
      <c r="H6962" s="20" t="n">
        <v>3</v>
      </c>
      <c r="I6962" s="20" t="inlineStr">
        <is>
          <t>스테이포에버 2set</t>
        </is>
      </c>
      <c r="J6962" s="20" t="inlineStr">
        <is>
          <t>210207</t>
        </is>
      </c>
      <c r="L6962" s="20" t="n">
        <v>176400</v>
      </c>
      <c r="M6962" s="20" t="n">
        <v>172872</v>
      </c>
      <c r="N6962" s="20" t="n">
        <v>15552</v>
      </c>
      <c r="O6962" s="20" t="inlineStr">
        <is>
          <t>스마트스토어고체향수유즈 고체향수 세트(유즈 스테이포에버, 유즈 이그나이트)고체향수: 스테이포에버 2개210207</t>
        </is>
      </c>
    </row>
    <row r="6963">
      <c r="B6963" s="16" t="n">
        <v>44304</v>
      </c>
      <c r="C6963" s="20" t="inlineStr">
        <is>
          <t>일</t>
        </is>
      </c>
      <c r="E6963" s="20" t="inlineStr">
        <is>
          <t>고체향수</t>
        </is>
      </c>
      <c r="F6963" s="20" t="inlineStr">
        <is>
          <t>스마트스토어</t>
        </is>
      </c>
      <c r="G6963" s="20" t="inlineStr">
        <is>
          <t>유즈 고체향수 스테이포에버 002고체향수: 스테이포에버 1개</t>
        </is>
      </c>
      <c r="H6963" s="20" t="n">
        <v>15</v>
      </c>
      <c r="I6963" s="20" t="inlineStr">
        <is>
          <t>스테이포에버</t>
        </is>
      </c>
      <c r="J6963" s="20" t="inlineStr">
        <is>
          <t>210207</t>
        </is>
      </c>
      <c r="L6963" s="20" t="n">
        <v>510000</v>
      </c>
      <c r="M6963" s="20" t="n">
        <v>499800</v>
      </c>
      <c r="N6963" s="20" t="n">
        <v>38880</v>
      </c>
      <c r="O6963" s="20" t="inlineStr">
        <is>
          <t>스마트스토어고체향수유즈 고체향수 스테이포에버 002고체향수: 스테이포에버 1개210207</t>
        </is>
      </c>
    </row>
    <row r="6964">
      <c r="B6964" s="16" t="n">
        <v>44304</v>
      </c>
      <c r="C6964" s="20" t="inlineStr">
        <is>
          <t>일</t>
        </is>
      </c>
      <c r="E6964" s="20" t="inlineStr">
        <is>
          <t>고체향수</t>
        </is>
      </c>
      <c r="F6964" s="20" t="inlineStr">
        <is>
          <t>스마트스토어</t>
        </is>
      </c>
      <c r="G6964" s="20" t="inlineStr">
        <is>
          <t>유즈 고체향수 이그나이트 001고체향수: 이그나이트 1개</t>
        </is>
      </c>
      <c r="H6964" s="20" t="n">
        <v>1</v>
      </c>
      <c r="I6964" s="20" t="inlineStr">
        <is>
          <t>이그나이트</t>
        </is>
      </c>
      <c r="J6964" s="20" t="inlineStr">
        <is>
          <t>210207</t>
        </is>
      </c>
      <c r="L6964" s="20" t="n">
        <v>34000</v>
      </c>
      <c r="M6964" s="20" t="n">
        <v>33320</v>
      </c>
      <c r="N6964" s="20" t="n">
        <v>2753</v>
      </c>
      <c r="O6964" s="20" t="inlineStr">
        <is>
          <t>스마트스토어고체향수유즈 고체향수 이그나이트 001고체향수: 이그나이트 1개210207</t>
        </is>
      </c>
    </row>
    <row r="6965">
      <c r="B6965" s="16" t="n">
        <v>44304</v>
      </c>
      <c r="C6965" s="20" t="inlineStr">
        <is>
          <t>일</t>
        </is>
      </c>
      <c r="E6965" s="20" t="inlineStr">
        <is>
          <t>고체향수</t>
        </is>
      </c>
      <c r="F6965" s="20" t="inlineStr">
        <is>
          <t>카페24</t>
        </is>
      </c>
      <c r="G6965" s="20" t="inlineStr">
        <is>
          <t>솔리드퍼퓸 세트향=이그나이트 001 SOLID PERFUME, 세트 선택=1개</t>
        </is>
      </c>
      <c r="H6965" s="20" t="n">
        <v>2</v>
      </c>
      <c r="I6965" s="20" t="inlineStr">
        <is>
          <t>이그나이트</t>
        </is>
      </c>
      <c r="J6965" s="20" t="inlineStr">
        <is>
          <t>210207</t>
        </is>
      </c>
      <c r="L6965" s="20" t="n">
        <v>68000</v>
      </c>
      <c r="M6965" s="20" t="n">
        <v>64022</v>
      </c>
      <c r="N6965" s="20" t="n">
        <v>5506</v>
      </c>
      <c r="O6965" s="20" t="inlineStr">
        <is>
          <t>카페24고체향수솔리드퍼퓸 세트향=이그나이트 001 SOLID PERFUME, 세트 선택=1개210207</t>
        </is>
      </c>
    </row>
    <row r="6966">
      <c r="B6966" s="16" t="n">
        <v>44304</v>
      </c>
      <c r="C6966" s="20" t="inlineStr">
        <is>
          <t>일</t>
        </is>
      </c>
      <c r="E6966" s="20" t="inlineStr">
        <is>
          <t>고체향수</t>
        </is>
      </c>
      <c r="F6966" s="20" t="inlineStr">
        <is>
          <t>카페24</t>
        </is>
      </c>
      <c r="G6966" s="20" t="inlineStr">
        <is>
          <t>솔리드퍼퓸 세트향=스테이포에버 002 SOLID PERFUME, 세트 선택=1개</t>
        </is>
      </c>
      <c r="H6966" s="20" t="n">
        <v>5</v>
      </c>
      <c r="I6966" s="20" t="inlineStr">
        <is>
          <t>스테이포에버</t>
        </is>
      </c>
      <c r="J6966" s="20" t="inlineStr">
        <is>
          <t>210207</t>
        </is>
      </c>
      <c r="L6966" s="20" t="n">
        <v>170000</v>
      </c>
      <c r="M6966" s="20" t="n">
        <v>160055</v>
      </c>
      <c r="N6966" s="20" t="n">
        <v>12960</v>
      </c>
      <c r="O6966" s="20" t="inlineStr">
        <is>
          <t>카페24고체향수솔리드퍼퓸 세트향=스테이포에버 002 SOLID PERFUME, 세트 선택=1개210207</t>
        </is>
      </c>
    </row>
    <row r="6967">
      <c r="B6967" s="16" t="n">
        <v>44304</v>
      </c>
      <c r="C6967" s="20" t="inlineStr">
        <is>
          <t>일</t>
        </is>
      </c>
      <c r="E6967" s="20" t="inlineStr">
        <is>
          <t>고체향수</t>
        </is>
      </c>
      <c r="F6967" s="20" t="inlineStr">
        <is>
          <t>카페24</t>
        </is>
      </c>
      <c r="G6967" s="20" t="inlineStr">
        <is>
          <t>솔리드퍼퓸 세트향=스테이포에버 002 SOLID PERFUME, 세트 선택=best 2개 (28% 할인)</t>
        </is>
      </c>
      <c r="H6967" s="20" t="n">
        <v>7</v>
      </c>
      <c r="I6967" s="20" t="inlineStr">
        <is>
          <t>스테이포에버 2set</t>
        </is>
      </c>
      <c r="J6967" s="20" t="inlineStr">
        <is>
          <t>210207</t>
        </is>
      </c>
      <c r="L6967" s="20" t="n">
        <v>411600</v>
      </c>
      <c r="M6967" s="20" t="n">
        <v>387521.4</v>
      </c>
      <c r="N6967" s="20" t="n">
        <v>36288</v>
      </c>
      <c r="O6967" s="20" t="inlineStr">
        <is>
          <t>카페24고체향수솔리드퍼퓸 세트향=스테이포에버 002 SOLID PERFUME, 세트 선택=best 2개 (28% 할인)210207</t>
        </is>
      </c>
    </row>
    <row r="6968">
      <c r="B6968" s="16" t="n">
        <v>44304</v>
      </c>
      <c r="C6968" s="20" t="inlineStr">
        <is>
          <t>일</t>
        </is>
      </c>
      <c r="E6968" s="20" t="inlineStr">
        <is>
          <t>고체향수</t>
        </is>
      </c>
      <c r="F6968" s="20" t="inlineStr">
        <is>
          <t>카페24</t>
        </is>
      </c>
      <c r="G6968" s="20" t="inlineStr">
        <is>
          <t>솔리드퍼퓸 세트향=커플세트(이그나이트 + 스테이포에버), 세트 선택=1 SET</t>
        </is>
      </c>
      <c r="H6968" s="20" t="n">
        <v>10</v>
      </c>
      <c r="I6968" s="20" t="inlineStr">
        <is>
          <t>이그나이트 + 스테이포에버</t>
        </is>
      </c>
      <c r="J6968" s="20" t="inlineStr">
        <is>
          <t>210207</t>
        </is>
      </c>
      <c r="L6968" s="20" t="n">
        <v>588000</v>
      </c>
      <c r="M6968" s="20" t="n">
        <v>553602</v>
      </c>
      <c r="N6968" s="20" t="n">
        <v>53450</v>
      </c>
      <c r="O6968" s="20" t="inlineStr">
        <is>
          <t>카페24고체향수솔리드퍼퓸 세트향=커플세트(이그나이트 + 스테이포에버), 세트 선택=1 SET210207</t>
        </is>
      </c>
    </row>
    <row r="6969">
      <c r="B6969" s="16" t="n">
        <v>44304</v>
      </c>
      <c r="C6969" s="20" t="inlineStr">
        <is>
          <t>일</t>
        </is>
      </c>
      <c r="E6969" s="20" t="inlineStr">
        <is>
          <t>고체향수</t>
        </is>
      </c>
      <c r="F6969" s="20" t="inlineStr">
        <is>
          <t>카페24</t>
        </is>
      </c>
      <c r="G6969" s="20" t="inlineStr">
        <is>
          <t>솔리드퍼퓸 세트향=커플세트(이그나이트 + 스테이포에버), 세트 선택=2 SET (42% 할인)</t>
        </is>
      </c>
      <c r="H6969" s="20" t="n">
        <v>2</v>
      </c>
      <c r="I6969" s="20" t="inlineStr">
        <is>
          <t>이그나이트 + 스테이포에버</t>
        </is>
      </c>
      <c r="J6969" s="20" t="inlineStr">
        <is>
          <t>210207</t>
        </is>
      </c>
      <c r="L6969" s="20" t="n">
        <v>117600</v>
      </c>
      <c r="M6969" s="20" t="n">
        <v>110720.4</v>
      </c>
      <c r="N6969" s="20" t="n">
        <v>10690</v>
      </c>
      <c r="O6969" s="20" t="inlineStr">
        <is>
          <t>카페24고체향수솔리드퍼퓸 세트향=커플세트(이그나이트 + 스테이포에버), 세트 선택=2 SET (42% 할인)210207</t>
        </is>
      </c>
    </row>
    <row r="6970">
      <c r="B6970" s="16" t="n">
        <v>44304</v>
      </c>
      <c r="C6970" s="20" t="inlineStr">
        <is>
          <t>일</t>
        </is>
      </c>
      <c r="E6970" s="20" t="inlineStr">
        <is>
          <t>고체향수</t>
        </is>
      </c>
      <c r="F6970" s="20" t="inlineStr">
        <is>
          <t>카페24</t>
        </is>
      </c>
      <c r="G6970" s="20" t="inlineStr">
        <is>
          <t>솔리드퍼퓸 스테이포에버 002제품선택=스테이포에버 1개</t>
        </is>
      </c>
      <c r="H6970" s="20" t="n">
        <v>195</v>
      </c>
      <c r="I6970" s="20" t="inlineStr">
        <is>
          <t>스테이포에버</t>
        </is>
      </c>
      <c r="J6970" s="20" t="inlineStr">
        <is>
          <t>210207</t>
        </is>
      </c>
      <c r="L6970" s="20" t="n">
        <v>6630000</v>
      </c>
      <c r="M6970" s="20" t="n">
        <v>6242145</v>
      </c>
      <c r="N6970" s="20" t="n">
        <v>505440</v>
      </c>
      <c r="O6970" s="20" t="inlineStr">
        <is>
          <t>카페24고체향수솔리드퍼퓸 스테이포에버 002제품선택=스테이포에버 1개210207</t>
        </is>
      </c>
    </row>
    <row r="6971">
      <c r="B6971" s="16" t="n">
        <v>44304</v>
      </c>
      <c r="C6971" s="20" t="inlineStr">
        <is>
          <t>일</t>
        </is>
      </c>
      <c r="E6971" s="20" t="inlineStr">
        <is>
          <t>고체향수</t>
        </is>
      </c>
      <c r="F6971" s="20" t="inlineStr">
        <is>
          <t>카페24</t>
        </is>
      </c>
      <c r="G6971" s="20" t="inlineStr">
        <is>
          <t>솔리드퍼퓸 스테이포에버 002제품선택=best스테이포에버 2개[28% 할인]</t>
        </is>
      </c>
      <c r="H6971" s="20" t="n">
        <v>141</v>
      </c>
      <c r="I6971" s="20" t="inlineStr">
        <is>
          <t>스테이포에버 2set</t>
        </is>
      </c>
      <c r="J6971" s="20" t="inlineStr">
        <is>
          <t>210207</t>
        </is>
      </c>
      <c r="L6971" s="20" t="n">
        <v>8290800</v>
      </c>
      <c r="M6971" s="20" t="n">
        <v>7805788.199999999</v>
      </c>
      <c r="N6971" s="20" t="n">
        <v>730944</v>
      </c>
      <c r="O6971" s="20" t="inlineStr">
        <is>
          <t>카페24고체향수솔리드퍼퓸 스테이포에버 002제품선택=best스테이포에버 2개[28% 할인]210207</t>
        </is>
      </c>
    </row>
    <row r="6972">
      <c r="B6972" s="16" t="n">
        <v>44304</v>
      </c>
      <c r="C6972" s="20" t="inlineStr">
        <is>
          <t>일</t>
        </is>
      </c>
      <c r="E6972" s="20" t="inlineStr">
        <is>
          <t>고체향수</t>
        </is>
      </c>
      <c r="F6972" s="20" t="inlineStr">
        <is>
          <t>카페24</t>
        </is>
      </c>
      <c r="G6972" s="20" t="inlineStr">
        <is>
          <t>솔리드퍼퓸 스테이포에버 002제품선택=커플추천스테이포에버 + 이그나이트 세트</t>
        </is>
      </c>
      <c r="H6972" s="20" t="n">
        <v>15</v>
      </c>
      <c r="I6972" s="20" t="inlineStr">
        <is>
          <t>이그나이트 + 스테이포에버</t>
        </is>
      </c>
      <c r="J6972" s="20" t="inlineStr">
        <is>
          <t>210207</t>
        </is>
      </c>
      <c r="L6972" s="20" t="n">
        <v>882000</v>
      </c>
      <c r="M6972" s="20" t="n">
        <v>830403</v>
      </c>
      <c r="N6972" s="20" t="n">
        <v>80175</v>
      </c>
      <c r="O6972" s="20" t="inlineStr">
        <is>
          <t>카페24고체향수솔리드퍼퓸 스테이포에버 002제품선택=커플추천스테이포에버 + 이그나이트 세트210207</t>
        </is>
      </c>
    </row>
    <row r="6973">
      <c r="B6973" s="16" t="n">
        <v>44304</v>
      </c>
      <c r="C6973" s="20" t="inlineStr">
        <is>
          <t>일</t>
        </is>
      </c>
      <c r="E6973" s="20" t="inlineStr">
        <is>
          <t>쇼핑백</t>
        </is>
      </c>
      <c r="F6973" s="20" t="inlineStr">
        <is>
          <t>카페24</t>
        </is>
      </c>
      <c r="G6973" s="20" t="inlineStr">
        <is>
          <t>솔리드퍼퓸 스테이포에버 002쇼핑백=선물용 쇼핑백</t>
        </is>
      </c>
      <c r="H6973" s="20" t="n">
        <v>7</v>
      </c>
      <c r="I6973" s="20" t="inlineStr">
        <is>
          <t>쇼핑백</t>
        </is>
      </c>
      <c r="J6973" s="20" t="inlineStr">
        <is>
          <t>210207</t>
        </is>
      </c>
      <c r="L6973" s="20" t="n">
        <v>14000</v>
      </c>
      <c r="M6973" s="20" t="n">
        <v>13181</v>
      </c>
      <c r="N6973" s="20" t="n">
        <v>5810</v>
      </c>
      <c r="O6973" s="20" t="inlineStr">
        <is>
          <t>카페24쇼핑백솔리드퍼퓸 스테이포에버 002쇼핑백=선물용 쇼핑백210207</t>
        </is>
      </c>
    </row>
    <row r="6974">
      <c r="B6974" s="16" t="n">
        <v>44304</v>
      </c>
      <c r="C6974" s="20" t="inlineStr">
        <is>
          <t>일</t>
        </is>
      </c>
      <c r="E6974" s="20" t="inlineStr">
        <is>
          <t>고체향수</t>
        </is>
      </c>
      <c r="F6974" s="20" t="inlineStr">
        <is>
          <t>카페24</t>
        </is>
      </c>
      <c r="G6974" s="20" t="inlineStr">
        <is>
          <t>솔리드퍼퓸 이그나이트 001제품선택=이그나이트 솔리드퍼퓸 - 30ml</t>
        </is>
      </c>
      <c r="H6974" s="20" t="n">
        <v>2</v>
      </c>
      <c r="I6974" s="20" t="inlineStr">
        <is>
          <t>이그나이트</t>
        </is>
      </c>
      <c r="J6974" s="20" t="inlineStr">
        <is>
          <t>210207</t>
        </is>
      </c>
      <c r="L6974" s="20" t="n">
        <v>68000</v>
      </c>
      <c r="M6974" s="20" t="n">
        <v>64022</v>
      </c>
      <c r="N6974" s="20" t="n">
        <v>5506</v>
      </c>
      <c r="O6974" s="20" t="inlineStr">
        <is>
          <t>카페24고체향수솔리드퍼퓸 이그나이트 001제품선택=이그나이트 솔리드퍼퓸 - 30ml210207</t>
        </is>
      </c>
    </row>
    <row r="6975">
      <c r="A6975" s="20" t="inlineStr">
        <is>
          <t>고체향수</t>
        </is>
      </c>
      <c r="B6975" s="16" t="n">
        <v>44302</v>
      </c>
      <c r="C6975" s="20" t="inlineStr">
        <is>
          <t>금</t>
        </is>
      </c>
      <c r="D6975" s="20" t="inlineStr">
        <is>
          <t>네이버 배너</t>
        </is>
      </c>
      <c r="E6975" s="20" t="inlineStr">
        <is>
          <t>고체향수</t>
        </is>
      </c>
      <c r="K6975" s="20" t="n">
        <v>1256041.818181818</v>
      </c>
    </row>
    <row r="6976">
      <c r="A6976" s="20" t="inlineStr">
        <is>
          <t>고체향수</t>
        </is>
      </c>
      <c r="B6976" s="16" t="n">
        <v>44303</v>
      </c>
      <c r="C6976" s="20" t="inlineStr">
        <is>
          <t>토</t>
        </is>
      </c>
      <c r="D6976" s="20" t="inlineStr">
        <is>
          <t>네이버 배너</t>
        </is>
      </c>
      <c r="E6976" s="20" t="inlineStr">
        <is>
          <t>고체향수</t>
        </is>
      </c>
      <c r="K6976" s="20" t="n">
        <v>1146555.454545454</v>
      </c>
    </row>
    <row r="6977">
      <c r="A6977" s="20" t="inlineStr">
        <is>
          <t>고체향수</t>
        </is>
      </c>
      <c r="B6977" s="16" t="n">
        <v>44304</v>
      </c>
      <c r="C6977" s="20" t="inlineStr">
        <is>
          <t>일</t>
        </is>
      </c>
      <c r="D6977" s="20" t="inlineStr">
        <is>
          <t>네이버 배너</t>
        </is>
      </c>
      <c r="E6977" s="20" t="inlineStr">
        <is>
          <t>고체향수</t>
        </is>
      </c>
      <c r="K6977" s="20" t="n">
        <v>1211481.818181818</v>
      </c>
    </row>
    <row r="6978">
      <c r="B6978" s="16" t="n">
        <v>44302</v>
      </c>
      <c r="C6978" s="20" t="inlineStr">
        <is>
          <t>금</t>
        </is>
      </c>
      <c r="D6978" s="20" t="inlineStr">
        <is>
          <t>네이버 배너(대행사)</t>
        </is>
      </c>
      <c r="E6978" s="20" t="inlineStr">
        <is>
          <t>고체향수</t>
        </is>
      </c>
      <c r="K6978" s="20">
        <f>278225/1.1</f>
        <v/>
      </c>
    </row>
    <row r="6979">
      <c r="B6979" s="16" t="n">
        <v>44303</v>
      </c>
      <c r="C6979" s="20" t="inlineStr">
        <is>
          <t>토</t>
        </is>
      </c>
      <c r="D6979" s="20" t="inlineStr">
        <is>
          <t>네이버 배너(대행사)</t>
        </is>
      </c>
      <c r="E6979" s="20" t="inlineStr">
        <is>
          <t>고체향수</t>
        </is>
      </c>
      <c r="K6979" s="20">
        <f>554989/1.1</f>
        <v/>
      </c>
    </row>
    <row r="6980">
      <c r="B6980" s="16" t="n">
        <v>44304</v>
      </c>
      <c r="C6980" s="20" t="inlineStr">
        <is>
          <t>일</t>
        </is>
      </c>
      <c r="D6980" s="20" t="inlineStr">
        <is>
          <t>네이버 배너(대행사)</t>
        </is>
      </c>
      <c r="E6980" s="20" t="inlineStr">
        <is>
          <t>고체향수</t>
        </is>
      </c>
      <c r="K6980" s="20">
        <f>821804/1.1</f>
        <v/>
      </c>
    </row>
    <row r="6981">
      <c r="B6981" s="16" t="n">
        <v>44302</v>
      </c>
      <c r="C6981" s="20" t="inlineStr">
        <is>
          <t>금</t>
        </is>
      </c>
      <c r="D6981" s="20" t="inlineStr">
        <is>
          <t>카카오 배너</t>
        </is>
      </c>
      <c r="E6981" s="20" t="inlineStr">
        <is>
          <t>고체향수</t>
        </is>
      </c>
      <c r="K6981" s="20">
        <f>1151535/1.1</f>
        <v/>
      </c>
    </row>
    <row r="6982">
      <c r="B6982" s="16" t="n">
        <v>44303</v>
      </c>
      <c r="C6982" s="20" t="inlineStr">
        <is>
          <t>토</t>
        </is>
      </c>
      <c r="D6982" s="20" t="inlineStr">
        <is>
          <t>카카오 배너</t>
        </is>
      </c>
      <c r="E6982" s="20" t="inlineStr">
        <is>
          <t>고체향수</t>
        </is>
      </c>
      <c r="K6982" s="20">
        <f>1153251/1.1</f>
        <v/>
      </c>
    </row>
    <row r="6983">
      <c r="B6983" s="16" t="n">
        <v>44304</v>
      </c>
      <c r="C6983" s="20" t="inlineStr">
        <is>
          <t>일</t>
        </is>
      </c>
      <c r="D6983" s="20" t="inlineStr">
        <is>
          <t>카카오 배너</t>
        </is>
      </c>
      <c r="E6983" s="20" t="inlineStr">
        <is>
          <t>고체향수</t>
        </is>
      </c>
      <c r="K6983" s="20">
        <f>1154813/1.1</f>
        <v/>
      </c>
    </row>
    <row r="6984">
      <c r="A6984" s="20" t="inlineStr">
        <is>
          <t>[성민 TEST] 스테이포에버_이미지</t>
        </is>
      </c>
      <c r="B6984" s="16" t="n">
        <v>44305</v>
      </c>
      <c r="C6984" s="20" t="inlineStr">
        <is>
          <t>월</t>
        </is>
      </c>
      <c r="D6984" s="20" t="inlineStr">
        <is>
          <t>페이스북/인스타그램</t>
        </is>
      </c>
      <c r="E6984" s="20" t="inlineStr">
        <is>
          <t>고체향수</t>
        </is>
      </c>
      <c r="K6984" s="20" t="n">
        <v>65082</v>
      </c>
    </row>
    <row r="6985">
      <c r="A6985" s="20" t="inlineStr">
        <is>
          <t>[승무원]유튜브_스테이포에버_카드뉴스</t>
        </is>
      </c>
      <c r="B6985" s="16" t="n">
        <v>44305</v>
      </c>
      <c r="C6985" s="20" t="inlineStr">
        <is>
          <t>월</t>
        </is>
      </c>
      <c r="D6985" s="20" t="inlineStr">
        <is>
          <t>페이스북/인스타그램</t>
        </is>
      </c>
      <c r="E6985" s="20" t="inlineStr">
        <is>
          <t>고체향수</t>
        </is>
      </c>
      <c r="K6985" s="20" t="n">
        <v>29439</v>
      </c>
    </row>
    <row r="6986">
      <c r="A6986" s="20" t="inlineStr">
        <is>
          <t>[올리브영] 이그나이트_영상</t>
        </is>
      </c>
      <c r="B6986" s="16" t="n">
        <v>44305</v>
      </c>
      <c r="C6986" s="20" t="inlineStr">
        <is>
          <t>월</t>
        </is>
      </c>
      <c r="D6986" s="20" t="inlineStr">
        <is>
          <t>페이스북/인스타그램</t>
        </is>
      </c>
      <c r="E6986" s="20" t="inlineStr">
        <is>
          <t>고체향수</t>
        </is>
      </c>
      <c r="K6986" s="20" t="n">
        <v>30596</v>
      </c>
    </row>
    <row r="6987">
      <c r="A6987" s="20" t="inlineStr">
        <is>
          <t>[승희 TEST] 솔리드퍼퓸_이미지</t>
        </is>
      </c>
      <c r="B6987" s="16" t="n">
        <v>44305</v>
      </c>
      <c r="C6987" s="20" t="inlineStr">
        <is>
          <t>월</t>
        </is>
      </c>
      <c r="D6987" s="20">
        <f>VLOOKUP($A6987,매칭테이블!$B$548:$D$1048576,2,0)</f>
        <v/>
      </c>
      <c r="E6987" s="20" t="inlineStr">
        <is>
          <t>고체향수</t>
        </is>
      </c>
      <c r="K6987" s="20" t="n">
        <v>59418</v>
      </c>
    </row>
    <row r="6988">
      <c r="A6988" s="20" t="inlineStr">
        <is>
          <t>[올리브영] 스테이포에버_영상</t>
        </is>
      </c>
      <c r="B6988" s="16" t="n">
        <v>44305</v>
      </c>
      <c r="C6988" s="20" t="inlineStr">
        <is>
          <t>월</t>
        </is>
      </c>
      <c r="D6988" s="20" t="inlineStr">
        <is>
          <t>페이스북/인스타그램</t>
        </is>
      </c>
      <c r="E6988" s="20" t="inlineStr">
        <is>
          <t>고체향수</t>
        </is>
      </c>
      <c r="K6988" s="20" t="n">
        <v>50035</v>
      </c>
    </row>
    <row r="6989">
      <c r="A6989" s="20" t="inlineStr">
        <is>
          <t>[올리브영] 스테이포에버_이미지</t>
        </is>
      </c>
      <c r="B6989" s="16" t="n">
        <v>44305</v>
      </c>
      <c r="C6989" s="20" t="inlineStr">
        <is>
          <t>월</t>
        </is>
      </c>
      <c r="D6989" s="20" t="inlineStr">
        <is>
          <t>페이스북/인스타그램</t>
        </is>
      </c>
      <c r="E6989" s="20" t="inlineStr">
        <is>
          <t>고체향수</t>
        </is>
      </c>
      <c r="K6989" s="20" t="n">
        <v>30062</v>
      </c>
    </row>
    <row r="6990">
      <c r="A6990" s="20" t="inlineStr">
        <is>
          <t>[승무원] 유튜브재편집_스테이포에버_영상</t>
        </is>
      </c>
      <c r="B6990" s="16" t="n">
        <v>44305</v>
      </c>
      <c r="C6990" s="20" t="inlineStr">
        <is>
          <t>월</t>
        </is>
      </c>
      <c r="D6990" s="20" t="inlineStr">
        <is>
          <t>페이스북/인스타그램</t>
        </is>
      </c>
      <c r="E6990" s="20" t="inlineStr">
        <is>
          <t>고체향수</t>
        </is>
      </c>
      <c r="K6990" s="20" t="n">
        <v>333391</v>
      </c>
    </row>
    <row r="6991">
      <c r="A6991" s="20" t="inlineStr">
        <is>
          <t>[다현 TEST] 스테이포에버_유즈모먼트</t>
        </is>
      </c>
      <c r="B6991" s="16" t="n">
        <v>44305</v>
      </c>
      <c r="C6991" s="20" t="inlineStr">
        <is>
          <t>월</t>
        </is>
      </c>
      <c r="D6991" s="20" t="inlineStr">
        <is>
          <t>페이스북/인스타그램</t>
        </is>
      </c>
      <c r="E6991" s="20" t="inlineStr">
        <is>
          <t>고체향수</t>
        </is>
      </c>
      <c r="K6991" s="20" t="n">
        <v>33396</v>
      </c>
    </row>
    <row r="6992">
      <c r="A6992" s="20" t="inlineStr">
        <is>
          <t>[승무원 면세점] 스테이포에버_카드뉴스</t>
        </is>
      </c>
      <c r="B6992" s="16" t="n">
        <v>44305</v>
      </c>
      <c r="C6992" s="20" t="inlineStr">
        <is>
          <t>월</t>
        </is>
      </c>
      <c r="D6992" s="20" t="inlineStr">
        <is>
          <t>페이스북/인스타그램</t>
        </is>
      </c>
      <c r="E6992" s="20" t="inlineStr">
        <is>
          <t>고체향수</t>
        </is>
      </c>
      <c r="K6992" s="20" t="n">
        <v>440568</v>
      </c>
    </row>
    <row r="6993">
      <c r="A6993" s="20" t="inlineStr">
        <is>
          <t>[카페알바] 스테이포에버_카드뉴스</t>
        </is>
      </c>
      <c r="B6993" s="16" t="n">
        <v>44305</v>
      </c>
      <c r="C6993" s="20" t="inlineStr">
        <is>
          <t>월</t>
        </is>
      </c>
      <c r="D6993" s="20">
        <f>VLOOKUP($A6993,매칭테이블!$B$548:$D$1048576,2,0)</f>
        <v/>
      </c>
      <c r="E6993" s="20" t="inlineStr">
        <is>
          <t>고체향수</t>
        </is>
      </c>
      <c r="K6993" s="20" t="n">
        <v>234839</v>
      </c>
    </row>
    <row r="6994">
      <c r="A6994" s="20" t="inlineStr">
        <is>
          <t>[승무원 2] 스테이포에버_카드뉴스</t>
        </is>
      </c>
      <c r="B6994" s="16" t="n">
        <v>44305</v>
      </c>
      <c r="C6994" s="20" t="inlineStr">
        <is>
          <t>월</t>
        </is>
      </c>
      <c r="D6994" s="20" t="inlineStr">
        <is>
          <t>페이스북/인스타그램</t>
        </is>
      </c>
      <c r="E6994" s="20" t="inlineStr">
        <is>
          <t>고체향수</t>
        </is>
      </c>
      <c r="K6994" s="20" t="n">
        <v>14373</v>
      </c>
    </row>
    <row r="6995">
      <c r="A6995" s="20" t="inlineStr">
        <is>
          <t>[아줌마]스테이포에버_이미지</t>
        </is>
      </c>
      <c r="B6995" s="16" t="n">
        <v>44305</v>
      </c>
      <c r="C6995" s="20" t="inlineStr">
        <is>
          <t>월</t>
        </is>
      </c>
      <c r="D6995" s="20">
        <f>VLOOKUP($A6995,매칭테이블!$B$548:$D$1048576,2,0)</f>
        <v/>
      </c>
      <c r="E6995" s="20" t="inlineStr">
        <is>
          <t>고체향수</t>
        </is>
      </c>
      <c r="K6995" s="20" t="n">
        <v>91715</v>
      </c>
    </row>
    <row r="6996">
      <c r="A6996" s="20" t="inlineStr">
        <is>
          <t>[다양한 키워드] 스테이포에버_이미지</t>
        </is>
      </c>
      <c r="B6996" s="16" t="n">
        <v>44305</v>
      </c>
      <c r="C6996" s="20" t="inlineStr">
        <is>
          <t>월</t>
        </is>
      </c>
      <c r="D6996" s="20" t="inlineStr">
        <is>
          <t>페이스북/인스타그램</t>
        </is>
      </c>
      <c r="E6996" s="20" t="inlineStr">
        <is>
          <t>고체향수</t>
        </is>
      </c>
      <c r="K6996" s="20" t="n">
        <v>250230</v>
      </c>
    </row>
    <row r="6997">
      <c r="A6997" s="20" t="inlineStr">
        <is>
          <t>[재입고]스테이포에버_이미지</t>
        </is>
      </c>
      <c r="B6997" s="16" t="n">
        <v>44305</v>
      </c>
      <c r="C6997" s="20" t="inlineStr">
        <is>
          <t>월</t>
        </is>
      </c>
      <c r="D6997" s="20" t="inlineStr">
        <is>
          <t>페이스북/인스타그램</t>
        </is>
      </c>
      <c r="E6997" s="20" t="inlineStr">
        <is>
          <t>고체향수</t>
        </is>
      </c>
      <c r="K6997" s="20" t="n">
        <v>131399</v>
      </c>
    </row>
    <row r="6998">
      <c r="A6998" s="20" t="inlineStr">
        <is>
          <t>[승무원]숏폼_영상</t>
        </is>
      </c>
      <c r="B6998" s="16" t="n">
        <v>44305</v>
      </c>
      <c r="C6998" s="20" t="inlineStr">
        <is>
          <t>월</t>
        </is>
      </c>
      <c r="D6998" s="20" t="inlineStr">
        <is>
          <t>페이스북/인스타그램</t>
        </is>
      </c>
      <c r="E6998" s="20" t="inlineStr">
        <is>
          <t>고체향수</t>
        </is>
      </c>
      <c r="K6998" s="20" t="n">
        <v>50017</v>
      </c>
    </row>
    <row r="6999">
      <c r="A6999" s="20" t="inlineStr">
        <is>
          <t>[재입고]스테이포에버_영상</t>
        </is>
      </c>
      <c r="B6999" s="16" t="n">
        <v>44305</v>
      </c>
      <c r="C6999" s="20" t="inlineStr">
        <is>
          <t>월</t>
        </is>
      </c>
      <c r="D6999" s="20" t="inlineStr">
        <is>
          <t>페이스북/인스타그램</t>
        </is>
      </c>
      <c r="E6999" s="20" t="inlineStr">
        <is>
          <t>고체향수</t>
        </is>
      </c>
      <c r="K6999" s="20" t="n">
        <v>195198</v>
      </c>
    </row>
    <row r="7000">
      <c r="A7000" s="20" t="inlineStr">
        <is>
          <t>[승무원]2019년썰 카드뉴스+ 향묘사_영상</t>
        </is>
      </c>
      <c r="B7000" s="16" t="n">
        <v>44305</v>
      </c>
      <c r="C7000" s="20" t="inlineStr">
        <is>
          <t>월</t>
        </is>
      </c>
      <c r="D7000" s="20" t="inlineStr">
        <is>
          <t>페이스북/인스타그램</t>
        </is>
      </c>
      <c r="E7000" s="20" t="inlineStr">
        <is>
          <t>고체향수</t>
        </is>
      </c>
      <c r="K7000" s="20" t="n">
        <v>30309</v>
      </c>
    </row>
    <row r="7001">
      <c r="A7001" s="20" t="inlineStr">
        <is>
          <t>[승무원어피]스테이포에버_이미지</t>
        </is>
      </c>
      <c r="B7001" s="16" t="n">
        <v>44305</v>
      </c>
      <c r="C7001" s="20" t="inlineStr">
        <is>
          <t>월</t>
        </is>
      </c>
      <c r="D7001" s="20" t="inlineStr">
        <is>
          <t>페이스북/인스타그램</t>
        </is>
      </c>
      <c r="E7001" s="20" t="inlineStr">
        <is>
          <t>고체향수</t>
        </is>
      </c>
      <c r="K7001" s="20" t="n">
        <v>68942</v>
      </c>
    </row>
    <row r="7002">
      <c r="A7002" s="20" t="inlineStr">
        <is>
          <t>[다현]스테이포에버_이미지</t>
        </is>
      </c>
      <c r="B7002" s="16" t="n">
        <v>44305</v>
      </c>
      <c r="C7002" s="20" t="inlineStr">
        <is>
          <t>월</t>
        </is>
      </c>
      <c r="D7002" s="20" t="inlineStr">
        <is>
          <t>페이스북/인스타그램</t>
        </is>
      </c>
      <c r="E7002" s="20" t="inlineStr">
        <is>
          <t>고체향수</t>
        </is>
      </c>
      <c r="K7002" s="20" t="n">
        <v>145953</v>
      </c>
    </row>
    <row r="7003">
      <c r="A7003" s="20" t="inlineStr">
        <is>
          <t>[승무원]스테이포에버_카드뉴스</t>
        </is>
      </c>
      <c r="B7003" s="16" t="n">
        <v>44305</v>
      </c>
      <c r="C7003" s="20" t="inlineStr">
        <is>
          <t>월</t>
        </is>
      </c>
      <c r="D7003" s="20" t="inlineStr">
        <is>
          <t>페이스북/인스타그램</t>
        </is>
      </c>
      <c r="E7003" s="20" t="inlineStr">
        <is>
          <t>고체향수</t>
        </is>
      </c>
      <c r="K7003" s="20" t="n">
        <v>30241</v>
      </c>
    </row>
    <row r="7004">
      <c r="A7004" s="20" t="inlineStr">
        <is>
          <t>[후기타입]스테이포에버_영상</t>
        </is>
      </c>
      <c r="B7004" s="16" t="n">
        <v>44305</v>
      </c>
      <c r="C7004" s="20" t="inlineStr">
        <is>
          <t>월</t>
        </is>
      </c>
      <c r="D7004" s="20" t="inlineStr">
        <is>
          <t>페이스북/인스타그램</t>
        </is>
      </c>
      <c r="E7004" s="20" t="inlineStr">
        <is>
          <t>고체향수</t>
        </is>
      </c>
      <c r="K7004" s="20" t="n">
        <v>150251</v>
      </c>
    </row>
    <row r="7005">
      <c r="A7005" s="20" t="inlineStr">
        <is>
          <t>전환_스테이포에버</t>
        </is>
      </c>
      <c r="B7005" s="16" t="n">
        <v>44305</v>
      </c>
      <c r="C7005" s="20" t="inlineStr">
        <is>
          <t>월</t>
        </is>
      </c>
      <c r="D7005" s="20" t="inlineStr">
        <is>
          <t>페이스북/인스타그램</t>
        </is>
      </c>
      <c r="E7005" s="20" t="inlineStr">
        <is>
          <t>고체향수</t>
        </is>
      </c>
      <c r="K7005" s="20" t="n">
        <v>70068</v>
      </c>
    </row>
    <row r="7006">
      <c r="A7006" s="20" t="inlineStr">
        <is>
          <t>[권태기커플]스테이포에버_영상</t>
        </is>
      </c>
      <c r="B7006" s="16" t="n">
        <v>44305</v>
      </c>
      <c r="C7006" s="20" t="inlineStr">
        <is>
          <t>월</t>
        </is>
      </c>
      <c r="D7006" s="20" t="inlineStr">
        <is>
          <t>페이스북/인스타그램</t>
        </is>
      </c>
      <c r="E7006" s="20" t="inlineStr">
        <is>
          <t>고체향수</t>
        </is>
      </c>
      <c r="K7006" s="20" t="n">
        <v>30152</v>
      </c>
    </row>
    <row r="7007">
      <c r="A7007" s="20" t="inlineStr">
        <is>
          <t>웹사이트 트래픽 서치</t>
        </is>
      </c>
      <c r="B7007" s="16" t="n">
        <v>44305</v>
      </c>
      <c r="C7007" s="20" t="inlineStr">
        <is>
          <t>월</t>
        </is>
      </c>
      <c r="D7007" s="20" t="inlineStr">
        <is>
          <t>유튜브 광고</t>
        </is>
      </c>
      <c r="E7007" s="20" t="inlineStr">
        <is>
          <t>고체향수</t>
        </is>
      </c>
      <c r="K7007" s="20" t="n">
        <v>30948</v>
      </c>
    </row>
    <row r="7008">
      <c r="A7008" s="20" t="inlineStr">
        <is>
          <t>동영상캠페인_승무원_보이는 라디오(cpa)</t>
        </is>
      </c>
      <c r="B7008" s="16" t="n">
        <v>44305</v>
      </c>
      <c r="C7008" s="20" t="inlineStr">
        <is>
          <t>월</t>
        </is>
      </c>
      <c r="D7008" s="20" t="inlineStr">
        <is>
          <t>유튜브 광고</t>
        </is>
      </c>
      <c r="E7008" s="20" t="inlineStr">
        <is>
          <t>고체향수</t>
        </is>
      </c>
      <c r="K7008" s="20" t="n">
        <v>11612</v>
      </c>
    </row>
    <row r="7009">
      <c r="A7009" s="20" t="inlineStr">
        <is>
          <t>디스커버리 배너_승무원,할인_리마케팅</t>
        </is>
      </c>
      <c r="B7009" s="16" t="n">
        <v>44305</v>
      </c>
      <c r="C7009" s="20" t="inlineStr">
        <is>
          <t>월</t>
        </is>
      </c>
      <c r="D7009" s="20" t="inlineStr">
        <is>
          <t>유튜브 광고</t>
        </is>
      </c>
      <c r="E7009" s="20" t="inlineStr">
        <is>
          <t>고체향수</t>
        </is>
      </c>
      <c r="K7009" s="20" t="n">
        <v>457018</v>
      </c>
    </row>
    <row r="7010">
      <c r="A7010" s="20" t="inlineStr">
        <is>
          <t>동영상캠페인_승무원_써니스카이</t>
        </is>
      </c>
      <c r="B7010" s="16" t="n">
        <v>44305</v>
      </c>
      <c r="C7010" s="20" t="inlineStr">
        <is>
          <t>월</t>
        </is>
      </c>
      <c r="D7010" s="20" t="inlineStr">
        <is>
          <t>유튜브 광고</t>
        </is>
      </c>
      <c r="E7010" s="20" t="inlineStr">
        <is>
          <t>고체향수</t>
        </is>
      </c>
      <c r="K7010" s="20" t="n">
        <v>101115</v>
      </c>
    </row>
    <row r="7011">
      <c r="A7011" s="20" t="inlineStr">
        <is>
          <t>동영상캠페인_필라테스_자기관리(타겟 cpa)</t>
        </is>
      </c>
      <c r="B7011" s="16" t="n">
        <v>44305</v>
      </c>
      <c r="C7011" s="20" t="inlineStr">
        <is>
          <t>월</t>
        </is>
      </c>
      <c r="D7011" s="20" t="inlineStr">
        <is>
          <t>유튜브 광고</t>
        </is>
      </c>
      <c r="E7011" s="20" t="inlineStr">
        <is>
          <t>고체향수</t>
        </is>
      </c>
      <c r="K7011" s="20" t="n">
        <v>107896</v>
      </c>
    </row>
    <row r="7012">
      <c r="A7012" s="20" t="inlineStr">
        <is>
          <t>동영상캠페인_승무원_비누향 나는 승무원에게(cpa)</t>
        </is>
      </c>
      <c r="B7012" s="16" t="n">
        <v>44305</v>
      </c>
      <c r="C7012" s="20" t="inlineStr">
        <is>
          <t>월</t>
        </is>
      </c>
      <c r="D7012" s="20" t="inlineStr">
        <is>
          <t>유튜브 광고</t>
        </is>
      </c>
      <c r="E7012" s="20" t="inlineStr">
        <is>
          <t>고체향수</t>
        </is>
      </c>
      <c r="K7012" s="20" t="n">
        <v>6638</v>
      </c>
    </row>
    <row r="7013">
      <c r="A7013" s="20" t="inlineStr">
        <is>
          <t>동영상캠페인_유즈모먼트_조향사 친구(cpa)</t>
        </is>
      </c>
      <c r="B7013" s="16" t="n">
        <v>44305</v>
      </c>
      <c r="C7013" s="20" t="inlineStr">
        <is>
          <t>월</t>
        </is>
      </c>
      <c r="D7013" s="20" t="inlineStr">
        <is>
          <t>유튜브 광고</t>
        </is>
      </c>
      <c r="E7013" s="20" t="inlineStr">
        <is>
          <t>고체향수</t>
        </is>
      </c>
      <c r="K7013" s="20" t="n">
        <v>99579</v>
      </c>
    </row>
    <row r="7014">
      <c r="A7014" s="20" t="inlineStr">
        <is>
          <t>동영상 캠페인_유튜버 수지큐 2차활용_리마케팅</t>
        </is>
      </c>
      <c r="B7014" s="16" t="n">
        <v>44305</v>
      </c>
      <c r="C7014" s="20" t="inlineStr">
        <is>
          <t>월</t>
        </is>
      </c>
      <c r="D7014" s="20" t="inlineStr">
        <is>
          <t>유튜브 광고</t>
        </is>
      </c>
      <c r="E7014" s="20" t="inlineStr">
        <is>
          <t>고체향수</t>
        </is>
      </c>
      <c r="K7014" s="20" t="n">
        <v>72703</v>
      </c>
    </row>
    <row r="7015">
      <c r="A7015" s="20" t="inlineStr">
        <is>
          <t>[5화자] 동영상 캠페인_벨라의 비행일기</t>
        </is>
      </c>
      <c r="B7015" s="16" t="n">
        <v>44305</v>
      </c>
      <c r="C7015" s="20" t="inlineStr">
        <is>
          <t>월</t>
        </is>
      </c>
      <c r="D7015" s="20" t="inlineStr">
        <is>
          <t>유튜브 광고</t>
        </is>
      </c>
      <c r="E7015" s="20" t="inlineStr">
        <is>
          <t>고체향수</t>
        </is>
      </c>
      <c r="K7015" s="20" t="n">
        <v>414116</v>
      </c>
    </row>
    <row r="7016">
      <c r="A7016" s="20" t="inlineStr">
        <is>
          <t>[5화자] 동영상 캠페인_비행하고 여행하는 은선씨</t>
        </is>
      </c>
      <c r="B7016" s="16" t="n">
        <v>44305</v>
      </c>
      <c r="C7016" s="20" t="inlineStr">
        <is>
          <t>월</t>
        </is>
      </c>
      <c r="D7016" s="20" t="inlineStr">
        <is>
          <t>유튜브 광고</t>
        </is>
      </c>
      <c r="E7016" s="20" t="inlineStr">
        <is>
          <t>고체향수</t>
        </is>
      </c>
      <c r="K7016" s="20" t="n">
        <v>413918</v>
      </c>
    </row>
    <row r="7017">
      <c r="A7017" s="20" t="inlineStr">
        <is>
          <t>[5화자 재편집] 승무원_벨라_면세점에서 천만원</t>
        </is>
      </c>
      <c r="B7017" s="16" t="n">
        <v>44305</v>
      </c>
      <c r="C7017" s="20" t="inlineStr">
        <is>
          <t>월</t>
        </is>
      </c>
      <c r="D7017" s="20" t="inlineStr">
        <is>
          <t>유튜브 광고</t>
        </is>
      </c>
      <c r="E7017" s="20" t="inlineStr">
        <is>
          <t>고체향수</t>
        </is>
      </c>
      <c r="K7017" s="20" t="n">
        <v>310727</v>
      </c>
    </row>
    <row r="7018">
      <c r="A7018" s="20" t="inlineStr">
        <is>
          <t>동영상캠페인_유즈모먼트_면세점뒤졌는데</t>
        </is>
      </c>
      <c r="B7018" s="16" t="n">
        <v>44305</v>
      </c>
      <c r="C7018" s="20" t="inlineStr">
        <is>
          <t>월</t>
        </is>
      </c>
      <c r="D7018" s="20" t="inlineStr">
        <is>
          <t>유튜브 광고</t>
        </is>
      </c>
      <c r="E7018" s="20" t="inlineStr">
        <is>
          <t>고체향수</t>
        </is>
      </c>
      <c r="K7018" s="20" t="n">
        <v>311295</v>
      </c>
    </row>
    <row r="7019">
      <c r="A7019" s="20" t="inlineStr">
        <is>
          <t>메인키워드</t>
        </is>
      </c>
      <c r="B7019" s="16" t="n">
        <v>44305</v>
      </c>
      <c r="C7019" s="20" t="inlineStr">
        <is>
          <t>월</t>
        </is>
      </c>
      <c r="D7019" s="20" t="inlineStr">
        <is>
          <t>네이버 쇼핑검색</t>
        </is>
      </c>
      <c r="E7019" s="20" t="inlineStr">
        <is>
          <t>고체향수</t>
        </is>
      </c>
      <c r="K7019" s="20" t="n">
        <v>12960</v>
      </c>
    </row>
    <row r="7020">
      <c r="A7020" s="20" t="inlineStr">
        <is>
          <t>세부키워드1</t>
        </is>
      </c>
      <c r="B7020" s="16" t="n">
        <v>44305</v>
      </c>
      <c r="C7020" s="20" t="inlineStr">
        <is>
          <t>월</t>
        </is>
      </c>
      <c r="D7020" s="20" t="inlineStr">
        <is>
          <t>네이버 쇼핑검색</t>
        </is>
      </c>
      <c r="E7020" s="20" t="inlineStr">
        <is>
          <t>고체향수</t>
        </is>
      </c>
      <c r="K7020" s="20" t="n">
        <v>160</v>
      </c>
    </row>
    <row r="7021">
      <c r="A7021" s="20" t="inlineStr">
        <is>
          <t>세부키워드3</t>
        </is>
      </c>
      <c r="B7021" s="16" t="n">
        <v>44305</v>
      </c>
      <c r="C7021" s="20" t="inlineStr">
        <is>
          <t>월</t>
        </is>
      </c>
      <c r="D7021" s="20" t="inlineStr">
        <is>
          <t>네이버 쇼핑검색</t>
        </is>
      </c>
      <c r="E7021" s="20" t="inlineStr">
        <is>
          <t>고체향수</t>
        </is>
      </c>
      <c r="K7021" s="20" t="n">
        <v>123510</v>
      </c>
    </row>
    <row r="7022">
      <c r="A7022" s="20" t="inlineStr">
        <is>
          <t>모바일 브검</t>
        </is>
      </c>
      <c r="B7022" s="16" t="n">
        <v>44305</v>
      </c>
      <c r="C7022" s="20" t="inlineStr">
        <is>
          <t>월</t>
        </is>
      </c>
      <c r="D7022" s="20" t="inlineStr">
        <is>
          <t>네이버 브랜드검색</t>
        </is>
      </c>
      <c r="E7022" s="20" t="inlineStr">
        <is>
          <t>브랜드</t>
        </is>
      </c>
      <c r="K7022" s="20" t="n">
        <v>140000</v>
      </c>
    </row>
    <row r="7023">
      <c r="A7023" s="20" t="inlineStr">
        <is>
          <t>PC 브랜드검색</t>
        </is>
      </c>
      <c r="B7023" s="16" t="n">
        <v>44305</v>
      </c>
      <c r="C7023" s="20" t="inlineStr">
        <is>
          <t>월</t>
        </is>
      </c>
      <c r="D7023" s="20" t="inlineStr">
        <is>
          <t>네이버 브랜드검색</t>
        </is>
      </c>
      <c r="E7023" s="20" t="inlineStr">
        <is>
          <t>브랜드</t>
        </is>
      </c>
      <c r="K7023" s="20" t="n">
        <v>16700</v>
      </c>
    </row>
    <row r="7024">
      <c r="A7024" s="20" t="inlineStr">
        <is>
          <t>고체향수_승무원 어피_Npay 추적</t>
        </is>
      </c>
      <c r="B7024" s="16" t="n">
        <v>44305</v>
      </c>
      <c r="C7024" s="20" t="inlineStr">
        <is>
          <t>월</t>
        </is>
      </c>
      <c r="D7024" s="20" t="inlineStr">
        <is>
          <t>카카오 배너</t>
        </is>
      </c>
      <c r="E7024" s="20" t="inlineStr">
        <is>
          <t>고체향수</t>
        </is>
      </c>
      <c r="K7024" s="20" t="n">
        <v>180800</v>
      </c>
    </row>
    <row r="7025">
      <c r="A7025" s="20" t="inlineStr">
        <is>
          <t>고체향수_Npay 추적</t>
        </is>
      </c>
      <c r="B7025" s="16" t="n">
        <v>44305</v>
      </c>
      <c r="C7025" s="20" t="inlineStr">
        <is>
          <t>월</t>
        </is>
      </c>
      <c r="D7025" s="20" t="inlineStr">
        <is>
          <t>카카오 배너</t>
        </is>
      </c>
      <c r="E7025" s="20" t="inlineStr">
        <is>
          <t>고체향수</t>
        </is>
      </c>
      <c r="K7025" s="20" t="n">
        <v>909189.9999999999</v>
      </c>
    </row>
    <row r="7026">
      <c r="B7026" s="16" t="n">
        <v>44305</v>
      </c>
      <c r="C7026" s="20" t="inlineStr">
        <is>
          <t>월</t>
        </is>
      </c>
      <c r="E7026" s="20" t="inlineStr">
        <is>
          <t>고체향수</t>
        </is>
      </c>
      <c r="F7026" s="20" t="inlineStr">
        <is>
          <t>W컨셉</t>
        </is>
      </c>
      <c r="G7026" s="20" t="inlineStr">
        <is>
          <t>솔리드퍼퓸 이그나이트/스테이포에버 30ml (2종 택1)&lt;옵션1&gt;002 STAY FOREVER</t>
        </is>
      </c>
      <c r="H7026" s="20" t="n">
        <v>16</v>
      </c>
      <c r="I7026" s="20" t="inlineStr">
        <is>
          <t>스테이포에버</t>
        </is>
      </c>
      <c r="J7026" s="20" t="inlineStr">
        <is>
          <t>210207</t>
        </is>
      </c>
      <c r="L7026" s="20" t="n">
        <v>544000</v>
      </c>
      <c r="M7026" s="20" t="n">
        <v>380800</v>
      </c>
      <c r="N7026" s="20" t="n">
        <v>41472</v>
      </c>
      <c r="O7026" s="20" t="inlineStr">
        <is>
          <t>W컨셉고체향수솔리드퍼퓸 이그나이트/스테이포에버 30ml (2종 택1)&lt;옵션1&gt;002 STAY FOREVER210207</t>
        </is>
      </c>
    </row>
    <row r="7027">
      <c r="B7027" s="16" t="n">
        <v>44305</v>
      </c>
      <c r="C7027" s="20" t="inlineStr">
        <is>
          <t>월</t>
        </is>
      </c>
      <c r="E7027" s="20" t="inlineStr">
        <is>
          <t>고체향수</t>
        </is>
      </c>
      <c r="F7027" s="20" t="inlineStr">
        <is>
          <t>W컨셉</t>
        </is>
      </c>
      <c r="G7027" s="20" t="inlineStr">
        <is>
          <t>솔리드퍼퓸 이그나이트/스테이포에버 30ml (2종 택1)&lt;옵션1&gt;IGNITE + STAY FOREVER</t>
        </is>
      </c>
      <c r="H7027" s="20" t="n">
        <v>2</v>
      </c>
      <c r="I7027" s="20" t="inlineStr">
        <is>
          <t>이그나이트 + 스테이포에버</t>
        </is>
      </c>
      <c r="J7027" s="20" t="inlineStr">
        <is>
          <t>210207</t>
        </is>
      </c>
      <c r="L7027" s="20" t="n">
        <v>117600</v>
      </c>
      <c r="M7027" s="20" t="n">
        <v>94080</v>
      </c>
      <c r="N7027" s="20" t="n">
        <v>10690</v>
      </c>
      <c r="O7027" s="20" t="inlineStr">
        <is>
          <t>W컨셉고체향수솔리드퍼퓸 이그나이트/스테이포에버 30ml (2종 택1)&lt;옵션1&gt;IGNITE + STAY FOREVER210207</t>
        </is>
      </c>
    </row>
    <row r="7028">
      <c r="B7028" s="16" t="n">
        <v>44305</v>
      </c>
      <c r="C7028" s="20" t="inlineStr">
        <is>
          <t>월</t>
        </is>
      </c>
      <c r="E7028" s="20" t="inlineStr">
        <is>
          <t>고체향수</t>
        </is>
      </c>
      <c r="F7028" s="20" t="inlineStr">
        <is>
          <t>스마트스토어</t>
        </is>
      </c>
      <c r="G7028" s="20" t="inlineStr">
        <is>
          <t>유즈 고체향수 세트(유즈 스테이포에버, 유즈 이그나이트)고체향수: 스테이포에버 1개</t>
        </is>
      </c>
      <c r="H7028" s="20" t="n">
        <v>1</v>
      </c>
      <c r="I7028" s="20" t="inlineStr">
        <is>
          <t>스테이포에버</t>
        </is>
      </c>
      <c r="J7028" s="20" t="inlineStr">
        <is>
          <t>210207</t>
        </is>
      </c>
      <c r="L7028" s="20" t="n">
        <v>34000</v>
      </c>
      <c r="M7028" s="20" t="n">
        <v>33320</v>
      </c>
      <c r="N7028" s="20" t="n">
        <v>2592</v>
      </c>
      <c r="O7028" s="20" t="inlineStr">
        <is>
          <t>스마트스토어고체향수유즈 고체향수 세트(유즈 스테이포에버, 유즈 이그나이트)고체향수: 스테이포에버 1개210207</t>
        </is>
      </c>
    </row>
    <row r="7029">
      <c r="B7029" s="16" t="n">
        <v>44305</v>
      </c>
      <c r="C7029" s="20" t="inlineStr">
        <is>
          <t>월</t>
        </is>
      </c>
      <c r="E7029" s="20" t="inlineStr">
        <is>
          <t>고체향수</t>
        </is>
      </c>
      <c r="F7029" s="20" t="inlineStr">
        <is>
          <t>스마트스토어</t>
        </is>
      </c>
      <c r="G7029" s="20" t="inlineStr">
        <is>
          <t>유즈 고체향수 세트(유즈 스테이포에버, 유즈 이그나이트)고체향수: 스테이포에버 1개 + 이그나이트 1개</t>
        </is>
      </c>
      <c r="H7029" s="20" t="n">
        <v>4</v>
      </c>
      <c r="I7029" s="20" t="inlineStr">
        <is>
          <t>이그나이트 + 스테이포에버</t>
        </is>
      </c>
      <c r="J7029" s="20" t="inlineStr">
        <is>
          <t>210207</t>
        </is>
      </c>
      <c r="L7029" s="20" t="n">
        <v>235200</v>
      </c>
      <c r="M7029" s="20" t="n">
        <v>221440.8</v>
      </c>
      <c r="N7029" s="20" t="n">
        <v>21380</v>
      </c>
      <c r="O7029" s="20" t="inlineStr">
        <is>
          <t>스마트스토어고체향수유즈 고체향수 세트(유즈 스테이포에버, 유즈 이그나이트)고체향수: 스테이포에버 1개 + 이그나이트 1개210207</t>
        </is>
      </c>
    </row>
    <row r="7030">
      <c r="B7030" s="16" t="n">
        <v>44305</v>
      </c>
      <c r="C7030" s="20" t="inlineStr">
        <is>
          <t>월</t>
        </is>
      </c>
      <c r="E7030" s="20" t="inlineStr">
        <is>
          <t>고체향수</t>
        </is>
      </c>
      <c r="F7030" s="20" t="inlineStr">
        <is>
          <t>스마트스토어</t>
        </is>
      </c>
      <c r="G7030" s="20" t="inlineStr">
        <is>
          <t>유즈 고체향수 세트(유즈 스테이포에버, 유즈 이그나이트)고체향수: 스테이포에버 2개</t>
        </is>
      </c>
      <c r="H7030" s="20" t="n">
        <v>3</v>
      </c>
      <c r="I7030" s="20" t="inlineStr">
        <is>
          <t>스테이포에버 2set</t>
        </is>
      </c>
      <c r="J7030" s="20" t="inlineStr">
        <is>
          <t>210207</t>
        </is>
      </c>
      <c r="L7030" s="20" t="n">
        <v>176400</v>
      </c>
      <c r="M7030" s="20" t="n">
        <v>172872</v>
      </c>
      <c r="N7030" s="20" t="n">
        <v>15552</v>
      </c>
      <c r="O7030" s="20" t="inlineStr">
        <is>
          <t>스마트스토어고체향수유즈 고체향수 세트(유즈 스테이포에버, 유즈 이그나이트)고체향수: 스테이포에버 2개210207</t>
        </is>
      </c>
    </row>
    <row r="7031">
      <c r="B7031" s="16" t="n">
        <v>44305</v>
      </c>
      <c r="C7031" s="20" t="inlineStr">
        <is>
          <t>월</t>
        </is>
      </c>
      <c r="E7031" s="20" t="inlineStr">
        <is>
          <t>고체향수</t>
        </is>
      </c>
      <c r="F7031" s="20" t="inlineStr">
        <is>
          <t>스마트스토어</t>
        </is>
      </c>
      <c r="G7031" s="20" t="inlineStr">
        <is>
          <t>유즈 고체향수 스테이포에버 002고체향수: 스테이포에버 1개</t>
        </is>
      </c>
      <c r="H7031" s="20" t="n">
        <v>17</v>
      </c>
      <c r="I7031" s="20" t="inlineStr">
        <is>
          <t>스테이포에버</t>
        </is>
      </c>
      <c r="J7031" s="20" t="inlineStr">
        <is>
          <t>210207</t>
        </is>
      </c>
      <c r="L7031" s="20" t="n">
        <v>578000</v>
      </c>
      <c r="M7031" s="20" t="n">
        <v>566440</v>
      </c>
      <c r="N7031" s="20" t="n">
        <v>44064</v>
      </c>
      <c r="O7031" s="20" t="inlineStr">
        <is>
          <t>스마트스토어고체향수유즈 고체향수 스테이포에버 002고체향수: 스테이포에버 1개210207</t>
        </is>
      </c>
    </row>
    <row r="7032">
      <c r="B7032" s="16" t="n">
        <v>44305</v>
      </c>
      <c r="C7032" s="20" t="inlineStr">
        <is>
          <t>월</t>
        </is>
      </c>
      <c r="E7032" s="20" t="inlineStr">
        <is>
          <t>고체향수</t>
        </is>
      </c>
      <c r="F7032" s="20" t="inlineStr">
        <is>
          <t>카페24</t>
        </is>
      </c>
      <c r="G7032" s="20" t="inlineStr">
        <is>
          <t>솔리드퍼퓸 세트향=이그나이트 001 SOLID PERFUME, 세트 선택=1개</t>
        </is>
      </c>
      <c r="H7032" s="20" t="n">
        <v>2</v>
      </c>
      <c r="I7032" s="20" t="inlineStr">
        <is>
          <t>이그나이트</t>
        </is>
      </c>
      <c r="J7032" s="20" t="inlineStr">
        <is>
          <t>210207</t>
        </is>
      </c>
      <c r="L7032" s="20" t="n">
        <v>68000</v>
      </c>
      <c r="M7032" s="20" t="n">
        <v>64022</v>
      </c>
      <c r="N7032" s="20" t="n">
        <v>5506</v>
      </c>
      <c r="O7032" s="20" t="inlineStr">
        <is>
          <t>카페24고체향수솔리드퍼퓸 세트향=이그나이트 001 SOLID PERFUME, 세트 선택=1개210207</t>
        </is>
      </c>
    </row>
    <row r="7033">
      <c r="B7033" s="16" t="n">
        <v>44305</v>
      </c>
      <c r="C7033" s="20" t="inlineStr">
        <is>
          <t>월</t>
        </is>
      </c>
      <c r="E7033" s="20" t="inlineStr">
        <is>
          <t>고체향수</t>
        </is>
      </c>
      <c r="F7033" s="20" t="inlineStr">
        <is>
          <t>카페24</t>
        </is>
      </c>
      <c r="G7033" s="20" t="inlineStr">
        <is>
          <t>솔리드퍼퓸 세트향=스테이포에버 002 SOLID PERFUME, 세트 선택=1개</t>
        </is>
      </c>
      <c r="H7033" s="20" t="n">
        <v>4</v>
      </c>
      <c r="I7033" s="20" t="inlineStr">
        <is>
          <t>스테이포에버</t>
        </is>
      </c>
      <c r="J7033" s="20" t="inlineStr">
        <is>
          <t>210207</t>
        </is>
      </c>
      <c r="L7033" s="20" t="n">
        <v>136000</v>
      </c>
      <c r="M7033" s="20" t="n">
        <v>128044</v>
      </c>
      <c r="N7033" s="20" t="n">
        <v>10368</v>
      </c>
      <c r="O7033" s="20" t="inlineStr">
        <is>
          <t>카페24고체향수솔리드퍼퓸 세트향=스테이포에버 002 SOLID PERFUME, 세트 선택=1개210207</t>
        </is>
      </c>
    </row>
    <row r="7034">
      <c r="B7034" s="16" t="n">
        <v>44305</v>
      </c>
      <c r="C7034" s="20" t="inlineStr">
        <is>
          <t>월</t>
        </is>
      </c>
      <c r="E7034" s="20" t="inlineStr">
        <is>
          <t>고체향수</t>
        </is>
      </c>
      <c r="F7034" s="20" t="inlineStr">
        <is>
          <t>카페24</t>
        </is>
      </c>
      <c r="G7034" s="20" t="inlineStr">
        <is>
          <t>솔리드퍼퓸 세트향=스테이포에버 002 SOLID PERFUME, 세트 선택=best 2개 (28% 할인)</t>
        </is>
      </c>
      <c r="H7034" s="20" t="n">
        <v>9</v>
      </c>
      <c r="I7034" s="20" t="inlineStr">
        <is>
          <t>스테이포에버 2set</t>
        </is>
      </c>
      <c r="J7034" s="20" t="inlineStr">
        <is>
          <t>210207</t>
        </is>
      </c>
      <c r="L7034" s="20" t="n">
        <v>529200</v>
      </c>
      <c r="M7034" s="20" t="n">
        <v>498241.8</v>
      </c>
      <c r="N7034" s="20" t="n">
        <v>46656</v>
      </c>
      <c r="O7034" s="20" t="inlineStr">
        <is>
          <t>카페24고체향수솔리드퍼퓸 세트향=스테이포에버 002 SOLID PERFUME, 세트 선택=best 2개 (28% 할인)210207</t>
        </is>
      </c>
    </row>
    <row r="7035">
      <c r="B7035" s="16" t="n">
        <v>44305</v>
      </c>
      <c r="C7035" s="20" t="inlineStr">
        <is>
          <t>월</t>
        </is>
      </c>
      <c r="E7035" s="20" t="inlineStr">
        <is>
          <t>고체향수</t>
        </is>
      </c>
      <c r="F7035" s="20" t="inlineStr">
        <is>
          <t>카페24</t>
        </is>
      </c>
      <c r="G7035" s="20" t="inlineStr">
        <is>
          <t>솔리드퍼퓸 세트향=커플세트(이그나이트 + 스테이포에버), 세트 선택=1 SET</t>
        </is>
      </c>
      <c r="H7035" s="20" t="n">
        <v>17</v>
      </c>
      <c r="I7035" s="20" t="inlineStr">
        <is>
          <t>이그나이트 + 스테이포에버</t>
        </is>
      </c>
      <c r="J7035" s="20" t="inlineStr">
        <is>
          <t>210207</t>
        </is>
      </c>
      <c r="L7035" s="20" t="n">
        <v>999600</v>
      </c>
      <c r="M7035" s="20" t="n">
        <v>941123.3999999999</v>
      </c>
      <c r="N7035" s="20" t="n">
        <v>90865</v>
      </c>
      <c r="O7035" s="20" t="inlineStr">
        <is>
          <t>카페24고체향수솔리드퍼퓸 세트향=커플세트(이그나이트 + 스테이포에버), 세트 선택=1 SET210207</t>
        </is>
      </c>
    </row>
    <row r="7036">
      <c r="B7036" s="16" t="n">
        <v>44305</v>
      </c>
      <c r="C7036" s="20" t="inlineStr">
        <is>
          <t>월</t>
        </is>
      </c>
      <c r="E7036" s="20" t="inlineStr">
        <is>
          <t>고체향수</t>
        </is>
      </c>
      <c r="F7036" s="20" t="inlineStr">
        <is>
          <t>카페24</t>
        </is>
      </c>
      <c r="G7036" s="20" t="inlineStr">
        <is>
          <t>솔리드퍼퓸 세트향=커플세트(이그나이트 + 스테이포에버), 세트 선택=2 SET (42% 할인)</t>
        </is>
      </c>
      <c r="H7036" s="20" t="n">
        <v>2</v>
      </c>
      <c r="I7036" s="20" t="inlineStr">
        <is>
          <t>이그나이트 + 스테이포에버</t>
        </is>
      </c>
      <c r="J7036" s="20" t="inlineStr">
        <is>
          <t>210207</t>
        </is>
      </c>
      <c r="L7036" s="20" t="n">
        <v>117600</v>
      </c>
      <c r="M7036" s="20" t="n">
        <v>110720.4</v>
      </c>
      <c r="N7036" s="20" t="n">
        <v>10690</v>
      </c>
      <c r="O7036" s="20" t="inlineStr">
        <is>
          <t>카페24고체향수솔리드퍼퓸 세트향=커플세트(이그나이트 + 스테이포에버), 세트 선택=2 SET (42% 할인)210207</t>
        </is>
      </c>
    </row>
    <row r="7037">
      <c r="B7037" s="16" t="n">
        <v>44305</v>
      </c>
      <c r="C7037" s="20" t="inlineStr">
        <is>
          <t>월</t>
        </is>
      </c>
      <c r="E7037" s="20" t="inlineStr">
        <is>
          <t>고체향수</t>
        </is>
      </c>
      <c r="F7037" s="20" t="inlineStr">
        <is>
          <t>카페24</t>
        </is>
      </c>
      <c r="G7037" s="20" t="inlineStr">
        <is>
          <t>솔리드퍼퓸 스테이포에버 002제품선택=스테이포에버 1개</t>
        </is>
      </c>
      <c r="H7037" s="20" t="n">
        <v>195</v>
      </c>
      <c r="I7037" s="20" t="inlineStr">
        <is>
          <t>스테이포에버</t>
        </is>
      </c>
      <c r="J7037" s="20" t="inlineStr">
        <is>
          <t>210207</t>
        </is>
      </c>
      <c r="L7037" s="20" t="n">
        <v>6630000</v>
      </c>
      <c r="M7037" s="20" t="n">
        <v>6242145</v>
      </c>
      <c r="N7037" s="20" t="n">
        <v>505440</v>
      </c>
      <c r="O7037" s="20" t="inlineStr">
        <is>
          <t>카페24고체향수솔리드퍼퓸 스테이포에버 002제품선택=스테이포에버 1개210207</t>
        </is>
      </c>
    </row>
    <row r="7038">
      <c r="B7038" s="16" t="n">
        <v>44305</v>
      </c>
      <c r="C7038" s="20" t="inlineStr">
        <is>
          <t>월</t>
        </is>
      </c>
      <c r="E7038" s="20" t="inlineStr">
        <is>
          <t>고체향수</t>
        </is>
      </c>
      <c r="F7038" s="20" t="inlineStr">
        <is>
          <t>카페24</t>
        </is>
      </c>
      <c r="G7038" s="20" t="inlineStr">
        <is>
          <t>솔리드퍼퓸 스테이포에버 002제품선택=best스테이포에버 2개[28% 할인]</t>
        </is>
      </c>
      <c r="H7038" s="20" t="n">
        <v>121</v>
      </c>
      <c r="I7038" s="20" t="inlineStr">
        <is>
          <t>스테이포에버 2set</t>
        </is>
      </c>
      <c r="J7038" s="20" t="inlineStr">
        <is>
          <t>210207</t>
        </is>
      </c>
      <c r="L7038" s="20" t="n">
        <v>7114800</v>
      </c>
      <c r="M7038" s="20" t="n">
        <v>6698584.199999999</v>
      </c>
      <c r="N7038" s="20" t="n">
        <v>627264</v>
      </c>
      <c r="O7038" s="20" t="inlineStr">
        <is>
          <t>카페24고체향수솔리드퍼퓸 스테이포에버 002제품선택=best스테이포에버 2개[28% 할인]210207</t>
        </is>
      </c>
    </row>
    <row r="7039">
      <c r="B7039" s="16" t="n">
        <v>44305</v>
      </c>
      <c r="C7039" s="20" t="inlineStr">
        <is>
          <t>월</t>
        </is>
      </c>
      <c r="E7039" s="20" t="inlineStr">
        <is>
          <t>고체향수</t>
        </is>
      </c>
      <c r="F7039" s="20" t="inlineStr">
        <is>
          <t>카페24</t>
        </is>
      </c>
      <c r="G7039" s="20" t="inlineStr">
        <is>
          <t>솔리드퍼퓸 스테이포에버 002제품선택=커플추천스테이포에버 + 이그나이트 세트</t>
        </is>
      </c>
      <c r="H7039" s="20" t="n">
        <v>11</v>
      </c>
      <c r="I7039" s="20" t="inlineStr">
        <is>
          <t>이그나이트 + 스테이포에버</t>
        </is>
      </c>
      <c r="J7039" s="20" t="inlineStr">
        <is>
          <t>210207</t>
        </is>
      </c>
      <c r="L7039" s="20" t="n">
        <v>646800</v>
      </c>
      <c r="M7039" s="20" t="n">
        <v>608962.2</v>
      </c>
      <c r="N7039" s="20" t="n">
        <v>58795</v>
      </c>
      <c r="O7039" s="20" t="inlineStr">
        <is>
          <t>카페24고체향수솔리드퍼퓸 스테이포에버 002제품선택=커플추천스테이포에버 + 이그나이트 세트210207</t>
        </is>
      </c>
    </row>
    <row r="7040">
      <c r="B7040" s="16" t="n">
        <v>44305</v>
      </c>
      <c r="C7040" s="20" t="inlineStr">
        <is>
          <t>월</t>
        </is>
      </c>
      <c r="E7040" s="20" t="inlineStr">
        <is>
          <t>쇼핑백</t>
        </is>
      </c>
      <c r="F7040" s="20" t="inlineStr">
        <is>
          <t>카페24</t>
        </is>
      </c>
      <c r="G7040" s="20" t="inlineStr">
        <is>
          <t>솔리드퍼퓸 스테이포에버 002쇼핑백=선물용 쇼핑백</t>
        </is>
      </c>
      <c r="H7040" s="20" t="n">
        <v>7</v>
      </c>
      <c r="I7040" s="20" t="inlineStr">
        <is>
          <t>쇼핑백</t>
        </is>
      </c>
      <c r="J7040" s="20" t="inlineStr">
        <is>
          <t>210207</t>
        </is>
      </c>
      <c r="L7040" s="20" t="n">
        <v>14000</v>
      </c>
      <c r="M7040" s="20" t="n">
        <v>13181</v>
      </c>
      <c r="N7040" s="20" t="n">
        <v>5810</v>
      </c>
      <c r="O7040" s="20" t="inlineStr">
        <is>
          <t>카페24쇼핑백솔리드퍼퓸 스테이포에버 002쇼핑백=선물용 쇼핑백210207</t>
        </is>
      </c>
    </row>
    <row r="7041">
      <c r="B7041" s="16" t="n">
        <v>44305</v>
      </c>
      <c r="C7041" s="20" t="inlineStr">
        <is>
          <t>월</t>
        </is>
      </c>
      <c r="E7041" s="20" t="inlineStr">
        <is>
          <t>고체향수</t>
        </is>
      </c>
      <c r="F7041" s="20" t="inlineStr">
        <is>
          <t>카페24</t>
        </is>
      </c>
      <c r="G7041" s="20" t="inlineStr">
        <is>
          <t>솔리드퍼퓸 이그나이트 001제품선택=이그나이트 솔리드퍼퓸 - 30ml</t>
        </is>
      </c>
      <c r="H7041" s="20" t="n">
        <v>3</v>
      </c>
      <c r="I7041" s="20" t="inlineStr">
        <is>
          <t>이그나이트</t>
        </is>
      </c>
      <c r="J7041" s="20" t="inlineStr">
        <is>
          <t>210207</t>
        </is>
      </c>
      <c r="L7041" s="20" t="n">
        <v>102000</v>
      </c>
      <c r="M7041" s="20" t="n">
        <v>96033</v>
      </c>
      <c r="N7041" s="20" t="n">
        <v>8259</v>
      </c>
      <c r="O7041" s="20" t="inlineStr">
        <is>
          <t>카페24고체향수솔리드퍼퓸 이그나이트 001제품선택=이그나이트 솔리드퍼퓸 - 30ml210207</t>
        </is>
      </c>
    </row>
    <row r="7042">
      <c r="B7042" s="16" t="n">
        <v>44305</v>
      </c>
      <c r="C7042" s="20" t="inlineStr">
        <is>
          <t>월</t>
        </is>
      </c>
      <c r="E7042" s="20" t="inlineStr">
        <is>
          <t>고체향수</t>
        </is>
      </c>
      <c r="F7042" s="20" t="inlineStr">
        <is>
          <t>카페24</t>
        </is>
      </c>
      <c r="G7042" s="20" t="inlineStr">
        <is>
          <t>솔리드퍼퓸 이그나이트 001제품선택=이그나이트 2개 세트</t>
        </is>
      </c>
      <c r="H7042" s="20" t="n">
        <v>1</v>
      </c>
      <c r="I7042" s="20" t="inlineStr">
        <is>
          <t>이그나이트 2set</t>
        </is>
      </c>
      <c r="J7042" s="20" t="inlineStr">
        <is>
          <t>210207</t>
        </is>
      </c>
      <c r="L7042" s="20" t="n">
        <v>58800</v>
      </c>
      <c r="M7042" s="20" t="n">
        <v>55360.2</v>
      </c>
      <c r="N7042" s="20" t="n">
        <v>5506</v>
      </c>
      <c r="O7042" s="20" t="inlineStr">
        <is>
          <t>카페24고체향수솔리드퍼퓸 이그나이트 001제품선택=이그나이트 2개 세트210207</t>
        </is>
      </c>
    </row>
    <row r="7043">
      <c r="B7043" s="16" t="n">
        <v>44305</v>
      </c>
      <c r="C7043" s="20" t="inlineStr">
        <is>
          <t>월</t>
        </is>
      </c>
      <c r="E7043" s="20" t="inlineStr">
        <is>
          <t>고체향수</t>
        </is>
      </c>
      <c r="F7043" s="20" t="inlineStr">
        <is>
          <t>카페24</t>
        </is>
      </c>
      <c r="G7043" s="20" t="inlineStr">
        <is>
          <t>유즈 솔리드퍼퓸 세트향=스테이포에버 002 SOLID PERFUME, 세트 선택=1개</t>
        </is>
      </c>
      <c r="H7043" s="20" t="n">
        <v>1</v>
      </c>
      <c r="I7043" s="20" t="inlineStr">
        <is>
          <t>스테이포에버</t>
        </is>
      </c>
      <c r="J7043" s="20" t="inlineStr">
        <is>
          <t>210207</t>
        </is>
      </c>
      <c r="L7043" s="20" t="n">
        <v>34000</v>
      </c>
      <c r="M7043" s="20" t="n">
        <v>32011</v>
      </c>
      <c r="N7043" s="20" t="n">
        <v>2592</v>
      </c>
      <c r="O7043" s="20" t="inlineStr">
        <is>
          <t>카페24고체향수유즈 솔리드퍼퓸 세트향=스테이포에버 002 SOLID PERFUME, 세트 선택=1개210207</t>
        </is>
      </c>
    </row>
    <row r="7044">
      <c r="A7044" s="20" t="inlineStr">
        <is>
          <t>고체향수</t>
        </is>
      </c>
      <c r="B7044" s="16" t="n">
        <v>44305</v>
      </c>
      <c r="C7044" s="20" t="inlineStr">
        <is>
          <t>월</t>
        </is>
      </c>
      <c r="D7044" s="20" t="inlineStr">
        <is>
          <t>네이버 배너</t>
        </is>
      </c>
      <c r="E7044" s="20" t="inlineStr">
        <is>
          <t>고체향수</t>
        </is>
      </c>
      <c r="K7044" s="20" t="n">
        <v>1189122.727272727</v>
      </c>
    </row>
    <row r="7045">
      <c r="A7045" s="20" t="inlineStr">
        <is>
          <t>[수현 TEST] 솔리드퍼퓸_이미지</t>
        </is>
      </c>
      <c r="B7045" s="16" t="n">
        <v>44306</v>
      </c>
      <c r="C7045" s="20" t="inlineStr">
        <is>
          <t>화</t>
        </is>
      </c>
      <c r="D7045" s="20">
        <f>VLOOKUP($A7045,매칭테이블!$B$548:$D$1048576,2,0)</f>
        <v/>
      </c>
      <c r="E7045" s="20" t="inlineStr">
        <is>
          <t>고체향수</t>
        </is>
      </c>
      <c r="K7045" s="20" t="n">
        <v>12424</v>
      </c>
    </row>
    <row r="7046">
      <c r="A7046" s="20" t="inlineStr">
        <is>
          <t>[승은 TEST] 스테이포에버</t>
        </is>
      </c>
      <c r="B7046" s="16" t="n">
        <v>44306</v>
      </c>
      <c r="C7046" s="20" t="inlineStr">
        <is>
          <t>화</t>
        </is>
      </c>
      <c r="D7046" s="20" t="inlineStr">
        <is>
          <t>페이스북/인스타그램</t>
        </is>
      </c>
      <c r="E7046" s="20" t="inlineStr">
        <is>
          <t>고체향수</t>
        </is>
      </c>
      <c r="K7046" s="20" t="n">
        <v>99198</v>
      </c>
    </row>
    <row r="7047">
      <c r="A7047" s="20" t="inlineStr">
        <is>
          <t>[성민 TEST] 솔리드퍼퓸_이미지</t>
        </is>
      </c>
      <c r="B7047" s="16" t="n">
        <v>44306</v>
      </c>
      <c r="C7047" s="20" t="inlineStr">
        <is>
          <t>화</t>
        </is>
      </c>
      <c r="D7047" s="20">
        <f>VLOOKUP($A7047,매칭테이블!$B$548:$D$1048576,2,0)</f>
        <v/>
      </c>
      <c r="E7047" s="20" t="inlineStr">
        <is>
          <t>고체향수</t>
        </is>
      </c>
      <c r="K7047" s="20" t="n">
        <v>66794</v>
      </c>
    </row>
    <row r="7048">
      <c r="A7048" s="20" t="inlineStr">
        <is>
          <t>[승무원]유튜브_스테이포에버_카드뉴스</t>
        </is>
      </c>
      <c r="B7048" s="16" t="n">
        <v>44306</v>
      </c>
      <c r="C7048" s="20" t="inlineStr">
        <is>
          <t>화</t>
        </is>
      </c>
      <c r="D7048" s="20" t="inlineStr">
        <is>
          <t>페이스북/인스타그램</t>
        </is>
      </c>
      <c r="E7048" s="20" t="inlineStr">
        <is>
          <t>고체향수</t>
        </is>
      </c>
      <c r="K7048" s="20" t="n">
        <v>28265</v>
      </c>
    </row>
    <row r="7049">
      <c r="A7049" s="20" t="inlineStr">
        <is>
          <t>[올리브영] 이그나이트_영상</t>
        </is>
      </c>
      <c r="B7049" s="16" t="n">
        <v>44306</v>
      </c>
      <c r="C7049" s="20" t="inlineStr">
        <is>
          <t>화</t>
        </is>
      </c>
      <c r="D7049" s="20" t="inlineStr">
        <is>
          <t>페이스북/인스타그램</t>
        </is>
      </c>
      <c r="E7049" s="20" t="inlineStr">
        <is>
          <t>고체향수</t>
        </is>
      </c>
      <c r="K7049" s="20" t="n">
        <v>28330</v>
      </c>
    </row>
    <row r="7050">
      <c r="A7050" s="20" t="inlineStr">
        <is>
          <t>[승희 TEST] 솔리드퍼퓸_이미지</t>
        </is>
      </c>
      <c r="B7050" s="16" t="n">
        <v>44306</v>
      </c>
      <c r="C7050" s="20" t="inlineStr">
        <is>
          <t>화</t>
        </is>
      </c>
      <c r="D7050" s="20">
        <f>VLOOKUP($A7050,매칭테이블!$B$548:$D$1048576,2,0)</f>
        <v/>
      </c>
      <c r="E7050" s="20" t="inlineStr">
        <is>
          <t>고체향수</t>
        </is>
      </c>
      <c r="K7050" s="20" t="n">
        <v>75385</v>
      </c>
    </row>
    <row r="7051">
      <c r="A7051" s="20" t="inlineStr">
        <is>
          <t>[올리브영] 스테이포에버_영상</t>
        </is>
      </c>
      <c r="B7051" s="16" t="n">
        <v>44306</v>
      </c>
      <c r="C7051" s="20" t="inlineStr">
        <is>
          <t>화</t>
        </is>
      </c>
      <c r="D7051" s="20" t="inlineStr">
        <is>
          <t>페이스북/인스타그램</t>
        </is>
      </c>
      <c r="E7051" s="20" t="inlineStr">
        <is>
          <t>고체향수</t>
        </is>
      </c>
      <c r="K7051" s="20" t="n">
        <v>48569</v>
      </c>
    </row>
    <row r="7052">
      <c r="A7052" s="20" t="inlineStr">
        <is>
          <t>[올리브영] 스테이포에버_이미지</t>
        </is>
      </c>
      <c r="B7052" s="16" t="n">
        <v>44306</v>
      </c>
      <c r="C7052" s="20" t="inlineStr">
        <is>
          <t>화</t>
        </is>
      </c>
      <c r="D7052" s="20" t="inlineStr">
        <is>
          <t>페이스북/인스타그램</t>
        </is>
      </c>
      <c r="E7052" s="20" t="inlineStr">
        <is>
          <t>고체향수</t>
        </is>
      </c>
      <c r="K7052" s="20" t="n">
        <v>28547</v>
      </c>
    </row>
    <row r="7053">
      <c r="A7053" s="20" t="inlineStr">
        <is>
          <t>[승무원] 유튜브재편집_스테이포에버_영상</t>
        </is>
      </c>
      <c r="B7053" s="16" t="n">
        <v>44306</v>
      </c>
      <c r="C7053" s="20" t="inlineStr">
        <is>
          <t>화</t>
        </is>
      </c>
      <c r="D7053" s="20" t="inlineStr">
        <is>
          <t>페이스북/인스타그램</t>
        </is>
      </c>
      <c r="E7053" s="20" t="inlineStr">
        <is>
          <t>고체향수</t>
        </is>
      </c>
      <c r="K7053" s="20" t="n">
        <v>363751</v>
      </c>
    </row>
    <row r="7054">
      <c r="A7054" s="20" t="inlineStr">
        <is>
          <t>[다현 TEST] 스테이포에버_유즈모먼트</t>
        </is>
      </c>
      <c r="B7054" s="16" t="n">
        <v>44306</v>
      </c>
      <c r="C7054" s="20" t="inlineStr">
        <is>
          <t>화</t>
        </is>
      </c>
      <c r="D7054" s="20" t="inlineStr">
        <is>
          <t>페이스북/인스타그램</t>
        </is>
      </c>
      <c r="E7054" s="20" t="inlineStr">
        <is>
          <t>고체향수</t>
        </is>
      </c>
      <c r="K7054" s="20" t="n">
        <v>29762</v>
      </c>
    </row>
    <row r="7055">
      <c r="A7055" s="20" t="inlineStr">
        <is>
          <t>[승무원 면세점] 스테이포에버_카드뉴스</t>
        </is>
      </c>
      <c r="B7055" s="16" t="n">
        <v>44306</v>
      </c>
      <c r="C7055" s="20" t="inlineStr">
        <is>
          <t>화</t>
        </is>
      </c>
      <c r="D7055" s="20" t="inlineStr">
        <is>
          <t>페이스북/인스타그램</t>
        </is>
      </c>
      <c r="E7055" s="20" t="inlineStr">
        <is>
          <t>고체향수</t>
        </is>
      </c>
      <c r="K7055" s="20" t="n">
        <v>245742</v>
      </c>
    </row>
    <row r="7056">
      <c r="A7056" s="20" t="inlineStr">
        <is>
          <t>[카페알바] 스테이포에버_카드뉴스</t>
        </is>
      </c>
      <c r="B7056" s="16" t="n">
        <v>44306</v>
      </c>
      <c r="C7056" s="20" t="inlineStr">
        <is>
          <t>화</t>
        </is>
      </c>
      <c r="D7056" s="20">
        <f>VLOOKUP($A7056,매칭테이블!$B$548:$D$1048576,2,0)</f>
        <v/>
      </c>
      <c r="E7056" s="20" t="inlineStr">
        <is>
          <t>고체향수</t>
        </is>
      </c>
      <c r="K7056" s="20" t="n">
        <v>177580</v>
      </c>
    </row>
    <row r="7057">
      <c r="A7057" s="20" t="inlineStr">
        <is>
          <t>[아줌마]스테이포에버_이미지</t>
        </is>
      </c>
      <c r="B7057" s="16" t="n">
        <v>44306</v>
      </c>
      <c r="C7057" s="20" t="inlineStr">
        <is>
          <t>화</t>
        </is>
      </c>
      <c r="D7057" s="20">
        <f>VLOOKUP($A7057,매칭테이블!$B$548:$D$1048576,2,0)</f>
        <v/>
      </c>
      <c r="E7057" s="20" t="inlineStr">
        <is>
          <t>고체향수</t>
        </is>
      </c>
      <c r="K7057" s="20" t="n">
        <v>97324</v>
      </c>
    </row>
    <row r="7058">
      <c r="A7058" s="20" t="inlineStr">
        <is>
          <t>[다양한 키워드] 스테이포에버_이미지</t>
        </is>
      </c>
      <c r="B7058" s="16" t="n">
        <v>44306</v>
      </c>
      <c r="C7058" s="20" t="inlineStr">
        <is>
          <t>화</t>
        </is>
      </c>
      <c r="D7058" s="20" t="inlineStr">
        <is>
          <t>페이스북/인스타그램</t>
        </is>
      </c>
      <c r="E7058" s="20" t="inlineStr">
        <is>
          <t>고체향수</t>
        </is>
      </c>
      <c r="K7058" s="20" t="n">
        <v>244035</v>
      </c>
    </row>
    <row r="7059">
      <c r="A7059" s="20" t="inlineStr">
        <is>
          <t>[재입고]스테이포에버_이미지</t>
        </is>
      </c>
      <c r="B7059" s="16" t="n">
        <v>44306</v>
      </c>
      <c r="C7059" s="20" t="inlineStr">
        <is>
          <t>화</t>
        </is>
      </c>
      <c r="D7059" s="20" t="inlineStr">
        <is>
          <t>페이스북/인스타그램</t>
        </is>
      </c>
      <c r="E7059" s="20" t="inlineStr">
        <is>
          <t>고체향수</t>
        </is>
      </c>
      <c r="K7059" s="20" t="n">
        <v>61227</v>
      </c>
    </row>
    <row r="7060">
      <c r="A7060" s="20" t="inlineStr">
        <is>
          <t>[승무원]숏폼_영상</t>
        </is>
      </c>
      <c r="B7060" s="16" t="n">
        <v>44306</v>
      </c>
      <c r="C7060" s="20" t="inlineStr">
        <is>
          <t>화</t>
        </is>
      </c>
      <c r="D7060" s="20" t="inlineStr">
        <is>
          <t>페이스북/인스타그램</t>
        </is>
      </c>
      <c r="E7060" s="20" t="inlineStr">
        <is>
          <t>고체향수</t>
        </is>
      </c>
      <c r="K7060" s="20" t="n">
        <v>48998</v>
      </c>
    </row>
    <row r="7061">
      <c r="A7061" s="20" t="inlineStr">
        <is>
          <t>[재입고]스테이포에버_영상</t>
        </is>
      </c>
      <c r="B7061" s="16" t="n">
        <v>44306</v>
      </c>
      <c r="C7061" s="20" t="inlineStr">
        <is>
          <t>화</t>
        </is>
      </c>
      <c r="D7061" s="20" t="inlineStr">
        <is>
          <t>페이스북/인스타그램</t>
        </is>
      </c>
      <c r="E7061" s="20" t="inlineStr">
        <is>
          <t>고체향수</t>
        </is>
      </c>
      <c r="K7061" s="20" t="n">
        <v>194983</v>
      </c>
    </row>
    <row r="7062">
      <c r="A7062" s="20" t="inlineStr">
        <is>
          <t>[승무원]2019년썰 카드뉴스+ 향묘사_영상</t>
        </is>
      </c>
      <c r="B7062" s="16" t="n">
        <v>44306</v>
      </c>
      <c r="C7062" s="20" t="inlineStr">
        <is>
          <t>화</t>
        </is>
      </c>
      <c r="D7062" s="20" t="inlineStr">
        <is>
          <t>페이스북/인스타그램</t>
        </is>
      </c>
      <c r="E7062" s="20" t="inlineStr">
        <is>
          <t>고체향수</t>
        </is>
      </c>
      <c r="K7062" s="20" t="n">
        <v>29087</v>
      </c>
    </row>
    <row r="7063">
      <c r="A7063" s="20" t="inlineStr">
        <is>
          <t>[승무원어피]스테이포에버_이미지</t>
        </is>
      </c>
      <c r="B7063" s="16" t="n">
        <v>44306</v>
      </c>
      <c r="C7063" s="20" t="inlineStr">
        <is>
          <t>화</t>
        </is>
      </c>
      <c r="D7063" s="20" t="inlineStr">
        <is>
          <t>페이스북/인스타그램</t>
        </is>
      </c>
      <c r="E7063" s="20" t="inlineStr">
        <is>
          <t>고체향수</t>
        </is>
      </c>
      <c r="K7063" s="20" t="n">
        <v>68994</v>
      </c>
    </row>
    <row r="7064">
      <c r="A7064" s="20" t="inlineStr">
        <is>
          <t>[다현]스테이포에버_이미지</t>
        </is>
      </c>
      <c r="B7064" s="16" t="n">
        <v>44306</v>
      </c>
      <c r="C7064" s="20" t="inlineStr">
        <is>
          <t>화</t>
        </is>
      </c>
      <c r="D7064" s="20" t="inlineStr">
        <is>
          <t>페이스북/인스타그램</t>
        </is>
      </c>
      <c r="E7064" s="20" t="inlineStr">
        <is>
          <t>고체향수</t>
        </is>
      </c>
      <c r="K7064" s="20" t="n">
        <v>146881</v>
      </c>
    </row>
    <row r="7065">
      <c r="A7065" s="20" t="inlineStr">
        <is>
          <t>[승무원]스테이포에버_카드뉴스</t>
        </is>
      </c>
      <c r="B7065" s="16" t="n">
        <v>44306</v>
      </c>
      <c r="C7065" s="20" t="inlineStr">
        <is>
          <t>화</t>
        </is>
      </c>
      <c r="D7065" s="20" t="inlineStr">
        <is>
          <t>페이스북/인스타그램</t>
        </is>
      </c>
      <c r="E7065" s="20" t="inlineStr">
        <is>
          <t>고체향수</t>
        </is>
      </c>
      <c r="K7065" s="20" t="n">
        <v>29255</v>
      </c>
    </row>
    <row r="7066">
      <c r="A7066" s="20" t="inlineStr">
        <is>
          <t>[후기타입]스테이포에버_영상</t>
        </is>
      </c>
      <c r="B7066" s="16" t="n">
        <v>44306</v>
      </c>
      <c r="C7066" s="20" t="inlineStr">
        <is>
          <t>화</t>
        </is>
      </c>
      <c r="D7066" s="20" t="inlineStr">
        <is>
          <t>페이스북/인스타그램</t>
        </is>
      </c>
      <c r="E7066" s="20" t="inlineStr">
        <is>
          <t>고체향수</t>
        </is>
      </c>
      <c r="K7066" s="20" t="n">
        <v>146664</v>
      </c>
    </row>
    <row r="7067">
      <c r="A7067" s="20" t="inlineStr">
        <is>
          <t>전환_스테이포에버</t>
        </is>
      </c>
      <c r="B7067" s="16" t="n">
        <v>44306</v>
      </c>
      <c r="C7067" s="20" t="inlineStr">
        <is>
          <t>화</t>
        </is>
      </c>
      <c r="D7067" s="20" t="inlineStr">
        <is>
          <t>페이스북/인스타그램</t>
        </is>
      </c>
      <c r="E7067" s="20" t="inlineStr">
        <is>
          <t>고체향수</t>
        </is>
      </c>
      <c r="K7067" s="20" t="n">
        <v>68812</v>
      </c>
    </row>
    <row r="7068">
      <c r="A7068" s="20" t="inlineStr">
        <is>
          <t>[권태기커플]스테이포에버_영상</t>
        </is>
      </c>
      <c r="B7068" s="16" t="n">
        <v>44306</v>
      </c>
      <c r="C7068" s="20" t="inlineStr">
        <is>
          <t>화</t>
        </is>
      </c>
      <c r="D7068" s="20" t="inlineStr">
        <is>
          <t>페이스북/인스타그램</t>
        </is>
      </c>
      <c r="E7068" s="20" t="inlineStr">
        <is>
          <t>고체향수</t>
        </is>
      </c>
      <c r="K7068" s="20" t="n">
        <v>29332</v>
      </c>
    </row>
    <row r="7069">
      <c r="A7069" s="20" t="inlineStr">
        <is>
          <t>웹사이트 트래픽 서치</t>
        </is>
      </c>
      <c r="B7069" s="16" t="n">
        <v>44306</v>
      </c>
      <c r="C7069" s="20" t="inlineStr">
        <is>
          <t>화</t>
        </is>
      </c>
      <c r="D7069" s="20" t="inlineStr">
        <is>
          <t>유튜브 광고</t>
        </is>
      </c>
      <c r="E7069" s="20" t="inlineStr">
        <is>
          <t>고체향수</t>
        </is>
      </c>
      <c r="K7069" s="20" t="n">
        <v>29562</v>
      </c>
    </row>
    <row r="7070">
      <c r="A7070" s="20" t="inlineStr">
        <is>
          <t>동영상캠페인_승무원_보이는 라디오(cpa)</t>
        </is>
      </c>
      <c r="B7070" s="16" t="n">
        <v>44306</v>
      </c>
      <c r="C7070" s="20" t="inlineStr">
        <is>
          <t>화</t>
        </is>
      </c>
      <c r="D7070" s="20" t="inlineStr">
        <is>
          <t>유튜브 광고</t>
        </is>
      </c>
      <c r="E7070" s="20" t="inlineStr">
        <is>
          <t>고체향수</t>
        </is>
      </c>
      <c r="K7070" s="20" t="n">
        <v>189670</v>
      </c>
    </row>
    <row r="7071">
      <c r="A7071" s="20" t="inlineStr">
        <is>
          <t>디스커버리 배너_승무원,할인_리마케팅</t>
        </is>
      </c>
      <c r="B7071" s="16" t="n">
        <v>44306</v>
      </c>
      <c r="C7071" s="20" t="inlineStr">
        <is>
          <t>화</t>
        </is>
      </c>
      <c r="D7071" s="20" t="inlineStr">
        <is>
          <t>유튜브 광고</t>
        </is>
      </c>
      <c r="E7071" s="20" t="inlineStr">
        <is>
          <t>고체향수</t>
        </is>
      </c>
      <c r="K7071" s="20" t="n">
        <v>469088</v>
      </c>
    </row>
    <row r="7072">
      <c r="A7072" s="20" t="inlineStr">
        <is>
          <t>동영상캠페인_승무원_써니스카이</t>
        </is>
      </c>
      <c r="B7072" s="16" t="n">
        <v>44306</v>
      </c>
      <c r="C7072" s="20" t="inlineStr">
        <is>
          <t>화</t>
        </is>
      </c>
      <c r="D7072" s="20" t="inlineStr">
        <is>
          <t>유튜브 광고</t>
        </is>
      </c>
      <c r="E7072" s="20" t="inlineStr">
        <is>
          <t>고체향수</t>
        </is>
      </c>
      <c r="K7072" s="20" t="n">
        <v>102524</v>
      </c>
    </row>
    <row r="7073">
      <c r="A7073" s="20" t="inlineStr">
        <is>
          <t>동영상캠페인_필라테스_자기관리(타겟 cpa)</t>
        </is>
      </c>
      <c r="B7073" s="16" t="n">
        <v>44306</v>
      </c>
      <c r="C7073" s="20" t="inlineStr">
        <is>
          <t>화</t>
        </is>
      </c>
      <c r="D7073" s="20" t="inlineStr">
        <is>
          <t>유튜브 광고</t>
        </is>
      </c>
      <c r="E7073" s="20" t="inlineStr">
        <is>
          <t>고체향수</t>
        </is>
      </c>
      <c r="K7073" s="20" t="n">
        <v>106315</v>
      </c>
    </row>
    <row r="7074">
      <c r="A7074" s="20" t="inlineStr">
        <is>
          <t>동영상캠페인_유즈모먼트_조향사 친구(cpa)</t>
        </is>
      </c>
      <c r="B7074" s="16" t="n">
        <v>44306</v>
      </c>
      <c r="C7074" s="20" t="inlineStr">
        <is>
          <t>화</t>
        </is>
      </c>
      <c r="D7074" s="20" t="inlineStr">
        <is>
          <t>유튜브 광고</t>
        </is>
      </c>
      <c r="E7074" s="20" t="inlineStr">
        <is>
          <t>고체향수</t>
        </is>
      </c>
      <c r="K7074" s="20" t="n">
        <v>107947</v>
      </c>
    </row>
    <row r="7075">
      <c r="A7075" s="20" t="inlineStr">
        <is>
          <t>동영상 캠페인_유튜버 수지큐 2차활용_리마케팅</t>
        </is>
      </c>
      <c r="B7075" s="16" t="n">
        <v>44306</v>
      </c>
      <c r="C7075" s="20" t="inlineStr">
        <is>
          <t>화</t>
        </is>
      </c>
      <c r="D7075" s="20" t="inlineStr">
        <is>
          <t>유튜브 광고</t>
        </is>
      </c>
      <c r="E7075" s="20" t="inlineStr">
        <is>
          <t>고체향수</t>
        </is>
      </c>
      <c r="K7075" s="20" t="n">
        <v>103968</v>
      </c>
    </row>
    <row r="7076">
      <c r="A7076" s="20" t="inlineStr">
        <is>
          <t>[5화자] 동영상 캠페인_벨라의 비행일기</t>
        </is>
      </c>
      <c r="B7076" s="16" t="n">
        <v>44306</v>
      </c>
      <c r="C7076" s="20" t="inlineStr">
        <is>
          <t>화</t>
        </is>
      </c>
      <c r="D7076" s="20" t="inlineStr">
        <is>
          <t>유튜브 광고</t>
        </is>
      </c>
      <c r="E7076" s="20" t="inlineStr">
        <is>
          <t>고체향수</t>
        </is>
      </c>
      <c r="K7076" s="20" t="n">
        <v>412859</v>
      </c>
    </row>
    <row r="7077">
      <c r="A7077" s="20" t="inlineStr">
        <is>
          <t>[5화자] 동영상 캠페인_비행하고 여행하는 은선씨</t>
        </is>
      </c>
      <c r="B7077" s="16" t="n">
        <v>44306</v>
      </c>
      <c r="C7077" s="20" t="inlineStr">
        <is>
          <t>화</t>
        </is>
      </c>
      <c r="D7077" s="20" t="inlineStr">
        <is>
          <t>유튜브 광고</t>
        </is>
      </c>
      <c r="E7077" s="20" t="inlineStr">
        <is>
          <t>고체향수</t>
        </is>
      </c>
      <c r="K7077" s="20" t="n">
        <v>412439</v>
      </c>
    </row>
    <row r="7078">
      <c r="A7078" s="20" t="inlineStr">
        <is>
          <t>[5화자 재편집] 승무원_벨라_면세점에서 천만원</t>
        </is>
      </c>
      <c r="B7078" s="16" t="n">
        <v>44306</v>
      </c>
      <c r="C7078" s="20" t="inlineStr">
        <is>
          <t>화</t>
        </is>
      </c>
      <c r="D7078" s="20" t="inlineStr">
        <is>
          <t>유튜브 광고</t>
        </is>
      </c>
      <c r="E7078" s="20" t="inlineStr">
        <is>
          <t>고체향수</t>
        </is>
      </c>
      <c r="K7078" s="20" t="n">
        <v>309555</v>
      </c>
    </row>
    <row r="7079">
      <c r="A7079" s="20" t="inlineStr">
        <is>
          <t>동영상캠페인_유즈모먼트_면세점뒤졌는데</t>
        </is>
      </c>
      <c r="B7079" s="16" t="n">
        <v>44306</v>
      </c>
      <c r="C7079" s="20" t="inlineStr">
        <is>
          <t>화</t>
        </is>
      </c>
      <c r="D7079" s="20" t="inlineStr">
        <is>
          <t>유튜브 광고</t>
        </is>
      </c>
      <c r="E7079" s="20" t="inlineStr">
        <is>
          <t>고체향수</t>
        </is>
      </c>
      <c r="K7079" s="20" t="n">
        <v>310193</v>
      </c>
    </row>
    <row r="7080">
      <c r="A7080" s="20" t="inlineStr">
        <is>
          <t>메인키워드</t>
        </is>
      </c>
      <c r="B7080" s="16" t="n">
        <v>44306</v>
      </c>
      <c r="C7080" s="20" t="inlineStr">
        <is>
          <t>화</t>
        </is>
      </c>
      <c r="D7080" s="20" t="inlineStr">
        <is>
          <t>네이버 쇼핑검색</t>
        </is>
      </c>
      <c r="E7080" s="20" t="inlineStr">
        <is>
          <t>고체향수</t>
        </is>
      </c>
      <c r="K7080" s="20" t="n">
        <v>22660</v>
      </c>
    </row>
    <row r="7081">
      <c r="A7081" s="20" t="inlineStr">
        <is>
          <t>세부키워드1</t>
        </is>
      </c>
      <c r="B7081" s="16" t="n">
        <v>44306</v>
      </c>
      <c r="C7081" s="20" t="inlineStr">
        <is>
          <t>화</t>
        </is>
      </c>
      <c r="D7081" s="20" t="inlineStr">
        <is>
          <t>네이버 쇼핑검색</t>
        </is>
      </c>
      <c r="E7081" s="20" t="inlineStr">
        <is>
          <t>고체향수</t>
        </is>
      </c>
      <c r="K7081" s="20" t="n">
        <v>0</v>
      </c>
    </row>
    <row r="7082">
      <c r="A7082" s="20" t="inlineStr">
        <is>
          <t>세부키워드3</t>
        </is>
      </c>
      <c r="B7082" s="16" t="n">
        <v>44306</v>
      </c>
      <c r="C7082" s="20" t="inlineStr">
        <is>
          <t>화</t>
        </is>
      </c>
      <c r="D7082" s="20" t="inlineStr">
        <is>
          <t>네이버 쇼핑검색</t>
        </is>
      </c>
      <c r="E7082" s="20" t="inlineStr">
        <is>
          <t>고체향수</t>
        </is>
      </c>
      <c r="K7082" s="20" t="n">
        <v>113240</v>
      </c>
    </row>
    <row r="7083">
      <c r="A7083" s="20" t="inlineStr">
        <is>
          <t>모바일 브검</t>
        </is>
      </c>
      <c r="B7083" s="16" t="n">
        <v>44306</v>
      </c>
      <c r="C7083" s="20" t="inlineStr">
        <is>
          <t>화</t>
        </is>
      </c>
      <c r="D7083" s="20" t="inlineStr">
        <is>
          <t>네이버 브랜드검색</t>
        </is>
      </c>
      <c r="E7083" s="20" t="inlineStr">
        <is>
          <t>브랜드</t>
        </is>
      </c>
      <c r="K7083" s="20" t="n">
        <v>140000</v>
      </c>
    </row>
    <row r="7084">
      <c r="A7084" s="20" t="inlineStr">
        <is>
          <t>PC 브랜드검색</t>
        </is>
      </c>
      <c r="B7084" s="16" t="n">
        <v>44306</v>
      </c>
      <c r="C7084" s="20" t="inlineStr">
        <is>
          <t>화</t>
        </is>
      </c>
      <c r="D7084" s="20" t="inlineStr">
        <is>
          <t>네이버 브랜드검색</t>
        </is>
      </c>
      <c r="E7084" s="20" t="inlineStr">
        <is>
          <t>브랜드</t>
        </is>
      </c>
      <c r="K7084" s="20" t="n">
        <v>16700</v>
      </c>
    </row>
    <row r="7085">
      <c r="A7085" s="20" t="inlineStr">
        <is>
          <t>고체향수_승무원 어피_Npay 추적</t>
        </is>
      </c>
      <c r="B7085" s="16" t="n">
        <v>44306</v>
      </c>
      <c r="C7085" s="20" t="inlineStr">
        <is>
          <t>화</t>
        </is>
      </c>
      <c r="D7085" s="20" t="inlineStr">
        <is>
          <t>카카오 배너</t>
        </is>
      </c>
      <c r="E7085" s="20" t="inlineStr">
        <is>
          <t>고체향수</t>
        </is>
      </c>
      <c r="K7085" s="20" t="n">
        <v>181610</v>
      </c>
    </row>
    <row r="7086">
      <c r="A7086" s="20" t="inlineStr">
        <is>
          <t>고체향수_Npay 추적</t>
        </is>
      </c>
      <c r="B7086" s="16" t="n">
        <v>44306</v>
      </c>
      <c r="C7086" s="20" t="inlineStr">
        <is>
          <t>화</t>
        </is>
      </c>
      <c r="D7086" s="20" t="inlineStr">
        <is>
          <t>카카오 배너</t>
        </is>
      </c>
      <c r="E7086" s="20" t="inlineStr">
        <is>
          <t>고체향수</t>
        </is>
      </c>
      <c r="K7086" s="20" t="n">
        <v>910799.9999999999</v>
      </c>
    </row>
    <row r="7087">
      <c r="B7087" s="16" t="n">
        <v>44306</v>
      </c>
      <c r="C7087" s="20" t="inlineStr">
        <is>
          <t>화</t>
        </is>
      </c>
      <c r="E7087" s="20" t="inlineStr">
        <is>
          <t>고체향수</t>
        </is>
      </c>
      <c r="F7087" s="20" t="inlineStr">
        <is>
          <t>W컨셉</t>
        </is>
      </c>
      <c r="G7087" s="20" t="inlineStr">
        <is>
          <t>솔리드퍼퓸 이그나이트/스테이포에버 30ml (2종 택1)&lt;옵션1&gt;002 STAY FOREVER</t>
        </is>
      </c>
      <c r="H7087" s="20" t="n">
        <v>11</v>
      </c>
      <c r="I7087" s="20" t="inlineStr">
        <is>
          <t>스테이포에버</t>
        </is>
      </c>
      <c r="J7087" s="20" t="inlineStr">
        <is>
          <t>210207</t>
        </is>
      </c>
      <c r="L7087" s="20" t="n">
        <v>374000</v>
      </c>
      <c r="M7087" s="20" t="n">
        <v>261800</v>
      </c>
      <c r="N7087" s="20" t="n">
        <v>28512</v>
      </c>
      <c r="O7087" s="20" t="inlineStr">
        <is>
          <t>W컨셉고체향수솔리드퍼퓸 이그나이트/스테이포에버 30ml (2종 택1)&lt;옵션1&gt;002 STAY FOREVER210207</t>
        </is>
      </c>
    </row>
    <row r="7088">
      <c r="B7088" s="16" t="n">
        <v>44306</v>
      </c>
      <c r="C7088" s="20" t="inlineStr">
        <is>
          <t>화</t>
        </is>
      </c>
      <c r="E7088" s="20" t="inlineStr">
        <is>
          <t>고체향수</t>
        </is>
      </c>
      <c r="F7088" s="20" t="inlineStr">
        <is>
          <t>W컨셉</t>
        </is>
      </c>
      <c r="G7088" s="20" t="inlineStr">
        <is>
          <t>솔리드퍼퓸 이그나이트/스테이포에버 30ml (2종 택1)&lt;옵션1&gt;IGNITE + STAY FOREVER</t>
        </is>
      </c>
      <c r="H7088" s="20" t="n">
        <v>1</v>
      </c>
      <c r="I7088" s="20" t="inlineStr">
        <is>
          <t>이그나이트 + 스테이포에버</t>
        </is>
      </c>
      <c r="J7088" s="20" t="inlineStr">
        <is>
          <t>210207</t>
        </is>
      </c>
      <c r="L7088" s="20" t="n">
        <v>58800</v>
      </c>
      <c r="M7088" s="20" t="n">
        <v>47040</v>
      </c>
      <c r="N7088" s="20" t="n">
        <v>5345</v>
      </c>
      <c r="O7088" s="20" t="inlineStr">
        <is>
          <t>W컨셉고체향수솔리드퍼퓸 이그나이트/스테이포에버 30ml (2종 택1)&lt;옵션1&gt;IGNITE + STAY FOREVER210207</t>
        </is>
      </c>
    </row>
    <row r="7089">
      <c r="B7089" s="16" t="n">
        <v>44306</v>
      </c>
      <c r="C7089" s="20" t="inlineStr">
        <is>
          <t>화</t>
        </is>
      </c>
      <c r="E7089" s="20" t="inlineStr">
        <is>
          <t>고체향수</t>
        </is>
      </c>
      <c r="F7089" s="20" t="inlineStr">
        <is>
          <t>스마트스토어</t>
        </is>
      </c>
      <c r="G7089" s="20" t="inlineStr">
        <is>
          <t>유즈 고체향수 세트(유즈 스테이포에버, 유즈 이그나이트)고체향수: 스테이포에버 1개 + 이그나이트 1개</t>
        </is>
      </c>
      <c r="H7089" s="20" t="n">
        <v>2</v>
      </c>
      <c r="I7089" s="20" t="inlineStr">
        <is>
          <t>이그나이트 + 스테이포에버</t>
        </is>
      </c>
      <c r="J7089" s="20" t="inlineStr">
        <is>
          <t>210207</t>
        </is>
      </c>
      <c r="L7089" s="20" t="n">
        <v>117600</v>
      </c>
      <c r="M7089" s="20" t="n">
        <v>110720.4</v>
      </c>
      <c r="N7089" s="20" t="n">
        <v>10690</v>
      </c>
      <c r="O7089" s="20" t="inlineStr">
        <is>
          <t>스마트스토어고체향수유즈 고체향수 세트(유즈 스테이포에버, 유즈 이그나이트)고체향수: 스테이포에버 1개 + 이그나이트 1개210207</t>
        </is>
      </c>
    </row>
    <row r="7090">
      <c r="B7090" s="16" t="n">
        <v>44306</v>
      </c>
      <c r="C7090" s="20" t="inlineStr">
        <is>
          <t>화</t>
        </is>
      </c>
      <c r="E7090" s="20" t="inlineStr">
        <is>
          <t>고체향수</t>
        </is>
      </c>
      <c r="F7090" s="20" t="inlineStr">
        <is>
          <t>스마트스토어</t>
        </is>
      </c>
      <c r="G7090" s="20" t="inlineStr">
        <is>
          <t>유즈 고체향수 세트(유즈 스테이포에버, 유즈 이그나이트)고체향수: 스테이포에버 2개</t>
        </is>
      </c>
      <c r="H7090" s="20" t="n">
        <v>1</v>
      </c>
      <c r="I7090" s="20" t="inlineStr">
        <is>
          <t>스테이포에버 2set</t>
        </is>
      </c>
      <c r="J7090" s="20" t="inlineStr">
        <is>
          <t>210207</t>
        </is>
      </c>
      <c r="L7090" s="20" t="n">
        <v>58800</v>
      </c>
      <c r="M7090" s="20" t="n">
        <v>57624</v>
      </c>
      <c r="N7090" s="20" t="n">
        <v>5184</v>
      </c>
      <c r="O7090" s="20" t="inlineStr">
        <is>
          <t>스마트스토어고체향수유즈 고체향수 세트(유즈 스테이포에버, 유즈 이그나이트)고체향수: 스테이포에버 2개210207</t>
        </is>
      </c>
    </row>
    <row r="7091">
      <c r="B7091" s="16" t="n">
        <v>44306</v>
      </c>
      <c r="C7091" s="20" t="inlineStr">
        <is>
          <t>화</t>
        </is>
      </c>
      <c r="E7091" s="20" t="inlineStr">
        <is>
          <t>고체향수</t>
        </is>
      </c>
      <c r="F7091" s="20" t="inlineStr">
        <is>
          <t>스마트스토어</t>
        </is>
      </c>
      <c r="G7091" s="20" t="inlineStr">
        <is>
          <t>유즈 고체향수 스테이포에버 002고체향수: 스테이포에버 1개</t>
        </is>
      </c>
      <c r="H7091" s="20" t="n">
        <v>19</v>
      </c>
      <c r="I7091" s="20" t="inlineStr">
        <is>
          <t>스테이포에버</t>
        </is>
      </c>
      <c r="J7091" s="20" t="inlineStr">
        <is>
          <t>210207</t>
        </is>
      </c>
      <c r="L7091" s="20" t="n">
        <v>646000</v>
      </c>
      <c r="M7091" s="20" t="n">
        <v>633080</v>
      </c>
      <c r="N7091" s="20" t="n">
        <v>49248</v>
      </c>
      <c r="O7091" s="20" t="inlineStr">
        <is>
          <t>스마트스토어고체향수유즈 고체향수 스테이포에버 002고체향수: 스테이포에버 1개210207</t>
        </is>
      </c>
    </row>
    <row r="7092">
      <c r="B7092" s="16" t="n">
        <v>44306</v>
      </c>
      <c r="C7092" s="20" t="inlineStr">
        <is>
          <t>화</t>
        </is>
      </c>
      <c r="E7092" s="20" t="inlineStr">
        <is>
          <t>고체향수</t>
        </is>
      </c>
      <c r="F7092" s="20" t="inlineStr">
        <is>
          <t>스마트스토어</t>
        </is>
      </c>
      <c r="G7092" s="20" t="inlineStr">
        <is>
          <t>유즈 고체향수 이그나이트 001고체향수: 이그나이트 1개</t>
        </is>
      </c>
      <c r="H7092" s="20" t="n">
        <v>1</v>
      </c>
      <c r="I7092" s="20" t="inlineStr">
        <is>
          <t>이그나이트</t>
        </is>
      </c>
      <c r="J7092" s="20" t="inlineStr">
        <is>
          <t>210207</t>
        </is>
      </c>
      <c r="L7092" s="20" t="n">
        <v>34000</v>
      </c>
      <c r="M7092" s="20" t="n">
        <v>33320</v>
      </c>
      <c r="N7092" s="20" t="n">
        <v>2753</v>
      </c>
      <c r="O7092" s="20" t="inlineStr">
        <is>
          <t>스마트스토어고체향수유즈 고체향수 이그나이트 001고체향수: 이그나이트 1개210207</t>
        </is>
      </c>
    </row>
    <row r="7093">
      <c r="B7093" s="16" t="n">
        <v>44306</v>
      </c>
      <c r="C7093" s="20" t="inlineStr">
        <is>
          <t>화</t>
        </is>
      </c>
      <c r="E7093" s="20" t="inlineStr">
        <is>
          <t>고체향수</t>
        </is>
      </c>
      <c r="F7093" s="20" t="inlineStr">
        <is>
          <t>카페24</t>
        </is>
      </c>
      <c r="G7093" s="20" t="inlineStr">
        <is>
          <t>솔리드퍼퓸 세트향=이그나이트 001 SOLID PERFUME, 세트 선택=1개</t>
        </is>
      </c>
      <c r="H7093" s="20" t="n">
        <v>1</v>
      </c>
      <c r="I7093" s="20" t="inlineStr">
        <is>
          <t>이그나이트</t>
        </is>
      </c>
      <c r="J7093" s="20" t="inlineStr">
        <is>
          <t>210207</t>
        </is>
      </c>
      <c r="L7093" s="20" t="n">
        <v>34000</v>
      </c>
      <c r="M7093" s="20" t="n">
        <v>32011</v>
      </c>
      <c r="N7093" s="20" t="n">
        <v>2753</v>
      </c>
      <c r="O7093" s="20" t="inlineStr">
        <is>
          <t>카페24고체향수솔리드퍼퓸 세트향=이그나이트 001 SOLID PERFUME, 세트 선택=1개210207</t>
        </is>
      </c>
    </row>
    <row r="7094">
      <c r="B7094" s="16" t="n">
        <v>44306</v>
      </c>
      <c r="C7094" s="20" t="inlineStr">
        <is>
          <t>화</t>
        </is>
      </c>
      <c r="E7094" s="20" t="inlineStr">
        <is>
          <t>고체향수</t>
        </is>
      </c>
      <c r="F7094" s="20" t="inlineStr">
        <is>
          <t>카페24</t>
        </is>
      </c>
      <c r="G7094" s="20" t="inlineStr">
        <is>
          <t>솔리드퍼퓸 세트향=이그나이트 001 SOLID PERFUME, 세트 선택=best 2개 (28% 할인)</t>
        </is>
      </c>
      <c r="H7094" s="20" t="n">
        <v>1</v>
      </c>
      <c r="I7094" s="20" t="inlineStr">
        <is>
          <t>이그나이트 2set</t>
        </is>
      </c>
      <c r="J7094" s="20" t="inlineStr">
        <is>
          <t>210207</t>
        </is>
      </c>
      <c r="L7094" s="20" t="n">
        <v>58800</v>
      </c>
      <c r="M7094" s="20" t="n">
        <v>55360.2</v>
      </c>
      <c r="N7094" s="20" t="n">
        <v>5506</v>
      </c>
      <c r="O7094" s="20" t="inlineStr">
        <is>
          <t>카페24고체향수솔리드퍼퓸 세트향=이그나이트 001 SOLID PERFUME, 세트 선택=best 2개 (28% 할인)210207</t>
        </is>
      </c>
    </row>
    <row r="7095">
      <c r="B7095" s="16" t="n">
        <v>44306</v>
      </c>
      <c r="C7095" s="20" t="inlineStr">
        <is>
          <t>화</t>
        </is>
      </c>
      <c r="E7095" s="20" t="inlineStr">
        <is>
          <t>고체향수</t>
        </is>
      </c>
      <c r="F7095" s="20" t="inlineStr">
        <is>
          <t>카페24</t>
        </is>
      </c>
      <c r="G7095" s="20" t="inlineStr">
        <is>
          <t>솔리드퍼퓸 세트향=스테이포에버 002 SOLID PERFUME, 세트 선택=1개</t>
        </is>
      </c>
      <c r="H7095" s="20" t="n">
        <v>1</v>
      </c>
      <c r="I7095" s="20" t="inlineStr">
        <is>
          <t>스테이포에버</t>
        </is>
      </c>
      <c r="J7095" s="20" t="inlineStr">
        <is>
          <t>210207</t>
        </is>
      </c>
      <c r="L7095" s="20" t="n">
        <v>34000</v>
      </c>
      <c r="M7095" s="20" t="n">
        <v>32011</v>
      </c>
      <c r="N7095" s="20" t="n">
        <v>2592</v>
      </c>
      <c r="O7095" s="20" t="inlineStr">
        <is>
          <t>카페24고체향수솔리드퍼퓸 세트향=스테이포에버 002 SOLID PERFUME, 세트 선택=1개210207</t>
        </is>
      </c>
    </row>
    <row r="7096">
      <c r="B7096" s="16" t="n">
        <v>44306</v>
      </c>
      <c r="C7096" s="20" t="inlineStr">
        <is>
          <t>화</t>
        </is>
      </c>
      <c r="E7096" s="20" t="inlineStr">
        <is>
          <t>고체향수</t>
        </is>
      </c>
      <c r="F7096" s="20" t="inlineStr">
        <is>
          <t>카페24</t>
        </is>
      </c>
      <c r="G7096" s="20" t="inlineStr">
        <is>
          <t>솔리드퍼퓸 세트향=스테이포에버 002 SOLID PERFUME, 세트 선택=best 2개 (28% 할인)</t>
        </is>
      </c>
      <c r="H7096" s="20" t="n">
        <v>6</v>
      </c>
      <c r="I7096" s="20" t="inlineStr">
        <is>
          <t>스테이포에버 2set</t>
        </is>
      </c>
      <c r="J7096" s="20" t="inlineStr">
        <is>
          <t>210207</t>
        </is>
      </c>
      <c r="L7096" s="20" t="n">
        <v>352800</v>
      </c>
      <c r="M7096" s="20" t="n">
        <v>332161.2</v>
      </c>
      <c r="N7096" s="20" t="n">
        <v>31104</v>
      </c>
      <c r="O7096" s="20" t="inlineStr">
        <is>
          <t>카페24고체향수솔리드퍼퓸 세트향=스테이포에버 002 SOLID PERFUME, 세트 선택=best 2개 (28% 할인)210207</t>
        </is>
      </c>
    </row>
    <row r="7097">
      <c r="B7097" s="16" t="n">
        <v>44306</v>
      </c>
      <c r="C7097" s="20" t="inlineStr">
        <is>
          <t>화</t>
        </is>
      </c>
      <c r="E7097" s="20" t="inlineStr">
        <is>
          <t>고체향수</t>
        </is>
      </c>
      <c r="F7097" s="20" t="inlineStr">
        <is>
          <t>카페24</t>
        </is>
      </c>
      <c r="G7097" s="20" t="inlineStr">
        <is>
          <t>솔리드퍼퓸 세트향=커플세트(이그나이트 + 스테이포에버), 세트 선택=1 SET</t>
        </is>
      </c>
      <c r="H7097" s="20" t="n">
        <v>14</v>
      </c>
      <c r="I7097" s="20" t="inlineStr">
        <is>
          <t>이그나이트 + 스테이포에버</t>
        </is>
      </c>
      <c r="J7097" s="20" t="inlineStr">
        <is>
          <t>210207</t>
        </is>
      </c>
      <c r="L7097" s="20" t="n">
        <v>823200</v>
      </c>
      <c r="M7097" s="20" t="n">
        <v>775042.7999999999</v>
      </c>
      <c r="N7097" s="20" t="n">
        <v>74830</v>
      </c>
      <c r="O7097" s="20" t="inlineStr">
        <is>
          <t>카페24고체향수솔리드퍼퓸 세트향=커플세트(이그나이트 + 스테이포에버), 세트 선택=1 SET210207</t>
        </is>
      </c>
    </row>
    <row r="7098">
      <c r="B7098" s="16" t="n">
        <v>44306</v>
      </c>
      <c r="C7098" s="20" t="inlineStr">
        <is>
          <t>화</t>
        </is>
      </c>
      <c r="E7098" s="20" t="inlineStr">
        <is>
          <t>고체향수</t>
        </is>
      </c>
      <c r="F7098" s="20" t="inlineStr">
        <is>
          <t>카페24</t>
        </is>
      </c>
      <c r="G7098" s="20" t="inlineStr">
        <is>
          <t>솔리드퍼퓸 스테이포에버 002제품선택=스테이포에버 1개</t>
        </is>
      </c>
      <c r="H7098" s="20" t="n">
        <v>195</v>
      </c>
      <c r="I7098" s="20" t="inlineStr">
        <is>
          <t>스테이포에버</t>
        </is>
      </c>
      <c r="J7098" s="20" t="inlineStr">
        <is>
          <t>210207</t>
        </is>
      </c>
      <c r="L7098" s="20" t="n">
        <v>6630000</v>
      </c>
      <c r="M7098" s="20" t="n">
        <v>6242145</v>
      </c>
      <c r="N7098" s="20" t="n">
        <v>505440</v>
      </c>
      <c r="O7098" s="20" t="inlineStr">
        <is>
          <t>카페24고체향수솔리드퍼퓸 스테이포에버 002제품선택=스테이포에버 1개210207</t>
        </is>
      </c>
    </row>
    <row r="7099">
      <c r="B7099" s="16" t="n">
        <v>44306</v>
      </c>
      <c r="C7099" s="20" t="inlineStr">
        <is>
          <t>화</t>
        </is>
      </c>
      <c r="E7099" s="20" t="inlineStr">
        <is>
          <t>고체향수</t>
        </is>
      </c>
      <c r="F7099" s="20" t="inlineStr">
        <is>
          <t>카페24</t>
        </is>
      </c>
      <c r="G7099" s="20" t="inlineStr">
        <is>
          <t>솔리드퍼퓸 스테이포에버 002제품선택=best스테이포에버 2개[28% 할인]</t>
        </is>
      </c>
      <c r="H7099" s="20" t="n">
        <v>126</v>
      </c>
      <c r="I7099" s="20" t="inlineStr">
        <is>
          <t>스테이포에버 2set</t>
        </is>
      </c>
      <c r="J7099" s="20" t="inlineStr">
        <is>
          <t>210207</t>
        </is>
      </c>
      <c r="L7099" s="20" t="n">
        <v>7408800</v>
      </c>
      <c r="M7099" s="20" t="n">
        <v>6975385.199999999</v>
      </c>
      <c r="N7099" s="20" t="n">
        <v>653184</v>
      </c>
      <c r="O7099" s="20" t="inlineStr">
        <is>
          <t>카페24고체향수솔리드퍼퓸 스테이포에버 002제품선택=best스테이포에버 2개[28% 할인]210207</t>
        </is>
      </c>
    </row>
    <row r="7100">
      <c r="B7100" s="16" t="n">
        <v>44306</v>
      </c>
      <c r="C7100" s="20" t="inlineStr">
        <is>
          <t>화</t>
        </is>
      </c>
      <c r="E7100" s="20" t="inlineStr">
        <is>
          <t>고체향수</t>
        </is>
      </c>
      <c r="F7100" s="20" t="inlineStr">
        <is>
          <t>카페24</t>
        </is>
      </c>
      <c r="G7100" s="20" t="inlineStr">
        <is>
          <t>솔리드퍼퓸 스테이포에버 002제품선택=커플추천스테이포에버 + 이그나이트 세트</t>
        </is>
      </c>
      <c r="H7100" s="20" t="n">
        <v>9</v>
      </c>
      <c r="I7100" s="20" t="inlineStr">
        <is>
          <t>이그나이트 + 스테이포에버</t>
        </is>
      </c>
      <c r="J7100" s="20" t="inlineStr">
        <is>
          <t>210207</t>
        </is>
      </c>
      <c r="L7100" s="20" t="n">
        <v>529200</v>
      </c>
      <c r="M7100" s="20" t="n">
        <v>498241.8</v>
      </c>
      <c r="N7100" s="20" t="n">
        <v>48105</v>
      </c>
      <c r="O7100" s="20" t="inlineStr">
        <is>
          <t>카페24고체향수솔리드퍼퓸 스테이포에버 002제품선택=커플추천스테이포에버 + 이그나이트 세트210207</t>
        </is>
      </c>
    </row>
    <row r="7101">
      <c r="B7101" s="16" t="n">
        <v>44306</v>
      </c>
      <c r="C7101" s="20" t="inlineStr">
        <is>
          <t>화</t>
        </is>
      </c>
      <c r="E7101" s="20" t="inlineStr">
        <is>
          <t>쇼핑백</t>
        </is>
      </c>
      <c r="F7101" s="20" t="inlineStr">
        <is>
          <t>카페24</t>
        </is>
      </c>
      <c r="G7101" s="20" t="inlineStr">
        <is>
          <t>솔리드퍼퓸 스테이포에버 002쇼핑백=선물용 쇼핑백</t>
        </is>
      </c>
      <c r="H7101" s="20" t="n">
        <v>7</v>
      </c>
      <c r="I7101" s="20" t="inlineStr">
        <is>
          <t>쇼핑백</t>
        </is>
      </c>
      <c r="J7101" s="20" t="inlineStr">
        <is>
          <t>210207</t>
        </is>
      </c>
      <c r="L7101" s="20" t="n">
        <v>14000</v>
      </c>
      <c r="M7101" s="20" t="n">
        <v>13181</v>
      </c>
      <c r="N7101" s="20" t="n">
        <v>5810</v>
      </c>
      <c r="O7101" s="20" t="inlineStr">
        <is>
          <t>카페24쇼핑백솔리드퍼퓸 스테이포에버 002쇼핑백=선물용 쇼핑백210207</t>
        </is>
      </c>
    </row>
    <row r="7102">
      <c r="B7102" s="16" t="n">
        <v>44306</v>
      </c>
      <c r="C7102" s="20" t="inlineStr">
        <is>
          <t>화</t>
        </is>
      </c>
      <c r="E7102" s="20" t="inlineStr">
        <is>
          <t>고체향수</t>
        </is>
      </c>
      <c r="F7102" s="20" t="inlineStr">
        <is>
          <t>카페24</t>
        </is>
      </c>
      <c r="G7102" s="20" t="inlineStr">
        <is>
          <t>솔리드퍼퓸 이그나이트 001제품선택=이그나이트 솔리드퍼퓸 - 30ml</t>
        </is>
      </c>
      <c r="H7102" s="20" t="n">
        <v>3</v>
      </c>
      <c r="I7102" s="20" t="inlineStr">
        <is>
          <t>이그나이트</t>
        </is>
      </c>
      <c r="J7102" s="20" t="inlineStr">
        <is>
          <t>210207</t>
        </is>
      </c>
      <c r="L7102" s="20" t="n">
        <v>102000</v>
      </c>
      <c r="M7102" s="20" t="n">
        <v>96033</v>
      </c>
      <c r="N7102" s="20" t="n">
        <v>8259</v>
      </c>
      <c r="O7102" s="20" t="inlineStr">
        <is>
          <t>카페24고체향수솔리드퍼퓸 이그나이트 001제품선택=이그나이트 솔리드퍼퓸 - 30ml210207</t>
        </is>
      </c>
    </row>
    <row r="7103">
      <c r="B7103" s="16" t="n">
        <v>44306</v>
      </c>
      <c r="C7103" s="20" t="inlineStr">
        <is>
          <t>화</t>
        </is>
      </c>
      <c r="E7103" s="20" t="inlineStr">
        <is>
          <t>고체향수</t>
        </is>
      </c>
      <c r="F7103" s="20" t="inlineStr">
        <is>
          <t>카페24</t>
        </is>
      </c>
      <c r="G7103" s="20" t="inlineStr">
        <is>
          <t>솔리드퍼퓸 이그나이트 001제품선택=이그나이트 2개 세트</t>
        </is>
      </c>
      <c r="H7103" s="20" t="n">
        <v>1</v>
      </c>
      <c r="I7103" s="20" t="inlineStr">
        <is>
          <t>이그나이트 2set</t>
        </is>
      </c>
      <c r="J7103" s="20" t="inlineStr">
        <is>
          <t>210207</t>
        </is>
      </c>
      <c r="L7103" s="20" t="n">
        <v>58800</v>
      </c>
      <c r="M7103" s="20" t="n">
        <v>55360.2</v>
      </c>
      <c r="N7103" s="20" t="n">
        <v>5506</v>
      </c>
      <c r="O7103" s="20" t="inlineStr">
        <is>
          <t>카페24고체향수솔리드퍼퓸 이그나이트 001제품선택=이그나이트 2개 세트210207</t>
        </is>
      </c>
    </row>
    <row r="7104">
      <c r="B7104" s="16" t="n">
        <v>44306</v>
      </c>
      <c r="C7104" s="20" t="inlineStr">
        <is>
          <t>화</t>
        </is>
      </c>
      <c r="E7104" s="20" t="inlineStr">
        <is>
          <t>쇼핑백</t>
        </is>
      </c>
      <c r="F7104" s="20" t="inlineStr">
        <is>
          <t>카페24</t>
        </is>
      </c>
      <c r="G7104" s="20" t="inlineStr">
        <is>
          <t>솔리드퍼퓸 이그나이트 001쇼핑백=선물용 쇼핑백</t>
        </is>
      </c>
      <c r="H7104" s="20" t="n">
        <v>1</v>
      </c>
      <c r="I7104" s="20" t="inlineStr">
        <is>
          <t>쇼핑백</t>
        </is>
      </c>
      <c r="J7104" s="20" t="inlineStr">
        <is>
          <t>210207</t>
        </is>
      </c>
      <c r="L7104" s="20" t="n">
        <v>2000</v>
      </c>
      <c r="M7104" s="20" t="n">
        <v>1883</v>
      </c>
      <c r="N7104" s="20" t="n">
        <v>830</v>
      </c>
      <c r="O7104" s="20" t="inlineStr">
        <is>
          <t>카페24쇼핑백솔리드퍼퓸 이그나이트 001쇼핑백=선물용 쇼핑백210207</t>
        </is>
      </c>
    </row>
    <row r="7105">
      <c r="A7105" s="20" t="inlineStr">
        <is>
          <t>고체향수</t>
        </is>
      </c>
      <c r="B7105" s="16" t="n">
        <v>44306</v>
      </c>
      <c r="C7105" s="20" t="inlineStr">
        <is>
          <t>화</t>
        </is>
      </c>
      <c r="D7105" s="20" t="inlineStr">
        <is>
          <t>네이버 배너</t>
        </is>
      </c>
      <c r="E7105" s="20" t="inlineStr">
        <is>
          <t>고체향수</t>
        </is>
      </c>
      <c r="K7105" s="20" t="n">
        <v>1252792.727272727</v>
      </c>
    </row>
    <row r="7106">
      <c r="B7106" s="16" t="n">
        <v>44306</v>
      </c>
      <c r="C7106" s="20" t="inlineStr">
        <is>
          <t>화</t>
        </is>
      </c>
      <c r="D7106" s="20" t="inlineStr">
        <is>
          <t>네이버 배너(대행사)</t>
        </is>
      </c>
      <c r="E7106" s="20" t="inlineStr">
        <is>
          <t>고체향수</t>
        </is>
      </c>
      <c r="K7106" s="20">
        <f>157291/1.1</f>
        <v/>
      </c>
    </row>
    <row r="7107">
      <c r="B7107" s="16" t="n">
        <v>44306</v>
      </c>
      <c r="C7107" s="20" t="inlineStr">
        <is>
          <t>화</t>
        </is>
      </c>
      <c r="E7107" s="20">
        <f>INDEX(매칭테이블!C:C,MATCH(RD!G7107,매칭테이블!D:D,0))</f>
        <v/>
      </c>
      <c r="F7107" s="20" t="inlineStr">
        <is>
          <t>올리브영</t>
        </is>
      </c>
      <c r="G7107" s="20" t="inlineStr">
        <is>
          <t>유즈 솔리드퍼퓸 001 이그나이트 30ml 30600 온라인</t>
        </is>
      </c>
      <c r="H7107" s="12" t="n">
        <v>185</v>
      </c>
      <c r="I7107" s="20">
        <f>VLOOKUP(G7107,매칭테이블!D:E,2,0)</f>
        <v/>
      </c>
      <c r="J7107" s="20" t="inlineStr">
        <is>
          <t>210207</t>
        </is>
      </c>
      <c r="L7107" s="20">
        <f>VLOOKUP($O7107,매칭테이블!$G:$J,2,0)*H7107</f>
        <v/>
      </c>
      <c r="M7107" s="20">
        <f>L7107-L7107*VLOOKUP($O7107,매칭테이블!$G:$J,3,0)</f>
        <v/>
      </c>
      <c r="N7107" s="20">
        <f>VLOOKUP($O7107,매칭테이블!$G:$J,4,0)*H7107</f>
        <v/>
      </c>
      <c r="O7107" s="20">
        <f>F7107&amp;E7107&amp;G7107&amp;J7107</f>
        <v/>
      </c>
    </row>
    <row r="7108">
      <c r="B7108" s="16" t="n">
        <v>44306</v>
      </c>
      <c r="C7108" s="20" t="inlineStr">
        <is>
          <t>화</t>
        </is>
      </c>
      <c r="E7108" s="20">
        <f>INDEX(매칭테이블!C:C,MATCH(RD!G7108,매칭테이블!D:D,0))</f>
        <v/>
      </c>
      <c r="F7108" s="20" t="inlineStr">
        <is>
          <t>올리브영</t>
        </is>
      </c>
      <c r="G7108" s="20" t="inlineStr">
        <is>
          <t>유즈 솔리드퍼퓸 002 스테이포에버 30ml 30600 온라인</t>
        </is>
      </c>
      <c r="H7108" s="20" t="n">
        <v>8</v>
      </c>
      <c r="I7108" s="20">
        <f>VLOOKUP(G7108,매칭테이블!D:E,2,0)</f>
        <v/>
      </c>
      <c r="J7108" s="20" t="inlineStr">
        <is>
          <t>210207</t>
        </is>
      </c>
      <c r="L7108" s="20">
        <f>VLOOKUP($O7108,매칭테이블!$G:$J,2,0)*H7108</f>
        <v/>
      </c>
      <c r="M7108" s="20">
        <f>L7108-L7108*VLOOKUP($O7108,매칭테이블!$G:$J,3,0)</f>
        <v/>
      </c>
      <c r="N7108" s="20">
        <f>VLOOKUP($O7108,매칭테이블!$G:$J,4,0)*H7108</f>
        <v/>
      </c>
      <c r="O7108" s="20">
        <f>F7108&amp;E7108&amp;G7108&amp;J7108</f>
        <v/>
      </c>
    </row>
    <row r="7109">
      <c r="A7109" s="20" t="inlineStr">
        <is>
          <t>[수현 TEST] 솔리드퍼퓸_이미지</t>
        </is>
      </c>
      <c r="B7109" s="16" t="n">
        <v>44307</v>
      </c>
      <c r="C7109" s="20" t="inlineStr">
        <is>
          <t>수</t>
        </is>
      </c>
      <c r="D7109" s="20" t="inlineStr">
        <is>
          <t>페이스북/인스타그램</t>
        </is>
      </c>
      <c r="E7109" s="20" t="inlineStr">
        <is>
          <t>고체향수</t>
        </is>
      </c>
      <c r="K7109" s="20" t="n">
        <v>15951</v>
      </c>
    </row>
    <row r="7110">
      <c r="A7110" s="20" t="inlineStr">
        <is>
          <t>[승은 TEST] 스테이포에버</t>
        </is>
      </c>
      <c r="B7110" s="16" t="n">
        <v>44307</v>
      </c>
      <c r="C7110" s="20" t="inlineStr">
        <is>
          <t>수</t>
        </is>
      </c>
      <c r="D7110" s="20" t="inlineStr">
        <is>
          <t>페이스북/인스타그램</t>
        </is>
      </c>
      <c r="E7110" s="20" t="inlineStr">
        <is>
          <t>고체향수</t>
        </is>
      </c>
      <c r="K7110" s="20" t="n">
        <v>118210</v>
      </c>
    </row>
    <row r="7111">
      <c r="A7111" s="20" t="inlineStr">
        <is>
          <t>[성민 TEST] 솔리드퍼퓸_이미지</t>
        </is>
      </c>
      <c r="B7111" s="16" t="n">
        <v>44307</v>
      </c>
      <c r="C7111" s="20" t="inlineStr">
        <is>
          <t>수</t>
        </is>
      </c>
      <c r="D7111" s="20" t="inlineStr">
        <is>
          <t>페이스북/인스타그램</t>
        </is>
      </c>
      <c r="E7111" s="20" t="inlineStr">
        <is>
          <t>고체향수</t>
        </is>
      </c>
      <c r="K7111" s="20" t="n">
        <v>67362</v>
      </c>
    </row>
    <row r="7112">
      <c r="A7112" s="20" t="inlineStr">
        <is>
          <t>[승무원]유튜브_스테이포에버_카드뉴스</t>
        </is>
      </c>
      <c r="B7112" s="16" t="n">
        <v>44307</v>
      </c>
      <c r="C7112" s="20" t="inlineStr">
        <is>
          <t>수</t>
        </is>
      </c>
      <c r="D7112" s="20" t="inlineStr">
        <is>
          <t>페이스북/인스타그램</t>
        </is>
      </c>
      <c r="E7112" s="20" t="inlineStr">
        <is>
          <t>고체향수</t>
        </is>
      </c>
      <c r="K7112" s="20" t="n">
        <v>30147</v>
      </c>
    </row>
    <row r="7113">
      <c r="A7113" s="20" t="inlineStr">
        <is>
          <t>[올리브영] 이그나이트_영상</t>
        </is>
      </c>
      <c r="B7113" s="16" t="n">
        <v>44307</v>
      </c>
      <c r="C7113" s="20" t="inlineStr">
        <is>
          <t>수</t>
        </is>
      </c>
      <c r="D7113" s="20" t="inlineStr">
        <is>
          <t>페이스북/인스타그램</t>
        </is>
      </c>
      <c r="E7113" s="20" t="inlineStr">
        <is>
          <t>고체향수</t>
        </is>
      </c>
      <c r="K7113" s="20" t="n">
        <v>29632</v>
      </c>
    </row>
    <row r="7114">
      <c r="A7114" s="20" t="inlineStr">
        <is>
          <t>[승희 TEST] 솔리드퍼퓸_이미지</t>
        </is>
      </c>
      <c r="B7114" s="16" t="n">
        <v>44307</v>
      </c>
      <c r="C7114" s="20" t="inlineStr">
        <is>
          <t>수</t>
        </is>
      </c>
      <c r="D7114" s="20" t="inlineStr">
        <is>
          <t>페이스북/인스타그램</t>
        </is>
      </c>
      <c r="E7114" s="20" t="inlineStr">
        <is>
          <t>고체향수</t>
        </is>
      </c>
      <c r="K7114" s="20" t="n">
        <v>101694</v>
      </c>
    </row>
    <row r="7115">
      <c r="A7115" s="20" t="inlineStr">
        <is>
          <t>[올리브영] 스테이포에버_영상</t>
        </is>
      </c>
      <c r="B7115" s="16" t="n">
        <v>44307</v>
      </c>
      <c r="C7115" s="20" t="inlineStr">
        <is>
          <t>수</t>
        </is>
      </c>
      <c r="D7115" s="20" t="inlineStr">
        <is>
          <t>페이스북/인스타그램</t>
        </is>
      </c>
      <c r="E7115" s="20" t="inlineStr">
        <is>
          <t>고체향수</t>
        </is>
      </c>
      <c r="K7115" s="20" t="n">
        <v>48890</v>
      </c>
    </row>
    <row r="7116">
      <c r="A7116" s="20" t="inlineStr">
        <is>
          <t>[올리브영] 스테이포에버_이미지</t>
        </is>
      </c>
      <c r="B7116" s="16" t="n">
        <v>44307</v>
      </c>
      <c r="C7116" s="20" t="inlineStr">
        <is>
          <t>수</t>
        </is>
      </c>
      <c r="D7116" s="20" t="inlineStr">
        <is>
          <t>페이스북/인스타그램</t>
        </is>
      </c>
      <c r="E7116" s="20" t="inlineStr">
        <is>
          <t>고체향수</t>
        </is>
      </c>
      <c r="K7116" s="20" t="n">
        <v>29647</v>
      </c>
    </row>
    <row r="7117">
      <c r="A7117" s="20" t="inlineStr">
        <is>
          <t>[승무원] 유튜브재편집_스테이포에버_영상</t>
        </is>
      </c>
      <c r="B7117" s="16" t="n">
        <v>44307</v>
      </c>
      <c r="C7117" s="20" t="inlineStr">
        <is>
          <t>수</t>
        </is>
      </c>
      <c r="D7117" s="20" t="inlineStr">
        <is>
          <t>페이스북/인스타그램</t>
        </is>
      </c>
      <c r="E7117" s="20" t="inlineStr">
        <is>
          <t>고체향수</t>
        </is>
      </c>
      <c r="K7117" s="20" t="n">
        <v>395278</v>
      </c>
    </row>
    <row r="7118">
      <c r="A7118" s="20" t="inlineStr">
        <is>
          <t>[다현 TEST] 스테이포에버_유즈모먼트</t>
        </is>
      </c>
      <c r="B7118" s="16" t="n">
        <v>44307</v>
      </c>
      <c r="C7118" s="20" t="inlineStr">
        <is>
          <t>수</t>
        </is>
      </c>
      <c r="D7118" s="20" t="inlineStr">
        <is>
          <t>페이스북/인스타그램</t>
        </is>
      </c>
      <c r="E7118" s="20" t="inlineStr">
        <is>
          <t>고체향수</t>
        </is>
      </c>
      <c r="K7118" s="20" t="n">
        <v>28614</v>
      </c>
    </row>
    <row r="7119">
      <c r="A7119" s="20" t="inlineStr">
        <is>
          <t>[승무원 면세점] 스테이포에버_카드뉴스</t>
        </is>
      </c>
      <c r="B7119" s="16" t="n">
        <v>44307</v>
      </c>
      <c r="C7119" s="20" t="inlineStr">
        <is>
          <t>수</t>
        </is>
      </c>
      <c r="D7119" s="20" t="inlineStr">
        <is>
          <t>페이스북/인스타그램</t>
        </is>
      </c>
      <c r="E7119" s="20" t="inlineStr">
        <is>
          <t>고체향수</t>
        </is>
      </c>
      <c r="K7119" s="20" t="n">
        <v>250178</v>
      </c>
    </row>
    <row r="7120">
      <c r="A7120" s="20" t="inlineStr">
        <is>
          <t>[카페알바] 스테이포에버_카드뉴스</t>
        </is>
      </c>
      <c r="B7120" s="16" t="n">
        <v>44307</v>
      </c>
      <c r="C7120" s="20" t="inlineStr">
        <is>
          <t>수</t>
        </is>
      </c>
      <c r="D7120" s="20" t="inlineStr">
        <is>
          <t>페이스북/인스타그램</t>
        </is>
      </c>
      <c r="E7120" s="20" t="inlineStr">
        <is>
          <t>고체향수</t>
        </is>
      </c>
      <c r="K7120" s="20" t="n">
        <v>142506</v>
      </c>
    </row>
    <row r="7121">
      <c r="A7121" s="20" t="inlineStr">
        <is>
          <t>[아줌마]스테이포에버_이미지</t>
        </is>
      </c>
      <c r="B7121" s="16" t="n">
        <v>44307</v>
      </c>
      <c r="C7121" s="20" t="inlineStr">
        <is>
          <t>수</t>
        </is>
      </c>
      <c r="D7121" s="20" t="inlineStr">
        <is>
          <t>페이스북/인스타그램</t>
        </is>
      </c>
      <c r="E7121" s="20" t="inlineStr">
        <is>
          <t>고체향수</t>
        </is>
      </c>
      <c r="K7121" s="20" t="n">
        <v>97002</v>
      </c>
    </row>
    <row r="7122">
      <c r="A7122" s="20" t="inlineStr">
        <is>
          <t>[다양한 키워드] 스테이포에버_이미지</t>
        </is>
      </c>
      <c r="B7122" s="16" t="n">
        <v>44307</v>
      </c>
      <c r="C7122" s="20" t="inlineStr">
        <is>
          <t>수</t>
        </is>
      </c>
      <c r="D7122" s="20" t="inlineStr">
        <is>
          <t>페이스북/인스타그램</t>
        </is>
      </c>
      <c r="E7122" s="20" t="inlineStr">
        <is>
          <t>고체향수</t>
        </is>
      </c>
      <c r="K7122" s="20" t="n">
        <v>248773</v>
      </c>
    </row>
    <row r="7123">
      <c r="A7123" s="20" t="inlineStr">
        <is>
          <t>[재입고]스테이포에버_이미지</t>
        </is>
      </c>
      <c r="B7123" s="16" t="n">
        <v>44307</v>
      </c>
      <c r="C7123" s="20" t="inlineStr">
        <is>
          <t>수</t>
        </is>
      </c>
      <c r="D7123" s="20" t="inlineStr">
        <is>
          <t>페이스북/인스타그램</t>
        </is>
      </c>
      <c r="E7123" s="20" t="inlineStr">
        <is>
          <t>고체향수</t>
        </is>
      </c>
      <c r="K7123" s="20" t="n">
        <v>48215</v>
      </c>
    </row>
    <row r="7124">
      <c r="A7124" s="20" t="inlineStr">
        <is>
          <t>[승무원]숏폼_영상</t>
        </is>
      </c>
      <c r="B7124" s="16" t="n">
        <v>44307</v>
      </c>
      <c r="C7124" s="20" t="inlineStr">
        <is>
          <t>수</t>
        </is>
      </c>
      <c r="D7124" s="20" t="inlineStr">
        <is>
          <t>페이스북/인스타그램</t>
        </is>
      </c>
      <c r="E7124" s="20" t="inlineStr">
        <is>
          <t>고체향수</t>
        </is>
      </c>
      <c r="K7124" s="20" t="n">
        <v>49144</v>
      </c>
    </row>
    <row r="7125">
      <c r="A7125" s="20" t="inlineStr">
        <is>
          <t>[재입고]스테이포에버_영상</t>
        </is>
      </c>
      <c r="B7125" s="16" t="n">
        <v>44307</v>
      </c>
      <c r="C7125" s="20" t="inlineStr">
        <is>
          <t>수</t>
        </is>
      </c>
      <c r="D7125" s="20" t="inlineStr">
        <is>
          <t>페이스북/인스타그램</t>
        </is>
      </c>
      <c r="E7125" s="20" t="inlineStr">
        <is>
          <t>고체향수</t>
        </is>
      </c>
      <c r="K7125" s="20" t="n">
        <v>199762</v>
      </c>
    </row>
    <row r="7126">
      <c r="A7126" s="20" t="inlineStr">
        <is>
          <t>[승무원]2019년썰 카드뉴스+ 향묘사_영상</t>
        </is>
      </c>
      <c r="B7126" s="16" t="n">
        <v>44307</v>
      </c>
      <c r="C7126" s="20" t="inlineStr">
        <is>
          <t>수</t>
        </is>
      </c>
      <c r="D7126" s="20" t="inlineStr">
        <is>
          <t>페이스북/인스타그램</t>
        </is>
      </c>
      <c r="E7126" s="20" t="inlineStr">
        <is>
          <t>고체향수</t>
        </is>
      </c>
      <c r="K7126" s="20" t="n">
        <v>29599</v>
      </c>
    </row>
    <row r="7127">
      <c r="A7127" s="20" t="inlineStr">
        <is>
          <t>[승무원어피]스테이포에버_이미지</t>
        </is>
      </c>
      <c r="B7127" s="16" t="n">
        <v>44307</v>
      </c>
      <c r="C7127" s="20" t="inlineStr">
        <is>
          <t>수</t>
        </is>
      </c>
      <c r="D7127" s="20" t="inlineStr">
        <is>
          <t>페이스북/인스타그램</t>
        </is>
      </c>
      <c r="E7127" s="20" t="inlineStr">
        <is>
          <t>고체향수</t>
        </is>
      </c>
      <c r="K7127" s="20" t="n">
        <v>69200</v>
      </c>
    </row>
    <row r="7128">
      <c r="A7128" s="20" t="inlineStr">
        <is>
          <t>[다현]스테이포에버_이미지</t>
        </is>
      </c>
      <c r="B7128" s="16" t="n">
        <v>44307</v>
      </c>
      <c r="C7128" s="20" t="inlineStr">
        <is>
          <t>수</t>
        </is>
      </c>
      <c r="D7128" s="20" t="inlineStr">
        <is>
          <t>페이스북/인스타그램</t>
        </is>
      </c>
      <c r="E7128" s="20" t="inlineStr">
        <is>
          <t>고체향수</t>
        </is>
      </c>
      <c r="K7128" s="20" t="n">
        <v>148049</v>
      </c>
    </row>
    <row r="7129">
      <c r="A7129" s="20" t="inlineStr">
        <is>
          <t>[승무원]스테이포에버_카드뉴스</t>
        </is>
      </c>
      <c r="B7129" s="16" t="n">
        <v>44307</v>
      </c>
      <c r="C7129" s="20" t="inlineStr">
        <is>
          <t>수</t>
        </is>
      </c>
      <c r="D7129" s="20" t="inlineStr">
        <is>
          <t>페이스북/인스타그램</t>
        </is>
      </c>
      <c r="E7129" s="20" t="inlineStr">
        <is>
          <t>고체향수</t>
        </is>
      </c>
      <c r="K7129" s="20" t="n">
        <v>30293</v>
      </c>
    </row>
    <row r="7130">
      <c r="A7130" s="20" t="inlineStr">
        <is>
          <t>[후기타입]스테이포에버_영상</t>
        </is>
      </c>
      <c r="B7130" s="16" t="n">
        <v>44307</v>
      </c>
      <c r="C7130" s="20" t="inlineStr">
        <is>
          <t>수</t>
        </is>
      </c>
      <c r="D7130" s="20" t="inlineStr">
        <is>
          <t>페이스북/인스타그램</t>
        </is>
      </c>
      <c r="E7130" s="20" t="inlineStr">
        <is>
          <t>고체향수</t>
        </is>
      </c>
      <c r="K7130" s="20" t="n">
        <v>149871</v>
      </c>
    </row>
    <row r="7131">
      <c r="A7131" s="20" t="inlineStr">
        <is>
          <t>전환_스테이포에버</t>
        </is>
      </c>
      <c r="B7131" s="16" t="n">
        <v>44307</v>
      </c>
      <c r="C7131" s="20" t="inlineStr">
        <is>
          <t>수</t>
        </is>
      </c>
      <c r="D7131" s="20" t="inlineStr">
        <is>
          <t>페이스북/인스타그램</t>
        </is>
      </c>
      <c r="E7131" s="20" t="inlineStr">
        <is>
          <t>고체향수</t>
        </is>
      </c>
      <c r="K7131" s="20" t="n">
        <v>68735</v>
      </c>
    </row>
    <row r="7132">
      <c r="A7132" s="20" t="inlineStr">
        <is>
          <t>[권태기커플]스테이포에버_영상</t>
        </is>
      </c>
      <c r="B7132" s="16" t="n">
        <v>44307</v>
      </c>
      <c r="C7132" s="20" t="inlineStr">
        <is>
          <t>수</t>
        </is>
      </c>
      <c r="D7132" s="20" t="inlineStr">
        <is>
          <t>페이스북/인스타그램</t>
        </is>
      </c>
      <c r="E7132" s="20" t="inlineStr">
        <is>
          <t>고체향수</t>
        </is>
      </c>
      <c r="K7132" s="20" t="n">
        <v>30264</v>
      </c>
    </row>
    <row r="7133">
      <c r="A7133" s="20" t="inlineStr">
        <is>
          <t>웹사이트 트래픽 서치</t>
        </is>
      </c>
      <c r="B7133" s="16" t="n">
        <v>44307</v>
      </c>
      <c r="C7133" s="20" t="inlineStr">
        <is>
          <t>수</t>
        </is>
      </c>
      <c r="D7133" s="20" t="inlineStr">
        <is>
          <t>유튜브 광고</t>
        </is>
      </c>
      <c r="E7133" s="20" t="inlineStr">
        <is>
          <t>고체향수</t>
        </is>
      </c>
      <c r="K7133" s="20" t="n">
        <v>24592</v>
      </c>
    </row>
    <row r="7134">
      <c r="A7134" s="20" t="inlineStr">
        <is>
          <t>동영상캠페인_승무원_보이는 라디오(cpa)</t>
        </is>
      </c>
      <c r="B7134" s="16" t="n">
        <v>44307</v>
      </c>
      <c r="C7134" s="20" t="inlineStr">
        <is>
          <t>수</t>
        </is>
      </c>
      <c r="D7134" s="20" t="inlineStr">
        <is>
          <t>유튜브 광고</t>
        </is>
      </c>
      <c r="E7134" s="20" t="inlineStr">
        <is>
          <t>고체향수</t>
        </is>
      </c>
      <c r="K7134" s="20" t="n">
        <v>199875</v>
      </c>
    </row>
    <row r="7135">
      <c r="A7135" s="20" t="inlineStr">
        <is>
          <t>디스커버리 배너_승무원,할인_리마케팅</t>
        </is>
      </c>
      <c r="B7135" s="16" t="n">
        <v>44307</v>
      </c>
      <c r="C7135" s="20" t="inlineStr">
        <is>
          <t>수</t>
        </is>
      </c>
      <c r="D7135" s="20" t="inlineStr">
        <is>
          <t>유튜브 광고</t>
        </is>
      </c>
      <c r="E7135" s="20" t="inlineStr">
        <is>
          <t>고체향수</t>
        </is>
      </c>
      <c r="K7135" s="20" t="n">
        <v>460162</v>
      </c>
    </row>
    <row r="7136">
      <c r="A7136" s="20" t="inlineStr">
        <is>
          <t>동영상캠페인_승무원_써니스카이</t>
        </is>
      </c>
      <c r="B7136" s="16" t="n">
        <v>44307</v>
      </c>
      <c r="C7136" s="20" t="inlineStr">
        <is>
          <t>수</t>
        </is>
      </c>
      <c r="D7136" s="20" t="inlineStr">
        <is>
          <t>유튜브 광고</t>
        </is>
      </c>
      <c r="E7136" s="20" t="inlineStr">
        <is>
          <t>고체향수</t>
        </is>
      </c>
      <c r="K7136" s="20" t="n">
        <v>96119</v>
      </c>
    </row>
    <row r="7137">
      <c r="A7137" s="20" t="inlineStr">
        <is>
          <t>동영상캠페인_필라테스_자기관리(타겟 cpa)</t>
        </is>
      </c>
      <c r="B7137" s="16" t="n">
        <v>44307</v>
      </c>
      <c r="C7137" s="20" t="inlineStr">
        <is>
          <t>수</t>
        </is>
      </c>
      <c r="D7137" s="20" t="inlineStr">
        <is>
          <t>유튜브 광고</t>
        </is>
      </c>
      <c r="E7137" s="20" t="inlineStr">
        <is>
          <t>고체향수</t>
        </is>
      </c>
      <c r="K7137" s="20" t="n">
        <v>103115</v>
      </c>
    </row>
    <row r="7138">
      <c r="A7138" s="20" t="inlineStr">
        <is>
          <t>동영상캠페인_유즈모먼트_조향사 친구(cpa)</t>
        </is>
      </c>
      <c r="B7138" s="16" t="n">
        <v>44307</v>
      </c>
      <c r="C7138" s="20" t="inlineStr">
        <is>
          <t>수</t>
        </is>
      </c>
      <c r="D7138" s="20" t="inlineStr">
        <is>
          <t>유튜브 광고</t>
        </is>
      </c>
      <c r="E7138" s="20" t="inlineStr">
        <is>
          <t>고체향수</t>
        </is>
      </c>
      <c r="K7138" s="20" t="n">
        <v>70441</v>
      </c>
    </row>
    <row r="7139">
      <c r="A7139" s="20" t="inlineStr">
        <is>
          <t>동영상 캠페인_유튜버 수지큐 2차활용_리마케팅</t>
        </is>
      </c>
      <c r="B7139" s="16" t="n">
        <v>44307</v>
      </c>
      <c r="C7139" s="20" t="inlineStr">
        <is>
          <t>수</t>
        </is>
      </c>
      <c r="D7139" s="20" t="inlineStr">
        <is>
          <t>유튜브 광고</t>
        </is>
      </c>
      <c r="E7139" s="20" t="inlineStr">
        <is>
          <t>고체향수</t>
        </is>
      </c>
      <c r="K7139" s="20" t="n">
        <v>101634</v>
      </c>
    </row>
    <row r="7140">
      <c r="A7140" s="20" t="inlineStr">
        <is>
          <t>[5화자] 동영상 캠페인_벨라의 비행일기</t>
        </is>
      </c>
      <c r="B7140" s="16" t="n">
        <v>44307</v>
      </c>
      <c r="C7140" s="20" t="inlineStr">
        <is>
          <t>수</t>
        </is>
      </c>
      <c r="D7140" s="20" t="inlineStr">
        <is>
          <t>유튜브 광고</t>
        </is>
      </c>
      <c r="E7140" s="20" t="inlineStr">
        <is>
          <t>고체향수</t>
        </is>
      </c>
      <c r="K7140" s="20" t="n">
        <v>403359</v>
      </c>
    </row>
    <row r="7141">
      <c r="A7141" s="20" t="inlineStr">
        <is>
          <t>[5화자] 동영상 캠페인_비행하고 여행하는 은선씨</t>
        </is>
      </c>
      <c r="B7141" s="16" t="n">
        <v>44307</v>
      </c>
      <c r="C7141" s="20" t="inlineStr">
        <is>
          <t>수</t>
        </is>
      </c>
      <c r="D7141" s="20" t="inlineStr">
        <is>
          <t>유튜브 광고</t>
        </is>
      </c>
      <c r="E7141" s="20" t="inlineStr">
        <is>
          <t>고체향수</t>
        </is>
      </c>
      <c r="K7141" s="20" t="n">
        <v>402942</v>
      </c>
    </row>
    <row r="7142">
      <c r="A7142" s="20" t="inlineStr">
        <is>
          <t>[5화자 재편집] 승무원_벨라_면세점에서 천만원</t>
        </is>
      </c>
      <c r="B7142" s="16" t="n">
        <v>44307</v>
      </c>
      <c r="C7142" s="20" t="inlineStr">
        <is>
          <t>수</t>
        </is>
      </c>
      <c r="D7142" s="20" t="inlineStr">
        <is>
          <t>유튜브 광고</t>
        </is>
      </c>
      <c r="E7142" s="20" t="inlineStr">
        <is>
          <t>고체향수</t>
        </is>
      </c>
      <c r="K7142" s="20" t="n">
        <v>302345</v>
      </c>
    </row>
    <row r="7143">
      <c r="A7143" s="20" t="inlineStr">
        <is>
          <t>동영상캠페인_유즈모먼트_면세점뒤졌는데</t>
        </is>
      </c>
      <c r="B7143" s="16" t="n">
        <v>44307</v>
      </c>
      <c r="C7143" s="20" t="inlineStr">
        <is>
          <t>수</t>
        </is>
      </c>
      <c r="D7143" s="20" t="inlineStr">
        <is>
          <t>유튜브 광고</t>
        </is>
      </c>
      <c r="E7143" s="20" t="inlineStr">
        <is>
          <t>고체향수</t>
        </is>
      </c>
      <c r="K7143" s="20" t="n">
        <v>303363</v>
      </c>
    </row>
    <row r="7144">
      <c r="A7144" s="20" t="inlineStr">
        <is>
          <t>메인키워드</t>
        </is>
      </c>
      <c r="B7144" s="16" t="n">
        <v>44307</v>
      </c>
      <c r="C7144" s="20" t="inlineStr">
        <is>
          <t>수</t>
        </is>
      </c>
      <c r="D7144" s="20" t="inlineStr">
        <is>
          <t>네이버 쇼핑검색</t>
        </is>
      </c>
      <c r="E7144" s="20" t="inlineStr">
        <is>
          <t>고체향수</t>
        </is>
      </c>
      <c r="K7144" s="20" t="n">
        <v>26410</v>
      </c>
    </row>
    <row r="7145">
      <c r="A7145" s="20" t="inlineStr">
        <is>
          <t>세부키워드1</t>
        </is>
      </c>
      <c r="B7145" s="16" t="n">
        <v>44307</v>
      </c>
      <c r="C7145" s="20" t="inlineStr">
        <is>
          <t>수</t>
        </is>
      </c>
      <c r="D7145" s="20" t="inlineStr">
        <is>
          <t>네이버 쇼핑검색</t>
        </is>
      </c>
      <c r="E7145" s="20" t="inlineStr">
        <is>
          <t>고체향수</t>
        </is>
      </c>
      <c r="K7145" s="20" t="n">
        <v>250</v>
      </c>
    </row>
    <row r="7146">
      <c r="A7146" s="20" t="inlineStr">
        <is>
          <t>세부키워드3</t>
        </is>
      </c>
      <c r="B7146" s="16" t="n">
        <v>44307</v>
      </c>
      <c r="C7146" s="20" t="inlineStr">
        <is>
          <t>수</t>
        </is>
      </c>
      <c r="D7146" s="20" t="inlineStr">
        <is>
          <t>네이버 쇼핑검색</t>
        </is>
      </c>
      <c r="E7146" s="20" t="inlineStr">
        <is>
          <t>고체향수</t>
        </is>
      </c>
      <c r="K7146" s="20" t="n">
        <v>111930</v>
      </c>
    </row>
    <row r="7147">
      <c r="A7147" s="20" t="inlineStr">
        <is>
          <t>모바일 브검</t>
        </is>
      </c>
      <c r="B7147" s="16" t="n">
        <v>44307</v>
      </c>
      <c r="C7147" s="20" t="inlineStr">
        <is>
          <t>수</t>
        </is>
      </c>
      <c r="D7147" s="20" t="inlineStr">
        <is>
          <t>네이버 브랜드검색</t>
        </is>
      </c>
      <c r="E7147" s="20" t="inlineStr">
        <is>
          <t>브랜드</t>
        </is>
      </c>
      <c r="K7147" s="20" t="n">
        <v>140000</v>
      </c>
    </row>
    <row r="7148">
      <c r="A7148" s="20" t="inlineStr">
        <is>
          <t>PC 브랜드검색</t>
        </is>
      </c>
      <c r="B7148" s="16" t="n">
        <v>44307</v>
      </c>
      <c r="C7148" s="20" t="inlineStr">
        <is>
          <t>수</t>
        </is>
      </c>
      <c r="D7148" s="20" t="inlineStr">
        <is>
          <t>네이버 브랜드검색</t>
        </is>
      </c>
      <c r="E7148" s="20" t="inlineStr">
        <is>
          <t>브랜드</t>
        </is>
      </c>
      <c r="K7148" s="20" t="n">
        <v>16700</v>
      </c>
    </row>
    <row r="7149">
      <c r="A7149" s="20" t="inlineStr">
        <is>
          <t>고체향수_승무원 어피_Npay 추적</t>
        </is>
      </c>
      <c r="B7149" s="16" t="n">
        <v>44307</v>
      </c>
      <c r="C7149" s="20" t="inlineStr">
        <is>
          <t>수</t>
        </is>
      </c>
      <c r="D7149" s="20" t="inlineStr">
        <is>
          <t>카카오 배너</t>
        </is>
      </c>
      <c r="E7149" s="20" t="inlineStr">
        <is>
          <t>고체향수</t>
        </is>
      </c>
      <c r="K7149" s="20" t="n">
        <v>182170</v>
      </c>
    </row>
    <row r="7150">
      <c r="A7150" s="20" t="inlineStr">
        <is>
          <t>고체향수_Npay 추적</t>
        </is>
      </c>
      <c r="B7150" s="16" t="n">
        <v>44307</v>
      </c>
      <c r="C7150" s="20" t="inlineStr">
        <is>
          <t>수</t>
        </is>
      </c>
      <c r="D7150" s="20" t="inlineStr">
        <is>
          <t>카카오 배너</t>
        </is>
      </c>
      <c r="E7150" s="20" t="inlineStr">
        <is>
          <t>고체향수</t>
        </is>
      </c>
      <c r="K7150" s="20" t="n">
        <v>881379.9999999999</v>
      </c>
    </row>
    <row r="7151">
      <c r="B7151" s="16" t="n">
        <v>44307</v>
      </c>
      <c r="C7151" s="20" t="inlineStr">
        <is>
          <t>수</t>
        </is>
      </c>
      <c r="E7151" s="20" t="inlineStr">
        <is>
          <t>고체향수</t>
        </is>
      </c>
      <c r="F7151" s="20" t="inlineStr">
        <is>
          <t>W컨셉</t>
        </is>
      </c>
      <c r="G7151" s="20" t="inlineStr">
        <is>
          <t>솔리드퍼퓸 이그나이트/스테이포에버 30ml (2종 택1)&lt;옵션1&gt;002 STAY FOREVER</t>
        </is>
      </c>
      <c r="H7151" s="20" t="n">
        <v>15</v>
      </c>
      <c r="I7151" s="20" t="inlineStr">
        <is>
          <t>스테이포에버</t>
        </is>
      </c>
      <c r="J7151" s="20" t="inlineStr">
        <is>
          <t>210207</t>
        </is>
      </c>
      <c r="L7151" s="20" t="n">
        <v>510000</v>
      </c>
      <c r="M7151" s="20" t="n">
        <v>357000</v>
      </c>
      <c r="N7151" s="20" t="n">
        <v>38880</v>
      </c>
      <c r="O7151" s="20" t="inlineStr">
        <is>
          <t>W컨셉고체향수솔리드퍼퓸 이그나이트/스테이포에버 30ml (2종 택1)&lt;옵션1&gt;002 STAY FOREVER210207</t>
        </is>
      </c>
    </row>
    <row r="7152">
      <c r="B7152" s="16" t="n">
        <v>44307</v>
      </c>
      <c r="C7152" s="20" t="inlineStr">
        <is>
          <t>수</t>
        </is>
      </c>
      <c r="E7152" s="20" t="inlineStr">
        <is>
          <t>고체향수</t>
        </is>
      </c>
      <c r="F7152" s="20" t="inlineStr">
        <is>
          <t>W컨셉</t>
        </is>
      </c>
      <c r="G7152" s="20" t="inlineStr">
        <is>
          <t>솔리드퍼퓸 이그나이트/스테이포에버 30ml (2종 택1)&lt;옵션1&gt;IGNITE + STAY FOREVER</t>
        </is>
      </c>
      <c r="H7152" s="20" t="n">
        <v>3</v>
      </c>
      <c r="I7152" s="20" t="inlineStr">
        <is>
          <t>이그나이트 + 스테이포에버</t>
        </is>
      </c>
      <c r="J7152" s="20" t="inlineStr">
        <is>
          <t>210207</t>
        </is>
      </c>
      <c r="L7152" s="20" t="n">
        <v>176400</v>
      </c>
      <c r="M7152" s="20" t="n">
        <v>141120</v>
      </c>
      <c r="N7152" s="20" t="n">
        <v>16035</v>
      </c>
      <c r="O7152" s="20" t="inlineStr">
        <is>
          <t>W컨셉고체향수솔리드퍼퓸 이그나이트/스테이포에버 30ml (2종 택1)&lt;옵션1&gt;IGNITE + STAY FOREVER210207</t>
        </is>
      </c>
    </row>
    <row r="7153">
      <c r="B7153" s="16" t="n">
        <v>44307</v>
      </c>
      <c r="C7153" s="20" t="inlineStr">
        <is>
          <t>수</t>
        </is>
      </c>
      <c r="E7153" s="20" t="inlineStr">
        <is>
          <t>고체향수</t>
        </is>
      </c>
      <c r="F7153" s="20" t="inlineStr">
        <is>
          <t>스마트스토어</t>
        </is>
      </c>
      <c r="G7153" s="20" t="inlineStr">
        <is>
          <t>유즈 고체향수 세트(유즈 스테이포에버, 유즈 이그나이트)고체향수: 스테이포에버 1개 + 이그나이트 1개</t>
        </is>
      </c>
      <c r="H7153" s="20" t="n">
        <v>5</v>
      </c>
      <c r="I7153" s="20" t="inlineStr">
        <is>
          <t>이그나이트 + 스테이포에버</t>
        </is>
      </c>
      <c r="J7153" s="20" t="inlineStr">
        <is>
          <t>210207</t>
        </is>
      </c>
      <c r="L7153" s="20" t="n">
        <v>294000</v>
      </c>
      <c r="M7153" s="20" t="n">
        <v>276801</v>
      </c>
      <c r="N7153" s="20" t="n">
        <v>26725</v>
      </c>
      <c r="O7153" s="20" t="inlineStr">
        <is>
          <t>스마트스토어고체향수유즈 고체향수 세트(유즈 스테이포에버, 유즈 이그나이트)고체향수: 스테이포에버 1개 + 이그나이트 1개210207</t>
        </is>
      </c>
    </row>
    <row r="7154">
      <c r="B7154" s="16" t="n">
        <v>44307</v>
      </c>
      <c r="C7154" s="20" t="inlineStr">
        <is>
          <t>수</t>
        </is>
      </c>
      <c r="E7154" s="20" t="inlineStr">
        <is>
          <t>고체향수</t>
        </is>
      </c>
      <c r="F7154" s="20" t="inlineStr">
        <is>
          <t>스마트스토어</t>
        </is>
      </c>
      <c r="G7154" s="20" t="inlineStr">
        <is>
          <t>유즈 고체향수 세트(유즈 스테이포에버, 유즈 이그나이트)고체향수: 스테이포에버 2개</t>
        </is>
      </c>
      <c r="H7154" s="20" t="n">
        <v>2</v>
      </c>
      <c r="I7154" s="20" t="inlineStr">
        <is>
          <t>스테이포에버 2set</t>
        </is>
      </c>
      <c r="J7154" s="20" t="inlineStr">
        <is>
          <t>210207</t>
        </is>
      </c>
      <c r="L7154" s="20" t="n">
        <v>117600</v>
      </c>
      <c r="M7154" s="20" t="n">
        <v>115248</v>
      </c>
      <c r="N7154" s="20" t="n">
        <v>10368</v>
      </c>
      <c r="O7154" s="20" t="inlineStr">
        <is>
          <t>스마트스토어고체향수유즈 고체향수 세트(유즈 스테이포에버, 유즈 이그나이트)고체향수: 스테이포에버 2개210207</t>
        </is>
      </c>
    </row>
    <row r="7155">
      <c r="B7155" s="16" t="n">
        <v>44307</v>
      </c>
      <c r="C7155" s="20" t="inlineStr">
        <is>
          <t>수</t>
        </is>
      </c>
      <c r="E7155" s="20" t="inlineStr">
        <is>
          <t>고체향수</t>
        </is>
      </c>
      <c r="F7155" s="20" t="inlineStr">
        <is>
          <t>스마트스토어</t>
        </is>
      </c>
      <c r="G7155" s="20" t="inlineStr">
        <is>
          <t>유즈 고체향수 스테이포에버 002고체향수: 스테이포에버 1개</t>
        </is>
      </c>
      <c r="H7155" s="20" t="n">
        <v>20</v>
      </c>
      <c r="I7155" s="20" t="inlineStr">
        <is>
          <t>스테이포에버</t>
        </is>
      </c>
      <c r="J7155" s="20" t="inlineStr">
        <is>
          <t>210207</t>
        </is>
      </c>
      <c r="L7155" s="20" t="n">
        <v>680000</v>
      </c>
      <c r="M7155" s="20" t="n">
        <v>666400</v>
      </c>
      <c r="N7155" s="20" t="n">
        <v>51840</v>
      </c>
      <c r="O7155" s="20" t="inlineStr">
        <is>
          <t>스마트스토어고체향수유즈 고체향수 스테이포에버 002고체향수: 스테이포에버 1개210207</t>
        </is>
      </c>
    </row>
    <row r="7156">
      <c r="B7156" s="16" t="n">
        <v>44307</v>
      </c>
      <c r="C7156" s="20" t="inlineStr">
        <is>
          <t>수</t>
        </is>
      </c>
      <c r="E7156" s="20" t="inlineStr">
        <is>
          <t>고체향수</t>
        </is>
      </c>
      <c r="F7156" s="20" t="inlineStr">
        <is>
          <t>카페24</t>
        </is>
      </c>
      <c r="G7156" s="20" t="inlineStr">
        <is>
          <t>솔리드퍼퓸 세트향=이그나이트 001 SOLID PERFUME, 세트 선택=1개</t>
        </is>
      </c>
      <c r="H7156" s="20" t="n">
        <v>2</v>
      </c>
      <c r="I7156" s="20" t="inlineStr">
        <is>
          <t>이그나이트</t>
        </is>
      </c>
      <c r="J7156" s="20" t="inlineStr">
        <is>
          <t>210207</t>
        </is>
      </c>
      <c r="L7156" s="20" t="n">
        <v>68000</v>
      </c>
      <c r="M7156" s="20" t="n">
        <v>64022</v>
      </c>
      <c r="N7156" s="20" t="n">
        <v>5506</v>
      </c>
      <c r="O7156" s="20" t="inlineStr">
        <is>
          <t>카페24고체향수솔리드퍼퓸 세트향=이그나이트 001 SOLID PERFUME, 세트 선택=1개210207</t>
        </is>
      </c>
    </row>
    <row r="7157">
      <c r="B7157" s="16" t="n">
        <v>44307</v>
      </c>
      <c r="C7157" s="20" t="inlineStr">
        <is>
          <t>수</t>
        </is>
      </c>
      <c r="E7157" s="20" t="inlineStr">
        <is>
          <t>고체향수</t>
        </is>
      </c>
      <c r="F7157" s="20" t="inlineStr">
        <is>
          <t>카페24</t>
        </is>
      </c>
      <c r="G7157" s="20" t="inlineStr">
        <is>
          <t>솔리드퍼퓸 세트향=스테이포에버 002 SOLID PERFUME, 세트 선택=1개</t>
        </is>
      </c>
      <c r="H7157" s="20" t="n">
        <v>4</v>
      </c>
      <c r="I7157" s="20" t="inlineStr">
        <is>
          <t>스테이포에버</t>
        </is>
      </c>
      <c r="J7157" s="20" t="inlineStr">
        <is>
          <t>210207</t>
        </is>
      </c>
      <c r="L7157" s="20" t="n">
        <v>136000</v>
      </c>
      <c r="M7157" s="20" t="n">
        <v>128044</v>
      </c>
      <c r="N7157" s="20" t="n">
        <v>10368</v>
      </c>
      <c r="O7157" s="20" t="inlineStr">
        <is>
          <t>카페24고체향수솔리드퍼퓸 세트향=스테이포에버 002 SOLID PERFUME, 세트 선택=1개210207</t>
        </is>
      </c>
    </row>
    <row r="7158">
      <c r="B7158" s="16" t="n">
        <v>44307</v>
      </c>
      <c r="C7158" s="20" t="inlineStr">
        <is>
          <t>수</t>
        </is>
      </c>
      <c r="E7158" s="20" t="inlineStr">
        <is>
          <t>고체향수</t>
        </is>
      </c>
      <c r="F7158" s="20" t="inlineStr">
        <is>
          <t>카페24</t>
        </is>
      </c>
      <c r="G7158" s="20" t="inlineStr">
        <is>
          <t>솔리드퍼퓸 세트향=스테이포에버 002 SOLID PERFUME, 세트 선택=best 2개 (28% 할인)</t>
        </is>
      </c>
      <c r="H7158" s="20" t="n">
        <v>4</v>
      </c>
      <c r="I7158" s="20" t="inlineStr">
        <is>
          <t>스테이포에버 2set</t>
        </is>
      </c>
      <c r="J7158" s="20" t="inlineStr">
        <is>
          <t>210207</t>
        </is>
      </c>
      <c r="L7158" s="20" t="n">
        <v>235200</v>
      </c>
      <c r="M7158" s="20" t="n">
        <v>221440.8</v>
      </c>
      <c r="N7158" s="20" t="n">
        <v>20736</v>
      </c>
      <c r="O7158" s="20" t="inlineStr">
        <is>
          <t>카페24고체향수솔리드퍼퓸 세트향=스테이포에버 002 SOLID PERFUME, 세트 선택=best 2개 (28% 할인)210207</t>
        </is>
      </c>
    </row>
    <row r="7159">
      <c r="B7159" s="16" t="n">
        <v>44307</v>
      </c>
      <c r="C7159" s="20" t="inlineStr">
        <is>
          <t>수</t>
        </is>
      </c>
      <c r="E7159" s="20" t="inlineStr">
        <is>
          <t>고체향수</t>
        </is>
      </c>
      <c r="F7159" s="20" t="inlineStr">
        <is>
          <t>카페24</t>
        </is>
      </c>
      <c r="G7159" s="20" t="inlineStr">
        <is>
          <t>솔리드퍼퓸 세트향=커플세트(이그나이트 + 스테이포에버), 세트 선택=1 SET</t>
        </is>
      </c>
      <c r="H7159" s="20" t="n">
        <v>14</v>
      </c>
      <c r="I7159" s="20" t="inlineStr">
        <is>
          <t>이그나이트 + 스테이포에버</t>
        </is>
      </c>
      <c r="J7159" s="20" t="inlineStr">
        <is>
          <t>210207</t>
        </is>
      </c>
      <c r="L7159" s="20" t="n">
        <v>823200</v>
      </c>
      <c r="M7159" s="20" t="n">
        <v>775042.7999999999</v>
      </c>
      <c r="N7159" s="20" t="n">
        <v>74830</v>
      </c>
      <c r="O7159" s="20" t="inlineStr">
        <is>
          <t>카페24고체향수솔리드퍼퓸 세트향=커플세트(이그나이트 + 스테이포에버), 세트 선택=1 SET210207</t>
        </is>
      </c>
    </row>
    <row r="7160">
      <c r="B7160" s="16" t="n">
        <v>44307</v>
      </c>
      <c r="C7160" s="20" t="inlineStr">
        <is>
          <t>수</t>
        </is>
      </c>
      <c r="E7160" s="20" t="inlineStr">
        <is>
          <t>고체향수</t>
        </is>
      </c>
      <c r="F7160" s="20" t="inlineStr">
        <is>
          <t>카페24</t>
        </is>
      </c>
      <c r="G7160" s="20" t="inlineStr">
        <is>
          <t>솔리드퍼퓸 세트향=커플세트(이그나이트 + 스테이포에버), 세트 선택=2 SET (42% 할인)</t>
        </is>
      </c>
      <c r="H7160" s="20" t="n">
        <v>1</v>
      </c>
      <c r="I7160" s="20" t="inlineStr">
        <is>
          <t>이그나이트 + 스테이포에버</t>
        </is>
      </c>
      <c r="J7160" s="20" t="inlineStr">
        <is>
          <t>210207</t>
        </is>
      </c>
      <c r="L7160" s="20" t="n">
        <v>58800</v>
      </c>
      <c r="M7160" s="20" t="n">
        <v>55360.2</v>
      </c>
      <c r="N7160" s="20" t="n">
        <v>5345</v>
      </c>
      <c r="O7160" s="20" t="inlineStr">
        <is>
          <t>카페24고체향수솔리드퍼퓸 세트향=커플세트(이그나이트 + 스테이포에버), 세트 선택=2 SET (42% 할인)210207</t>
        </is>
      </c>
    </row>
    <row r="7161">
      <c r="B7161" s="16" t="n">
        <v>44307</v>
      </c>
      <c r="C7161" s="20" t="inlineStr">
        <is>
          <t>수</t>
        </is>
      </c>
      <c r="E7161" s="20" t="inlineStr">
        <is>
          <t>고체향수</t>
        </is>
      </c>
      <c r="F7161" s="20" t="inlineStr">
        <is>
          <t>카페24</t>
        </is>
      </c>
      <c r="G7161" s="20" t="inlineStr">
        <is>
          <t>솔리드퍼퓸 스테이포에버 002제품선택=스테이포에버 1개</t>
        </is>
      </c>
      <c r="H7161" s="20" t="n">
        <v>164</v>
      </c>
      <c r="I7161" s="20" t="inlineStr">
        <is>
          <t>스테이포에버</t>
        </is>
      </c>
      <c r="J7161" s="20" t="inlineStr">
        <is>
          <t>210207</t>
        </is>
      </c>
      <c r="L7161" s="20" t="n">
        <v>5576000</v>
      </c>
      <c r="M7161" s="20" t="n">
        <v>5249804</v>
      </c>
      <c r="N7161" s="20" t="n">
        <v>425088</v>
      </c>
      <c r="O7161" s="20" t="inlineStr">
        <is>
          <t>카페24고체향수솔리드퍼퓸 스테이포에버 002제품선택=스테이포에버 1개210207</t>
        </is>
      </c>
    </row>
    <row r="7162">
      <c r="B7162" s="16" t="n">
        <v>44307</v>
      </c>
      <c r="C7162" s="20" t="inlineStr">
        <is>
          <t>수</t>
        </is>
      </c>
      <c r="E7162" s="20" t="inlineStr">
        <is>
          <t>고체향수</t>
        </is>
      </c>
      <c r="F7162" s="20" t="inlineStr">
        <is>
          <t>카페24</t>
        </is>
      </c>
      <c r="G7162" s="20" t="inlineStr">
        <is>
          <t>솔리드퍼퓸 스테이포에버 002제품선택=best스테이포에버 2개[28% 할인]</t>
        </is>
      </c>
      <c r="H7162" s="20" t="n">
        <v>142</v>
      </c>
      <c r="I7162" s="20" t="inlineStr">
        <is>
          <t>스테이포에버 2set</t>
        </is>
      </c>
      <c r="J7162" s="20" t="inlineStr">
        <is>
          <t>210207</t>
        </is>
      </c>
      <c r="L7162" s="20" t="n">
        <v>8349600</v>
      </c>
      <c r="M7162" s="20" t="n">
        <v>7861148.399999999</v>
      </c>
      <c r="N7162" s="20" t="n">
        <v>736128</v>
      </c>
      <c r="O7162" s="20" t="inlineStr">
        <is>
          <t>카페24고체향수솔리드퍼퓸 스테이포에버 002제품선택=best스테이포에버 2개[28% 할인]210207</t>
        </is>
      </c>
    </row>
    <row r="7163">
      <c r="B7163" s="16" t="n">
        <v>44307</v>
      </c>
      <c r="C7163" s="20" t="inlineStr">
        <is>
          <t>수</t>
        </is>
      </c>
      <c r="E7163" s="20" t="inlineStr">
        <is>
          <t>고체향수</t>
        </is>
      </c>
      <c r="F7163" s="20" t="inlineStr">
        <is>
          <t>카페24</t>
        </is>
      </c>
      <c r="G7163" s="20" t="inlineStr">
        <is>
          <t>솔리드퍼퓸 스테이포에버 002제품선택=커플추천스테이포에버 + 이그나이트 세트</t>
        </is>
      </c>
      <c r="H7163" s="20" t="n">
        <v>16</v>
      </c>
      <c r="I7163" s="20" t="inlineStr">
        <is>
          <t>이그나이트 + 스테이포에버</t>
        </is>
      </c>
      <c r="J7163" s="20" t="inlineStr">
        <is>
          <t>210207</t>
        </is>
      </c>
      <c r="L7163" s="20" t="n">
        <v>940800</v>
      </c>
      <c r="M7163" s="20" t="n">
        <v>885763.2</v>
      </c>
      <c r="N7163" s="20" t="n">
        <v>85520</v>
      </c>
      <c r="O7163" s="20" t="inlineStr">
        <is>
          <t>카페24고체향수솔리드퍼퓸 스테이포에버 002제품선택=커플추천스테이포에버 + 이그나이트 세트210207</t>
        </is>
      </c>
    </row>
    <row r="7164">
      <c r="B7164" s="16" t="n">
        <v>44307</v>
      </c>
      <c r="C7164" s="20" t="inlineStr">
        <is>
          <t>수</t>
        </is>
      </c>
      <c r="E7164" s="20" t="inlineStr">
        <is>
          <t>쇼핑백</t>
        </is>
      </c>
      <c r="F7164" s="20" t="inlineStr">
        <is>
          <t>카페24</t>
        </is>
      </c>
      <c r="G7164" s="20" t="inlineStr">
        <is>
          <t>솔리드퍼퓸 스테이포에버 002쇼핑백=선물용 쇼핑백</t>
        </is>
      </c>
      <c r="H7164" s="20" t="n">
        <v>11</v>
      </c>
      <c r="I7164" s="20" t="inlineStr">
        <is>
          <t>쇼핑백</t>
        </is>
      </c>
      <c r="J7164" s="20" t="inlineStr">
        <is>
          <t>210207</t>
        </is>
      </c>
      <c r="L7164" s="20" t="n">
        <v>22000</v>
      </c>
      <c r="M7164" s="20" t="n">
        <v>20713</v>
      </c>
      <c r="N7164" s="20" t="n">
        <v>9130</v>
      </c>
      <c r="O7164" s="20" t="inlineStr">
        <is>
          <t>카페24쇼핑백솔리드퍼퓸 스테이포에버 002쇼핑백=선물용 쇼핑백210207</t>
        </is>
      </c>
    </row>
    <row r="7165">
      <c r="B7165" s="16" t="n">
        <v>44307</v>
      </c>
      <c r="C7165" s="20" t="inlineStr">
        <is>
          <t>수</t>
        </is>
      </c>
      <c r="E7165" s="20" t="inlineStr">
        <is>
          <t>고체향수</t>
        </is>
      </c>
      <c r="F7165" s="20" t="inlineStr">
        <is>
          <t>카페24</t>
        </is>
      </c>
      <c r="G7165" s="20" t="inlineStr">
        <is>
          <t>솔리드퍼퓸 이그나이트 001제품선택=이그나이트 솔리드퍼퓸 - 30ml</t>
        </is>
      </c>
      <c r="H7165" s="20" t="n">
        <v>1</v>
      </c>
      <c r="I7165" s="20" t="inlineStr">
        <is>
          <t>이그나이트</t>
        </is>
      </c>
      <c r="J7165" s="20" t="inlineStr">
        <is>
          <t>210207</t>
        </is>
      </c>
      <c r="L7165" s="20" t="n">
        <v>34000</v>
      </c>
      <c r="M7165" s="20" t="n">
        <v>32011</v>
      </c>
      <c r="N7165" s="20" t="n">
        <v>2753</v>
      </c>
      <c r="O7165" s="20" t="inlineStr">
        <is>
          <t>카페24고체향수솔리드퍼퓸 이그나이트 001제품선택=이그나이트 솔리드퍼퓸 - 30ml210207</t>
        </is>
      </c>
    </row>
    <row r="7166">
      <c r="A7166" s="20" t="inlineStr">
        <is>
          <t>고체향수</t>
        </is>
      </c>
      <c r="B7166" s="16" t="n">
        <v>44307</v>
      </c>
      <c r="C7166" s="20" t="inlineStr">
        <is>
          <t>수</t>
        </is>
      </c>
      <c r="D7166" s="20" t="inlineStr">
        <is>
          <t>네이버 배너</t>
        </is>
      </c>
      <c r="E7166" s="20" t="inlineStr">
        <is>
          <t>고체향수</t>
        </is>
      </c>
      <c r="K7166" s="20" t="n">
        <v>1133987.272727273</v>
      </c>
    </row>
    <row r="7167">
      <c r="B7167" s="16" t="n">
        <v>44307</v>
      </c>
      <c r="C7167" s="20" t="inlineStr">
        <is>
          <t>수</t>
        </is>
      </c>
      <c r="D7167" s="20" t="inlineStr">
        <is>
          <t>네이버 배너(대행사)</t>
        </is>
      </c>
      <c r="E7167" s="20" t="inlineStr">
        <is>
          <t>고체향수</t>
        </is>
      </c>
      <c r="K7167" s="20">
        <f>789191/1.1</f>
        <v/>
      </c>
    </row>
    <row r="7168">
      <c r="B7168" s="16" t="n">
        <v>44307</v>
      </c>
      <c r="C7168" s="20" t="inlineStr">
        <is>
          <t>수</t>
        </is>
      </c>
      <c r="E7168" s="20">
        <f>INDEX(매칭테이블!C:C,MATCH(RD!G7168,매칭테이블!D:D,0))</f>
        <v/>
      </c>
      <c r="F7168" s="20" t="inlineStr">
        <is>
          <t>올리브영</t>
        </is>
      </c>
      <c r="G7168" s="20" t="inlineStr">
        <is>
          <t>유즈 솔리드퍼퓸 001 이그나이트 30ml 30600 온라인</t>
        </is>
      </c>
      <c r="H7168" s="20" t="n">
        <v>5</v>
      </c>
      <c r="J7168" s="20" t="inlineStr">
        <is>
          <t>210207</t>
        </is>
      </c>
      <c r="L7168" s="20">
        <f>VLOOKUP($O7168,매칭테이블!$G:$J,2,0)*H7168</f>
        <v/>
      </c>
      <c r="M7168" s="20">
        <f>L7168-L7168*VLOOKUP($O7168,매칭테이블!$G:$J,3,0)</f>
        <v/>
      </c>
      <c r="N7168" s="20">
        <f>VLOOKUP($O7168,매칭테이블!$G:$J,4,0)*H7168</f>
        <v/>
      </c>
      <c r="O7168" s="20">
        <f>F7168&amp;E7168&amp;G7168&amp;J7168</f>
        <v/>
      </c>
    </row>
    <row r="7169">
      <c r="B7169" s="16" t="n">
        <v>44307</v>
      </c>
      <c r="C7169" s="20" t="inlineStr">
        <is>
          <t>수</t>
        </is>
      </c>
      <c r="E7169" s="20">
        <f>INDEX(매칭테이블!C:C,MATCH(RD!G7169,매칭테이블!D:D,0))</f>
        <v/>
      </c>
      <c r="F7169" s="20" t="inlineStr">
        <is>
          <t>올리브영</t>
        </is>
      </c>
      <c r="G7169" s="20" t="inlineStr">
        <is>
          <t>유즈 솔리드퍼퓸 002 스테이포에버 30ml 30600 온라인</t>
        </is>
      </c>
      <c r="H7169" s="20" t="n">
        <v>88</v>
      </c>
      <c r="J7169" s="20" t="inlineStr">
        <is>
          <t>210207</t>
        </is>
      </c>
      <c r="L7169" s="20">
        <f>VLOOKUP($O7169,매칭테이블!$G:$J,2,0)*H7169</f>
        <v/>
      </c>
      <c r="M7169" s="20">
        <f>L7169-L7169*VLOOKUP($O7169,매칭테이블!$G:$J,3,0)</f>
        <v/>
      </c>
      <c r="N7169" s="20">
        <f>VLOOKUP($O7169,매칭테이블!$G:$J,4,0)*H7169</f>
        <v/>
      </c>
      <c r="O7169" s="20">
        <f>F7169&amp;E7169&amp;G7169&amp;J7169</f>
        <v/>
      </c>
    </row>
    <row r="7170">
      <c r="A7170" s="20" t="inlineStr">
        <is>
          <t>[수현 TEST] 솔리드퍼퓸_이미지</t>
        </is>
      </c>
      <c r="B7170" s="16" t="n">
        <v>44308</v>
      </c>
      <c r="C7170" s="20" t="inlineStr">
        <is>
          <t>목</t>
        </is>
      </c>
      <c r="D7170" s="20" t="inlineStr">
        <is>
          <t>페이스북/인스타그램</t>
        </is>
      </c>
      <c r="E7170" s="20" t="inlineStr">
        <is>
          <t>고체향수</t>
        </is>
      </c>
      <c r="K7170" s="20" t="n">
        <v>20444</v>
      </c>
    </row>
    <row r="7171">
      <c r="A7171" s="20" t="inlineStr">
        <is>
          <t>[승은 TEST] 스테이포에버</t>
        </is>
      </c>
      <c r="B7171" s="16" t="n">
        <v>44308</v>
      </c>
      <c r="C7171" s="20" t="inlineStr">
        <is>
          <t>목</t>
        </is>
      </c>
      <c r="D7171" s="20" t="inlineStr">
        <is>
          <t>페이스북/인스타그램</t>
        </is>
      </c>
      <c r="E7171" s="20" t="inlineStr">
        <is>
          <t>고체향수</t>
        </is>
      </c>
      <c r="K7171" s="20" t="n">
        <v>105869</v>
      </c>
    </row>
    <row r="7172">
      <c r="A7172" s="20" t="inlineStr">
        <is>
          <t>[성민 TEST] 솔리드퍼퓸_이미지</t>
        </is>
      </c>
      <c r="B7172" s="16" t="n">
        <v>44308</v>
      </c>
      <c r="C7172" s="20" t="inlineStr">
        <is>
          <t>목</t>
        </is>
      </c>
      <c r="D7172" s="20" t="inlineStr">
        <is>
          <t>페이스북/인스타그램</t>
        </is>
      </c>
      <c r="E7172" s="20" t="inlineStr">
        <is>
          <t>고체향수</t>
        </is>
      </c>
      <c r="K7172" s="20" t="n">
        <v>85856</v>
      </c>
    </row>
    <row r="7173">
      <c r="A7173" s="20" t="inlineStr">
        <is>
          <t>[승무원]유튜브_스테이포에버_카드뉴스</t>
        </is>
      </c>
      <c r="B7173" s="16" t="n">
        <v>44308</v>
      </c>
      <c r="C7173" s="20" t="inlineStr">
        <is>
          <t>목</t>
        </is>
      </c>
      <c r="D7173" s="20" t="inlineStr">
        <is>
          <t>페이스북/인스타그램</t>
        </is>
      </c>
      <c r="E7173" s="20" t="inlineStr">
        <is>
          <t>고체향수</t>
        </is>
      </c>
      <c r="K7173" s="20" t="n">
        <v>30290</v>
      </c>
    </row>
    <row r="7174">
      <c r="A7174" s="20" t="inlineStr">
        <is>
          <t>[올리브영] 이그나이트_영상</t>
        </is>
      </c>
      <c r="B7174" s="16" t="n">
        <v>44308</v>
      </c>
      <c r="C7174" s="20" t="inlineStr">
        <is>
          <t>목</t>
        </is>
      </c>
      <c r="D7174" s="20" t="inlineStr">
        <is>
          <t>페이스북/인스타그램</t>
        </is>
      </c>
      <c r="E7174" s="20" t="inlineStr">
        <is>
          <t>고체향수</t>
        </is>
      </c>
      <c r="K7174" s="20" t="n">
        <v>30052</v>
      </c>
    </row>
    <row r="7175">
      <c r="A7175" s="20" t="inlineStr">
        <is>
          <t>[승희 TEST] 솔리드퍼퓸_이미지</t>
        </is>
      </c>
      <c r="B7175" s="16" t="n">
        <v>44308</v>
      </c>
      <c r="C7175" s="20" t="inlineStr">
        <is>
          <t>목</t>
        </is>
      </c>
      <c r="D7175" s="20" t="inlineStr">
        <is>
          <t>페이스북/인스타그램</t>
        </is>
      </c>
      <c r="E7175" s="20" t="inlineStr">
        <is>
          <t>고체향수</t>
        </is>
      </c>
      <c r="K7175" s="20" t="n">
        <v>110610</v>
      </c>
    </row>
    <row r="7176">
      <c r="A7176" s="20" t="inlineStr">
        <is>
          <t>[올리브영] 스테이포에버_영상</t>
        </is>
      </c>
      <c r="B7176" s="16" t="n">
        <v>44308</v>
      </c>
      <c r="C7176" s="20" t="inlineStr">
        <is>
          <t>목</t>
        </is>
      </c>
      <c r="D7176" s="20" t="inlineStr">
        <is>
          <t>페이스북/인스타그램</t>
        </is>
      </c>
      <c r="E7176" s="20" t="inlineStr">
        <is>
          <t>고체향수</t>
        </is>
      </c>
      <c r="K7176" s="20" t="n">
        <v>49145</v>
      </c>
    </row>
    <row r="7177">
      <c r="A7177" s="20" t="inlineStr">
        <is>
          <t>[올리브영] 스테이포에버_이미지</t>
        </is>
      </c>
      <c r="B7177" s="16" t="n">
        <v>44308</v>
      </c>
      <c r="C7177" s="20" t="inlineStr">
        <is>
          <t>목</t>
        </is>
      </c>
      <c r="D7177" s="20" t="inlineStr">
        <is>
          <t>페이스북/인스타그램</t>
        </is>
      </c>
      <c r="E7177" s="20" t="inlineStr">
        <is>
          <t>고체향수</t>
        </is>
      </c>
      <c r="K7177" s="20" t="n">
        <v>29035</v>
      </c>
    </row>
    <row r="7178">
      <c r="A7178" s="20" t="inlineStr">
        <is>
          <t>[승무원] 유튜브재편집_스테이포에버_영상</t>
        </is>
      </c>
      <c r="B7178" s="16" t="n">
        <v>44308</v>
      </c>
      <c r="C7178" s="20" t="inlineStr">
        <is>
          <t>목</t>
        </is>
      </c>
      <c r="D7178" s="20" t="inlineStr">
        <is>
          <t>페이스북/인스타그램</t>
        </is>
      </c>
      <c r="E7178" s="20" t="inlineStr">
        <is>
          <t>고체향수</t>
        </is>
      </c>
      <c r="K7178" s="20" t="n">
        <v>398183</v>
      </c>
    </row>
    <row r="7179">
      <c r="A7179" s="20" t="inlineStr">
        <is>
          <t>[다현 TEST] 스테이포에버_유즈모먼트</t>
        </is>
      </c>
      <c r="B7179" s="16" t="n">
        <v>44308</v>
      </c>
      <c r="C7179" s="20" t="inlineStr">
        <is>
          <t>목</t>
        </is>
      </c>
      <c r="D7179" s="20" t="inlineStr">
        <is>
          <t>페이스북/인스타그램</t>
        </is>
      </c>
      <c r="E7179" s="20" t="inlineStr">
        <is>
          <t>고체향수</t>
        </is>
      </c>
      <c r="K7179" s="20" t="n">
        <v>29733</v>
      </c>
    </row>
    <row r="7180">
      <c r="A7180" s="20" t="inlineStr">
        <is>
          <t>[승무원 면세점] 스테이포에버_카드뉴스</t>
        </is>
      </c>
      <c r="B7180" s="16" t="n">
        <v>44308</v>
      </c>
      <c r="C7180" s="20" t="inlineStr">
        <is>
          <t>목</t>
        </is>
      </c>
      <c r="D7180" s="20" t="inlineStr">
        <is>
          <t>페이스북/인스타그램</t>
        </is>
      </c>
      <c r="E7180" s="20" t="inlineStr">
        <is>
          <t>고체향수</t>
        </is>
      </c>
      <c r="K7180" s="20" t="n">
        <v>258225</v>
      </c>
    </row>
    <row r="7181">
      <c r="A7181" s="20" t="inlineStr">
        <is>
          <t>[카페알바] 스테이포에버_카드뉴스</t>
        </is>
      </c>
      <c r="B7181" s="16" t="n">
        <v>44308</v>
      </c>
      <c r="C7181" s="20" t="inlineStr">
        <is>
          <t>목</t>
        </is>
      </c>
      <c r="D7181" s="20" t="inlineStr">
        <is>
          <t>페이스북/인스타그램</t>
        </is>
      </c>
      <c r="E7181" s="20" t="inlineStr">
        <is>
          <t>고체향수</t>
        </is>
      </c>
      <c r="K7181" s="20" t="n">
        <v>148276</v>
      </c>
    </row>
    <row r="7182">
      <c r="A7182" s="20" t="inlineStr">
        <is>
          <t>[아줌마]스테이포에버_이미지</t>
        </is>
      </c>
      <c r="B7182" s="16" t="n">
        <v>44308</v>
      </c>
      <c r="C7182" s="20" t="inlineStr">
        <is>
          <t>목</t>
        </is>
      </c>
      <c r="D7182" s="20" t="inlineStr">
        <is>
          <t>페이스북/인스타그램</t>
        </is>
      </c>
      <c r="E7182" s="20" t="inlineStr">
        <is>
          <t>고체향수</t>
        </is>
      </c>
      <c r="K7182" s="20" t="n">
        <v>100525</v>
      </c>
    </row>
    <row r="7183">
      <c r="A7183" s="20" t="inlineStr">
        <is>
          <t>[다양한 키워드] 스테이포에버_이미지</t>
        </is>
      </c>
      <c r="B7183" s="16" t="n">
        <v>44308</v>
      </c>
      <c r="C7183" s="20" t="inlineStr">
        <is>
          <t>목</t>
        </is>
      </c>
      <c r="D7183" s="20" t="inlineStr">
        <is>
          <t>페이스북/인스타그램</t>
        </is>
      </c>
      <c r="E7183" s="20" t="inlineStr">
        <is>
          <t>고체향수</t>
        </is>
      </c>
      <c r="K7183" s="20" t="n">
        <v>231123</v>
      </c>
    </row>
    <row r="7184">
      <c r="A7184" s="20" t="inlineStr">
        <is>
          <t>[재입고]스테이포에버_이미지</t>
        </is>
      </c>
      <c r="B7184" s="16" t="n">
        <v>44308</v>
      </c>
      <c r="C7184" s="20" t="inlineStr">
        <is>
          <t>목</t>
        </is>
      </c>
      <c r="D7184" s="20" t="inlineStr">
        <is>
          <t>페이스북/인스타그램</t>
        </is>
      </c>
      <c r="E7184" s="20" t="inlineStr">
        <is>
          <t>고체향수</t>
        </is>
      </c>
      <c r="K7184" s="20" t="n">
        <v>48939</v>
      </c>
    </row>
    <row r="7185">
      <c r="A7185" s="20" t="inlineStr">
        <is>
          <t>[승무원]숏폼_영상</t>
        </is>
      </c>
      <c r="B7185" s="16" t="n">
        <v>44308</v>
      </c>
      <c r="C7185" s="20" t="inlineStr">
        <is>
          <t>목</t>
        </is>
      </c>
      <c r="D7185" s="20" t="inlineStr">
        <is>
          <t>페이스북/인스타그램</t>
        </is>
      </c>
      <c r="E7185" s="20" t="inlineStr">
        <is>
          <t>고체향수</t>
        </is>
      </c>
      <c r="K7185" s="20" t="n">
        <v>50655</v>
      </c>
    </row>
    <row r="7186">
      <c r="A7186" s="20" t="inlineStr">
        <is>
          <t>[재입고]스테이포에버_영상</t>
        </is>
      </c>
      <c r="B7186" s="16" t="n">
        <v>44308</v>
      </c>
      <c r="C7186" s="20" t="inlineStr">
        <is>
          <t>목</t>
        </is>
      </c>
      <c r="D7186" s="20" t="inlineStr">
        <is>
          <t>페이스북/인스타그램</t>
        </is>
      </c>
      <c r="E7186" s="20" t="inlineStr">
        <is>
          <t>고체향수</t>
        </is>
      </c>
      <c r="K7186" s="20" t="n">
        <v>203436</v>
      </c>
    </row>
    <row r="7187">
      <c r="A7187" s="20" t="inlineStr">
        <is>
          <t>[승무원]2019년썰 카드뉴스+ 향묘사_영상</t>
        </is>
      </c>
      <c r="B7187" s="16" t="n">
        <v>44308</v>
      </c>
      <c r="C7187" s="20" t="inlineStr">
        <is>
          <t>목</t>
        </is>
      </c>
      <c r="D7187" s="20" t="inlineStr">
        <is>
          <t>페이스북/인스타그램</t>
        </is>
      </c>
      <c r="E7187" s="20" t="inlineStr">
        <is>
          <t>고체향수</t>
        </is>
      </c>
      <c r="K7187" s="20" t="n">
        <v>30575</v>
      </c>
    </row>
    <row r="7188">
      <c r="A7188" s="20" t="inlineStr">
        <is>
          <t>[승무원어피]스테이포에버_이미지</t>
        </is>
      </c>
      <c r="B7188" s="16" t="n">
        <v>44308</v>
      </c>
      <c r="C7188" s="20" t="inlineStr">
        <is>
          <t>목</t>
        </is>
      </c>
      <c r="D7188" s="20" t="inlineStr">
        <is>
          <t>페이스북/인스타그램</t>
        </is>
      </c>
      <c r="E7188" s="20" t="inlineStr">
        <is>
          <t>고체향수</t>
        </is>
      </c>
      <c r="K7188" s="20" t="n">
        <v>70334</v>
      </c>
    </row>
    <row r="7189">
      <c r="A7189" s="20" t="inlineStr">
        <is>
          <t>[다현]스테이포에버_이미지</t>
        </is>
      </c>
      <c r="B7189" s="16" t="n">
        <v>44308</v>
      </c>
      <c r="C7189" s="20" t="inlineStr">
        <is>
          <t>목</t>
        </is>
      </c>
      <c r="D7189" s="20" t="inlineStr">
        <is>
          <t>페이스북/인스타그램</t>
        </is>
      </c>
      <c r="E7189" s="20" t="inlineStr">
        <is>
          <t>고체향수</t>
        </is>
      </c>
      <c r="K7189" s="20" t="n">
        <v>153609</v>
      </c>
    </row>
    <row r="7190">
      <c r="A7190" s="20" t="inlineStr">
        <is>
          <t>[승무원]스테이포에버_카드뉴스</t>
        </is>
      </c>
      <c r="B7190" s="16" t="n">
        <v>44308</v>
      </c>
      <c r="C7190" s="20" t="inlineStr">
        <is>
          <t>목</t>
        </is>
      </c>
      <c r="D7190" s="20" t="inlineStr">
        <is>
          <t>페이스북/인스타그램</t>
        </is>
      </c>
      <c r="E7190" s="20" t="inlineStr">
        <is>
          <t>고체향수</t>
        </is>
      </c>
      <c r="K7190" s="20" t="n">
        <v>29956</v>
      </c>
    </row>
    <row r="7191">
      <c r="A7191" s="20" t="inlineStr">
        <is>
          <t>[후기타입]스테이포에버_영상</t>
        </is>
      </c>
      <c r="B7191" s="16" t="n">
        <v>44308</v>
      </c>
      <c r="C7191" s="20" t="inlineStr">
        <is>
          <t>목</t>
        </is>
      </c>
      <c r="D7191" s="20" t="inlineStr">
        <is>
          <t>페이스북/인스타그램</t>
        </is>
      </c>
      <c r="E7191" s="20" t="inlineStr">
        <is>
          <t>고체향수</t>
        </is>
      </c>
      <c r="K7191" s="20" t="n">
        <v>148559</v>
      </c>
    </row>
    <row r="7192">
      <c r="A7192" s="20" t="inlineStr">
        <is>
          <t>전환_스테이포에버</t>
        </is>
      </c>
      <c r="B7192" s="16" t="n">
        <v>44308</v>
      </c>
      <c r="C7192" s="20" t="inlineStr">
        <is>
          <t>목</t>
        </is>
      </c>
      <c r="D7192" s="20" t="inlineStr">
        <is>
          <t>페이스북/인스타그램</t>
        </is>
      </c>
      <c r="E7192" s="20" t="inlineStr">
        <is>
          <t>고체향수</t>
        </is>
      </c>
      <c r="K7192" s="20" t="n">
        <v>70455</v>
      </c>
    </row>
    <row r="7193">
      <c r="A7193" s="20" t="inlineStr">
        <is>
          <t>[권태기커플]스테이포에버_영상</t>
        </is>
      </c>
      <c r="B7193" s="16" t="n">
        <v>44308</v>
      </c>
      <c r="C7193" s="20" t="inlineStr">
        <is>
          <t>목</t>
        </is>
      </c>
      <c r="D7193" s="20" t="inlineStr">
        <is>
          <t>페이스북/인스타그램</t>
        </is>
      </c>
      <c r="E7193" s="20" t="inlineStr">
        <is>
          <t>고체향수</t>
        </is>
      </c>
      <c r="K7193" s="20" t="n">
        <v>30008</v>
      </c>
    </row>
    <row r="7194">
      <c r="A7194" s="20" t="inlineStr">
        <is>
          <t>웹사이트 트래픽 서치</t>
        </is>
      </c>
      <c r="B7194" s="16" t="n">
        <v>44308</v>
      </c>
      <c r="C7194" s="20" t="inlineStr">
        <is>
          <t>목</t>
        </is>
      </c>
      <c r="D7194" s="20" t="inlineStr">
        <is>
          <t>유튜브 광고</t>
        </is>
      </c>
      <c r="E7194" s="20" t="inlineStr">
        <is>
          <t>고체향수</t>
        </is>
      </c>
      <c r="K7194" s="20" t="n">
        <v>10859</v>
      </c>
    </row>
    <row r="7195">
      <c r="A7195" s="20" t="inlineStr">
        <is>
          <t>동영상캠페인_승무원_보이는 라디오(cpa)</t>
        </is>
      </c>
      <c r="B7195" s="16" t="n">
        <v>44308</v>
      </c>
      <c r="C7195" s="20" t="inlineStr">
        <is>
          <t>목</t>
        </is>
      </c>
      <c r="D7195" s="20" t="inlineStr">
        <is>
          <t>유튜브 광고</t>
        </is>
      </c>
      <c r="E7195" s="20" t="inlineStr">
        <is>
          <t>고체향수</t>
        </is>
      </c>
      <c r="K7195" s="20" t="n">
        <v>199924</v>
      </c>
    </row>
    <row r="7196">
      <c r="A7196" s="20" t="inlineStr">
        <is>
          <t>디스커버리 배너_승무원,할인_리마케팅</t>
        </is>
      </c>
      <c r="B7196" s="16" t="n">
        <v>44308</v>
      </c>
      <c r="C7196" s="20" t="inlineStr">
        <is>
          <t>목</t>
        </is>
      </c>
      <c r="D7196" s="20" t="inlineStr">
        <is>
          <t>유튜브 광고</t>
        </is>
      </c>
      <c r="E7196" s="20" t="inlineStr">
        <is>
          <t>고체향수</t>
        </is>
      </c>
      <c r="K7196" s="20" t="n">
        <v>463207</v>
      </c>
    </row>
    <row r="7197">
      <c r="A7197" s="20" t="inlineStr">
        <is>
          <t>동영상캠페인_승무원_써니스카이</t>
        </is>
      </c>
      <c r="B7197" s="16" t="n">
        <v>44308</v>
      </c>
      <c r="C7197" s="20" t="inlineStr">
        <is>
          <t>목</t>
        </is>
      </c>
      <c r="D7197" s="20" t="inlineStr">
        <is>
          <t>유튜브 광고</t>
        </is>
      </c>
      <c r="E7197" s="20" t="inlineStr">
        <is>
          <t>고체향수</t>
        </is>
      </c>
      <c r="K7197" s="20" t="n">
        <v>66378</v>
      </c>
    </row>
    <row r="7198">
      <c r="A7198" s="20" t="inlineStr">
        <is>
          <t>동영상캠페인_필라테스_자기관리(타겟 cpa)</t>
        </is>
      </c>
      <c r="B7198" s="16" t="n">
        <v>44308</v>
      </c>
      <c r="C7198" s="20" t="inlineStr">
        <is>
          <t>목</t>
        </is>
      </c>
      <c r="D7198" s="20" t="inlineStr">
        <is>
          <t>유튜브 광고</t>
        </is>
      </c>
      <c r="E7198" s="20" t="inlineStr">
        <is>
          <t>고체향수</t>
        </is>
      </c>
      <c r="K7198" s="20" t="n">
        <v>53053</v>
      </c>
    </row>
    <row r="7199">
      <c r="A7199" s="20" t="inlineStr">
        <is>
          <t>동영상캠페인_유즈모먼트_조향사 친구(cpa)</t>
        </is>
      </c>
      <c r="B7199" s="16" t="n">
        <v>44308</v>
      </c>
      <c r="C7199" s="20" t="inlineStr">
        <is>
          <t>목</t>
        </is>
      </c>
      <c r="D7199" s="20" t="inlineStr">
        <is>
          <t>유튜브 광고</t>
        </is>
      </c>
      <c r="E7199" s="20" t="inlineStr">
        <is>
          <t>고체향수</t>
        </is>
      </c>
      <c r="K7199" s="20" t="n">
        <v>28547</v>
      </c>
    </row>
    <row r="7200">
      <c r="A7200" s="20" t="inlineStr">
        <is>
          <t>동영상 캠페인_유튜버 수지큐 2차활용_리마케팅</t>
        </is>
      </c>
      <c r="B7200" s="16" t="n">
        <v>44308</v>
      </c>
      <c r="C7200" s="20" t="inlineStr">
        <is>
          <t>목</t>
        </is>
      </c>
      <c r="D7200" s="20" t="inlineStr">
        <is>
          <t>유튜브 광고</t>
        </is>
      </c>
      <c r="E7200" s="20" t="inlineStr">
        <is>
          <t>고체향수</t>
        </is>
      </c>
      <c r="K7200" s="20" t="n">
        <v>72782</v>
      </c>
    </row>
    <row r="7201">
      <c r="A7201" s="20" t="inlineStr">
        <is>
          <t>[5화자] 동영상 캠페인_벨라의 비행일기</t>
        </is>
      </c>
      <c r="B7201" s="16" t="n">
        <v>44308</v>
      </c>
      <c r="C7201" s="20" t="inlineStr">
        <is>
          <t>목</t>
        </is>
      </c>
      <c r="D7201" s="20" t="inlineStr">
        <is>
          <t>유튜브 광고</t>
        </is>
      </c>
      <c r="E7201" s="20" t="inlineStr">
        <is>
          <t>고체향수</t>
        </is>
      </c>
      <c r="K7201" s="20" t="n">
        <v>410219</v>
      </c>
    </row>
    <row r="7202">
      <c r="A7202" s="20" t="inlineStr">
        <is>
          <t>[5화자] 동영상 캠페인_비행하고 여행하는 은선씨</t>
        </is>
      </c>
      <c r="B7202" s="16" t="n">
        <v>44308</v>
      </c>
      <c r="C7202" s="20" t="inlineStr">
        <is>
          <t>목</t>
        </is>
      </c>
      <c r="D7202" s="20" t="inlineStr">
        <is>
          <t>유튜브 광고</t>
        </is>
      </c>
      <c r="E7202" s="20" t="inlineStr">
        <is>
          <t>고체향수</t>
        </is>
      </c>
      <c r="K7202" s="20" t="n">
        <v>410094</v>
      </c>
    </row>
    <row r="7203">
      <c r="A7203" s="20" t="inlineStr">
        <is>
          <t>[5화자 재편집] 승무원_벨라_면세점에서 천만원</t>
        </is>
      </c>
      <c r="B7203" s="16" t="n">
        <v>44308</v>
      </c>
      <c r="C7203" s="20" t="inlineStr">
        <is>
          <t>목</t>
        </is>
      </c>
      <c r="D7203" s="20" t="inlineStr">
        <is>
          <t>유튜브 광고</t>
        </is>
      </c>
      <c r="E7203" s="20" t="inlineStr">
        <is>
          <t>고체향수</t>
        </is>
      </c>
      <c r="K7203" s="20" t="n">
        <v>307752</v>
      </c>
    </row>
    <row r="7204">
      <c r="A7204" s="20" t="inlineStr">
        <is>
          <t>동영상캠페인_유즈모먼트_면세점뒤졌는데</t>
        </is>
      </c>
      <c r="B7204" s="16" t="n">
        <v>44308</v>
      </c>
      <c r="C7204" s="20" t="inlineStr">
        <is>
          <t>목</t>
        </is>
      </c>
      <c r="D7204" s="20" t="inlineStr">
        <is>
          <t>유튜브 광고</t>
        </is>
      </c>
      <c r="E7204" s="20" t="inlineStr">
        <is>
          <t>고체향수</t>
        </is>
      </c>
      <c r="K7204" s="20" t="n">
        <v>308525</v>
      </c>
    </row>
    <row r="7205">
      <c r="A7205" s="20" t="inlineStr">
        <is>
          <t>메인키워드</t>
        </is>
      </c>
      <c r="B7205" s="16" t="n">
        <v>44308</v>
      </c>
      <c r="C7205" s="20" t="inlineStr">
        <is>
          <t>목</t>
        </is>
      </c>
      <c r="D7205" s="20" t="inlineStr">
        <is>
          <t>네이버 쇼핑검색</t>
        </is>
      </c>
      <c r="E7205" s="20" t="inlineStr">
        <is>
          <t>고체향수</t>
        </is>
      </c>
      <c r="K7205" s="20" t="n">
        <v>8390</v>
      </c>
    </row>
    <row r="7206">
      <c r="A7206" s="20" t="inlineStr">
        <is>
          <t>세부키워드1</t>
        </is>
      </c>
      <c r="B7206" s="16" t="n">
        <v>44308</v>
      </c>
      <c r="C7206" s="20" t="inlineStr">
        <is>
          <t>목</t>
        </is>
      </c>
      <c r="D7206" s="20" t="inlineStr">
        <is>
          <t>네이버 쇼핑검색</t>
        </is>
      </c>
      <c r="E7206" s="20" t="inlineStr">
        <is>
          <t>고체향수</t>
        </is>
      </c>
      <c r="K7206" s="20" t="n">
        <v>0</v>
      </c>
    </row>
    <row r="7207">
      <c r="A7207" s="20" t="inlineStr">
        <is>
          <t>세부키워드3</t>
        </is>
      </c>
      <c r="B7207" s="16" t="n">
        <v>44308</v>
      </c>
      <c r="C7207" s="20" t="inlineStr">
        <is>
          <t>목</t>
        </is>
      </c>
      <c r="D7207" s="20" t="inlineStr">
        <is>
          <t>네이버 쇼핑검색</t>
        </is>
      </c>
      <c r="E7207" s="20" t="inlineStr">
        <is>
          <t>고체향수</t>
        </is>
      </c>
      <c r="K7207" s="20" t="n">
        <v>127430</v>
      </c>
    </row>
    <row r="7208">
      <c r="A7208" s="20" t="inlineStr">
        <is>
          <t>모바일 브검</t>
        </is>
      </c>
      <c r="B7208" s="16" t="n">
        <v>44308</v>
      </c>
      <c r="C7208" s="20" t="inlineStr">
        <is>
          <t>목</t>
        </is>
      </c>
      <c r="D7208" s="20" t="inlineStr">
        <is>
          <t>네이버 브랜드검색</t>
        </is>
      </c>
      <c r="E7208" s="20" t="inlineStr">
        <is>
          <t>브랜드</t>
        </is>
      </c>
      <c r="K7208" s="20" t="n">
        <v>88000</v>
      </c>
    </row>
    <row r="7209">
      <c r="A7209" s="20" t="inlineStr">
        <is>
          <t>PC 브랜드검색</t>
        </is>
      </c>
      <c r="B7209" s="16" t="n">
        <v>44308</v>
      </c>
      <c r="C7209" s="20" t="inlineStr">
        <is>
          <t>목</t>
        </is>
      </c>
      <c r="D7209" s="20" t="inlineStr">
        <is>
          <t>네이버 브랜드검색</t>
        </is>
      </c>
      <c r="E7209" s="20" t="inlineStr">
        <is>
          <t>브랜드</t>
        </is>
      </c>
      <c r="K7209" s="20" t="n">
        <v>16700</v>
      </c>
    </row>
    <row r="7210">
      <c r="A7210" s="20" t="inlineStr">
        <is>
          <t>고체향수_승무원 어피_Npay 추적</t>
        </is>
      </c>
      <c r="B7210" s="16" t="n">
        <v>44308</v>
      </c>
      <c r="C7210" s="20" t="inlineStr">
        <is>
          <t>목</t>
        </is>
      </c>
      <c r="D7210" s="20" t="inlineStr">
        <is>
          <t>카카오 배너</t>
        </is>
      </c>
      <c r="E7210" s="20" t="inlineStr">
        <is>
          <t>고체향수</t>
        </is>
      </c>
      <c r="K7210" s="20" t="n">
        <v>181930</v>
      </c>
    </row>
    <row r="7211">
      <c r="A7211" s="20" t="inlineStr">
        <is>
          <t>고체향수_Npay 추적</t>
        </is>
      </c>
      <c r="B7211" s="16" t="n">
        <v>44308</v>
      </c>
      <c r="C7211" s="20" t="inlineStr">
        <is>
          <t>목</t>
        </is>
      </c>
      <c r="D7211" s="20" t="inlineStr">
        <is>
          <t>카카오 배너</t>
        </is>
      </c>
      <c r="E7211" s="20" t="inlineStr">
        <is>
          <t>고체향수</t>
        </is>
      </c>
      <c r="K7211" s="20" t="n">
        <v>788209.9999999999</v>
      </c>
    </row>
    <row r="7212">
      <c r="B7212" s="16" t="n">
        <v>44308</v>
      </c>
      <c r="C7212" s="20" t="inlineStr">
        <is>
          <t>목</t>
        </is>
      </c>
      <c r="E7212" s="20" t="inlineStr">
        <is>
          <t>고체향수</t>
        </is>
      </c>
      <c r="F7212" s="20" t="inlineStr">
        <is>
          <t>W컨셉</t>
        </is>
      </c>
      <c r="G7212" s="20" t="inlineStr">
        <is>
          <t>솔리드퍼퓸 이그나이트/스테이포에버 30ml (2종 택1)&lt;옵션1&gt;002 STAY FOREVER</t>
        </is>
      </c>
      <c r="H7212" s="20" t="n">
        <v>7</v>
      </c>
      <c r="I7212" s="20" t="inlineStr">
        <is>
          <t>스테이포에버</t>
        </is>
      </c>
      <c r="J7212" s="20" t="inlineStr">
        <is>
          <t>210207</t>
        </is>
      </c>
      <c r="L7212" s="20" t="n">
        <v>238000</v>
      </c>
      <c r="M7212" s="20" t="n">
        <v>166600</v>
      </c>
      <c r="N7212" s="20" t="n">
        <v>18144</v>
      </c>
      <c r="O7212" s="20" t="inlineStr">
        <is>
          <t>W컨셉고체향수솔리드퍼퓸 이그나이트/스테이포에버 30ml (2종 택1)&lt;옵션1&gt;002 STAY FOREVER210207</t>
        </is>
      </c>
    </row>
    <row r="7213">
      <c r="B7213" s="16" t="n">
        <v>44308</v>
      </c>
      <c r="C7213" s="20" t="inlineStr">
        <is>
          <t>목</t>
        </is>
      </c>
      <c r="E7213" s="20" t="inlineStr">
        <is>
          <t>고체향수</t>
        </is>
      </c>
      <c r="F7213" s="20" t="inlineStr">
        <is>
          <t>W컨셉</t>
        </is>
      </c>
      <c r="G7213" s="20" t="inlineStr">
        <is>
          <t>솔리드퍼퓸 이그나이트/스테이포에버 30ml (2종 택1)&lt;옵션1&gt;IGNITE + STAY FOREVER</t>
        </is>
      </c>
      <c r="H7213" s="20" t="n">
        <v>1</v>
      </c>
      <c r="I7213" s="20" t="inlineStr">
        <is>
          <t>이그나이트 + 스테이포에버</t>
        </is>
      </c>
      <c r="J7213" s="20" t="inlineStr">
        <is>
          <t>210207</t>
        </is>
      </c>
      <c r="L7213" s="20" t="n">
        <v>58800</v>
      </c>
      <c r="M7213" s="20" t="n">
        <v>47040</v>
      </c>
      <c r="N7213" s="20" t="n">
        <v>5345</v>
      </c>
      <c r="O7213" s="20" t="inlineStr">
        <is>
          <t>W컨셉고체향수솔리드퍼퓸 이그나이트/스테이포에버 30ml (2종 택1)&lt;옵션1&gt;IGNITE + STAY FOREVER210207</t>
        </is>
      </c>
    </row>
    <row r="7214">
      <c r="B7214" s="16" t="n">
        <v>44308</v>
      </c>
      <c r="C7214" s="20" t="inlineStr">
        <is>
          <t>목</t>
        </is>
      </c>
      <c r="E7214" s="20" t="inlineStr">
        <is>
          <t>고체향수</t>
        </is>
      </c>
      <c r="F7214" s="20" t="inlineStr">
        <is>
          <t>스마트스토어</t>
        </is>
      </c>
      <c r="G7214" s="20" t="inlineStr">
        <is>
          <t>유즈 고체향수 세트(유즈 스테이포에버, 유즈 이그나이트)고체향수: 스테이포에버 1개 + 이그나이트 1개</t>
        </is>
      </c>
      <c r="H7214" s="20" t="n">
        <v>1</v>
      </c>
      <c r="I7214" s="20" t="inlineStr">
        <is>
          <t>이그나이트 + 스테이포에버</t>
        </is>
      </c>
      <c r="J7214" s="20" t="inlineStr">
        <is>
          <t>210207</t>
        </is>
      </c>
      <c r="L7214" s="20" t="n">
        <v>58800</v>
      </c>
      <c r="M7214" s="20" t="n">
        <v>55360.2</v>
      </c>
      <c r="N7214" s="20" t="n">
        <v>5345</v>
      </c>
      <c r="O7214" s="20" t="inlineStr">
        <is>
          <t>스마트스토어고체향수유즈 고체향수 세트(유즈 스테이포에버, 유즈 이그나이트)고체향수: 스테이포에버 1개 + 이그나이트 1개210207</t>
        </is>
      </c>
    </row>
    <row r="7215">
      <c r="B7215" s="16" t="n">
        <v>44308</v>
      </c>
      <c r="C7215" s="20" t="inlineStr">
        <is>
          <t>목</t>
        </is>
      </c>
      <c r="E7215" s="20" t="inlineStr">
        <is>
          <t>고체향수</t>
        </is>
      </c>
      <c r="F7215" s="20" t="inlineStr">
        <is>
          <t>스마트스토어</t>
        </is>
      </c>
      <c r="G7215" s="20" t="inlineStr">
        <is>
          <t>유즈 고체향수 세트(유즈 스테이포에버, 유즈 이그나이트)고체향수: 스테이포에버 2개</t>
        </is>
      </c>
      <c r="H7215" s="20" t="n">
        <v>3</v>
      </c>
      <c r="I7215" s="20" t="inlineStr">
        <is>
          <t>스테이포에버 2set</t>
        </is>
      </c>
      <c r="J7215" s="20" t="inlineStr">
        <is>
          <t>210207</t>
        </is>
      </c>
      <c r="L7215" s="20" t="n">
        <v>176400</v>
      </c>
      <c r="M7215" s="20" t="n">
        <v>172872</v>
      </c>
      <c r="N7215" s="20" t="n">
        <v>15552</v>
      </c>
      <c r="O7215" s="20" t="inlineStr">
        <is>
          <t>스마트스토어고체향수유즈 고체향수 세트(유즈 스테이포에버, 유즈 이그나이트)고체향수: 스테이포에버 2개210207</t>
        </is>
      </c>
    </row>
    <row r="7216">
      <c r="B7216" s="16" t="n">
        <v>44308</v>
      </c>
      <c r="C7216" s="20" t="inlineStr">
        <is>
          <t>목</t>
        </is>
      </c>
      <c r="E7216" s="20" t="inlineStr">
        <is>
          <t>고체향수</t>
        </is>
      </c>
      <c r="F7216" s="20" t="inlineStr">
        <is>
          <t>스마트스토어</t>
        </is>
      </c>
      <c r="G7216" s="20" t="inlineStr">
        <is>
          <t>유즈 고체향수 스테이포에버 002고체향수: 스테이포에버 1개</t>
        </is>
      </c>
      <c r="H7216" s="20" t="n">
        <v>16</v>
      </c>
      <c r="I7216" s="20" t="inlineStr">
        <is>
          <t>스테이포에버</t>
        </is>
      </c>
      <c r="J7216" s="20" t="inlineStr">
        <is>
          <t>210207</t>
        </is>
      </c>
      <c r="L7216" s="20" t="n">
        <v>544000</v>
      </c>
      <c r="M7216" s="20" t="n">
        <v>533120</v>
      </c>
      <c r="N7216" s="20" t="n">
        <v>41472</v>
      </c>
      <c r="O7216" s="20" t="inlineStr">
        <is>
          <t>스마트스토어고체향수유즈 고체향수 스테이포에버 002고체향수: 스테이포에버 1개210207</t>
        </is>
      </c>
    </row>
    <row r="7217">
      <c r="B7217" s="16" t="n">
        <v>44308</v>
      </c>
      <c r="C7217" s="20" t="inlineStr">
        <is>
          <t>목</t>
        </is>
      </c>
      <c r="E7217" s="20" t="inlineStr">
        <is>
          <t>쇼핑백</t>
        </is>
      </c>
      <c r="F7217" s="20" t="inlineStr">
        <is>
          <t>카페24</t>
        </is>
      </c>
      <c r="G7217" s="20" t="inlineStr">
        <is>
          <t>선물용 쇼핑백</t>
        </is>
      </c>
      <c r="H7217" s="20" t="n">
        <v>1</v>
      </c>
      <c r="I7217" s="20" t="inlineStr">
        <is>
          <t>쇼핑백</t>
        </is>
      </c>
      <c r="J7217" s="20" t="inlineStr">
        <is>
          <t>210207</t>
        </is>
      </c>
      <c r="L7217" s="20" t="n">
        <v>2000</v>
      </c>
      <c r="M7217" s="20" t="n">
        <v>1883</v>
      </c>
      <c r="N7217" s="20" t="n">
        <v>830</v>
      </c>
      <c r="O7217" s="20" t="inlineStr">
        <is>
          <t>카페24쇼핑백선물용 쇼핑백210207</t>
        </is>
      </c>
    </row>
    <row r="7218">
      <c r="B7218" s="16" t="n">
        <v>44308</v>
      </c>
      <c r="C7218" s="20" t="inlineStr">
        <is>
          <t>목</t>
        </is>
      </c>
      <c r="E7218" s="20" t="inlineStr">
        <is>
          <t>고체향수</t>
        </is>
      </c>
      <c r="F7218" s="20" t="inlineStr">
        <is>
          <t>카페24</t>
        </is>
      </c>
      <c r="G7218" s="20" t="inlineStr">
        <is>
          <t>솔리드퍼퓸 세트향=이그나이트 001 SOLID PERFUME, 세트 선택=1개</t>
        </is>
      </c>
      <c r="H7218" s="20" t="n">
        <v>1</v>
      </c>
      <c r="I7218" s="20" t="inlineStr">
        <is>
          <t>이그나이트</t>
        </is>
      </c>
      <c r="J7218" s="20" t="inlineStr">
        <is>
          <t>210207</t>
        </is>
      </c>
      <c r="L7218" s="20" t="n">
        <v>34000</v>
      </c>
      <c r="M7218" s="20" t="n">
        <v>32011</v>
      </c>
      <c r="N7218" s="20" t="n">
        <v>2753</v>
      </c>
      <c r="O7218" s="20" t="inlineStr">
        <is>
          <t>카페24고체향수솔리드퍼퓸 세트향=이그나이트 001 SOLID PERFUME, 세트 선택=1개210207</t>
        </is>
      </c>
    </row>
    <row r="7219">
      <c r="B7219" s="16" t="n">
        <v>44308</v>
      </c>
      <c r="C7219" s="20" t="inlineStr">
        <is>
          <t>목</t>
        </is>
      </c>
      <c r="E7219" s="20" t="inlineStr">
        <is>
          <t>고체향수</t>
        </is>
      </c>
      <c r="F7219" s="20" t="inlineStr">
        <is>
          <t>카페24</t>
        </is>
      </c>
      <c r="G7219" s="20" t="inlineStr">
        <is>
          <t>솔리드퍼퓸 세트향=스테이포에버 002 SOLID PERFUME, 세트 선택=1개</t>
        </is>
      </c>
      <c r="H7219" s="20" t="n">
        <v>7</v>
      </c>
      <c r="I7219" s="20" t="inlineStr">
        <is>
          <t>스테이포에버</t>
        </is>
      </c>
      <c r="J7219" s="20" t="inlineStr">
        <is>
          <t>210207</t>
        </is>
      </c>
      <c r="L7219" s="20" t="n">
        <v>238000</v>
      </c>
      <c r="M7219" s="20" t="n">
        <v>224077</v>
      </c>
      <c r="N7219" s="20" t="n">
        <v>18144</v>
      </c>
      <c r="O7219" s="20" t="inlineStr">
        <is>
          <t>카페24고체향수솔리드퍼퓸 세트향=스테이포에버 002 SOLID PERFUME, 세트 선택=1개210207</t>
        </is>
      </c>
    </row>
    <row r="7220">
      <c r="B7220" s="16" t="n">
        <v>44308</v>
      </c>
      <c r="C7220" s="20" t="inlineStr">
        <is>
          <t>목</t>
        </is>
      </c>
      <c r="E7220" s="20" t="inlineStr">
        <is>
          <t>고체향수</t>
        </is>
      </c>
      <c r="F7220" s="20" t="inlineStr">
        <is>
          <t>카페24</t>
        </is>
      </c>
      <c r="G7220" s="20" t="inlineStr">
        <is>
          <t>솔리드퍼퓸 세트향=스테이포에버 002 SOLID PERFUME, 세트 선택=best 2개 (28% 할인)</t>
        </is>
      </c>
      <c r="H7220" s="20" t="n">
        <v>8</v>
      </c>
      <c r="I7220" s="20" t="inlineStr">
        <is>
          <t>스테이포에버 2set</t>
        </is>
      </c>
      <c r="J7220" s="20" t="inlineStr">
        <is>
          <t>210207</t>
        </is>
      </c>
      <c r="L7220" s="20" t="n">
        <v>470400</v>
      </c>
      <c r="M7220" s="20" t="n">
        <v>442881.6</v>
      </c>
      <c r="N7220" s="20" t="n">
        <v>41472</v>
      </c>
      <c r="O7220" s="20" t="inlineStr">
        <is>
          <t>카페24고체향수솔리드퍼퓸 세트향=스테이포에버 002 SOLID PERFUME, 세트 선택=best 2개 (28% 할인)210207</t>
        </is>
      </c>
    </row>
    <row r="7221">
      <c r="B7221" s="16" t="n">
        <v>44308</v>
      </c>
      <c r="C7221" s="20" t="inlineStr">
        <is>
          <t>목</t>
        </is>
      </c>
      <c r="E7221" s="20" t="inlineStr">
        <is>
          <t>고체향수</t>
        </is>
      </c>
      <c r="F7221" s="20" t="inlineStr">
        <is>
          <t>카페24</t>
        </is>
      </c>
      <c r="G7221" s="20" t="inlineStr">
        <is>
          <t>솔리드퍼퓸 세트향=커플세트(이그나이트 + 스테이포에버), 세트 선택=1 SET</t>
        </is>
      </c>
      <c r="H7221" s="20" t="n">
        <v>11</v>
      </c>
      <c r="I7221" s="20" t="inlineStr">
        <is>
          <t>이그나이트 + 스테이포에버</t>
        </is>
      </c>
      <c r="J7221" s="20" t="inlineStr">
        <is>
          <t>210207</t>
        </is>
      </c>
      <c r="L7221" s="20" t="n">
        <v>646800</v>
      </c>
      <c r="M7221" s="20" t="n">
        <v>608962.2</v>
      </c>
      <c r="N7221" s="20" t="n">
        <v>58795</v>
      </c>
      <c r="O7221" s="20" t="inlineStr">
        <is>
          <t>카페24고체향수솔리드퍼퓸 세트향=커플세트(이그나이트 + 스테이포에버), 세트 선택=1 SET210207</t>
        </is>
      </c>
    </row>
    <row r="7222">
      <c r="B7222" s="16" t="n">
        <v>44308</v>
      </c>
      <c r="C7222" s="20" t="inlineStr">
        <is>
          <t>목</t>
        </is>
      </c>
      <c r="E7222" s="20" t="inlineStr">
        <is>
          <t>고체향수</t>
        </is>
      </c>
      <c r="F7222" s="20" t="inlineStr">
        <is>
          <t>카페24</t>
        </is>
      </c>
      <c r="G7222" s="20" t="inlineStr">
        <is>
          <t>솔리드퍼퓸 스테이포에버 002제품선택=스테이포에버 1개</t>
        </is>
      </c>
      <c r="H7222" s="20" t="n">
        <v>150</v>
      </c>
      <c r="I7222" s="20" t="inlineStr">
        <is>
          <t>스테이포에버</t>
        </is>
      </c>
      <c r="J7222" s="20" t="inlineStr">
        <is>
          <t>210207</t>
        </is>
      </c>
      <c r="L7222" s="20" t="n">
        <v>5100000</v>
      </c>
      <c r="M7222" s="20" t="n">
        <v>4801650</v>
      </c>
      <c r="N7222" s="20" t="n">
        <v>388800</v>
      </c>
      <c r="O7222" s="20" t="inlineStr">
        <is>
          <t>카페24고체향수솔리드퍼퓸 스테이포에버 002제품선택=스테이포에버 1개210207</t>
        </is>
      </c>
    </row>
    <row r="7223">
      <c r="B7223" s="16" t="n">
        <v>44308</v>
      </c>
      <c r="C7223" s="20" t="inlineStr">
        <is>
          <t>목</t>
        </is>
      </c>
      <c r="E7223" s="20" t="inlineStr">
        <is>
          <t>고체향수</t>
        </is>
      </c>
      <c r="F7223" s="20" t="inlineStr">
        <is>
          <t>카페24</t>
        </is>
      </c>
      <c r="G7223" s="20" t="inlineStr">
        <is>
          <t>솔리드퍼퓸 스테이포에버 002제품선택=best스테이포에버 2개[28% 할인]</t>
        </is>
      </c>
      <c r="H7223" s="20" t="n">
        <v>107</v>
      </c>
      <c r="I7223" s="20" t="inlineStr">
        <is>
          <t>스테이포에버 2set</t>
        </is>
      </c>
      <c r="J7223" s="20" t="inlineStr">
        <is>
          <t>210207</t>
        </is>
      </c>
      <c r="L7223" s="20" t="n">
        <v>6291600</v>
      </c>
      <c r="M7223" s="20" t="n">
        <v>5923541.399999999</v>
      </c>
      <c r="N7223" s="20" t="n">
        <v>554688</v>
      </c>
      <c r="O7223" s="20" t="inlineStr">
        <is>
          <t>카페24고체향수솔리드퍼퓸 스테이포에버 002제품선택=best스테이포에버 2개[28% 할인]210207</t>
        </is>
      </c>
    </row>
    <row r="7224">
      <c r="B7224" s="16" t="n">
        <v>44308</v>
      </c>
      <c r="C7224" s="20" t="inlineStr">
        <is>
          <t>목</t>
        </is>
      </c>
      <c r="E7224" s="20" t="inlineStr">
        <is>
          <t>고체향수</t>
        </is>
      </c>
      <c r="F7224" s="20" t="inlineStr">
        <is>
          <t>카페24</t>
        </is>
      </c>
      <c r="G7224" s="20" t="inlineStr">
        <is>
          <t>솔리드퍼퓸 스테이포에버 002제품선택=커플추천스테이포에버 + 이그나이트 세트</t>
        </is>
      </c>
      <c r="H7224" s="20" t="n">
        <v>13</v>
      </c>
      <c r="I7224" s="20" t="inlineStr">
        <is>
          <t>이그나이트 + 스테이포에버</t>
        </is>
      </c>
      <c r="J7224" s="20" t="inlineStr">
        <is>
          <t>210207</t>
        </is>
      </c>
      <c r="L7224" s="20" t="n">
        <v>764400</v>
      </c>
      <c r="M7224" s="20" t="n">
        <v>719682.6</v>
      </c>
      <c r="N7224" s="20" t="n">
        <v>69485</v>
      </c>
      <c r="O7224" s="20" t="inlineStr">
        <is>
          <t>카페24고체향수솔리드퍼퓸 스테이포에버 002제품선택=커플추천스테이포에버 + 이그나이트 세트210207</t>
        </is>
      </c>
    </row>
    <row r="7225">
      <c r="B7225" s="16" t="n">
        <v>44308</v>
      </c>
      <c r="C7225" s="20" t="inlineStr">
        <is>
          <t>목</t>
        </is>
      </c>
      <c r="E7225" s="20" t="inlineStr">
        <is>
          <t>쇼핑백</t>
        </is>
      </c>
      <c r="F7225" s="20" t="inlineStr">
        <is>
          <t>카페24</t>
        </is>
      </c>
      <c r="G7225" s="20" t="inlineStr">
        <is>
          <t>솔리드퍼퓸 스테이포에버 002쇼핑백=선물용 쇼핑백</t>
        </is>
      </c>
      <c r="H7225" s="20" t="n">
        <v>4</v>
      </c>
      <c r="I7225" s="20" t="inlineStr">
        <is>
          <t>쇼핑백</t>
        </is>
      </c>
      <c r="J7225" s="20" t="inlineStr">
        <is>
          <t>210207</t>
        </is>
      </c>
      <c r="L7225" s="20" t="n">
        <v>8000</v>
      </c>
      <c r="M7225" s="20" t="n">
        <v>7532</v>
      </c>
      <c r="N7225" s="20" t="n">
        <v>3320</v>
      </c>
      <c r="O7225" s="20" t="inlineStr">
        <is>
          <t>카페24쇼핑백솔리드퍼퓸 스테이포에버 002쇼핑백=선물용 쇼핑백210207</t>
        </is>
      </c>
    </row>
    <row r="7226">
      <c r="B7226" s="16" t="n">
        <v>44308</v>
      </c>
      <c r="C7226" s="20" t="inlineStr">
        <is>
          <t>목</t>
        </is>
      </c>
      <c r="E7226" s="20" t="inlineStr">
        <is>
          <t>고체향수</t>
        </is>
      </c>
      <c r="F7226" s="20" t="inlineStr">
        <is>
          <t>카페24</t>
        </is>
      </c>
      <c r="G7226" s="20" t="inlineStr">
        <is>
          <t>솔리드퍼퓸 이그나이트 001제품선택=이그나이트 솔리드퍼퓸 - 30ml</t>
        </is>
      </c>
      <c r="H7226" s="20" t="n">
        <v>1</v>
      </c>
      <c r="I7226" s="20" t="inlineStr">
        <is>
          <t>이그나이트</t>
        </is>
      </c>
      <c r="J7226" s="20" t="inlineStr">
        <is>
          <t>210207</t>
        </is>
      </c>
      <c r="L7226" s="20" t="n">
        <v>34000</v>
      </c>
      <c r="M7226" s="20" t="n">
        <v>32011</v>
      </c>
      <c r="N7226" s="20" t="n">
        <v>2753</v>
      </c>
      <c r="O7226" s="20" t="inlineStr">
        <is>
          <t>카페24고체향수솔리드퍼퓸 이그나이트 001제품선택=이그나이트 솔리드퍼퓸 - 30ml210207</t>
        </is>
      </c>
    </row>
    <row r="7227">
      <c r="B7227" s="16" t="n">
        <v>44308</v>
      </c>
      <c r="C7227" s="20" t="inlineStr">
        <is>
          <t>목</t>
        </is>
      </c>
      <c r="E7227" s="20" t="inlineStr">
        <is>
          <t>고체향수</t>
        </is>
      </c>
      <c r="F7227" s="20" t="inlineStr">
        <is>
          <t>카페24</t>
        </is>
      </c>
      <c r="G7227" s="20" t="inlineStr">
        <is>
          <t>솔리드퍼퓸 이그나이트 001제품선택=이그나이트 2개 세트</t>
        </is>
      </c>
      <c r="H7227" s="20" t="n">
        <v>1</v>
      </c>
      <c r="I7227" s="20" t="inlineStr">
        <is>
          <t>이그나이트 2set</t>
        </is>
      </c>
      <c r="J7227" s="20" t="inlineStr">
        <is>
          <t>210207</t>
        </is>
      </c>
      <c r="L7227" s="20" t="n">
        <v>58800</v>
      </c>
      <c r="M7227" s="20" t="n">
        <v>55360.2</v>
      </c>
      <c r="N7227" s="20" t="n">
        <v>5506</v>
      </c>
      <c r="O7227" s="20" t="inlineStr">
        <is>
          <t>카페24고체향수솔리드퍼퓸 이그나이트 001제품선택=이그나이트 2개 세트210207</t>
        </is>
      </c>
    </row>
    <row r="7228">
      <c r="B7228" s="16" t="n">
        <v>44308</v>
      </c>
      <c r="C7228" s="20" t="inlineStr">
        <is>
          <t>목</t>
        </is>
      </c>
      <c r="D7228" s="20" t="inlineStr">
        <is>
          <t>네이버 배너</t>
        </is>
      </c>
      <c r="E7228" s="20" t="inlineStr">
        <is>
          <t>고체향수</t>
        </is>
      </c>
      <c r="K7228" s="20">
        <f>975178/1.1</f>
        <v/>
      </c>
    </row>
    <row r="7229">
      <c r="B7229" s="16" t="n">
        <v>44308</v>
      </c>
      <c r="C7229" s="20" t="inlineStr">
        <is>
          <t>목</t>
        </is>
      </c>
      <c r="D7229" s="20" t="inlineStr">
        <is>
          <t>네이버 배너(대행사)</t>
        </is>
      </c>
      <c r="E7229" s="20" t="inlineStr">
        <is>
          <t>고체향수</t>
        </is>
      </c>
      <c r="K7229" s="20">
        <f>206916/1.1</f>
        <v/>
      </c>
    </row>
    <row r="7230">
      <c r="B7230" s="16" t="n">
        <v>44308</v>
      </c>
      <c r="C7230" s="20" t="inlineStr">
        <is>
          <t>목</t>
        </is>
      </c>
      <c r="E7230" s="20">
        <f>INDEX(매칭테이블!C:C,MATCH(RD!G7230,매칭테이블!D:D,0))</f>
        <v/>
      </c>
      <c r="F7230" s="20" t="inlineStr">
        <is>
          <t>올리브영</t>
        </is>
      </c>
      <c r="G7230" s="20" t="inlineStr">
        <is>
          <t>유즈 솔리드퍼퓸 001 이그나이트 30ml 30600 온라인</t>
        </is>
      </c>
      <c r="H7230" s="20" t="n">
        <v>3</v>
      </c>
      <c r="I7230" s="20">
        <f>VLOOKUP(G7230,매칭테이블!D:E,2,0)</f>
        <v/>
      </c>
      <c r="J7230" s="20" t="inlineStr">
        <is>
          <t>210207</t>
        </is>
      </c>
      <c r="L7230" s="20">
        <f>VLOOKUP($O7230,매칭테이블!$G:$J,2,0)*H7230</f>
        <v/>
      </c>
      <c r="M7230" s="20">
        <f>L7230-L7230*VLOOKUP($O7230,매칭테이블!$G:$J,3,0)</f>
        <v/>
      </c>
      <c r="N7230" s="20">
        <f>VLOOKUP($O7230,매칭테이블!$G:$J,4,0)*H7230</f>
        <v/>
      </c>
      <c r="O7230" s="20">
        <f>F7230&amp;E7230&amp;G7230&amp;J7230</f>
        <v/>
      </c>
    </row>
    <row r="7231">
      <c r="B7231" s="16" t="n">
        <v>44308</v>
      </c>
      <c r="C7231" s="20" t="inlineStr">
        <is>
          <t>목</t>
        </is>
      </c>
      <c r="E7231" s="20">
        <f>INDEX(매칭테이블!C:C,MATCH(RD!G7231,매칭테이블!D:D,0))</f>
        <v/>
      </c>
      <c r="F7231" s="20" t="inlineStr">
        <is>
          <t>올리브영</t>
        </is>
      </c>
      <c r="G7231" s="20" t="inlineStr">
        <is>
          <t>유즈 솔리드퍼퓸 002 스테이포에버 30ml 30600 온라인</t>
        </is>
      </c>
      <c r="H7231" s="20" t="n">
        <v>91</v>
      </c>
      <c r="I7231" s="20">
        <f>VLOOKUP(G7231,매칭테이블!D:E,2,0)</f>
        <v/>
      </c>
      <c r="J7231" s="20" t="inlineStr">
        <is>
          <t>210207</t>
        </is>
      </c>
      <c r="L7231" s="20">
        <f>VLOOKUP($O7231,매칭테이블!$G:$J,2,0)*H7231</f>
        <v/>
      </c>
      <c r="M7231" s="20">
        <f>L7231-L7231*VLOOKUP($O7231,매칭테이블!$G:$J,3,0)</f>
        <v/>
      </c>
      <c r="N7231" s="20">
        <f>VLOOKUP($O7231,매칭테이블!$G:$J,4,0)*H7231</f>
        <v/>
      </c>
      <c r="O7231" s="20">
        <f>F7231&amp;E7231&amp;G7231&amp;J7231</f>
        <v/>
      </c>
    </row>
    <row r="7232">
      <c r="A7232" s="20" t="inlineStr">
        <is>
          <t>[수현 TEST] 솔리드퍼퓸_이미지</t>
        </is>
      </c>
      <c r="B7232" s="16" t="n">
        <v>44309</v>
      </c>
      <c r="C7232" s="20" t="inlineStr">
        <is>
          <t>금</t>
        </is>
      </c>
      <c r="D7232" s="20" t="inlineStr">
        <is>
          <t>페이스북/인스타그램</t>
        </is>
      </c>
      <c r="E7232" s="20" t="inlineStr">
        <is>
          <t>고체향수</t>
        </is>
      </c>
      <c r="K7232" s="20" t="n">
        <v>19981</v>
      </c>
    </row>
    <row r="7233">
      <c r="A7233" s="20" t="inlineStr">
        <is>
          <t>[비누향 인연] 스테이포에버_카드뉴스</t>
        </is>
      </c>
      <c r="B7233" s="16" t="n">
        <v>44309</v>
      </c>
      <c r="C7233" s="20" t="inlineStr">
        <is>
          <t>금</t>
        </is>
      </c>
      <c r="D7233" s="20">
        <f>VLOOKUP($A7233,매칭테이블!$B$548:$D$1048576,2,0)</f>
        <v/>
      </c>
      <c r="E7233" s="20" t="inlineStr">
        <is>
          <t>고체향수</t>
        </is>
      </c>
      <c r="K7233" s="20" t="n">
        <v>113907</v>
      </c>
    </row>
    <row r="7234">
      <c r="A7234" s="20" t="inlineStr">
        <is>
          <t>[성민 TEST] 솔리드퍼퓸_이미지</t>
        </is>
      </c>
      <c r="B7234" s="16" t="n">
        <v>44309</v>
      </c>
      <c r="C7234" s="20" t="inlineStr">
        <is>
          <t>금</t>
        </is>
      </c>
      <c r="D7234" s="20" t="inlineStr">
        <is>
          <t>페이스북/인스타그램</t>
        </is>
      </c>
      <c r="E7234" s="20" t="inlineStr">
        <is>
          <t>고체향수</t>
        </is>
      </c>
      <c r="K7234" s="20" t="n">
        <v>92425</v>
      </c>
    </row>
    <row r="7235">
      <c r="A7235" s="20" t="inlineStr">
        <is>
          <t>[승무원]유튜브_스테이포에버_카드뉴스</t>
        </is>
      </c>
      <c r="B7235" s="16" t="n">
        <v>44309</v>
      </c>
      <c r="C7235" s="20" t="inlineStr">
        <is>
          <t>금</t>
        </is>
      </c>
      <c r="D7235" s="20" t="inlineStr">
        <is>
          <t>페이스북/인스타그램</t>
        </is>
      </c>
      <c r="E7235" s="20" t="inlineStr">
        <is>
          <t>고체향수</t>
        </is>
      </c>
      <c r="K7235" s="20" t="n">
        <v>30465</v>
      </c>
    </row>
    <row r="7236">
      <c r="A7236" s="20" t="inlineStr">
        <is>
          <t>[올리브영] 이그나이트_영상</t>
        </is>
      </c>
      <c r="B7236" s="16" t="n">
        <v>44309</v>
      </c>
      <c r="C7236" s="20" t="inlineStr">
        <is>
          <t>금</t>
        </is>
      </c>
      <c r="D7236" s="20" t="inlineStr">
        <is>
          <t>페이스북/인스타그램</t>
        </is>
      </c>
      <c r="E7236" s="20" t="inlineStr">
        <is>
          <t>고체향수</t>
        </is>
      </c>
      <c r="K7236" s="20" t="n">
        <v>29529</v>
      </c>
    </row>
    <row r="7237">
      <c r="A7237" s="20" t="inlineStr">
        <is>
          <t>[승희 TEST] 솔리드퍼퓸_이미지</t>
        </is>
      </c>
      <c r="B7237" s="16" t="n">
        <v>44309</v>
      </c>
      <c r="C7237" s="20" t="inlineStr">
        <is>
          <t>금</t>
        </is>
      </c>
      <c r="D7237" s="20" t="inlineStr">
        <is>
          <t>페이스북/인스타그램</t>
        </is>
      </c>
      <c r="E7237" s="20" t="inlineStr">
        <is>
          <t>고체향수</t>
        </is>
      </c>
      <c r="K7237" s="20" t="n">
        <v>107230</v>
      </c>
    </row>
    <row r="7238">
      <c r="A7238" s="20" t="inlineStr">
        <is>
          <t>[올리브영] 스테이포에버_영상</t>
        </is>
      </c>
      <c r="B7238" s="16" t="n">
        <v>44309</v>
      </c>
      <c r="C7238" s="20" t="inlineStr">
        <is>
          <t>금</t>
        </is>
      </c>
      <c r="D7238" s="20" t="inlineStr">
        <is>
          <t>페이스북/인스타그램</t>
        </is>
      </c>
      <c r="E7238" s="20" t="inlineStr">
        <is>
          <t>고체향수</t>
        </is>
      </c>
      <c r="K7238" s="20" t="n">
        <v>49400</v>
      </c>
    </row>
    <row r="7239">
      <c r="A7239" s="20" t="inlineStr">
        <is>
          <t>[올리브영] 스테이포에버_이미지</t>
        </is>
      </c>
      <c r="B7239" s="16" t="n">
        <v>44309</v>
      </c>
      <c r="C7239" s="20" t="inlineStr">
        <is>
          <t>금</t>
        </is>
      </c>
      <c r="D7239" s="20" t="inlineStr">
        <is>
          <t>페이스북/인스타그램</t>
        </is>
      </c>
      <c r="E7239" s="20" t="inlineStr">
        <is>
          <t>고체향수</t>
        </is>
      </c>
      <c r="K7239" s="20" t="n">
        <v>30278</v>
      </c>
    </row>
    <row r="7240">
      <c r="A7240" s="20" t="inlineStr">
        <is>
          <t>[승무원] 유튜브재편집_스테이포에버_영상</t>
        </is>
      </c>
      <c r="B7240" s="16" t="n">
        <v>44309</v>
      </c>
      <c r="C7240" s="20" t="inlineStr">
        <is>
          <t>금</t>
        </is>
      </c>
      <c r="D7240" s="20" t="inlineStr">
        <is>
          <t>페이스북/인스타그램</t>
        </is>
      </c>
      <c r="E7240" s="20" t="inlineStr">
        <is>
          <t>고체향수</t>
        </is>
      </c>
      <c r="K7240" s="20" t="n">
        <v>384446</v>
      </c>
    </row>
    <row r="7241">
      <c r="A7241" s="20" t="inlineStr">
        <is>
          <t>[다현 TEST] 스테이포에버_유즈모먼트</t>
        </is>
      </c>
      <c r="B7241" s="16" t="n">
        <v>44309</v>
      </c>
      <c r="C7241" s="20" t="inlineStr">
        <is>
          <t>금</t>
        </is>
      </c>
      <c r="D7241" s="20" t="inlineStr">
        <is>
          <t>페이스북/인스타그램</t>
        </is>
      </c>
      <c r="E7241" s="20" t="inlineStr">
        <is>
          <t>고체향수</t>
        </is>
      </c>
      <c r="K7241" s="20" t="n">
        <v>28505</v>
      </c>
    </row>
    <row r="7242">
      <c r="A7242" s="20" t="inlineStr">
        <is>
          <t>[승무원 면세점] 스테이포에버_카드뉴스</t>
        </is>
      </c>
      <c r="B7242" s="16" t="n">
        <v>44309</v>
      </c>
      <c r="C7242" s="20" t="inlineStr">
        <is>
          <t>금</t>
        </is>
      </c>
      <c r="D7242" s="20" t="inlineStr">
        <is>
          <t>페이스북/인스타그램</t>
        </is>
      </c>
      <c r="E7242" s="20" t="inlineStr">
        <is>
          <t>고체향수</t>
        </is>
      </c>
      <c r="K7242" s="20" t="n">
        <v>246423</v>
      </c>
    </row>
    <row r="7243">
      <c r="A7243" s="20" t="inlineStr">
        <is>
          <t>[카페알바] 스테이포에버_카드뉴스</t>
        </is>
      </c>
      <c r="B7243" s="16" t="n">
        <v>44309</v>
      </c>
      <c r="C7243" s="20" t="inlineStr">
        <is>
          <t>금</t>
        </is>
      </c>
      <c r="D7243" s="20" t="inlineStr">
        <is>
          <t>페이스북/인스타그램</t>
        </is>
      </c>
      <c r="E7243" s="20" t="inlineStr">
        <is>
          <t>고체향수</t>
        </is>
      </c>
      <c r="K7243" s="20" t="n">
        <v>142646</v>
      </c>
    </row>
    <row r="7244">
      <c r="A7244" s="20" t="inlineStr">
        <is>
          <t>[아줌마]스테이포에버_이미지</t>
        </is>
      </c>
      <c r="B7244" s="16" t="n">
        <v>44309</v>
      </c>
      <c r="C7244" s="20" t="inlineStr">
        <is>
          <t>금</t>
        </is>
      </c>
      <c r="D7244" s="20" t="inlineStr">
        <is>
          <t>페이스북/인스타그램</t>
        </is>
      </c>
      <c r="E7244" s="20" t="inlineStr">
        <is>
          <t>고체향수</t>
        </is>
      </c>
      <c r="K7244" s="20" t="n">
        <v>97531</v>
      </c>
    </row>
    <row r="7245">
      <c r="A7245" s="20" t="inlineStr">
        <is>
          <t>[다양한 키워드] 스테이포에버_이미지</t>
        </is>
      </c>
      <c r="B7245" s="16" t="n">
        <v>44309</v>
      </c>
      <c r="C7245" s="20" t="inlineStr">
        <is>
          <t>금</t>
        </is>
      </c>
      <c r="D7245" s="20" t="inlineStr">
        <is>
          <t>페이스북/인스타그램</t>
        </is>
      </c>
      <c r="E7245" s="20" t="inlineStr">
        <is>
          <t>고체향수</t>
        </is>
      </c>
      <c r="K7245" s="20" t="n">
        <v>208975</v>
      </c>
    </row>
    <row r="7246">
      <c r="A7246" s="20" t="inlineStr">
        <is>
          <t>[재입고]스테이포에버_이미지</t>
        </is>
      </c>
      <c r="B7246" s="16" t="n">
        <v>44309</v>
      </c>
      <c r="C7246" s="20" t="inlineStr">
        <is>
          <t>금</t>
        </is>
      </c>
      <c r="D7246" s="20" t="inlineStr">
        <is>
          <t>페이스북/인스타그램</t>
        </is>
      </c>
      <c r="E7246" s="20" t="inlineStr">
        <is>
          <t>고체향수</t>
        </is>
      </c>
      <c r="K7246" s="20" t="n">
        <v>48341</v>
      </c>
    </row>
    <row r="7247">
      <c r="A7247" s="20" t="inlineStr">
        <is>
          <t>[승무원]숏폼_영상</t>
        </is>
      </c>
      <c r="B7247" s="16" t="n">
        <v>44309</v>
      </c>
      <c r="C7247" s="20" t="inlineStr">
        <is>
          <t>금</t>
        </is>
      </c>
      <c r="D7247" s="20" t="inlineStr">
        <is>
          <t>페이스북/인스타그램</t>
        </is>
      </c>
      <c r="E7247" s="20" t="inlineStr">
        <is>
          <t>고체향수</t>
        </is>
      </c>
      <c r="K7247" s="20" t="n">
        <v>48850</v>
      </c>
    </row>
    <row r="7248">
      <c r="A7248" s="20" t="inlineStr">
        <is>
          <t>[재입고]스테이포에버_영상</t>
        </is>
      </c>
      <c r="B7248" s="16" t="n">
        <v>44309</v>
      </c>
      <c r="C7248" s="20" t="inlineStr">
        <is>
          <t>금</t>
        </is>
      </c>
      <c r="D7248" s="20" t="inlineStr">
        <is>
          <t>페이스북/인스타그램</t>
        </is>
      </c>
      <c r="E7248" s="20" t="inlineStr">
        <is>
          <t>고체향수</t>
        </is>
      </c>
      <c r="K7248" s="20" t="n">
        <v>196472</v>
      </c>
    </row>
    <row r="7249">
      <c r="A7249" s="20" t="inlineStr">
        <is>
          <t>[승무원]2019년썰 카드뉴스+ 향묘사_영상</t>
        </is>
      </c>
      <c r="B7249" s="16" t="n">
        <v>44309</v>
      </c>
      <c r="C7249" s="20" t="inlineStr">
        <is>
          <t>금</t>
        </is>
      </c>
      <c r="D7249" s="20" t="inlineStr">
        <is>
          <t>페이스북/인스타그램</t>
        </is>
      </c>
      <c r="E7249" s="20" t="inlineStr">
        <is>
          <t>고체향수</t>
        </is>
      </c>
      <c r="K7249" s="20" t="n">
        <v>29090</v>
      </c>
    </row>
    <row r="7250">
      <c r="A7250" s="20" t="inlineStr">
        <is>
          <t>[승무원어피]스테이포에버_이미지</t>
        </is>
      </c>
      <c r="B7250" s="16" t="n">
        <v>44309</v>
      </c>
      <c r="C7250" s="20" t="inlineStr">
        <is>
          <t>금</t>
        </is>
      </c>
      <c r="D7250" s="20" t="inlineStr">
        <is>
          <t>페이스북/인스타그램</t>
        </is>
      </c>
      <c r="E7250" s="20" t="inlineStr">
        <is>
          <t>고체향수</t>
        </is>
      </c>
      <c r="K7250" s="20" t="n">
        <v>68815</v>
      </c>
    </row>
    <row r="7251">
      <c r="A7251" s="20" t="inlineStr">
        <is>
          <t>[다현]스테이포에버_이미지</t>
        </is>
      </c>
      <c r="B7251" s="16" t="n">
        <v>44309</v>
      </c>
      <c r="C7251" s="20" t="inlineStr">
        <is>
          <t>금</t>
        </is>
      </c>
      <c r="D7251" s="20" t="inlineStr">
        <is>
          <t>페이스북/인스타그램</t>
        </is>
      </c>
      <c r="E7251" s="20" t="inlineStr">
        <is>
          <t>고체향수</t>
        </is>
      </c>
      <c r="K7251" s="20" t="n">
        <v>147991</v>
      </c>
    </row>
    <row r="7252">
      <c r="A7252" s="20" t="inlineStr">
        <is>
          <t>[승무원]스테이포에버_카드뉴스</t>
        </is>
      </c>
      <c r="B7252" s="16" t="n">
        <v>44309</v>
      </c>
      <c r="C7252" s="20" t="inlineStr">
        <is>
          <t>금</t>
        </is>
      </c>
      <c r="D7252" s="20" t="inlineStr">
        <is>
          <t>페이스북/인스타그램</t>
        </is>
      </c>
      <c r="E7252" s="20" t="inlineStr">
        <is>
          <t>고체향수</t>
        </is>
      </c>
      <c r="K7252" s="20" t="n">
        <v>29220</v>
      </c>
    </row>
    <row r="7253">
      <c r="A7253" s="20" t="inlineStr">
        <is>
          <t>[후기타입]스테이포에버_영상</t>
        </is>
      </c>
      <c r="B7253" s="16" t="n">
        <v>44309</v>
      </c>
      <c r="C7253" s="20" t="inlineStr">
        <is>
          <t>금</t>
        </is>
      </c>
      <c r="D7253" s="20" t="inlineStr">
        <is>
          <t>페이스북/인스타그램</t>
        </is>
      </c>
      <c r="E7253" s="20" t="inlineStr">
        <is>
          <t>고체향수</t>
        </is>
      </c>
      <c r="K7253" s="20" t="n">
        <v>148723</v>
      </c>
    </row>
    <row r="7254">
      <c r="A7254" s="20" t="inlineStr">
        <is>
          <t>전환_스테이포에버</t>
        </is>
      </c>
      <c r="B7254" s="16" t="n">
        <v>44309</v>
      </c>
      <c r="C7254" s="20" t="inlineStr">
        <is>
          <t>금</t>
        </is>
      </c>
      <c r="D7254" s="20" t="inlineStr">
        <is>
          <t>페이스북/인스타그램</t>
        </is>
      </c>
      <c r="E7254" s="20" t="inlineStr">
        <is>
          <t>고체향수</t>
        </is>
      </c>
      <c r="K7254" s="20" t="n">
        <v>69511</v>
      </c>
    </row>
    <row r="7255">
      <c r="A7255" s="20" t="inlineStr">
        <is>
          <t>[권태기커플]스테이포에버_영상</t>
        </is>
      </c>
      <c r="B7255" s="16" t="n">
        <v>44309</v>
      </c>
      <c r="C7255" s="20" t="inlineStr">
        <is>
          <t>금</t>
        </is>
      </c>
      <c r="D7255" s="20" t="inlineStr">
        <is>
          <t>페이스북/인스타그램</t>
        </is>
      </c>
      <c r="E7255" s="20" t="inlineStr">
        <is>
          <t>고체향수</t>
        </is>
      </c>
      <c r="K7255" s="20" t="n">
        <v>29432</v>
      </c>
    </row>
    <row r="7256">
      <c r="A7256" s="20" t="inlineStr">
        <is>
          <t>[수현 TEST] 솔리드퍼퓸_이미지</t>
        </is>
      </c>
      <c r="B7256" s="16" t="n">
        <v>44310</v>
      </c>
      <c r="C7256" s="20" t="inlineStr">
        <is>
          <t>토</t>
        </is>
      </c>
      <c r="D7256" s="20" t="inlineStr">
        <is>
          <t>페이스북/인스타그램</t>
        </is>
      </c>
      <c r="E7256" s="20" t="inlineStr">
        <is>
          <t>고체향수</t>
        </is>
      </c>
      <c r="K7256" s="20" t="n">
        <v>21582</v>
      </c>
    </row>
    <row r="7257">
      <c r="A7257" s="20" t="inlineStr">
        <is>
          <t>[비누향 인연] 스테이포에버_카드뉴스</t>
        </is>
      </c>
      <c r="B7257" s="16" t="n">
        <v>44310</v>
      </c>
      <c r="C7257" s="20" t="inlineStr">
        <is>
          <t>토</t>
        </is>
      </c>
      <c r="D7257" s="20">
        <f>VLOOKUP($A7257,매칭테이블!$B$548:$D$1048576,2,0)</f>
        <v/>
      </c>
      <c r="K7257" s="20" t="n">
        <v>124760</v>
      </c>
    </row>
    <row r="7258">
      <c r="A7258" s="20" t="inlineStr">
        <is>
          <t>[성민 TEST] 솔리드퍼퓸_이미지</t>
        </is>
      </c>
      <c r="B7258" s="16" t="n">
        <v>44310</v>
      </c>
      <c r="C7258" s="20" t="inlineStr">
        <is>
          <t>토</t>
        </is>
      </c>
      <c r="D7258" s="20" t="inlineStr">
        <is>
          <t>페이스북/인스타그램</t>
        </is>
      </c>
      <c r="E7258" s="20" t="inlineStr">
        <is>
          <t>고체향수</t>
        </is>
      </c>
      <c r="K7258" s="20" t="n">
        <v>98825</v>
      </c>
    </row>
    <row r="7259">
      <c r="A7259" s="20" t="inlineStr">
        <is>
          <t>[승무원]유튜브_스테이포에버_카드뉴스</t>
        </is>
      </c>
      <c r="B7259" s="16" t="n">
        <v>44310</v>
      </c>
      <c r="C7259" s="20" t="inlineStr">
        <is>
          <t>토</t>
        </is>
      </c>
      <c r="D7259" s="20" t="inlineStr">
        <is>
          <t>페이스북/인스타그램</t>
        </is>
      </c>
      <c r="E7259" s="20" t="inlineStr">
        <is>
          <t>고체향수</t>
        </is>
      </c>
      <c r="K7259" s="20" t="n">
        <v>31234</v>
      </c>
    </row>
    <row r="7260">
      <c r="A7260" s="20" t="inlineStr">
        <is>
          <t>[올리브영] 이그나이트_영상</t>
        </is>
      </c>
      <c r="B7260" s="16" t="n">
        <v>44310</v>
      </c>
      <c r="C7260" s="20" t="inlineStr">
        <is>
          <t>토</t>
        </is>
      </c>
      <c r="D7260" s="20" t="inlineStr">
        <is>
          <t>페이스북/인스타그램</t>
        </is>
      </c>
      <c r="E7260" s="20" t="inlineStr">
        <is>
          <t>고체향수</t>
        </is>
      </c>
      <c r="K7260" s="20" t="n">
        <v>31469</v>
      </c>
    </row>
    <row r="7261">
      <c r="A7261" s="20" t="inlineStr">
        <is>
          <t>[승희 TEST] 솔리드퍼퓸_이미지</t>
        </is>
      </c>
      <c r="B7261" s="16" t="n">
        <v>44310</v>
      </c>
      <c r="C7261" s="20" t="inlineStr">
        <is>
          <t>토</t>
        </is>
      </c>
      <c r="D7261" s="20" t="inlineStr">
        <is>
          <t>페이스북/인스타그램</t>
        </is>
      </c>
      <c r="E7261" s="20" t="inlineStr">
        <is>
          <t>고체향수</t>
        </is>
      </c>
      <c r="K7261" s="20" t="n">
        <v>110817</v>
      </c>
    </row>
    <row r="7262">
      <c r="A7262" s="20" t="inlineStr">
        <is>
          <t>[올리브영] 스테이포에버_영상</t>
        </is>
      </c>
      <c r="B7262" s="16" t="n">
        <v>44310</v>
      </c>
      <c r="C7262" s="20" t="inlineStr">
        <is>
          <t>토</t>
        </is>
      </c>
      <c r="D7262" s="20" t="inlineStr">
        <is>
          <t>페이스북/인스타그램</t>
        </is>
      </c>
      <c r="E7262" s="20" t="inlineStr">
        <is>
          <t>고체향수</t>
        </is>
      </c>
      <c r="K7262" s="20" t="n">
        <v>54075</v>
      </c>
    </row>
    <row r="7263">
      <c r="A7263" s="20" t="inlineStr">
        <is>
          <t>[올리브영] 스테이포에버_이미지</t>
        </is>
      </c>
      <c r="B7263" s="16" t="n">
        <v>44310</v>
      </c>
      <c r="C7263" s="20" t="inlineStr">
        <is>
          <t>토</t>
        </is>
      </c>
      <c r="D7263" s="20" t="inlineStr">
        <is>
          <t>페이스북/인스타그램</t>
        </is>
      </c>
      <c r="E7263" s="20" t="inlineStr">
        <is>
          <t>고체향수</t>
        </is>
      </c>
      <c r="K7263" s="20" t="n">
        <v>32170</v>
      </c>
    </row>
    <row r="7264">
      <c r="A7264" s="20" t="inlineStr">
        <is>
          <t>[승무원] 유튜브재편집_스테이포에버_영상</t>
        </is>
      </c>
      <c r="B7264" s="16" t="n">
        <v>44310</v>
      </c>
      <c r="C7264" s="20" t="inlineStr">
        <is>
          <t>토</t>
        </is>
      </c>
      <c r="D7264" s="20" t="inlineStr">
        <is>
          <t>페이스북/인스타그램</t>
        </is>
      </c>
      <c r="E7264" s="20" t="inlineStr">
        <is>
          <t>고체향수</t>
        </is>
      </c>
      <c r="K7264" s="20" t="n">
        <v>409297</v>
      </c>
    </row>
    <row r="7265">
      <c r="A7265" s="20" t="inlineStr">
        <is>
          <t>[다현 TEST] 스테이포에버_유즈모먼트</t>
        </is>
      </c>
      <c r="B7265" s="16" t="n">
        <v>44310</v>
      </c>
      <c r="C7265" s="20" t="inlineStr">
        <is>
          <t>토</t>
        </is>
      </c>
      <c r="D7265" s="20" t="inlineStr">
        <is>
          <t>페이스북/인스타그램</t>
        </is>
      </c>
      <c r="E7265" s="20" t="inlineStr">
        <is>
          <t>고체향수</t>
        </is>
      </c>
      <c r="K7265" s="20" t="n">
        <v>30533</v>
      </c>
    </row>
    <row r="7266">
      <c r="A7266" s="20" t="inlineStr">
        <is>
          <t>[승무원 면세점] 스테이포에버_카드뉴스</t>
        </is>
      </c>
      <c r="B7266" s="16" t="n">
        <v>44310</v>
      </c>
      <c r="C7266" s="20" t="inlineStr">
        <is>
          <t>토</t>
        </is>
      </c>
      <c r="D7266" s="20" t="inlineStr">
        <is>
          <t>페이스북/인스타그램</t>
        </is>
      </c>
      <c r="E7266" s="20" t="inlineStr">
        <is>
          <t>고체향수</t>
        </is>
      </c>
      <c r="K7266" s="20" t="n">
        <v>257172</v>
      </c>
    </row>
    <row r="7267">
      <c r="A7267" s="20" t="inlineStr">
        <is>
          <t>[카페알바] 스테이포에버_카드뉴스</t>
        </is>
      </c>
      <c r="B7267" s="16" t="n">
        <v>44310</v>
      </c>
      <c r="C7267" s="20" t="inlineStr">
        <is>
          <t>토</t>
        </is>
      </c>
      <c r="D7267" s="20" t="inlineStr">
        <is>
          <t>페이스북/인스타그램</t>
        </is>
      </c>
      <c r="E7267" s="20" t="inlineStr">
        <is>
          <t>고체향수</t>
        </is>
      </c>
      <c r="K7267" s="20" t="n">
        <v>152894</v>
      </c>
    </row>
    <row r="7268">
      <c r="A7268" s="20" t="inlineStr">
        <is>
          <t>[아줌마]스테이포에버_이미지</t>
        </is>
      </c>
      <c r="B7268" s="16" t="n">
        <v>44310</v>
      </c>
      <c r="C7268" s="20" t="inlineStr">
        <is>
          <t>토</t>
        </is>
      </c>
      <c r="D7268" s="20" t="inlineStr">
        <is>
          <t>페이스북/인스타그램</t>
        </is>
      </c>
      <c r="E7268" s="20" t="inlineStr">
        <is>
          <t>고체향수</t>
        </is>
      </c>
      <c r="K7268" s="20" t="n">
        <v>102610</v>
      </c>
    </row>
    <row r="7269">
      <c r="A7269" s="20" t="inlineStr">
        <is>
          <t>[다양한 키워드] 스테이포에버_이미지</t>
        </is>
      </c>
      <c r="B7269" s="16" t="n">
        <v>44310</v>
      </c>
      <c r="C7269" s="20" t="inlineStr">
        <is>
          <t>토</t>
        </is>
      </c>
      <c r="D7269" s="20" t="inlineStr">
        <is>
          <t>페이스북/인스타그램</t>
        </is>
      </c>
      <c r="E7269" s="20" t="inlineStr">
        <is>
          <t>고체향수</t>
        </is>
      </c>
      <c r="K7269" s="20" t="n">
        <v>217240</v>
      </c>
    </row>
    <row r="7270">
      <c r="A7270" s="20" t="inlineStr">
        <is>
          <t>[재입고]스테이포에버_이미지</t>
        </is>
      </c>
      <c r="B7270" s="16" t="n">
        <v>44310</v>
      </c>
      <c r="C7270" s="20" t="inlineStr">
        <is>
          <t>토</t>
        </is>
      </c>
      <c r="D7270" s="20" t="inlineStr">
        <is>
          <t>페이스북/인스타그램</t>
        </is>
      </c>
      <c r="E7270" s="20" t="inlineStr">
        <is>
          <t>고체향수</t>
        </is>
      </c>
      <c r="K7270" s="20" t="n">
        <v>50214</v>
      </c>
    </row>
    <row r="7271">
      <c r="A7271" s="20" t="inlineStr">
        <is>
          <t>[승무원]숏폼_영상</t>
        </is>
      </c>
      <c r="B7271" s="16" t="n">
        <v>44310</v>
      </c>
      <c r="C7271" s="20" t="inlineStr">
        <is>
          <t>토</t>
        </is>
      </c>
      <c r="D7271" s="20" t="inlineStr">
        <is>
          <t>페이스북/인스타그램</t>
        </is>
      </c>
      <c r="E7271" s="20" t="inlineStr">
        <is>
          <t>고체향수</t>
        </is>
      </c>
      <c r="K7271" s="20" t="n">
        <v>52156</v>
      </c>
    </row>
    <row r="7272">
      <c r="A7272" s="20" t="inlineStr">
        <is>
          <t>[재입고]스테이포에버_영상</t>
        </is>
      </c>
      <c r="B7272" s="16" t="n">
        <v>44310</v>
      </c>
      <c r="C7272" s="20" t="inlineStr">
        <is>
          <t>토</t>
        </is>
      </c>
      <c r="D7272" s="20" t="inlineStr">
        <is>
          <t>페이스북/인스타그램</t>
        </is>
      </c>
      <c r="E7272" s="20" t="inlineStr">
        <is>
          <t>고체향수</t>
        </is>
      </c>
      <c r="K7272" s="20" t="n">
        <v>208448</v>
      </c>
    </row>
    <row r="7273">
      <c r="A7273" s="20" t="inlineStr">
        <is>
          <t>[승무원]2019년썰 카드뉴스+ 향묘사_영상</t>
        </is>
      </c>
      <c r="B7273" s="16" t="n">
        <v>44310</v>
      </c>
      <c r="C7273" s="20" t="inlineStr">
        <is>
          <t>토</t>
        </is>
      </c>
      <c r="D7273" s="20" t="inlineStr">
        <is>
          <t>페이스북/인스타그램</t>
        </is>
      </c>
      <c r="E7273" s="20" t="inlineStr">
        <is>
          <t>고체향수</t>
        </is>
      </c>
      <c r="K7273" s="20" t="n">
        <v>31010</v>
      </c>
    </row>
    <row r="7274">
      <c r="A7274" s="20" t="inlineStr">
        <is>
          <t>[승무원어피]스테이포에버_이미지</t>
        </is>
      </c>
      <c r="B7274" s="16" t="n">
        <v>44310</v>
      </c>
      <c r="C7274" s="20" t="inlineStr">
        <is>
          <t>토</t>
        </is>
      </c>
      <c r="D7274" s="20" t="inlineStr">
        <is>
          <t>페이스북/인스타그램</t>
        </is>
      </c>
      <c r="E7274" s="20" t="inlineStr">
        <is>
          <t>고체향수</t>
        </is>
      </c>
      <c r="K7274" s="20" t="n">
        <v>73058</v>
      </c>
    </row>
    <row r="7275">
      <c r="A7275" s="20" t="inlineStr">
        <is>
          <t>[다현]스테이포에버_이미지</t>
        </is>
      </c>
      <c r="B7275" s="16" t="n">
        <v>44310</v>
      </c>
      <c r="C7275" s="20" t="inlineStr">
        <is>
          <t>토</t>
        </is>
      </c>
      <c r="D7275" s="20" t="inlineStr">
        <is>
          <t>페이스북/인스타그램</t>
        </is>
      </c>
      <c r="E7275" s="20" t="inlineStr">
        <is>
          <t>고체향수</t>
        </is>
      </c>
      <c r="K7275" s="20" t="n">
        <v>155641</v>
      </c>
    </row>
    <row r="7276">
      <c r="A7276" s="20" t="inlineStr">
        <is>
          <t>[승무원]스테이포에버_카드뉴스</t>
        </is>
      </c>
      <c r="B7276" s="16" t="n">
        <v>44310</v>
      </c>
      <c r="C7276" s="20" t="inlineStr">
        <is>
          <t>토</t>
        </is>
      </c>
      <c r="D7276" s="20" t="inlineStr">
        <is>
          <t>페이스북/인스타그램</t>
        </is>
      </c>
      <c r="E7276" s="20" t="inlineStr">
        <is>
          <t>고체향수</t>
        </is>
      </c>
      <c r="K7276" s="20" t="n">
        <v>30986</v>
      </c>
    </row>
    <row r="7277">
      <c r="A7277" s="20" t="inlineStr">
        <is>
          <t>[후기타입]스테이포에버_영상</t>
        </is>
      </c>
      <c r="B7277" s="16" t="n">
        <v>44310</v>
      </c>
      <c r="C7277" s="20" t="inlineStr">
        <is>
          <t>토</t>
        </is>
      </c>
      <c r="D7277" s="20" t="inlineStr">
        <is>
          <t>페이스북/인스타그램</t>
        </is>
      </c>
      <c r="E7277" s="20" t="inlineStr">
        <is>
          <t>고체향수</t>
        </is>
      </c>
      <c r="K7277" s="20" t="n">
        <v>155090</v>
      </c>
    </row>
    <row r="7278">
      <c r="A7278" s="20" t="inlineStr">
        <is>
          <t>전환_스테이포에버</t>
        </is>
      </c>
      <c r="B7278" s="16" t="n">
        <v>44310</v>
      </c>
      <c r="C7278" s="20" t="inlineStr">
        <is>
          <t>토</t>
        </is>
      </c>
      <c r="D7278" s="20" t="inlineStr">
        <is>
          <t>페이스북/인스타그램</t>
        </is>
      </c>
      <c r="E7278" s="20" t="inlineStr">
        <is>
          <t>고체향수</t>
        </is>
      </c>
      <c r="K7278" s="20" t="n">
        <v>72069</v>
      </c>
    </row>
    <row r="7279">
      <c r="A7279" s="20" t="inlineStr">
        <is>
          <t>[권태기커플]스테이포에버_영상</t>
        </is>
      </c>
      <c r="B7279" s="16" t="n">
        <v>44310</v>
      </c>
      <c r="C7279" s="20" t="inlineStr">
        <is>
          <t>토</t>
        </is>
      </c>
      <c r="D7279" s="20" t="inlineStr">
        <is>
          <t>페이스북/인스타그램</t>
        </is>
      </c>
      <c r="E7279" s="20" t="inlineStr">
        <is>
          <t>고체향수</t>
        </is>
      </c>
      <c r="K7279" s="20" t="n">
        <v>30765</v>
      </c>
    </row>
    <row r="7280">
      <c r="A7280" s="20" t="inlineStr">
        <is>
          <t>[수현 TEST] 솔리드퍼퓸_이미지</t>
        </is>
      </c>
      <c r="B7280" s="16" t="n">
        <v>44311</v>
      </c>
      <c r="C7280" s="20" t="inlineStr">
        <is>
          <t>일</t>
        </is>
      </c>
      <c r="D7280" s="20" t="inlineStr">
        <is>
          <t>페이스북/인스타그램</t>
        </is>
      </c>
      <c r="E7280" s="20" t="inlineStr">
        <is>
          <t>고체향수</t>
        </is>
      </c>
      <c r="K7280" s="20" t="n">
        <v>20083</v>
      </c>
    </row>
    <row r="7281">
      <c r="A7281" s="20" t="inlineStr">
        <is>
          <t>[비누향 인연] 스테이포에버_카드뉴스</t>
        </is>
      </c>
      <c r="B7281" s="16" t="n">
        <v>44311</v>
      </c>
      <c r="C7281" s="20" t="inlineStr">
        <is>
          <t>일</t>
        </is>
      </c>
      <c r="D7281" s="20">
        <f>VLOOKUP($A7281,매칭테이블!$B$548:$D$1048576,2,0)</f>
        <v/>
      </c>
      <c r="K7281" s="20" t="n">
        <v>104652</v>
      </c>
    </row>
    <row r="7282">
      <c r="A7282" s="20" t="inlineStr">
        <is>
          <t>[성민 TEST] 솔리드퍼퓸_이미지</t>
        </is>
      </c>
      <c r="B7282" s="16" t="n">
        <v>44311</v>
      </c>
      <c r="C7282" s="20" t="inlineStr">
        <is>
          <t>일</t>
        </is>
      </c>
      <c r="D7282" s="20" t="inlineStr">
        <is>
          <t>페이스북/인스타그램</t>
        </is>
      </c>
      <c r="E7282" s="20" t="inlineStr">
        <is>
          <t>고체향수</t>
        </is>
      </c>
      <c r="K7282" s="20" t="n">
        <v>100659</v>
      </c>
    </row>
    <row r="7283">
      <c r="A7283" s="20" t="inlineStr">
        <is>
          <t>[승무원]유튜브_스테이포에버_카드뉴스</t>
        </is>
      </c>
      <c r="B7283" s="16" t="n">
        <v>44311</v>
      </c>
      <c r="C7283" s="20" t="inlineStr">
        <is>
          <t>일</t>
        </is>
      </c>
      <c r="D7283" s="20" t="inlineStr">
        <is>
          <t>페이스북/인스타그램</t>
        </is>
      </c>
      <c r="E7283" s="20" t="inlineStr">
        <is>
          <t>고체향수</t>
        </is>
      </c>
      <c r="K7283" s="20" t="n">
        <v>30244</v>
      </c>
    </row>
    <row r="7284">
      <c r="A7284" s="20" t="inlineStr">
        <is>
          <t>[올리브영] 이그나이트_영상</t>
        </is>
      </c>
      <c r="B7284" s="16" t="n">
        <v>44311</v>
      </c>
      <c r="C7284" s="20" t="inlineStr">
        <is>
          <t>일</t>
        </is>
      </c>
      <c r="D7284" s="20" t="inlineStr">
        <is>
          <t>페이스북/인스타그램</t>
        </is>
      </c>
      <c r="E7284" s="20" t="inlineStr">
        <is>
          <t>고체향수</t>
        </is>
      </c>
      <c r="K7284" s="20" t="n">
        <v>30183</v>
      </c>
    </row>
    <row r="7285">
      <c r="A7285" s="20" t="inlineStr">
        <is>
          <t>[승희 TEST] 솔리드퍼퓸_이미지</t>
        </is>
      </c>
      <c r="B7285" s="16" t="n">
        <v>44311</v>
      </c>
      <c r="C7285" s="20" t="inlineStr">
        <is>
          <t>일</t>
        </is>
      </c>
      <c r="D7285" s="20" t="inlineStr">
        <is>
          <t>페이스북/인스타그램</t>
        </is>
      </c>
      <c r="E7285" s="20" t="inlineStr">
        <is>
          <t>고체향수</t>
        </is>
      </c>
      <c r="K7285" s="20" t="n">
        <v>110460</v>
      </c>
    </row>
    <row r="7286">
      <c r="A7286" s="20" t="inlineStr">
        <is>
          <t>[올리브영] 스테이포에버_영상</t>
        </is>
      </c>
      <c r="B7286" s="16" t="n">
        <v>44311</v>
      </c>
      <c r="C7286" s="20" t="inlineStr">
        <is>
          <t>일</t>
        </is>
      </c>
      <c r="D7286" s="20" t="inlineStr">
        <is>
          <t>페이스북/인스타그램</t>
        </is>
      </c>
      <c r="E7286" s="20" t="inlineStr">
        <is>
          <t>고체향수</t>
        </is>
      </c>
      <c r="K7286" s="20" t="n">
        <v>50015</v>
      </c>
    </row>
    <row r="7287">
      <c r="A7287" s="20" t="inlineStr">
        <is>
          <t>[올리브영] 스테이포에버_이미지</t>
        </is>
      </c>
      <c r="B7287" s="16" t="n">
        <v>44311</v>
      </c>
      <c r="C7287" s="20" t="inlineStr">
        <is>
          <t>일</t>
        </is>
      </c>
      <c r="D7287" s="20" t="inlineStr">
        <is>
          <t>페이스북/인스타그램</t>
        </is>
      </c>
      <c r="E7287" s="20" t="inlineStr">
        <is>
          <t>고체향수</t>
        </is>
      </c>
      <c r="K7287" s="20" t="n">
        <v>29487</v>
      </c>
    </row>
    <row r="7288">
      <c r="A7288" s="20" t="inlineStr">
        <is>
          <t>[승무원] 유튜브재편집_스테이포에버_영상</t>
        </is>
      </c>
      <c r="B7288" s="16" t="n">
        <v>44311</v>
      </c>
      <c r="C7288" s="20" t="inlineStr">
        <is>
          <t>일</t>
        </is>
      </c>
      <c r="D7288" s="20" t="inlineStr">
        <is>
          <t>페이스북/인스타그램</t>
        </is>
      </c>
      <c r="E7288" s="20" t="inlineStr">
        <is>
          <t>고체향수</t>
        </is>
      </c>
      <c r="K7288" s="20" t="n">
        <v>416964</v>
      </c>
    </row>
    <row r="7289">
      <c r="A7289" s="20" t="inlineStr">
        <is>
          <t>[다현 TEST] 스테이포에버_유즈모먼트</t>
        </is>
      </c>
      <c r="B7289" s="16" t="n">
        <v>44311</v>
      </c>
      <c r="C7289" s="20" t="inlineStr">
        <is>
          <t>일</t>
        </is>
      </c>
      <c r="D7289" s="20" t="inlineStr">
        <is>
          <t>페이스북/인스타그램</t>
        </is>
      </c>
      <c r="E7289" s="20" t="inlineStr">
        <is>
          <t>고체향수</t>
        </is>
      </c>
      <c r="K7289" s="20" t="n">
        <v>30378</v>
      </c>
    </row>
    <row r="7290">
      <c r="A7290" s="20" t="inlineStr">
        <is>
          <t>[승무원 면세점] 스테이포에버_카드뉴스</t>
        </is>
      </c>
      <c r="B7290" s="16" t="n">
        <v>44311</v>
      </c>
      <c r="C7290" s="20" t="inlineStr">
        <is>
          <t>일</t>
        </is>
      </c>
      <c r="D7290" s="20" t="inlineStr">
        <is>
          <t>페이스북/인스타그램</t>
        </is>
      </c>
      <c r="E7290" s="20" t="inlineStr">
        <is>
          <t>고체향수</t>
        </is>
      </c>
      <c r="K7290" s="20" t="n">
        <v>297950</v>
      </c>
    </row>
    <row r="7291">
      <c r="A7291" s="20" t="inlineStr">
        <is>
          <t>[카페알바] 스테이포에버_카드뉴스</t>
        </is>
      </c>
      <c r="B7291" s="16" t="n">
        <v>44311</v>
      </c>
      <c r="C7291" s="20" t="inlineStr">
        <is>
          <t>일</t>
        </is>
      </c>
      <c r="D7291" s="20" t="inlineStr">
        <is>
          <t>페이스북/인스타그램</t>
        </is>
      </c>
      <c r="E7291" s="20" t="inlineStr">
        <is>
          <t>고체향수</t>
        </is>
      </c>
      <c r="K7291" s="20" t="n">
        <v>150692</v>
      </c>
    </row>
    <row r="7292">
      <c r="A7292" s="20" t="inlineStr">
        <is>
          <t>[아줌마]스테이포에버_이미지</t>
        </is>
      </c>
      <c r="B7292" s="16" t="n">
        <v>44311</v>
      </c>
      <c r="C7292" s="20" t="inlineStr">
        <is>
          <t>일</t>
        </is>
      </c>
      <c r="D7292" s="20" t="inlineStr">
        <is>
          <t>페이스북/인스타그램</t>
        </is>
      </c>
      <c r="E7292" s="20" t="inlineStr">
        <is>
          <t>고체향수</t>
        </is>
      </c>
      <c r="K7292" s="20" t="n">
        <v>100887</v>
      </c>
    </row>
    <row r="7293">
      <c r="A7293" s="20" t="inlineStr">
        <is>
          <t>[다양한 키워드] 스테이포에버_이미지</t>
        </is>
      </c>
      <c r="B7293" s="16" t="n">
        <v>44311</v>
      </c>
      <c r="C7293" s="20" t="inlineStr">
        <is>
          <t>일</t>
        </is>
      </c>
      <c r="D7293" s="20" t="inlineStr">
        <is>
          <t>페이스북/인스타그램</t>
        </is>
      </c>
      <c r="E7293" s="20" t="inlineStr">
        <is>
          <t>고체향수</t>
        </is>
      </c>
      <c r="K7293" s="20" t="n">
        <v>219919</v>
      </c>
    </row>
    <row r="7294">
      <c r="A7294" s="20" t="inlineStr">
        <is>
          <t>[재입고]스테이포에버_이미지</t>
        </is>
      </c>
      <c r="B7294" s="16" t="n">
        <v>44311</v>
      </c>
      <c r="C7294" s="20" t="inlineStr">
        <is>
          <t>일</t>
        </is>
      </c>
      <c r="D7294" s="20" t="inlineStr">
        <is>
          <t>페이스북/인스타그램</t>
        </is>
      </c>
      <c r="E7294" s="20" t="inlineStr">
        <is>
          <t>고체향수</t>
        </is>
      </c>
      <c r="K7294" s="20" t="n">
        <v>50111</v>
      </c>
    </row>
    <row r="7295">
      <c r="A7295" s="20" t="inlineStr">
        <is>
          <t>[승무원]숏폼_영상</t>
        </is>
      </c>
      <c r="B7295" s="16" t="n">
        <v>44311</v>
      </c>
      <c r="C7295" s="20" t="inlineStr">
        <is>
          <t>일</t>
        </is>
      </c>
      <c r="D7295" s="20" t="inlineStr">
        <is>
          <t>페이스북/인스타그램</t>
        </is>
      </c>
      <c r="E7295" s="20" t="inlineStr">
        <is>
          <t>고체향수</t>
        </is>
      </c>
      <c r="K7295" s="20" t="n">
        <v>50704</v>
      </c>
    </row>
    <row r="7296">
      <c r="A7296" s="20" t="inlineStr">
        <is>
          <t>[재입고]스테이포에버_영상</t>
        </is>
      </c>
      <c r="B7296" s="16" t="n">
        <v>44311</v>
      </c>
      <c r="C7296" s="20" t="inlineStr">
        <is>
          <t>일</t>
        </is>
      </c>
      <c r="D7296" s="20" t="inlineStr">
        <is>
          <t>페이스북/인스타그램</t>
        </is>
      </c>
      <c r="E7296" s="20" t="inlineStr">
        <is>
          <t>고체향수</t>
        </is>
      </c>
      <c r="K7296" s="20" t="n">
        <v>200565</v>
      </c>
    </row>
    <row r="7297">
      <c r="A7297" s="20" t="inlineStr">
        <is>
          <t>[승무원]2019년썰 카드뉴스+ 향묘사_영상</t>
        </is>
      </c>
      <c r="B7297" s="16" t="n">
        <v>44311</v>
      </c>
      <c r="C7297" s="20" t="inlineStr">
        <is>
          <t>일</t>
        </is>
      </c>
      <c r="D7297" s="20" t="inlineStr">
        <is>
          <t>페이스북/인스타그램</t>
        </is>
      </c>
      <c r="E7297" s="20" t="inlineStr">
        <is>
          <t>고체향수</t>
        </is>
      </c>
      <c r="K7297" s="20" t="n">
        <v>30155</v>
      </c>
    </row>
    <row r="7298">
      <c r="A7298" s="20" t="inlineStr">
        <is>
          <t>[승무원어피]스테이포에버_이미지</t>
        </is>
      </c>
      <c r="B7298" s="16" t="n">
        <v>44311</v>
      </c>
      <c r="C7298" s="20" t="inlineStr">
        <is>
          <t>일</t>
        </is>
      </c>
      <c r="D7298" s="20" t="inlineStr">
        <is>
          <t>페이스북/인스타그램</t>
        </is>
      </c>
      <c r="E7298" s="20" t="inlineStr">
        <is>
          <t>고체향수</t>
        </is>
      </c>
      <c r="K7298" s="20" t="n">
        <v>70155</v>
      </c>
    </row>
    <row r="7299">
      <c r="A7299" s="20" t="inlineStr">
        <is>
          <t>[다현]스테이포에버_이미지</t>
        </is>
      </c>
      <c r="B7299" s="16" t="n">
        <v>44311</v>
      </c>
      <c r="C7299" s="20" t="inlineStr">
        <is>
          <t>일</t>
        </is>
      </c>
      <c r="D7299" s="20" t="inlineStr">
        <is>
          <t>페이스북/인스타그램</t>
        </is>
      </c>
      <c r="E7299" s="20" t="inlineStr">
        <is>
          <t>고체향수</t>
        </is>
      </c>
      <c r="K7299" s="20" t="n">
        <v>148823</v>
      </c>
    </row>
    <row r="7300">
      <c r="A7300" s="20" t="inlineStr">
        <is>
          <t>[승무원]스테이포에버_카드뉴스</t>
        </is>
      </c>
      <c r="B7300" s="16" t="n">
        <v>44311</v>
      </c>
      <c r="C7300" s="20" t="inlineStr">
        <is>
          <t>일</t>
        </is>
      </c>
      <c r="D7300" s="20" t="inlineStr">
        <is>
          <t>페이스북/인스타그램</t>
        </is>
      </c>
      <c r="E7300" s="20" t="inlineStr">
        <is>
          <t>고체향수</t>
        </is>
      </c>
      <c r="K7300" s="20" t="n">
        <v>30392</v>
      </c>
    </row>
    <row r="7301">
      <c r="A7301" s="20" t="inlineStr">
        <is>
          <t>[후기타입]스테이포에버_영상</t>
        </is>
      </c>
      <c r="B7301" s="16" t="n">
        <v>44311</v>
      </c>
      <c r="C7301" s="20" t="inlineStr">
        <is>
          <t>일</t>
        </is>
      </c>
      <c r="D7301" s="20" t="inlineStr">
        <is>
          <t>페이스북/인스타그램</t>
        </is>
      </c>
      <c r="E7301" s="20" t="inlineStr">
        <is>
          <t>고체향수</t>
        </is>
      </c>
      <c r="K7301" s="20" t="n">
        <v>150381</v>
      </c>
    </row>
    <row r="7302">
      <c r="A7302" s="20" t="inlineStr">
        <is>
          <t>전환_스테이포에버</t>
        </is>
      </c>
      <c r="B7302" s="16" t="n">
        <v>44311</v>
      </c>
      <c r="C7302" s="20" t="inlineStr">
        <is>
          <t>일</t>
        </is>
      </c>
      <c r="D7302" s="20" t="inlineStr">
        <is>
          <t>페이스북/인스타그램</t>
        </is>
      </c>
      <c r="E7302" s="20" t="inlineStr">
        <is>
          <t>고체향수</t>
        </is>
      </c>
      <c r="K7302" s="20" t="n">
        <v>70380</v>
      </c>
    </row>
    <row r="7303">
      <c r="A7303" s="20" t="inlineStr">
        <is>
          <t>[권태기커플]스테이포에버_영상</t>
        </is>
      </c>
      <c r="B7303" s="16" t="n">
        <v>44311</v>
      </c>
      <c r="C7303" s="20" t="inlineStr">
        <is>
          <t>일</t>
        </is>
      </c>
      <c r="D7303" s="20" t="inlineStr">
        <is>
          <t>페이스북/인스타그램</t>
        </is>
      </c>
      <c r="E7303" s="20" t="inlineStr">
        <is>
          <t>고체향수</t>
        </is>
      </c>
      <c r="K7303" s="20" t="n">
        <v>30217</v>
      </c>
    </row>
    <row r="7304">
      <c r="A7304" s="20" t="inlineStr">
        <is>
          <t>웹사이트 트래픽 서치</t>
        </is>
      </c>
      <c r="B7304" s="16" t="n">
        <v>44309</v>
      </c>
      <c r="C7304" s="20" t="inlineStr">
        <is>
          <t>금</t>
        </is>
      </c>
      <c r="D7304" s="20" t="inlineStr">
        <is>
          <t>유튜브 광고</t>
        </is>
      </c>
      <c r="E7304" s="20" t="inlineStr">
        <is>
          <t>고체향수</t>
        </is>
      </c>
      <c r="K7304" s="20" t="n">
        <v>18939</v>
      </c>
    </row>
    <row r="7305">
      <c r="A7305" s="20" t="inlineStr">
        <is>
          <t>동영상캠페인_승무원_보이는 라디오(cpa)</t>
        </is>
      </c>
      <c r="B7305" s="16" t="n">
        <v>44309</v>
      </c>
      <c r="C7305" s="20" t="inlineStr">
        <is>
          <t>금</t>
        </is>
      </c>
      <c r="D7305" s="20" t="inlineStr">
        <is>
          <t>유튜브 광고</t>
        </is>
      </c>
      <c r="E7305" s="20" t="inlineStr">
        <is>
          <t>고체향수</t>
        </is>
      </c>
      <c r="K7305" s="20" t="n">
        <v>174907</v>
      </c>
    </row>
    <row r="7306">
      <c r="A7306" s="20" t="inlineStr">
        <is>
          <t>디스커버리 배너_승무원,할인_리마케팅</t>
        </is>
      </c>
      <c r="B7306" s="16" t="n">
        <v>44309</v>
      </c>
      <c r="C7306" s="20" t="inlineStr">
        <is>
          <t>금</t>
        </is>
      </c>
      <c r="D7306" s="20" t="inlineStr">
        <is>
          <t>유튜브 광고</t>
        </is>
      </c>
      <c r="E7306" s="20" t="inlineStr">
        <is>
          <t>고체향수</t>
        </is>
      </c>
      <c r="K7306" s="20" t="n">
        <v>396808</v>
      </c>
    </row>
    <row r="7307">
      <c r="A7307" s="20" t="inlineStr">
        <is>
          <t>동영상캠페인_승무원_써니스카이</t>
        </is>
      </c>
      <c r="B7307" s="16" t="n">
        <v>44309</v>
      </c>
      <c r="C7307" s="20" t="inlineStr">
        <is>
          <t>금</t>
        </is>
      </c>
      <c r="D7307" s="20" t="inlineStr">
        <is>
          <t>유튜브 광고</t>
        </is>
      </c>
      <c r="E7307" s="20" t="inlineStr">
        <is>
          <t>고체향수</t>
        </is>
      </c>
      <c r="K7307" s="20" t="n">
        <v>30748</v>
      </c>
    </row>
    <row r="7308">
      <c r="A7308" s="20" t="inlineStr">
        <is>
          <t>동영상캠페인_필라테스_자기관리(타겟 cpa)</t>
        </is>
      </c>
      <c r="B7308" s="16" t="n">
        <v>44309</v>
      </c>
      <c r="C7308" s="20" t="inlineStr">
        <is>
          <t>금</t>
        </is>
      </c>
      <c r="D7308" s="20" t="inlineStr">
        <is>
          <t>유튜브 광고</t>
        </is>
      </c>
      <c r="E7308" s="20" t="inlineStr">
        <is>
          <t>고체향수</t>
        </is>
      </c>
      <c r="K7308" s="20" t="n">
        <v>10470</v>
      </c>
    </row>
    <row r="7309">
      <c r="A7309" s="20" t="inlineStr">
        <is>
          <t>동영상캠페인_유즈모먼트_조향사 친구(cpa)</t>
        </is>
      </c>
      <c r="B7309" s="16" t="n">
        <v>44309</v>
      </c>
      <c r="C7309" s="20" t="inlineStr">
        <is>
          <t>금</t>
        </is>
      </c>
      <c r="D7309" s="20" t="inlineStr">
        <is>
          <t>유튜브 광고</t>
        </is>
      </c>
      <c r="E7309" s="20" t="inlineStr">
        <is>
          <t>고체향수</t>
        </is>
      </c>
      <c r="K7309" s="20" t="n">
        <v>8106</v>
      </c>
    </row>
    <row r="7310">
      <c r="A7310" s="20" t="inlineStr">
        <is>
          <t>동영상 캠페인_유튜버 수지큐 2차활용_리마케팅</t>
        </is>
      </c>
      <c r="B7310" s="16" t="n">
        <v>44309</v>
      </c>
      <c r="C7310" s="20" t="inlineStr">
        <is>
          <t>금</t>
        </is>
      </c>
      <c r="D7310" s="20" t="inlineStr">
        <is>
          <t>유튜브 광고</t>
        </is>
      </c>
      <c r="E7310" s="20" t="inlineStr">
        <is>
          <t>고체향수</t>
        </is>
      </c>
      <c r="K7310" s="20" t="n">
        <v>51507</v>
      </c>
    </row>
    <row r="7311">
      <c r="A7311" s="20" t="inlineStr">
        <is>
          <t>[5화자] 동영상 캠페인_벨라의 비행일기</t>
        </is>
      </c>
      <c r="B7311" s="16" t="n">
        <v>44309</v>
      </c>
      <c r="C7311" s="20" t="inlineStr">
        <is>
          <t>금</t>
        </is>
      </c>
      <c r="D7311" s="20" t="inlineStr">
        <is>
          <t>유튜브 광고</t>
        </is>
      </c>
      <c r="E7311" s="20" t="inlineStr">
        <is>
          <t>고체향수</t>
        </is>
      </c>
      <c r="K7311" s="20" t="n">
        <v>402864</v>
      </c>
    </row>
    <row r="7312">
      <c r="A7312" s="20" t="inlineStr">
        <is>
          <t>[5화자] 동영상 캠페인_비행하고 여행하는 은선씨</t>
        </is>
      </c>
      <c r="B7312" s="16" t="n">
        <v>44309</v>
      </c>
      <c r="C7312" s="20" t="inlineStr">
        <is>
          <t>금</t>
        </is>
      </c>
      <c r="D7312" s="20" t="inlineStr">
        <is>
          <t>유튜브 광고</t>
        </is>
      </c>
      <c r="E7312" s="20" t="inlineStr">
        <is>
          <t>고체향수</t>
        </is>
      </c>
      <c r="K7312" s="20" t="n">
        <v>403010</v>
      </c>
    </row>
    <row r="7313">
      <c r="A7313" s="20" t="inlineStr">
        <is>
          <t>[5화자 재편집] 승무원_벨라_면세점에서 천만원</t>
        </is>
      </c>
      <c r="B7313" s="16" t="n">
        <v>44309</v>
      </c>
      <c r="C7313" s="20" t="inlineStr">
        <is>
          <t>금</t>
        </is>
      </c>
      <c r="D7313" s="20" t="inlineStr">
        <is>
          <t>유튜브 광고</t>
        </is>
      </c>
      <c r="E7313" s="20" t="inlineStr">
        <is>
          <t>고체향수</t>
        </is>
      </c>
      <c r="K7313" s="20" t="n">
        <v>302821</v>
      </c>
    </row>
    <row r="7314">
      <c r="A7314" s="20" t="inlineStr">
        <is>
          <t>동영상캠페인_유즈모먼트_면세점뒤졌는데</t>
        </is>
      </c>
      <c r="B7314" s="16" t="n">
        <v>44309</v>
      </c>
      <c r="C7314" s="20" t="inlineStr">
        <is>
          <t>금</t>
        </is>
      </c>
      <c r="D7314" s="20" t="inlineStr">
        <is>
          <t>유튜브 광고</t>
        </is>
      </c>
      <c r="E7314" s="20" t="inlineStr">
        <is>
          <t>고체향수</t>
        </is>
      </c>
      <c r="K7314" s="20" t="n">
        <v>303312</v>
      </c>
    </row>
    <row r="7315">
      <c r="A7315" s="20" t="inlineStr">
        <is>
          <t>웹사이트 트래픽 서치</t>
        </is>
      </c>
      <c r="B7315" s="16" t="n">
        <v>44310</v>
      </c>
      <c r="C7315" s="20" t="inlineStr">
        <is>
          <t>토</t>
        </is>
      </c>
      <c r="D7315" s="20" t="inlineStr">
        <is>
          <t>유튜브 광고</t>
        </is>
      </c>
      <c r="E7315" s="20" t="inlineStr">
        <is>
          <t>고체향수</t>
        </is>
      </c>
      <c r="K7315" s="20" t="n">
        <v>9728</v>
      </c>
    </row>
    <row r="7316">
      <c r="A7316" s="20" t="inlineStr">
        <is>
          <t>동영상캠페인_승무원_보이는 라디오(cpa)</t>
        </is>
      </c>
      <c r="B7316" s="16" t="n">
        <v>44310</v>
      </c>
      <c r="C7316" s="20" t="inlineStr">
        <is>
          <t>토</t>
        </is>
      </c>
      <c r="D7316" s="20" t="inlineStr">
        <is>
          <t>유튜브 광고</t>
        </is>
      </c>
      <c r="E7316" s="20" t="inlineStr">
        <is>
          <t>고체향수</t>
        </is>
      </c>
      <c r="K7316" s="20" t="n">
        <v>114597</v>
      </c>
    </row>
    <row r="7317">
      <c r="A7317" s="20" t="inlineStr">
        <is>
          <t>디스커버리 배너_승무원,할인_리마케팅</t>
        </is>
      </c>
      <c r="B7317" s="16" t="n">
        <v>44310</v>
      </c>
      <c r="C7317" s="20" t="inlineStr">
        <is>
          <t>토</t>
        </is>
      </c>
      <c r="D7317" s="20" t="inlineStr">
        <is>
          <t>유튜브 광고</t>
        </is>
      </c>
      <c r="E7317" s="20" t="inlineStr">
        <is>
          <t>고체향수</t>
        </is>
      </c>
      <c r="K7317" s="20" t="n">
        <v>427167</v>
      </c>
    </row>
    <row r="7318">
      <c r="A7318" s="20" t="inlineStr">
        <is>
          <t>동영상캠페인_승무원_써니스카이</t>
        </is>
      </c>
      <c r="B7318" s="16" t="n">
        <v>44310</v>
      </c>
      <c r="C7318" s="20" t="inlineStr">
        <is>
          <t>토</t>
        </is>
      </c>
      <c r="D7318" s="20" t="inlineStr">
        <is>
          <t>유튜브 광고</t>
        </is>
      </c>
      <c r="E7318" s="20" t="inlineStr">
        <is>
          <t>고체향수</t>
        </is>
      </c>
      <c r="K7318" s="20" t="n">
        <v>103057</v>
      </c>
    </row>
    <row r="7319">
      <c r="A7319" s="20" t="inlineStr">
        <is>
          <t>동영상캠페인_필라테스_자기관리(타겟 cpa)</t>
        </is>
      </c>
      <c r="B7319" s="16" t="n">
        <v>44310</v>
      </c>
      <c r="C7319" s="20" t="inlineStr">
        <is>
          <t>토</t>
        </is>
      </c>
      <c r="D7319" s="20" t="inlineStr">
        <is>
          <t>유튜브 광고</t>
        </is>
      </c>
      <c r="E7319" s="20" t="inlineStr">
        <is>
          <t>고체향수</t>
        </is>
      </c>
      <c r="K7319" s="20" t="n">
        <v>17476</v>
      </c>
    </row>
    <row r="7320">
      <c r="A7320" s="20" t="inlineStr">
        <is>
          <t>동영상캠페인_유즈모먼트_조향사 친구(cpa)</t>
        </is>
      </c>
      <c r="B7320" s="16" t="n">
        <v>44310</v>
      </c>
      <c r="C7320" s="20" t="inlineStr">
        <is>
          <t>토</t>
        </is>
      </c>
      <c r="D7320" s="20" t="inlineStr">
        <is>
          <t>유튜브 광고</t>
        </is>
      </c>
      <c r="E7320" s="20" t="inlineStr">
        <is>
          <t>고체향수</t>
        </is>
      </c>
      <c r="K7320" s="20" t="n">
        <v>10727</v>
      </c>
    </row>
    <row r="7321">
      <c r="A7321" s="20" t="inlineStr">
        <is>
          <t>동영상 캠페인_유튜버 수지큐 2차활용_리마케팅</t>
        </is>
      </c>
      <c r="B7321" s="16" t="n">
        <v>44310</v>
      </c>
      <c r="C7321" s="20" t="inlineStr">
        <is>
          <t>토</t>
        </is>
      </c>
      <c r="D7321" s="20" t="inlineStr">
        <is>
          <t>유튜브 광고</t>
        </is>
      </c>
      <c r="E7321" s="20" t="inlineStr">
        <is>
          <t>고체향수</t>
        </is>
      </c>
      <c r="K7321" s="20" t="n">
        <v>49859</v>
      </c>
    </row>
    <row r="7322">
      <c r="A7322" s="20" t="inlineStr">
        <is>
          <t>[5화자] 동영상 캠페인_벨라의 비행일기</t>
        </is>
      </c>
      <c r="B7322" s="16" t="n">
        <v>44310</v>
      </c>
      <c r="C7322" s="20" t="inlineStr">
        <is>
          <t>토</t>
        </is>
      </c>
      <c r="D7322" s="20" t="inlineStr">
        <is>
          <t>유튜브 광고</t>
        </is>
      </c>
      <c r="E7322" s="20" t="inlineStr">
        <is>
          <t>고체향수</t>
        </is>
      </c>
      <c r="K7322" s="20" t="n">
        <v>389789</v>
      </c>
    </row>
    <row r="7323">
      <c r="A7323" s="20" t="inlineStr">
        <is>
          <t>[5화자] 동영상 캠페인_비행하고 여행하는 은선씨</t>
        </is>
      </c>
      <c r="B7323" s="16" t="n">
        <v>44310</v>
      </c>
      <c r="C7323" s="20" t="inlineStr">
        <is>
          <t>토</t>
        </is>
      </c>
      <c r="D7323" s="20" t="inlineStr">
        <is>
          <t>유튜브 광고</t>
        </is>
      </c>
      <c r="E7323" s="20" t="inlineStr">
        <is>
          <t>고체향수</t>
        </is>
      </c>
      <c r="K7323" s="20" t="n">
        <v>390713</v>
      </c>
    </row>
    <row r="7324">
      <c r="A7324" s="20" t="inlineStr">
        <is>
          <t>[5화자 재편집] 승무원_벨라_면세점에서 천만원</t>
        </is>
      </c>
      <c r="B7324" s="16" t="n">
        <v>44310</v>
      </c>
      <c r="C7324" s="20" t="inlineStr">
        <is>
          <t>토</t>
        </is>
      </c>
      <c r="D7324" s="20" t="inlineStr">
        <is>
          <t>유튜브 광고</t>
        </is>
      </c>
      <c r="E7324" s="20" t="inlineStr">
        <is>
          <t>고체향수</t>
        </is>
      </c>
      <c r="K7324" s="20" t="n">
        <v>293240</v>
      </c>
    </row>
    <row r="7325">
      <c r="A7325" s="20" t="inlineStr">
        <is>
          <t>동영상캠페인_유즈모먼트_면세점뒤졌는데</t>
        </is>
      </c>
      <c r="B7325" s="16" t="n">
        <v>44310</v>
      </c>
      <c r="C7325" s="20" t="inlineStr">
        <is>
          <t>토</t>
        </is>
      </c>
      <c r="D7325" s="20" t="inlineStr">
        <is>
          <t>유튜브 광고</t>
        </is>
      </c>
      <c r="E7325" s="20" t="inlineStr">
        <is>
          <t>고체향수</t>
        </is>
      </c>
      <c r="K7325" s="20" t="n">
        <v>293955</v>
      </c>
    </row>
    <row r="7326">
      <c r="A7326" s="20" t="inlineStr">
        <is>
          <t>웹사이트 트래픽 서치</t>
        </is>
      </c>
      <c r="B7326" s="16" t="n">
        <v>44311</v>
      </c>
      <c r="C7326" s="20" t="inlineStr">
        <is>
          <t>일</t>
        </is>
      </c>
      <c r="D7326" s="20" t="inlineStr">
        <is>
          <t>유튜브 광고</t>
        </is>
      </c>
      <c r="E7326" s="20" t="inlineStr">
        <is>
          <t>고체향수</t>
        </is>
      </c>
      <c r="K7326" s="20" t="n">
        <v>19179</v>
      </c>
    </row>
    <row r="7327">
      <c r="A7327" s="20" t="inlineStr">
        <is>
          <t>동영상캠페인_승무원_보이는 라디오(cpa)</t>
        </is>
      </c>
      <c r="B7327" s="16" t="n">
        <v>44311</v>
      </c>
      <c r="C7327" s="20" t="inlineStr">
        <is>
          <t>일</t>
        </is>
      </c>
      <c r="D7327" s="20" t="inlineStr">
        <is>
          <t>유튜브 광고</t>
        </is>
      </c>
      <c r="E7327" s="20" t="inlineStr">
        <is>
          <t>고체향수</t>
        </is>
      </c>
      <c r="K7327" s="20" t="n">
        <v>126134</v>
      </c>
    </row>
    <row r="7328">
      <c r="A7328" s="20" t="inlineStr">
        <is>
          <t>디스커버리 배너_승무원,할인_리마케팅</t>
        </is>
      </c>
      <c r="B7328" s="16" t="n">
        <v>44311</v>
      </c>
      <c r="C7328" s="20" t="inlineStr">
        <is>
          <t>일</t>
        </is>
      </c>
      <c r="D7328" s="20" t="inlineStr">
        <is>
          <t>유튜브 광고</t>
        </is>
      </c>
      <c r="E7328" s="20" t="inlineStr">
        <is>
          <t>고체향수</t>
        </is>
      </c>
      <c r="K7328" s="20" t="n">
        <v>434780</v>
      </c>
    </row>
    <row r="7329">
      <c r="A7329" s="20" t="inlineStr">
        <is>
          <t>동영상캠페인_승무원_써니스카이</t>
        </is>
      </c>
      <c r="B7329" s="16" t="n">
        <v>44311</v>
      </c>
      <c r="C7329" s="20" t="inlineStr">
        <is>
          <t>일</t>
        </is>
      </c>
      <c r="D7329" s="20" t="inlineStr">
        <is>
          <t>유튜브 광고</t>
        </is>
      </c>
      <c r="E7329" s="20" t="inlineStr">
        <is>
          <t>고체향수</t>
        </is>
      </c>
      <c r="K7329" s="20" t="n">
        <v>200179</v>
      </c>
    </row>
    <row r="7330">
      <c r="A7330" s="20" t="inlineStr">
        <is>
          <t>동영상캠페인_필라테스_자기관리(타겟 cpa)</t>
        </is>
      </c>
      <c r="B7330" s="16" t="n">
        <v>44311</v>
      </c>
      <c r="C7330" s="20" t="inlineStr">
        <is>
          <t>일</t>
        </is>
      </c>
      <c r="D7330" s="20" t="inlineStr">
        <is>
          <t>유튜브 광고</t>
        </is>
      </c>
      <c r="E7330" s="20" t="inlineStr">
        <is>
          <t>고체향수</t>
        </is>
      </c>
      <c r="K7330" s="20" t="n">
        <v>23186</v>
      </c>
    </row>
    <row r="7331">
      <c r="A7331" s="20" t="inlineStr">
        <is>
          <t>동영상캠페인_유즈모먼트_조향사 친구(cpa)</t>
        </is>
      </c>
      <c r="B7331" s="16" t="n">
        <v>44311</v>
      </c>
      <c r="C7331" s="20" t="inlineStr">
        <is>
          <t>일</t>
        </is>
      </c>
      <c r="D7331" s="20" t="inlineStr">
        <is>
          <t>유튜브 광고</t>
        </is>
      </c>
      <c r="E7331" s="20" t="inlineStr">
        <is>
          <t>고체향수</t>
        </is>
      </c>
      <c r="K7331" s="20" t="n">
        <v>5737</v>
      </c>
    </row>
    <row r="7332">
      <c r="A7332" s="20" t="inlineStr">
        <is>
          <t>동영상 캠페인_유튜버 수지큐 2차활용_리마케팅</t>
        </is>
      </c>
      <c r="B7332" s="16" t="n">
        <v>44311</v>
      </c>
      <c r="C7332" s="20" t="inlineStr">
        <is>
          <t>일</t>
        </is>
      </c>
      <c r="D7332" s="20" t="inlineStr">
        <is>
          <t>유튜브 광고</t>
        </is>
      </c>
      <c r="E7332" s="20" t="inlineStr">
        <is>
          <t>고체향수</t>
        </is>
      </c>
      <c r="K7332" s="20" t="n">
        <v>49839</v>
      </c>
    </row>
    <row r="7333">
      <c r="A7333" s="20" t="inlineStr">
        <is>
          <t>[5화자] 동영상 캠페인_벨라의 비행일기</t>
        </is>
      </c>
      <c r="B7333" s="16" t="n">
        <v>44311</v>
      </c>
      <c r="C7333" s="20" t="inlineStr">
        <is>
          <t>일</t>
        </is>
      </c>
      <c r="D7333" s="20" t="inlineStr">
        <is>
          <t>유튜브 광고</t>
        </is>
      </c>
      <c r="E7333" s="20" t="inlineStr">
        <is>
          <t>고체향수</t>
        </is>
      </c>
      <c r="K7333" s="20" t="n">
        <v>391844</v>
      </c>
    </row>
    <row r="7334">
      <c r="A7334" s="20" t="inlineStr">
        <is>
          <t>[5화자] 동영상 캠페인_비행하고 여행하는 은선씨</t>
        </is>
      </c>
      <c r="B7334" s="16" t="n">
        <v>44311</v>
      </c>
      <c r="C7334" s="20" t="inlineStr">
        <is>
          <t>일</t>
        </is>
      </c>
      <c r="D7334" s="20" t="inlineStr">
        <is>
          <t>유튜브 광고</t>
        </is>
      </c>
      <c r="E7334" s="20" t="inlineStr">
        <is>
          <t>고체향수</t>
        </is>
      </c>
      <c r="K7334" s="20" t="n">
        <v>390627</v>
      </c>
    </row>
    <row r="7335">
      <c r="A7335" s="20" t="inlineStr">
        <is>
          <t>[5화자 재편집] 승무원_벨라_면세점에서 천만원</t>
        </is>
      </c>
      <c r="B7335" s="16" t="n">
        <v>44311</v>
      </c>
      <c r="C7335" s="20" t="inlineStr">
        <is>
          <t>일</t>
        </is>
      </c>
      <c r="D7335" s="20" t="inlineStr">
        <is>
          <t>유튜브 광고</t>
        </is>
      </c>
      <c r="E7335" s="20" t="inlineStr">
        <is>
          <t>고체향수</t>
        </is>
      </c>
      <c r="K7335" s="20" t="n">
        <v>293611</v>
      </c>
    </row>
    <row r="7336">
      <c r="A7336" s="20" t="inlineStr">
        <is>
          <t>동영상캠페인_유즈모먼트_면세점뒤졌는데</t>
        </is>
      </c>
      <c r="B7336" s="16" t="n">
        <v>44311</v>
      </c>
      <c r="C7336" s="20" t="inlineStr">
        <is>
          <t>일</t>
        </is>
      </c>
      <c r="D7336" s="20" t="inlineStr">
        <is>
          <t>유튜브 광고</t>
        </is>
      </c>
      <c r="E7336" s="20" t="inlineStr">
        <is>
          <t>고체향수</t>
        </is>
      </c>
      <c r="K7336" s="20" t="n">
        <v>294241</v>
      </c>
    </row>
    <row r="7337">
      <c r="A7337" s="20" t="inlineStr">
        <is>
          <t>메인키워드</t>
        </is>
      </c>
      <c r="B7337" s="16" t="n">
        <v>44311</v>
      </c>
      <c r="C7337" s="20" t="inlineStr">
        <is>
          <t>일</t>
        </is>
      </c>
      <c r="D7337" s="20" t="inlineStr">
        <is>
          <t>네이버 쇼핑검색</t>
        </is>
      </c>
      <c r="E7337" s="20" t="inlineStr">
        <is>
          <t>고체향수</t>
        </is>
      </c>
      <c r="K7337" s="20" t="n">
        <v>23900</v>
      </c>
    </row>
    <row r="7338">
      <c r="A7338" s="20" t="inlineStr">
        <is>
          <t>세부키워드1</t>
        </is>
      </c>
      <c r="B7338" s="16" t="n">
        <v>44311</v>
      </c>
      <c r="C7338" s="20" t="inlineStr">
        <is>
          <t>일</t>
        </is>
      </c>
      <c r="D7338" s="20" t="inlineStr">
        <is>
          <t>네이버 쇼핑검색</t>
        </is>
      </c>
      <c r="E7338" s="20" t="inlineStr">
        <is>
          <t>고체향수</t>
        </is>
      </c>
      <c r="K7338" s="20" t="n">
        <v>0</v>
      </c>
    </row>
    <row r="7339">
      <c r="A7339" s="20" t="inlineStr">
        <is>
          <t>세부키워드3</t>
        </is>
      </c>
      <c r="B7339" s="16" t="n">
        <v>44311</v>
      </c>
      <c r="C7339" s="20" t="inlineStr">
        <is>
          <t>일</t>
        </is>
      </c>
      <c r="D7339" s="20" t="inlineStr">
        <is>
          <t>네이버 쇼핑검색</t>
        </is>
      </c>
      <c r="E7339" s="20" t="inlineStr">
        <is>
          <t>고체향수</t>
        </is>
      </c>
      <c r="K7339" s="20" t="n">
        <v>111350</v>
      </c>
    </row>
    <row r="7340">
      <c r="A7340" s="20" t="inlineStr">
        <is>
          <t>모바일 브검</t>
        </is>
      </c>
      <c r="B7340" s="16" t="n">
        <v>44311</v>
      </c>
      <c r="C7340" s="20" t="inlineStr">
        <is>
          <t>일</t>
        </is>
      </c>
      <c r="D7340" s="20" t="inlineStr">
        <is>
          <t>네이버 브랜드검색</t>
        </is>
      </c>
      <c r="E7340" s="20" t="inlineStr">
        <is>
          <t>브랜드</t>
        </is>
      </c>
      <c r="K7340" s="20" t="n">
        <v>88000</v>
      </c>
    </row>
    <row r="7341">
      <c r="A7341" s="20" t="inlineStr">
        <is>
          <t>PC 브랜드검색</t>
        </is>
      </c>
      <c r="B7341" s="16" t="n">
        <v>44311</v>
      </c>
      <c r="C7341" s="20" t="inlineStr">
        <is>
          <t>일</t>
        </is>
      </c>
      <c r="D7341" s="20" t="inlineStr">
        <is>
          <t>네이버 브랜드검색</t>
        </is>
      </c>
      <c r="E7341" s="20" t="inlineStr">
        <is>
          <t>브랜드</t>
        </is>
      </c>
      <c r="K7341" s="20" t="n">
        <v>16700</v>
      </c>
    </row>
    <row r="7342">
      <c r="A7342" s="20" t="inlineStr">
        <is>
          <t>메인키워드</t>
        </is>
      </c>
      <c r="B7342" s="16" t="n">
        <v>44310</v>
      </c>
      <c r="C7342" s="20" t="inlineStr">
        <is>
          <t>토</t>
        </is>
      </c>
      <c r="D7342" s="20" t="inlineStr">
        <is>
          <t>네이버 쇼핑검색</t>
        </is>
      </c>
      <c r="E7342" s="20" t="inlineStr">
        <is>
          <t>고체향수</t>
        </is>
      </c>
      <c r="K7342" s="20" t="n">
        <v>18690</v>
      </c>
    </row>
    <row r="7343">
      <c r="A7343" s="20" t="inlineStr">
        <is>
          <t>세부키워드1</t>
        </is>
      </c>
      <c r="B7343" s="16" t="n">
        <v>44310</v>
      </c>
      <c r="C7343" s="20" t="inlineStr">
        <is>
          <t>토</t>
        </is>
      </c>
      <c r="D7343" s="20" t="inlineStr">
        <is>
          <t>네이버 쇼핑검색</t>
        </is>
      </c>
      <c r="E7343" s="20" t="inlineStr">
        <is>
          <t>고체향수</t>
        </is>
      </c>
      <c r="K7343" s="20" t="n">
        <v>250</v>
      </c>
    </row>
    <row r="7344">
      <c r="A7344" s="20" t="inlineStr">
        <is>
          <t>세부키워드3</t>
        </is>
      </c>
      <c r="B7344" s="16" t="n">
        <v>44310</v>
      </c>
      <c r="C7344" s="20" t="inlineStr">
        <is>
          <t>토</t>
        </is>
      </c>
      <c r="D7344" s="20" t="inlineStr">
        <is>
          <t>네이버 쇼핑검색</t>
        </is>
      </c>
      <c r="E7344" s="20" t="inlineStr">
        <is>
          <t>고체향수</t>
        </is>
      </c>
      <c r="K7344" s="20" t="n">
        <v>113310</v>
      </c>
    </row>
    <row r="7345">
      <c r="A7345" s="20" t="inlineStr">
        <is>
          <t>모바일 브검</t>
        </is>
      </c>
      <c r="B7345" s="16" t="n">
        <v>44310</v>
      </c>
      <c r="C7345" s="20" t="inlineStr">
        <is>
          <t>토</t>
        </is>
      </c>
      <c r="D7345" s="20" t="inlineStr">
        <is>
          <t>네이버 브랜드검색</t>
        </is>
      </c>
      <c r="E7345" s="20" t="inlineStr">
        <is>
          <t>브랜드</t>
        </is>
      </c>
      <c r="K7345" s="20" t="n">
        <v>88000</v>
      </c>
    </row>
    <row r="7346">
      <c r="A7346" s="20" t="inlineStr">
        <is>
          <t>PC 브랜드검색</t>
        </is>
      </c>
      <c r="B7346" s="16" t="n">
        <v>44310</v>
      </c>
      <c r="C7346" s="20" t="inlineStr">
        <is>
          <t>토</t>
        </is>
      </c>
      <c r="D7346" s="20" t="inlineStr">
        <is>
          <t>네이버 브랜드검색</t>
        </is>
      </c>
      <c r="E7346" s="20" t="inlineStr">
        <is>
          <t>브랜드</t>
        </is>
      </c>
      <c r="K7346" s="20" t="n">
        <v>16700</v>
      </c>
    </row>
    <row r="7347">
      <c r="A7347" s="20" t="inlineStr">
        <is>
          <t>메인키워드</t>
        </is>
      </c>
      <c r="B7347" s="16" t="n">
        <v>44309</v>
      </c>
      <c r="C7347" s="20" t="inlineStr">
        <is>
          <t>금</t>
        </is>
      </c>
      <c r="D7347" s="20" t="inlineStr">
        <is>
          <t>네이버 쇼핑검색</t>
        </is>
      </c>
      <c r="E7347" s="20" t="inlineStr">
        <is>
          <t>고체향수</t>
        </is>
      </c>
      <c r="K7347" s="20" t="n">
        <v>17760</v>
      </c>
    </row>
    <row r="7348">
      <c r="A7348" s="20" t="inlineStr">
        <is>
          <t>세부키워드1</t>
        </is>
      </c>
      <c r="B7348" s="16" t="n">
        <v>44309</v>
      </c>
      <c r="C7348" s="20" t="inlineStr">
        <is>
          <t>금</t>
        </is>
      </c>
      <c r="D7348" s="20" t="inlineStr">
        <is>
          <t>네이버 쇼핑검색</t>
        </is>
      </c>
      <c r="E7348" s="20" t="inlineStr">
        <is>
          <t>고체향수</t>
        </is>
      </c>
      <c r="K7348" s="20" t="n">
        <v>250</v>
      </c>
    </row>
    <row r="7349">
      <c r="A7349" s="20" t="inlineStr">
        <is>
          <t>세부키워드3</t>
        </is>
      </c>
      <c r="B7349" s="16" t="n">
        <v>44309</v>
      </c>
      <c r="C7349" s="20" t="inlineStr">
        <is>
          <t>금</t>
        </is>
      </c>
      <c r="D7349" s="20" t="inlineStr">
        <is>
          <t>네이버 쇼핑검색</t>
        </is>
      </c>
      <c r="E7349" s="20" t="inlineStr">
        <is>
          <t>고체향수</t>
        </is>
      </c>
      <c r="K7349" s="20" t="n">
        <v>118470</v>
      </c>
    </row>
    <row r="7350">
      <c r="A7350" s="20" t="inlineStr">
        <is>
          <t>모바일 브검</t>
        </is>
      </c>
      <c r="B7350" s="16" t="n">
        <v>44309</v>
      </c>
      <c r="C7350" s="20" t="inlineStr">
        <is>
          <t>금</t>
        </is>
      </c>
      <c r="D7350" s="20" t="inlineStr">
        <is>
          <t>네이버 브랜드검색</t>
        </is>
      </c>
      <c r="E7350" s="20" t="inlineStr">
        <is>
          <t>브랜드</t>
        </is>
      </c>
      <c r="K7350" s="20" t="n">
        <v>88000</v>
      </c>
    </row>
    <row r="7351">
      <c r="A7351" s="20" t="inlineStr">
        <is>
          <t>PC 브랜드검색</t>
        </is>
      </c>
      <c r="B7351" s="16" t="n">
        <v>44309</v>
      </c>
      <c r="C7351" s="20" t="inlineStr">
        <is>
          <t>금</t>
        </is>
      </c>
      <c r="D7351" s="20" t="inlineStr">
        <is>
          <t>네이버 브랜드검색</t>
        </is>
      </c>
      <c r="E7351" s="20" t="inlineStr">
        <is>
          <t>브랜드</t>
        </is>
      </c>
      <c r="K7351" s="20" t="n">
        <v>16700</v>
      </c>
    </row>
    <row r="7352">
      <c r="A7352" s="20" t="inlineStr">
        <is>
          <t>고체향수_승무원 어피_Npay 추적</t>
        </is>
      </c>
      <c r="B7352" s="16" t="n">
        <v>44309</v>
      </c>
      <c r="C7352" s="20" t="inlineStr">
        <is>
          <t>금</t>
        </is>
      </c>
      <c r="D7352" s="20" t="inlineStr">
        <is>
          <t>카카오 배너</t>
        </is>
      </c>
      <c r="E7352" s="20" t="inlineStr">
        <is>
          <t>고체향수</t>
        </is>
      </c>
      <c r="K7352" s="20" t="n">
        <v>183410</v>
      </c>
    </row>
    <row r="7353">
      <c r="A7353" s="20" t="inlineStr">
        <is>
          <t>고체향수_Npay 추적</t>
        </is>
      </c>
      <c r="B7353" s="16" t="n">
        <v>44309</v>
      </c>
      <c r="C7353" s="20" t="inlineStr">
        <is>
          <t>금</t>
        </is>
      </c>
      <c r="D7353" s="20" t="inlineStr">
        <is>
          <t>카카오 배너</t>
        </is>
      </c>
      <c r="E7353" s="20" t="inlineStr">
        <is>
          <t>고체향수</t>
        </is>
      </c>
      <c r="K7353" s="20" t="n">
        <v>749889.9999999999</v>
      </c>
    </row>
    <row r="7354">
      <c r="A7354" s="20" t="inlineStr">
        <is>
          <t>고체향수_승무원 어피_Npay 추적</t>
        </is>
      </c>
      <c r="B7354" s="16" t="n">
        <v>44310</v>
      </c>
      <c r="C7354" s="20" t="inlineStr">
        <is>
          <t>토</t>
        </is>
      </c>
      <c r="D7354" s="20" t="inlineStr">
        <is>
          <t>카카오 배너</t>
        </is>
      </c>
      <c r="E7354" s="20" t="inlineStr">
        <is>
          <t>고체향수</t>
        </is>
      </c>
      <c r="K7354" s="20" t="n">
        <v>182160</v>
      </c>
    </row>
    <row r="7355">
      <c r="A7355" s="20" t="inlineStr">
        <is>
          <t>고체향수_Npay 추적</t>
        </is>
      </c>
      <c r="B7355" s="16" t="n">
        <v>44310</v>
      </c>
      <c r="C7355" s="20" t="inlineStr">
        <is>
          <t>토</t>
        </is>
      </c>
      <c r="D7355" s="20" t="inlineStr">
        <is>
          <t>카카오 배너</t>
        </is>
      </c>
      <c r="E7355" s="20" t="inlineStr">
        <is>
          <t>고체향수</t>
        </is>
      </c>
      <c r="K7355" s="20" t="n">
        <v>729409.9999999999</v>
      </c>
    </row>
    <row r="7356">
      <c r="A7356" s="20" t="inlineStr">
        <is>
          <t>고체향수_승무원 어피_Npay 추적</t>
        </is>
      </c>
      <c r="B7356" s="16" t="n">
        <v>44311</v>
      </c>
      <c r="C7356" s="20" t="inlineStr">
        <is>
          <t>일</t>
        </is>
      </c>
      <c r="D7356" s="20" t="inlineStr">
        <is>
          <t>카카오 배너</t>
        </is>
      </c>
      <c r="E7356" s="20" t="inlineStr">
        <is>
          <t>고체향수</t>
        </is>
      </c>
      <c r="K7356" s="20" t="n">
        <v>126230</v>
      </c>
    </row>
    <row r="7357">
      <c r="A7357" s="20" t="inlineStr">
        <is>
          <t>고체향수_Npay 추적</t>
        </is>
      </c>
      <c r="B7357" s="16" t="n">
        <v>44311</v>
      </c>
      <c r="C7357" s="20" t="inlineStr">
        <is>
          <t>일</t>
        </is>
      </c>
      <c r="D7357" s="20" t="inlineStr">
        <is>
          <t>카카오 배너</t>
        </is>
      </c>
      <c r="E7357" s="20" t="inlineStr">
        <is>
          <t>고체향수</t>
        </is>
      </c>
      <c r="K7357" s="20" t="n">
        <v>728219.9999999999</v>
      </c>
    </row>
    <row r="7358">
      <c r="B7358" s="16" t="n">
        <v>44309</v>
      </c>
      <c r="C7358" s="20" t="inlineStr">
        <is>
          <t>금</t>
        </is>
      </c>
      <c r="E7358" s="20" t="inlineStr">
        <is>
          <t>고체향수</t>
        </is>
      </c>
      <c r="F7358" s="20" t="inlineStr">
        <is>
          <t>W컨셉</t>
        </is>
      </c>
      <c r="G7358" s="20" t="inlineStr">
        <is>
          <t>솔리드퍼퓸 이그나이트/스테이포에버 30ml (2종 택1)&lt;옵션1&gt;002 STAY FOREVER</t>
        </is>
      </c>
      <c r="H7358" s="20" t="n">
        <v>5</v>
      </c>
      <c r="I7358" s="20" t="inlineStr">
        <is>
          <t>스테이포에버</t>
        </is>
      </c>
      <c r="J7358" s="20" t="inlineStr">
        <is>
          <t>210207</t>
        </is>
      </c>
      <c r="L7358" s="20" t="n">
        <v>170000</v>
      </c>
      <c r="M7358" s="20" t="n">
        <v>119000</v>
      </c>
      <c r="N7358" s="20" t="n">
        <v>12960</v>
      </c>
      <c r="O7358" s="20" t="inlineStr">
        <is>
          <t>W컨셉고체향수솔리드퍼퓸 이그나이트/스테이포에버 30ml (2종 택1)&lt;옵션1&gt;002 STAY FOREVER210207</t>
        </is>
      </c>
    </row>
    <row r="7359">
      <c r="B7359" s="16" t="n">
        <v>44309</v>
      </c>
      <c r="C7359" s="20" t="inlineStr">
        <is>
          <t>금</t>
        </is>
      </c>
      <c r="E7359" s="20" t="inlineStr">
        <is>
          <t>고체향수</t>
        </is>
      </c>
      <c r="F7359" s="20" t="inlineStr">
        <is>
          <t>W컨셉</t>
        </is>
      </c>
      <c r="G7359" s="20" t="inlineStr">
        <is>
          <t>솔리드퍼퓸 이그나이트/스테이포에버 30ml (2종 택1)&lt;옵션1&gt;IGNITE + STAY FOREVER</t>
        </is>
      </c>
      <c r="H7359" s="20" t="n">
        <v>1</v>
      </c>
      <c r="I7359" s="20" t="inlineStr">
        <is>
          <t>이그나이트 + 스테이포에버</t>
        </is>
      </c>
      <c r="J7359" s="20" t="inlineStr">
        <is>
          <t>210207</t>
        </is>
      </c>
      <c r="L7359" s="20" t="n">
        <v>58800</v>
      </c>
      <c r="M7359" s="20" t="n">
        <v>47040</v>
      </c>
      <c r="N7359" s="20" t="n">
        <v>5345</v>
      </c>
      <c r="O7359" s="20" t="inlineStr">
        <is>
          <t>W컨셉고체향수솔리드퍼퓸 이그나이트/스테이포에버 30ml (2종 택1)&lt;옵션1&gt;IGNITE + STAY FOREVER210207</t>
        </is>
      </c>
    </row>
    <row r="7360">
      <c r="B7360" s="16" t="n">
        <v>44309</v>
      </c>
      <c r="C7360" s="20" t="inlineStr">
        <is>
          <t>금</t>
        </is>
      </c>
      <c r="E7360" s="20" t="inlineStr">
        <is>
          <t>고체향수</t>
        </is>
      </c>
      <c r="F7360" s="20" t="inlineStr">
        <is>
          <t>스마트스토어</t>
        </is>
      </c>
      <c r="G7360" s="20" t="inlineStr">
        <is>
          <t>유즈 고체향수 세트(유즈 스테이포에버, 유즈 이그나이트)고체향수: 스테이포에버 1개 + 이그나이트 1개</t>
        </is>
      </c>
      <c r="H7360" s="20" t="n">
        <v>1</v>
      </c>
      <c r="I7360" s="20" t="inlineStr">
        <is>
          <t>이그나이트 + 스테이포에버</t>
        </is>
      </c>
      <c r="J7360" s="20" t="inlineStr">
        <is>
          <t>210207</t>
        </is>
      </c>
      <c r="L7360" s="20" t="n">
        <v>58800</v>
      </c>
      <c r="M7360" s="20" t="n">
        <v>55360.2</v>
      </c>
      <c r="N7360" s="20" t="n">
        <v>5345</v>
      </c>
      <c r="O7360" s="20" t="inlineStr">
        <is>
          <t>스마트스토어고체향수유즈 고체향수 세트(유즈 스테이포에버, 유즈 이그나이트)고체향수: 스테이포에버 1개 + 이그나이트 1개210207</t>
        </is>
      </c>
    </row>
    <row r="7361">
      <c r="B7361" s="16" t="n">
        <v>44309</v>
      </c>
      <c r="C7361" s="20" t="inlineStr">
        <is>
          <t>금</t>
        </is>
      </c>
      <c r="E7361" s="20" t="inlineStr">
        <is>
          <t>고체향수</t>
        </is>
      </c>
      <c r="F7361" s="20" t="inlineStr">
        <is>
          <t>스마트스토어</t>
        </is>
      </c>
      <c r="G7361" s="20" t="inlineStr">
        <is>
          <t>유즈 고체향수 세트(유즈 스테이포에버, 유즈 이그나이트)고체향수: 스테이포에버 2개</t>
        </is>
      </c>
      <c r="H7361" s="20" t="n">
        <v>1</v>
      </c>
      <c r="I7361" s="20" t="inlineStr">
        <is>
          <t>스테이포에버 2set</t>
        </is>
      </c>
      <c r="J7361" s="20" t="inlineStr">
        <is>
          <t>210207</t>
        </is>
      </c>
      <c r="L7361" s="20" t="n">
        <v>58800</v>
      </c>
      <c r="M7361" s="20" t="n">
        <v>57624</v>
      </c>
      <c r="N7361" s="20" t="n">
        <v>5184</v>
      </c>
      <c r="O7361" s="20" t="inlineStr">
        <is>
          <t>스마트스토어고체향수유즈 고체향수 세트(유즈 스테이포에버, 유즈 이그나이트)고체향수: 스테이포에버 2개210207</t>
        </is>
      </c>
    </row>
    <row r="7362">
      <c r="B7362" s="16" t="n">
        <v>44309</v>
      </c>
      <c r="C7362" s="20" t="inlineStr">
        <is>
          <t>금</t>
        </is>
      </c>
      <c r="E7362" s="20" t="inlineStr">
        <is>
          <t>고체향수</t>
        </is>
      </c>
      <c r="F7362" s="20" t="inlineStr">
        <is>
          <t>스마트스토어</t>
        </is>
      </c>
      <c r="G7362" s="20" t="inlineStr">
        <is>
          <t>유즈 고체향수 스테이포에버 002고체향수: 스테이포에버 1개</t>
        </is>
      </c>
      <c r="H7362" s="20" t="n">
        <v>10</v>
      </c>
      <c r="I7362" s="20" t="inlineStr">
        <is>
          <t>스테이포에버</t>
        </is>
      </c>
      <c r="J7362" s="20" t="inlineStr">
        <is>
          <t>210207</t>
        </is>
      </c>
      <c r="L7362" s="20" t="n">
        <v>340000</v>
      </c>
      <c r="M7362" s="20" t="n">
        <v>333200</v>
      </c>
      <c r="N7362" s="20" t="n">
        <v>25920</v>
      </c>
      <c r="O7362" s="20" t="inlineStr">
        <is>
          <t>스마트스토어고체향수유즈 고체향수 스테이포에버 002고체향수: 스테이포에버 1개210207</t>
        </is>
      </c>
    </row>
    <row r="7363">
      <c r="B7363" s="16" t="n">
        <v>44309</v>
      </c>
      <c r="C7363" s="20" t="inlineStr">
        <is>
          <t>금</t>
        </is>
      </c>
      <c r="E7363" s="20" t="inlineStr">
        <is>
          <t>고체향수</t>
        </is>
      </c>
      <c r="F7363" s="20" t="inlineStr">
        <is>
          <t>카페24</t>
        </is>
      </c>
      <c r="G7363" s="20" t="inlineStr">
        <is>
          <t>솔리드퍼퓸 세트향=이그나이트 001 SOLID PERFUME, 세트 선택=1개</t>
        </is>
      </c>
      <c r="H7363" s="20" t="n">
        <v>1</v>
      </c>
      <c r="I7363" s="20" t="inlineStr">
        <is>
          <t>이그나이트</t>
        </is>
      </c>
      <c r="J7363" s="20" t="inlineStr">
        <is>
          <t>210207</t>
        </is>
      </c>
      <c r="L7363" s="20" t="n">
        <v>34000</v>
      </c>
      <c r="M7363" s="20" t="n">
        <v>32011</v>
      </c>
      <c r="N7363" s="20" t="n">
        <v>2753</v>
      </c>
      <c r="O7363" s="20" t="inlineStr">
        <is>
          <t>카페24고체향수솔리드퍼퓸 세트향=이그나이트 001 SOLID PERFUME, 세트 선택=1개210207</t>
        </is>
      </c>
    </row>
    <row r="7364">
      <c r="B7364" s="16" t="n">
        <v>44309</v>
      </c>
      <c r="C7364" s="20" t="inlineStr">
        <is>
          <t>금</t>
        </is>
      </c>
      <c r="E7364" s="20" t="inlineStr">
        <is>
          <t>고체향수</t>
        </is>
      </c>
      <c r="F7364" s="20" t="inlineStr">
        <is>
          <t>카페24</t>
        </is>
      </c>
      <c r="G7364" s="20" t="inlineStr">
        <is>
          <t>솔리드퍼퓸 세트향=스테이포에버 002 SOLID PERFUME, 세트 선택=1개</t>
        </is>
      </c>
      <c r="H7364" s="20" t="n">
        <v>1</v>
      </c>
      <c r="I7364" s="20" t="inlineStr">
        <is>
          <t>스테이포에버</t>
        </is>
      </c>
      <c r="J7364" s="20" t="inlineStr">
        <is>
          <t>210207</t>
        </is>
      </c>
      <c r="L7364" s="20" t="n">
        <v>34000</v>
      </c>
      <c r="M7364" s="20" t="n">
        <v>32011</v>
      </c>
      <c r="N7364" s="20" t="n">
        <v>2592</v>
      </c>
      <c r="O7364" s="20" t="inlineStr">
        <is>
          <t>카페24고체향수솔리드퍼퓸 세트향=스테이포에버 002 SOLID PERFUME, 세트 선택=1개210207</t>
        </is>
      </c>
    </row>
    <row r="7365">
      <c r="B7365" s="16" t="n">
        <v>44309</v>
      </c>
      <c r="C7365" s="20" t="inlineStr">
        <is>
          <t>금</t>
        </is>
      </c>
      <c r="E7365" s="20" t="inlineStr">
        <is>
          <t>고체향수</t>
        </is>
      </c>
      <c r="F7365" s="20" t="inlineStr">
        <is>
          <t>카페24</t>
        </is>
      </c>
      <c r="G7365" s="20" t="inlineStr">
        <is>
          <t>솔리드퍼퓸 세트향=스테이포에버 002 SOLID PERFUME, 세트 선택=best 2개 (28% 할인)</t>
        </is>
      </c>
      <c r="H7365" s="20" t="n">
        <v>7</v>
      </c>
      <c r="I7365" s="20" t="inlineStr">
        <is>
          <t>스테이포에버 2set</t>
        </is>
      </c>
      <c r="J7365" s="20" t="inlineStr">
        <is>
          <t>210207</t>
        </is>
      </c>
      <c r="L7365" s="20" t="n">
        <v>411600</v>
      </c>
      <c r="M7365" s="20" t="n">
        <v>387521.4</v>
      </c>
      <c r="N7365" s="20" t="n">
        <v>36288</v>
      </c>
      <c r="O7365" s="20" t="inlineStr">
        <is>
          <t>카페24고체향수솔리드퍼퓸 세트향=스테이포에버 002 SOLID PERFUME, 세트 선택=best 2개 (28% 할인)210207</t>
        </is>
      </c>
    </row>
    <row r="7366">
      <c r="B7366" s="16" t="n">
        <v>44309</v>
      </c>
      <c r="C7366" s="20" t="inlineStr">
        <is>
          <t>금</t>
        </is>
      </c>
      <c r="E7366" s="20" t="inlineStr">
        <is>
          <t>고체향수</t>
        </is>
      </c>
      <c r="F7366" s="20" t="inlineStr">
        <is>
          <t>카페24</t>
        </is>
      </c>
      <c r="G7366" s="20" t="inlineStr">
        <is>
          <t>솔리드퍼퓸 세트향=커플세트(이그나이트 + 스테이포에버), 세트 선택=1 SET</t>
        </is>
      </c>
      <c r="H7366" s="20" t="n">
        <v>9</v>
      </c>
      <c r="I7366" s="20" t="inlineStr">
        <is>
          <t>이그나이트 + 스테이포에버</t>
        </is>
      </c>
      <c r="J7366" s="20" t="inlineStr">
        <is>
          <t>210207</t>
        </is>
      </c>
      <c r="L7366" s="20" t="n">
        <v>529200</v>
      </c>
      <c r="M7366" s="20" t="n">
        <v>498241.8</v>
      </c>
      <c r="N7366" s="20" t="n">
        <v>48105</v>
      </c>
      <c r="O7366" s="20" t="inlineStr">
        <is>
          <t>카페24고체향수솔리드퍼퓸 세트향=커플세트(이그나이트 + 스테이포에버), 세트 선택=1 SET210207</t>
        </is>
      </c>
    </row>
    <row r="7367">
      <c r="B7367" s="16" t="n">
        <v>44309</v>
      </c>
      <c r="C7367" s="20" t="inlineStr">
        <is>
          <t>금</t>
        </is>
      </c>
      <c r="E7367" s="20" t="inlineStr">
        <is>
          <t>고체향수</t>
        </is>
      </c>
      <c r="F7367" s="20" t="inlineStr">
        <is>
          <t>카페24</t>
        </is>
      </c>
      <c r="G7367" s="20" t="inlineStr">
        <is>
          <t>솔리드퍼퓸 세트향=커플세트(이그나이트 + 스테이포에버), 세트 선택=2 SET (42% 할인)</t>
        </is>
      </c>
      <c r="H7367" s="20" t="n">
        <v>1</v>
      </c>
      <c r="I7367" s="20" t="inlineStr">
        <is>
          <t>이그나이트 + 스테이포에버</t>
        </is>
      </c>
      <c r="J7367" s="20" t="inlineStr">
        <is>
          <t>210207</t>
        </is>
      </c>
      <c r="L7367" s="20" t="n">
        <v>58800</v>
      </c>
      <c r="M7367" s="20" t="n">
        <v>55360.2</v>
      </c>
      <c r="N7367" s="20" t="n">
        <v>5345</v>
      </c>
      <c r="O7367" s="20" t="inlineStr">
        <is>
          <t>카페24고체향수솔리드퍼퓸 세트향=커플세트(이그나이트 + 스테이포에버), 세트 선택=2 SET (42% 할인)210207</t>
        </is>
      </c>
    </row>
    <row r="7368">
      <c r="B7368" s="16" t="n">
        <v>44309</v>
      </c>
      <c r="C7368" s="20" t="inlineStr">
        <is>
          <t>금</t>
        </is>
      </c>
      <c r="E7368" s="20" t="inlineStr">
        <is>
          <t>고체향수</t>
        </is>
      </c>
      <c r="F7368" s="20" t="inlineStr">
        <is>
          <t>카페24</t>
        </is>
      </c>
      <c r="G7368" s="20" t="inlineStr">
        <is>
          <t>솔리드퍼퓸 스테이포에버 002제품선택=스테이포에버 1개</t>
        </is>
      </c>
      <c r="H7368" s="20" t="n">
        <v>157</v>
      </c>
      <c r="I7368" s="20" t="inlineStr">
        <is>
          <t>스테이포에버</t>
        </is>
      </c>
      <c r="J7368" s="20" t="inlineStr">
        <is>
          <t>210207</t>
        </is>
      </c>
      <c r="L7368" s="20" t="n">
        <v>5338000</v>
      </c>
      <c r="M7368" s="20" t="n">
        <v>5025727</v>
      </c>
      <c r="N7368" s="20" t="n">
        <v>406944</v>
      </c>
      <c r="O7368" s="20" t="inlineStr">
        <is>
          <t>카페24고체향수솔리드퍼퓸 스테이포에버 002제품선택=스테이포에버 1개210207</t>
        </is>
      </c>
    </row>
    <row r="7369">
      <c r="B7369" s="16" t="n">
        <v>44309</v>
      </c>
      <c r="C7369" s="20" t="inlineStr">
        <is>
          <t>금</t>
        </is>
      </c>
      <c r="E7369" s="20" t="inlineStr">
        <is>
          <t>고체향수</t>
        </is>
      </c>
      <c r="F7369" s="20" t="inlineStr">
        <is>
          <t>카페24</t>
        </is>
      </c>
      <c r="G7369" s="20" t="inlineStr">
        <is>
          <t>솔리드퍼퓸 스테이포에버 002제품선택=best스테이포에버 2개[28% 할인]</t>
        </is>
      </c>
      <c r="H7369" s="20" t="n">
        <v>114</v>
      </c>
      <c r="I7369" s="20" t="inlineStr">
        <is>
          <t>스테이포에버 2set</t>
        </is>
      </c>
      <c r="J7369" s="20" t="inlineStr">
        <is>
          <t>210207</t>
        </is>
      </c>
      <c r="L7369" s="20" t="n">
        <v>6703200</v>
      </c>
      <c r="M7369" s="20" t="n">
        <v>6311062.8</v>
      </c>
      <c r="N7369" s="20" t="n">
        <v>590976</v>
      </c>
      <c r="O7369" s="20" t="inlineStr">
        <is>
          <t>카페24고체향수솔리드퍼퓸 스테이포에버 002제품선택=best스테이포에버 2개[28% 할인]210207</t>
        </is>
      </c>
    </row>
    <row r="7370">
      <c r="B7370" s="16" t="n">
        <v>44309</v>
      </c>
      <c r="C7370" s="20" t="inlineStr">
        <is>
          <t>금</t>
        </is>
      </c>
      <c r="E7370" s="20" t="inlineStr">
        <is>
          <t>고체향수</t>
        </is>
      </c>
      <c r="F7370" s="20" t="inlineStr">
        <is>
          <t>카페24</t>
        </is>
      </c>
      <c r="G7370" s="20" t="inlineStr">
        <is>
          <t>솔리드퍼퓸 스테이포에버 002제품선택=커플추천스테이포에버 + 이그나이트 세트</t>
        </is>
      </c>
      <c r="H7370" s="20" t="n">
        <v>6</v>
      </c>
      <c r="I7370" s="20" t="inlineStr">
        <is>
          <t>이그나이트 + 스테이포에버</t>
        </is>
      </c>
      <c r="J7370" s="20" t="inlineStr">
        <is>
          <t>210207</t>
        </is>
      </c>
      <c r="L7370" s="20" t="n">
        <v>352800</v>
      </c>
      <c r="M7370" s="20" t="n">
        <v>332161.2</v>
      </c>
      <c r="N7370" s="20" t="n">
        <v>32070</v>
      </c>
      <c r="O7370" s="20" t="inlineStr">
        <is>
          <t>카페24고체향수솔리드퍼퓸 스테이포에버 002제품선택=커플추천스테이포에버 + 이그나이트 세트210207</t>
        </is>
      </c>
    </row>
    <row r="7371">
      <c r="B7371" s="16" t="n">
        <v>44309</v>
      </c>
      <c r="C7371" s="20" t="inlineStr">
        <is>
          <t>금</t>
        </is>
      </c>
      <c r="E7371" s="20" t="inlineStr">
        <is>
          <t>쇼핑백</t>
        </is>
      </c>
      <c r="F7371" s="20" t="inlineStr">
        <is>
          <t>카페24</t>
        </is>
      </c>
      <c r="G7371" s="20" t="inlineStr">
        <is>
          <t>솔리드퍼퓸 스테이포에버 002쇼핑백=선물용 쇼핑백</t>
        </is>
      </c>
      <c r="H7371" s="20" t="n">
        <v>3</v>
      </c>
      <c r="I7371" s="20" t="inlineStr">
        <is>
          <t>쇼핑백</t>
        </is>
      </c>
      <c r="J7371" s="20" t="inlineStr">
        <is>
          <t>210207</t>
        </is>
      </c>
      <c r="L7371" s="20" t="n">
        <v>6000</v>
      </c>
      <c r="M7371" s="20" t="n">
        <v>5649</v>
      </c>
      <c r="N7371" s="20" t="n">
        <v>2490</v>
      </c>
      <c r="O7371" s="20" t="inlineStr">
        <is>
          <t>카페24쇼핑백솔리드퍼퓸 스테이포에버 002쇼핑백=선물용 쇼핑백210207</t>
        </is>
      </c>
    </row>
    <row r="7372">
      <c r="B7372" s="16" t="n">
        <v>44309</v>
      </c>
      <c r="C7372" s="20" t="inlineStr">
        <is>
          <t>금</t>
        </is>
      </c>
      <c r="E7372" s="20" t="inlineStr">
        <is>
          <t>고체향수</t>
        </is>
      </c>
      <c r="F7372" s="20" t="inlineStr">
        <is>
          <t>카페24</t>
        </is>
      </c>
      <c r="G7372" s="20" t="inlineStr">
        <is>
          <t>솔리드퍼퓸 이그나이트 001제품선택=이그나이트 솔리드퍼퓸 - 30ml</t>
        </is>
      </c>
      <c r="H7372" s="20" t="n">
        <v>4</v>
      </c>
      <c r="I7372" s="20" t="inlineStr">
        <is>
          <t>이그나이트</t>
        </is>
      </c>
      <c r="J7372" s="20" t="inlineStr">
        <is>
          <t>210207</t>
        </is>
      </c>
      <c r="L7372" s="20" t="n">
        <v>136000</v>
      </c>
      <c r="M7372" s="20" t="n">
        <v>128044</v>
      </c>
      <c r="N7372" s="20" t="n">
        <v>11012</v>
      </c>
      <c r="O7372" s="20" t="inlineStr">
        <is>
          <t>카페24고체향수솔리드퍼퓸 이그나이트 001제품선택=이그나이트 솔리드퍼퓸 - 30ml210207</t>
        </is>
      </c>
    </row>
    <row r="7373">
      <c r="B7373" s="16" t="n">
        <v>44310</v>
      </c>
      <c r="C7373" s="20" t="inlineStr">
        <is>
          <t>토</t>
        </is>
      </c>
      <c r="E7373" s="20" t="inlineStr">
        <is>
          <t>고체향수</t>
        </is>
      </c>
      <c r="F7373" s="20" t="inlineStr">
        <is>
          <t>스마트스토어</t>
        </is>
      </c>
      <c r="G7373" s="20" t="inlineStr">
        <is>
          <t>유즈 고체향수 세트(유즈 스테이포에버, 유즈 이그나이트)고체향수: 스테이포에버 1개</t>
        </is>
      </c>
      <c r="H7373" s="20" t="n">
        <v>1</v>
      </c>
      <c r="I7373" s="20" t="inlineStr">
        <is>
          <t>스테이포에버</t>
        </is>
      </c>
      <c r="J7373" s="20" t="inlineStr">
        <is>
          <t>210207</t>
        </is>
      </c>
      <c r="L7373" s="20" t="n">
        <v>34000</v>
      </c>
      <c r="M7373" s="20" t="n">
        <v>33320</v>
      </c>
      <c r="N7373" s="20" t="n">
        <v>2592</v>
      </c>
      <c r="O7373" s="20" t="inlineStr">
        <is>
          <t>스마트스토어고체향수유즈 고체향수 세트(유즈 스테이포에버, 유즈 이그나이트)고체향수: 스테이포에버 1개210207</t>
        </is>
      </c>
    </row>
    <row r="7374">
      <c r="B7374" s="16" t="n">
        <v>44310</v>
      </c>
      <c r="C7374" s="20" t="inlineStr">
        <is>
          <t>토</t>
        </is>
      </c>
      <c r="E7374" s="20" t="inlineStr">
        <is>
          <t>고체향수</t>
        </is>
      </c>
      <c r="F7374" s="20" t="inlineStr">
        <is>
          <t>스마트스토어</t>
        </is>
      </c>
      <c r="G7374" s="20" t="inlineStr">
        <is>
          <t>유즈 고체향수 세트(유즈 스테이포에버, 유즈 이그나이트)고체향수: 스테이포에버 1개 + 이그나이트 1개</t>
        </is>
      </c>
      <c r="H7374" s="20" t="n">
        <v>2</v>
      </c>
      <c r="I7374" s="20" t="inlineStr">
        <is>
          <t>이그나이트 + 스테이포에버</t>
        </is>
      </c>
      <c r="J7374" s="20" t="inlineStr">
        <is>
          <t>210207</t>
        </is>
      </c>
      <c r="L7374" s="20" t="n">
        <v>117600</v>
      </c>
      <c r="M7374" s="20" t="n">
        <v>110720.4</v>
      </c>
      <c r="N7374" s="20" t="n">
        <v>10690</v>
      </c>
      <c r="O7374" s="20" t="inlineStr">
        <is>
          <t>스마트스토어고체향수유즈 고체향수 세트(유즈 스테이포에버, 유즈 이그나이트)고체향수: 스테이포에버 1개 + 이그나이트 1개210207</t>
        </is>
      </c>
    </row>
    <row r="7375">
      <c r="B7375" s="16" t="n">
        <v>44310</v>
      </c>
      <c r="C7375" s="20" t="inlineStr">
        <is>
          <t>토</t>
        </is>
      </c>
      <c r="E7375" s="20" t="inlineStr">
        <is>
          <t>고체향수</t>
        </is>
      </c>
      <c r="F7375" s="20" t="inlineStr">
        <is>
          <t>스마트스토어</t>
        </is>
      </c>
      <c r="G7375" s="20" t="inlineStr">
        <is>
          <t>유즈 고체향수 세트(유즈 스테이포에버, 유즈 이그나이트)고체향수: 스테이포에버 2개</t>
        </is>
      </c>
      <c r="H7375" s="20" t="n">
        <v>1</v>
      </c>
      <c r="I7375" s="20" t="inlineStr">
        <is>
          <t>스테이포에버 2set</t>
        </is>
      </c>
      <c r="J7375" s="20" t="inlineStr">
        <is>
          <t>210207</t>
        </is>
      </c>
      <c r="L7375" s="20" t="n">
        <v>58800</v>
      </c>
      <c r="M7375" s="20" t="n">
        <v>57624</v>
      </c>
      <c r="N7375" s="20" t="n">
        <v>5184</v>
      </c>
      <c r="O7375" s="20" t="inlineStr">
        <is>
          <t>스마트스토어고체향수유즈 고체향수 세트(유즈 스테이포에버, 유즈 이그나이트)고체향수: 스테이포에버 2개210207</t>
        </is>
      </c>
    </row>
    <row r="7376">
      <c r="B7376" s="16" t="n">
        <v>44310</v>
      </c>
      <c r="C7376" s="20" t="inlineStr">
        <is>
          <t>토</t>
        </is>
      </c>
      <c r="E7376" s="20" t="inlineStr">
        <is>
          <t>고체향수</t>
        </is>
      </c>
      <c r="F7376" s="20" t="inlineStr">
        <is>
          <t>스마트스토어</t>
        </is>
      </c>
      <c r="G7376" s="20" t="inlineStr">
        <is>
          <t>유즈 고체향수 스테이포에버 002고체향수: 스테이포에버 1개</t>
        </is>
      </c>
      <c r="H7376" s="20" t="n">
        <v>13</v>
      </c>
      <c r="I7376" s="20" t="inlineStr">
        <is>
          <t>스테이포에버</t>
        </is>
      </c>
      <c r="J7376" s="20" t="inlineStr">
        <is>
          <t>210207</t>
        </is>
      </c>
      <c r="L7376" s="20" t="n">
        <v>442000</v>
      </c>
      <c r="M7376" s="20" t="n">
        <v>433160</v>
      </c>
      <c r="N7376" s="20" t="n">
        <v>33696</v>
      </c>
      <c r="O7376" s="20" t="inlineStr">
        <is>
          <t>스마트스토어고체향수유즈 고체향수 스테이포에버 002고체향수: 스테이포에버 1개210207</t>
        </is>
      </c>
    </row>
    <row r="7377">
      <c r="B7377" s="16" t="n">
        <v>44310</v>
      </c>
      <c r="C7377" s="20" t="inlineStr">
        <is>
          <t>토</t>
        </is>
      </c>
      <c r="E7377" s="20" t="inlineStr">
        <is>
          <t>고체향수</t>
        </is>
      </c>
      <c r="F7377" s="20" t="inlineStr">
        <is>
          <t>카페24</t>
        </is>
      </c>
      <c r="G7377" s="20" t="inlineStr">
        <is>
          <t>솔리드퍼퓸 세트향=이그나이트 001 SOLID PERFUME, 세트 선택=1개</t>
        </is>
      </c>
      <c r="H7377" s="20" t="n">
        <v>1</v>
      </c>
      <c r="I7377" s="20" t="inlineStr">
        <is>
          <t>이그나이트</t>
        </is>
      </c>
      <c r="J7377" s="20" t="inlineStr">
        <is>
          <t>210207</t>
        </is>
      </c>
      <c r="L7377" s="20" t="n">
        <v>34000</v>
      </c>
      <c r="M7377" s="20" t="n">
        <v>32011</v>
      </c>
      <c r="N7377" s="20" t="n">
        <v>2753</v>
      </c>
      <c r="O7377" s="20" t="inlineStr">
        <is>
          <t>카페24고체향수솔리드퍼퓸 세트향=이그나이트 001 SOLID PERFUME, 세트 선택=1개210207</t>
        </is>
      </c>
    </row>
    <row r="7378">
      <c r="B7378" s="16" t="n">
        <v>44310</v>
      </c>
      <c r="C7378" s="20" t="inlineStr">
        <is>
          <t>토</t>
        </is>
      </c>
      <c r="E7378" s="20" t="inlineStr">
        <is>
          <t>고체향수</t>
        </is>
      </c>
      <c r="F7378" s="20" t="inlineStr">
        <is>
          <t>카페24</t>
        </is>
      </c>
      <c r="G7378" s="20" t="inlineStr">
        <is>
          <t>솔리드퍼퓸 세트향=이그나이트 001 SOLID PERFUME, 세트 선택=best 2개 (28% 할인)</t>
        </is>
      </c>
      <c r="H7378" s="20" t="n">
        <v>2</v>
      </c>
      <c r="I7378" s="20" t="inlineStr">
        <is>
          <t>이그나이트 2set</t>
        </is>
      </c>
      <c r="J7378" s="20" t="inlineStr">
        <is>
          <t>210207</t>
        </is>
      </c>
      <c r="L7378" s="20" t="n">
        <v>117600</v>
      </c>
      <c r="M7378" s="20" t="n">
        <v>110720.4</v>
      </c>
      <c r="N7378" s="20" t="n">
        <v>11012</v>
      </c>
      <c r="O7378" s="20" t="inlineStr">
        <is>
          <t>카페24고체향수솔리드퍼퓸 세트향=이그나이트 001 SOLID PERFUME, 세트 선택=best 2개 (28% 할인)210207</t>
        </is>
      </c>
    </row>
    <row r="7379">
      <c r="B7379" s="16" t="n">
        <v>44310</v>
      </c>
      <c r="C7379" s="20" t="inlineStr">
        <is>
          <t>토</t>
        </is>
      </c>
      <c r="E7379" s="20" t="inlineStr">
        <is>
          <t>고체향수</t>
        </is>
      </c>
      <c r="F7379" s="20" t="inlineStr">
        <is>
          <t>카페24</t>
        </is>
      </c>
      <c r="G7379" s="20" t="inlineStr">
        <is>
          <t>솔리드퍼퓸 세트향=스테이포에버 002 SOLID PERFUME, 세트 선택=1개</t>
        </is>
      </c>
      <c r="H7379" s="20" t="n">
        <v>5</v>
      </c>
      <c r="I7379" s="20" t="inlineStr">
        <is>
          <t>스테이포에버</t>
        </is>
      </c>
      <c r="J7379" s="20" t="inlineStr">
        <is>
          <t>210207</t>
        </is>
      </c>
      <c r="L7379" s="20" t="n">
        <v>170000</v>
      </c>
      <c r="M7379" s="20" t="n">
        <v>160055</v>
      </c>
      <c r="N7379" s="20" t="n">
        <v>12960</v>
      </c>
      <c r="O7379" s="20" t="inlineStr">
        <is>
          <t>카페24고체향수솔리드퍼퓸 세트향=스테이포에버 002 SOLID PERFUME, 세트 선택=1개210207</t>
        </is>
      </c>
    </row>
    <row r="7380">
      <c r="B7380" s="16" t="n">
        <v>44310</v>
      </c>
      <c r="C7380" s="20" t="inlineStr">
        <is>
          <t>토</t>
        </is>
      </c>
      <c r="E7380" s="20" t="inlineStr">
        <is>
          <t>고체향수</t>
        </is>
      </c>
      <c r="F7380" s="20" t="inlineStr">
        <is>
          <t>카페24</t>
        </is>
      </c>
      <c r="G7380" s="20" t="inlineStr">
        <is>
          <t>솔리드퍼퓸 세트향=스테이포에버 002 SOLID PERFUME, 세트 선택=best 2개 (28% 할인)</t>
        </is>
      </c>
      <c r="H7380" s="20" t="n">
        <v>13</v>
      </c>
      <c r="I7380" s="20" t="inlineStr">
        <is>
          <t>스테이포에버 2set</t>
        </is>
      </c>
      <c r="J7380" s="20" t="inlineStr">
        <is>
          <t>210207</t>
        </is>
      </c>
      <c r="L7380" s="20" t="n">
        <v>764400</v>
      </c>
      <c r="M7380" s="20" t="n">
        <v>719682.6</v>
      </c>
      <c r="N7380" s="20" t="n">
        <v>67392</v>
      </c>
      <c r="O7380" s="20" t="inlineStr">
        <is>
          <t>카페24고체향수솔리드퍼퓸 세트향=스테이포에버 002 SOLID PERFUME, 세트 선택=best 2개 (28% 할인)210207</t>
        </is>
      </c>
    </row>
    <row r="7381">
      <c r="B7381" s="16" t="n">
        <v>44310</v>
      </c>
      <c r="C7381" s="20" t="inlineStr">
        <is>
          <t>토</t>
        </is>
      </c>
      <c r="E7381" s="20" t="inlineStr">
        <is>
          <t>고체향수</t>
        </is>
      </c>
      <c r="F7381" s="20" t="inlineStr">
        <is>
          <t>카페24</t>
        </is>
      </c>
      <c r="G7381" s="20" t="inlineStr">
        <is>
          <t>솔리드퍼퓸 세트향=커플세트(이그나이트 + 스테이포에버), 세트 선택=1 SET</t>
        </is>
      </c>
      <c r="H7381" s="20" t="n">
        <v>12</v>
      </c>
      <c r="I7381" s="20" t="inlineStr">
        <is>
          <t>이그나이트 + 스테이포에버</t>
        </is>
      </c>
      <c r="J7381" s="20" t="inlineStr">
        <is>
          <t>210207</t>
        </is>
      </c>
      <c r="L7381" s="20" t="n">
        <v>705600</v>
      </c>
      <c r="M7381" s="20" t="n">
        <v>664322.3999999999</v>
      </c>
      <c r="N7381" s="20" t="n">
        <v>64140</v>
      </c>
      <c r="O7381" s="20" t="inlineStr">
        <is>
          <t>카페24고체향수솔리드퍼퓸 세트향=커플세트(이그나이트 + 스테이포에버), 세트 선택=1 SET210207</t>
        </is>
      </c>
    </row>
    <row r="7382">
      <c r="B7382" s="16" t="n">
        <v>44310</v>
      </c>
      <c r="C7382" s="20" t="inlineStr">
        <is>
          <t>토</t>
        </is>
      </c>
      <c r="E7382" s="20" t="inlineStr">
        <is>
          <t>고체향수</t>
        </is>
      </c>
      <c r="F7382" s="20" t="inlineStr">
        <is>
          <t>카페24</t>
        </is>
      </c>
      <c r="G7382" s="20" t="inlineStr">
        <is>
          <t>솔리드퍼퓸 스테이포에버 002제품선택=스테이포에버 1개</t>
        </is>
      </c>
      <c r="H7382" s="20" t="n">
        <v>153</v>
      </c>
      <c r="I7382" s="20" t="inlineStr">
        <is>
          <t>스테이포에버</t>
        </is>
      </c>
      <c r="J7382" s="20" t="inlineStr">
        <is>
          <t>210207</t>
        </is>
      </c>
      <c r="L7382" s="20" t="n">
        <v>5202000</v>
      </c>
      <c r="M7382" s="20" t="n">
        <v>4897683</v>
      </c>
      <c r="N7382" s="20" t="n">
        <v>396576</v>
      </c>
      <c r="O7382" s="20" t="inlineStr">
        <is>
          <t>카페24고체향수솔리드퍼퓸 스테이포에버 002제품선택=스테이포에버 1개210207</t>
        </is>
      </c>
    </row>
    <row r="7383">
      <c r="B7383" s="16" t="n">
        <v>44310</v>
      </c>
      <c r="C7383" s="20" t="inlineStr">
        <is>
          <t>토</t>
        </is>
      </c>
      <c r="E7383" s="20" t="inlineStr">
        <is>
          <t>고체향수</t>
        </is>
      </c>
      <c r="F7383" s="20" t="inlineStr">
        <is>
          <t>카페24</t>
        </is>
      </c>
      <c r="G7383" s="20" t="inlineStr">
        <is>
          <t>솔리드퍼퓸 스테이포에버 002제품선택=best스테이포에버 2개[28% 할인]</t>
        </is>
      </c>
      <c r="H7383" s="20" t="n">
        <v>142</v>
      </c>
      <c r="I7383" s="20" t="inlineStr">
        <is>
          <t>스테이포에버 2set</t>
        </is>
      </c>
      <c r="J7383" s="20" t="inlineStr">
        <is>
          <t>210207</t>
        </is>
      </c>
      <c r="L7383" s="20" t="n">
        <v>8349600</v>
      </c>
      <c r="M7383" s="20" t="n">
        <v>7861148.399999999</v>
      </c>
      <c r="N7383" s="20" t="n">
        <v>736128</v>
      </c>
      <c r="O7383" s="20" t="inlineStr">
        <is>
          <t>카페24고체향수솔리드퍼퓸 스테이포에버 002제품선택=best스테이포에버 2개[28% 할인]210207</t>
        </is>
      </c>
    </row>
    <row r="7384">
      <c r="B7384" s="16" t="n">
        <v>44310</v>
      </c>
      <c r="C7384" s="20" t="inlineStr">
        <is>
          <t>토</t>
        </is>
      </c>
      <c r="E7384" s="20" t="inlineStr">
        <is>
          <t>고체향수</t>
        </is>
      </c>
      <c r="F7384" s="20" t="inlineStr">
        <is>
          <t>카페24</t>
        </is>
      </c>
      <c r="G7384" s="20" t="inlineStr">
        <is>
          <t>솔리드퍼퓸 스테이포에버 002제품선택=커플추천스테이포에버 + 이그나이트 세트</t>
        </is>
      </c>
      <c r="H7384" s="20" t="n">
        <v>18</v>
      </c>
      <c r="I7384" s="20" t="inlineStr">
        <is>
          <t>이그나이트 + 스테이포에버</t>
        </is>
      </c>
      <c r="J7384" s="20" t="inlineStr">
        <is>
          <t>210207</t>
        </is>
      </c>
      <c r="L7384" s="20" t="n">
        <v>1058400</v>
      </c>
      <c r="M7384" s="20" t="n">
        <v>996483.6</v>
      </c>
      <c r="N7384" s="20" t="n">
        <v>96210</v>
      </c>
      <c r="O7384" s="20" t="inlineStr">
        <is>
          <t>카페24고체향수솔리드퍼퓸 스테이포에버 002제품선택=커플추천스테이포에버 + 이그나이트 세트210207</t>
        </is>
      </c>
    </row>
    <row r="7385">
      <c r="B7385" s="16" t="n">
        <v>44310</v>
      </c>
      <c r="C7385" s="20" t="inlineStr">
        <is>
          <t>토</t>
        </is>
      </c>
      <c r="E7385" s="20" t="inlineStr">
        <is>
          <t>쇼핑백</t>
        </is>
      </c>
      <c r="F7385" s="20" t="inlineStr">
        <is>
          <t>카페24</t>
        </is>
      </c>
      <c r="G7385" s="20" t="inlineStr">
        <is>
          <t>솔리드퍼퓸 스테이포에버 002쇼핑백=선물용 쇼핑백</t>
        </is>
      </c>
      <c r="H7385" s="20" t="n">
        <v>5</v>
      </c>
      <c r="I7385" s="20" t="inlineStr">
        <is>
          <t>쇼핑백</t>
        </is>
      </c>
      <c r="J7385" s="20" t="inlineStr">
        <is>
          <t>210207</t>
        </is>
      </c>
      <c r="L7385" s="20" t="n">
        <v>10000</v>
      </c>
      <c r="M7385" s="20" t="n">
        <v>9415</v>
      </c>
      <c r="N7385" s="20" t="n">
        <v>4150</v>
      </c>
      <c r="O7385" s="20" t="inlineStr">
        <is>
          <t>카페24쇼핑백솔리드퍼퓸 스테이포에버 002쇼핑백=선물용 쇼핑백210207</t>
        </is>
      </c>
    </row>
    <row r="7386">
      <c r="B7386" s="16" t="n">
        <v>44310</v>
      </c>
      <c r="C7386" s="20" t="inlineStr">
        <is>
          <t>토</t>
        </is>
      </c>
      <c r="E7386" s="20" t="inlineStr">
        <is>
          <t>고체향수</t>
        </is>
      </c>
      <c r="F7386" s="20" t="inlineStr">
        <is>
          <t>카페24</t>
        </is>
      </c>
      <c r="G7386" s="20" t="inlineStr">
        <is>
          <t>솔리드퍼퓸 이그나이트 001제품선택=이그나이트 솔리드퍼퓸 - 30ml</t>
        </is>
      </c>
      <c r="H7386" s="20" t="n">
        <v>3</v>
      </c>
      <c r="I7386" s="20" t="inlineStr">
        <is>
          <t>이그나이트</t>
        </is>
      </c>
      <c r="J7386" s="20" t="inlineStr">
        <is>
          <t>210207</t>
        </is>
      </c>
      <c r="L7386" s="20" t="n">
        <v>102000</v>
      </c>
      <c r="M7386" s="20" t="n">
        <v>96033</v>
      </c>
      <c r="N7386" s="20" t="n">
        <v>8259</v>
      </c>
      <c r="O7386" s="20" t="inlineStr">
        <is>
          <t>카페24고체향수솔리드퍼퓸 이그나이트 001제품선택=이그나이트 솔리드퍼퓸 - 30ml210207</t>
        </is>
      </c>
    </row>
    <row r="7387">
      <c r="B7387" s="16" t="n">
        <v>44310</v>
      </c>
      <c r="C7387" s="20" t="inlineStr">
        <is>
          <t>토</t>
        </is>
      </c>
      <c r="E7387" s="20" t="inlineStr">
        <is>
          <t>고체향수</t>
        </is>
      </c>
      <c r="F7387" s="20" t="inlineStr">
        <is>
          <t>카페24</t>
        </is>
      </c>
      <c r="G7387" s="20" t="inlineStr">
        <is>
          <t>솔리드퍼퓸 이그나이트 001제품선택=이그나이트 2개 세트</t>
        </is>
      </c>
      <c r="H7387" s="20" t="n">
        <v>1</v>
      </c>
      <c r="I7387" s="20" t="inlineStr">
        <is>
          <t>이그나이트 2set</t>
        </is>
      </c>
      <c r="J7387" s="20" t="inlineStr">
        <is>
          <t>210207</t>
        </is>
      </c>
      <c r="L7387" s="20" t="n">
        <v>58800</v>
      </c>
      <c r="M7387" s="20" t="n">
        <v>55360.2</v>
      </c>
      <c r="N7387" s="20" t="n">
        <v>5506</v>
      </c>
      <c r="O7387" s="20" t="inlineStr">
        <is>
          <t>카페24고체향수솔리드퍼퓸 이그나이트 001제품선택=이그나이트 2개 세트210207</t>
        </is>
      </c>
    </row>
    <row r="7388">
      <c r="B7388" s="16" t="n">
        <v>44311</v>
      </c>
      <c r="C7388" s="20" t="inlineStr">
        <is>
          <t>일</t>
        </is>
      </c>
      <c r="E7388" s="20" t="inlineStr">
        <is>
          <t>고체향수</t>
        </is>
      </c>
      <c r="F7388" s="20" t="inlineStr">
        <is>
          <t>스마트스토어</t>
        </is>
      </c>
      <c r="G7388" s="20" t="inlineStr">
        <is>
          <t>유즈 고체향수 세트(유즈 스테이포에버, 유즈 이그나이트)고체향수: 스테이포에버 1개 + 이그나이트 1개</t>
        </is>
      </c>
      <c r="H7388" s="20" t="n">
        <v>2</v>
      </c>
      <c r="I7388" s="20" t="inlineStr">
        <is>
          <t>이그나이트 + 스테이포에버</t>
        </is>
      </c>
      <c r="J7388" s="20" t="inlineStr">
        <is>
          <t>210207</t>
        </is>
      </c>
      <c r="L7388" s="20" t="n">
        <v>117600</v>
      </c>
      <c r="M7388" s="20" t="n">
        <v>110720.4</v>
      </c>
      <c r="N7388" s="20" t="n">
        <v>10690</v>
      </c>
      <c r="O7388" s="20" t="inlineStr">
        <is>
          <t>스마트스토어고체향수유즈 고체향수 세트(유즈 스테이포에버, 유즈 이그나이트)고체향수: 스테이포에버 1개 + 이그나이트 1개210207</t>
        </is>
      </c>
    </row>
    <row r="7389">
      <c r="B7389" s="16" t="n">
        <v>44311</v>
      </c>
      <c r="C7389" s="20" t="inlineStr">
        <is>
          <t>일</t>
        </is>
      </c>
      <c r="E7389" s="20" t="inlineStr">
        <is>
          <t>고체향수</t>
        </is>
      </c>
      <c r="F7389" s="20" t="inlineStr">
        <is>
          <t>스마트스토어</t>
        </is>
      </c>
      <c r="G7389" s="20" t="inlineStr">
        <is>
          <t>유즈 고체향수 세트(유즈 스테이포에버, 유즈 이그나이트)고체향수: 스테이포에버 2개</t>
        </is>
      </c>
      <c r="H7389" s="20" t="n">
        <v>1</v>
      </c>
      <c r="I7389" s="20" t="inlineStr">
        <is>
          <t>스테이포에버 2set</t>
        </is>
      </c>
      <c r="J7389" s="20" t="inlineStr">
        <is>
          <t>210207</t>
        </is>
      </c>
      <c r="L7389" s="20" t="n">
        <v>58800</v>
      </c>
      <c r="M7389" s="20" t="n">
        <v>57624</v>
      </c>
      <c r="N7389" s="20" t="n">
        <v>5184</v>
      </c>
      <c r="O7389" s="20" t="inlineStr">
        <is>
          <t>스마트스토어고체향수유즈 고체향수 세트(유즈 스테이포에버, 유즈 이그나이트)고체향수: 스테이포에버 2개210207</t>
        </is>
      </c>
    </row>
    <row r="7390">
      <c r="B7390" s="16" t="n">
        <v>44311</v>
      </c>
      <c r="C7390" s="20" t="inlineStr">
        <is>
          <t>일</t>
        </is>
      </c>
      <c r="E7390" s="20" t="inlineStr">
        <is>
          <t>고체향수</t>
        </is>
      </c>
      <c r="F7390" s="20" t="inlineStr">
        <is>
          <t>스마트스토어</t>
        </is>
      </c>
      <c r="G7390" s="20" t="inlineStr">
        <is>
          <t>유즈 고체향수 스테이포에버 002고체향수: 스테이포에버 1개</t>
        </is>
      </c>
      <c r="H7390" s="20" t="n">
        <v>20</v>
      </c>
      <c r="I7390" s="20" t="inlineStr">
        <is>
          <t>스테이포에버</t>
        </is>
      </c>
      <c r="J7390" s="20" t="inlineStr">
        <is>
          <t>210207</t>
        </is>
      </c>
      <c r="L7390" s="20" t="n">
        <v>680000</v>
      </c>
      <c r="M7390" s="20" t="n">
        <v>666400</v>
      </c>
      <c r="N7390" s="20" t="n">
        <v>51840</v>
      </c>
      <c r="O7390" s="20" t="inlineStr">
        <is>
          <t>스마트스토어고체향수유즈 고체향수 스테이포에버 002고체향수: 스테이포에버 1개210207</t>
        </is>
      </c>
    </row>
    <row r="7391">
      <c r="B7391" s="16" t="n">
        <v>44311</v>
      </c>
      <c r="C7391" s="20" t="inlineStr">
        <is>
          <t>일</t>
        </is>
      </c>
      <c r="E7391" s="20" t="inlineStr">
        <is>
          <t>쇼핑백</t>
        </is>
      </c>
      <c r="F7391" s="20" t="inlineStr">
        <is>
          <t>카페24</t>
        </is>
      </c>
      <c r="G7391" s="20" t="inlineStr">
        <is>
          <t>선물용 쇼핑백</t>
        </is>
      </c>
      <c r="H7391" s="20" t="n">
        <v>1</v>
      </c>
      <c r="I7391" s="20" t="inlineStr">
        <is>
          <t>쇼핑백</t>
        </is>
      </c>
      <c r="J7391" s="20" t="inlineStr">
        <is>
          <t>210207</t>
        </is>
      </c>
      <c r="L7391" s="20" t="n">
        <v>2000</v>
      </c>
      <c r="M7391" s="20" t="n">
        <v>1883</v>
      </c>
      <c r="N7391" s="20" t="n">
        <v>830</v>
      </c>
      <c r="O7391" s="20" t="inlineStr">
        <is>
          <t>카페24쇼핑백선물용 쇼핑백210207</t>
        </is>
      </c>
    </row>
    <row r="7392">
      <c r="B7392" s="16" t="n">
        <v>44311</v>
      </c>
      <c r="C7392" s="20" t="inlineStr">
        <is>
          <t>일</t>
        </is>
      </c>
      <c r="E7392" s="20" t="inlineStr">
        <is>
          <t>고체향수</t>
        </is>
      </c>
      <c r="F7392" s="20" t="inlineStr">
        <is>
          <t>카페24</t>
        </is>
      </c>
      <c r="G7392" s="20" t="inlineStr">
        <is>
          <t>솔리드퍼퓸 세트향=스테이포에버 002 SOLID PERFUME, 세트 선택=1개</t>
        </is>
      </c>
      <c r="H7392" s="20" t="n">
        <v>6</v>
      </c>
      <c r="I7392" s="20" t="inlineStr">
        <is>
          <t>스테이포에버</t>
        </is>
      </c>
      <c r="J7392" s="20" t="inlineStr">
        <is>
          <t>210207</t>
        </is>
      </c>
      <c r="L7392" s="20" t="n">
        <v>204000</v>
      </c>
      <c r="M7392" s="20" t="n">
        <v>192066</v>
      </c>
      <c r="N7392" s="20" t="n">
        <v>15552</v>
      </c>
      <c r="O7392" s="20" t="inlineStr">
        <is>
          <t>카페24고체향수솔리드퍼퓸 세트향=스테이포에버 002 SOLID PERFUME, 세트 선택=1개210207</t>
        </is>
      </c>
    </row>
    <row r="7393">
      <c r="B7393" s="16" t="n">
        <v>44311</v>
      </c>
      <c r="C7393" s="20" t="inlineStr">
        <is>
          <t>일</t>
        </is>
      </c>
      <c r="E7393" s="20" t="inlineStr">
        <is>
          <t>고체향수</t>
        </is>
      </c>
      <c r="F7393" s="20" t="inlineStr">
        <is>
          <t>카페24</t>
        </is>
      </c>
      <c r="G7393" s="20" t="inlineStr">
        <is>
          <t>솔리드퍼퓸 세트향=스테이포에버 002 SOLID PERFUME, 세트 선택=best 2개 (28% 할인)</t>
        </is>
      </c>
      <c r="H7393" s="20" t="n">
        <v>10</v>
      </c>
      <c r="I7393" s="20" t="inlineStr">
        <is>
          <t>스테이포에버 2set</t>
        </is>
      </c>
      <c r="J7393" s="20" t="inlineStr">
        <is>
          <t>210207</t>
        </is>
      </c>
      <c r="L7393" s="20" t="n">
        <v>588000</v>
      </c>
      <c r="M7393" s="20" t="n">
        <v>553602</v>
      </c>
      <c r="N7393" s="20" t="n">
        <v>51840</v>
      </c>
      <c r="O7393" s="20" t="inlineStr">
        <is>
          <t>카페24고체향수솔리드퍼퓸 세트향=스테이포에버 002 SOLID PERFUME, 세트 선택=best 2개 (28% 할인)210207</t>
        </is>
      </c>
    </row>
    <row r="7394">
      <c r="B7394" s="16" t="n">
        <v>44311</v>
      </c>
      <c r="C7394" s="20" t="inlineStr">
        <is>
          <t>일</t>
        </is>
      </c>
      <c r="E7394" s="20" t="inlineStr">
        <is>
          <t>고체향수</t>
        </is>
      </c>
      <c r="F7394" s="20" t="inlineStr">
        <is>
          <t>카페24</t>
        </is>
      </c>
      <c r="G7394" s="20" t="inlineStr">
        <is>
          <t>솔리드퍼퓸 세트향=커플세트(이그나이트 + 스테이포에버), 세트 선택=1 SET</t>
        </is>
      </c>
      <c r="H7394" s="20" t="n">
        <v>17</v>
      </c>
      <c r="I7394" s="20" t="inlineStr">
        <is>
          <t>이그나이트 + 스테이포에버</t>
        </is>
      </c>
      <c r="J7394" s="20" t="inlineStr">
        <is>
          <t>210207</t>
        </is>
      </c>
      <c r="L7394" s="20" t="n">
        <v>999600</v>
      </c>
      <c r="M7394" s="20" t="n">
        <v>941123.3999999999</v>
      </c>
      <c r="N7394" s="20" t="n">
        <v>90865</v>
      </c>
      <c r="O7394" s="20" t="inlineStr">
        <is>
          <t>카페24고체향수솔리드퍼퓸 세트향=커플세트(이그나이트 + 스테이포에버), 세트 선택=1 SET210207</t>
        </is>
      </c>
    </row>
    <row r="7395">
      <c r="B7395" s="16" t="n">
        <v>44311</v>
      </c>
      <c r="C7395" s="20" t="inlineStr">
        <is>
          <t>일</t>
        </is>
      </c>
      <c r="E7395" s="20" t="inlineStr">
        <is>
          <t>고체향수</t>
        </is>
      </c>
      <c r="F7395" s="20" t="inlineStr">
        <is>
          <t>카페24</t>
        </is>
      </c>
      <c r="G7395" s="20" t="inlineStr">
        <is>
          <t>솔리드퍼퓸 세트향=커플세트(이그나이트 + 스테이포에버), 세트 선택=2 SET (42% 할인)</t>
        </is>
      </c>
      <c r="H7395" s="20" t="n">
        <v>6</v>
      </c>
      <c r="I7395" s="20" t="inlineStr">
        <is>
          <t>이그나이트 + 스테이포에버</t>
        </is>
      </c>
      <c r="J7395" s="20" t="inlineStr">
        <is>
          <t>210207</t>
        </is>
      </c>
      <c r="L7395" s="20" t="n">
        <v>352800</v>
      </c>
      <c r="M7395" s="20" t="n">
        <v>332161.2</v>
      </c>
      <c r="N7395" s="20" t="n">
        <v>32070</v>
      </c>
      <c r="O7395" s="20" t="inlineStr">
        <is>
          <t>카페24고체향수솔리드퍼퓸 세트향=커플세트(이그나이트 + 스테이포에버), 세트 선택=2 SET (42% 할인)210207</t>
        </is>
      </c>
    </row>
    <row r="7396">
      <c r="B7396" s="16" t="n">
        <v>44311</v>
      </c>
      <c r="C7396" s="20" t="inlineStr">
        <is>
          <t>일</t>
        </is>
      </c>
      <c r="E7396" s="20" t="inlineStr">
        <is>
          <t>고체향수</t>
        </is>
      </c>
      <c r="F7396" s="20" t="inlineStr">
        <is>
          <t>카페24</t>
        </is>
      </c>
      <c r="G7396" s="20" t="inlineStr">
        <is>
          <t>솔리드퍼퓸 스테이포에버 002제품선택=스테이포에버 1개</t>
        </is>
      </c>
      <c r="H7396" s="20" t="n">
        <v>200</v>
      </c>
      <c r="I7396" s="20" t="inlineStr">
        <is>
          <t>스테이포에버</t>
        </is>
      </c>
      <c r="J7396" s="20" t="inlineStr">
        <is>
          <t>210207</t>
        </is>
      </c>
      <c r="L7396" s="20" t="n">
        <v>6800000</v>
      </c>
      <c r="M7396" s="20" t="n">
        <v>6402200</v>
      </c>
      <c r="N7396" s="20" t="n">
        <v>518400</v>
      </c>
      <c r="O7396" s="20" t="inlineStr">
        <is>
          <t>카페24고체향수솔리드퍼퓸 스테이포에버 002제품선택=스테이포에버 1개210207</t>
        </is>
      </c>
    </row>
    <row r="7397">
      <c r="B7397" s="16" t="n">
        <v>44311</v>
      </c>
      <c r="C7397" s="20" t="inlineStr">
        <is>
          <t>일</t>
        </is>
      </c>
      <c r="E7397" s="20" t="inlineStr">
        <is>
          <t>고체향수</t>
        </is>
      </c>
      <c r="F7397" s="20" t="inlineStr">
        <is>
          <t>카페24</t>
        </is>
      </c>
      <c r="G7397" s="20" t="inlineStr">
        <is>
          <t>솔리드퍼퓸 스테이포에버 002제품선택=best스테이포에버 2개[28% 할인]</t>
        </is>
      </c>
      <c r="H7397" s="20" t="n">
        <v>148</v>
      </c>
      <c r="I7397" s="20" t="inlineStr">
        <is>
          <t>스테이포에버 2set</t>
        </is>
      </c>
      <c r="J7397" s="20" t="inlineStr">
        <is>
          <t>210207</t>
        </is>
      </c>
      <c r="L7397" s="20" t="n">
        <v>8702400</v>
      </c>
      <c r="M7397" s="20" t="n">
        <v>8193309.6</v>
      </c>
      <c r="N7397" s="20" t="n">
        <v>767232</v>
      </c>
      <c r="O7397" s="20" t="inlineStr">
        <is>
          <t>카페24고체향수솔리드퍼퓸 스테이포에버 002제품선택=best스테이포에버 2개[28% 할인]210207</t>
        </is>
      </c>
    </row>
    <row r="7398">
      <c r="B7398" s="16" t="n">
        <v>44311</v>
      </c>
      <c r="C7398" s="20" t="inlineStr">
        <is>
          <t>일</t>
        </is>
      </c>
      <c r="E7398" s="20" t="inlineStr">
        <is>
          <t>고체향수</t>
        </is>
      </c>
      <c r="F7398" s="20" t="inlineStr">
        <is>
          <t>카페24</t>
        </is>
      </c>
      <c r="G7398" s="20" t="inlineStr">
        <is>
          <t>솔리드퍼퓸 스테이포에버 002제품선택=커플추천스테이포에버 + 이그나이트 세트</t>
        </is>
      </c>
      <c r="H7398" s="20" t="n">
        <v>10</v>
      </c>
      <c r="I7398" s="20" t="inlineStr">
        <is>
          <t>이그나이트 + 스테이포에버</t>
        </is>
      </c>
      <c r="J7398" s="20" t="inlineStr">
        <is>
          <t>210207</t>
        </is>
      </c>
      <c r="L7398" s="20" t="n">
        <v>588000</v>
      </c>
      <c r="M7398" s="20" t="n">
        <v>553602</v>
      </c>
      <c r="N7398" s="20" t="n">
        <v>53450</v>
      </c>
      <c r="O7398" s="20" t="inlineStr">
        <is>
          <t>카페24고체향수솔리드퍼퓸 스테이포에버 002제품선택=커플추천스테이포에버 + 이그나이트 세트210207</t>
        </is>
      </c>
    </row>
    <row r="7399">
      <c r="B7399" s="16" t="n">
        <v>44311</v>
      </c>
      <c r="C7399" s="20" t="inlineStr">
        <is>
          <t>일</t>
        </is>
      </c>
      <c r="E7399" s="20" t="inlineStr">
        <is>
          <t>쇼핑백</t>
        </is>
      </c>
      <c r="F7399" s="20" t="inlineStr">
        <is>
          <t>카페24</t>
        </is>
      </c>
      <c r="G7399" s="20" t="inlineStr">
        <is>
          <t>솔리드퍼퓸 스테이포에버 002쇼핑백=선물용 쇼핑백</t>
        </is>
      </c>
      <c r="H7399" s="20" t="n">
        <v>9</v>
      </c>
      <c r="I7399" s="20" t="inlineStr">
        <is>
          <t>쇼핑백</t>
        </is>
      </c>
      <c r="J7399" s="20" t="inlineStr">
        <is>
          <t>210207</t>
        </is>
      </c>
      <c r="L7399" s="20" t="n">
        <v>18000</v>
      </c>
      <c r="M7399" s="20" t="n">
        <v>16947</v>
      </c>
      <c r="N7399" s="20" t="n">
        <v>7470</v>
      </c>
      <c r="O7399" s="20" t="inlineStr">
        <is>
          <t>카페24쇼핑백솔리드퍼퓸 스테이포에버 002쇼핑백=선물용 쇼핑백210207</t>
        </is>
      </c>
    </row>
    <row r="7400">
      <c r="B7400" s="16" t="n">
        <v>44311</v>
      </c>
      <c r="C7400" s="20" t="inlineStr">
        <is>
          <t>일</t>
        </is>
      </c>
      <c r="E7400" s="20" t="inlineStr">
        <is>
          <t>고체향수</t>
        </is>
      </c>
      <c r="F7400" s="20" t="inlineStr">
        <is>
          <t>카페24</t>
        </is>
      </c>
      <c r="G7400" s="20" t="inlineStr">
        <is>
          <t>솔리드퍼퓸 이그나이트 001제품선택=이그나이트 솔리드퍼퓸 - 30ml</t>
        </is>
      </c>
      <c r="H7400" s="20" t="n">
        <v>1</v>
      </c>
      <c r="I7400" s="20" t="inlineStr">
        <is>
          <t>이그나이트</t>
        </is>
      </c>
      <c r="J7400" s="20" t="inlineStr">
        <is>
          <t>210207</t>
        </is>
      </c>
      <c r="L7400" s="20" t="n">
        <v>34000</v>
      </c>
      <c r="M7400" s="20" t="n">
        <v>32011</v>
      </c>
      <c r="N7400" s="20" t="n">
        <v>2753</v>
      </c>
      <c r="O7400" s="20" t="inlineStr">
        <is>
          <t>카페24고체향수솔리드퍼퓸 이그나이트 001제품선택=이그나이트 솔리드퍼퓸 - 30ml210207</t>
        </is>
      </c>
    </row>
    <row r="7401">
      <c r="A7401" s="20" t="inlineStr">
        <is>
          <t>고체향수</t>
        </is>
      </c>
      <c r="B7401" s="16" t="n">
        <v>44309</v>
      </c>
      <c r="C7401" s="20" t="inlineStr">
        <is>
          <t>금</t>
        </is>
      </c>
      <c r="D7401" s="20" t="inlineStr">
        <is>
          <t>네이버 배너</t>
        </is>
      </c>
      <c r="E7401" s="20" t="inlineStr">
        <is>
          <t>고체향수</t>
        </is>
      </c>
      <c r="K7401" s="20" t="n">
        <v>874659.0909090908</v>
      </c>
    </row>
    <row r="7402">
      <c r="A7402" s="20" t="inlineStr">
        <is>
          <t>고체향수</t>
        </is>
      </c>
      <c r="B7402" s="16" t="n">
        <v>44310</v>
      </c>
      <c r="C7402" s="20" t="inlineStr">
        <is>
          <t>토</t>
        </is>
      </c>
      <c r="D7402" s="20" t="inlineStr">
        <is>
          <t>네이버 배너</t>
        </is>
      </c>
      <c r="E7402" s="20" t="inlineStr">
        <is>
          <t>고체향수</t>
        </is>
      </c>
      <c r="K7402" s="20" t="n">
        <v>729019.9999999999</v>
      </c>
    </row>
    <row r="7403">
      <c r="A7403" s="20" t="inlineStr">
        <is>
          <t>고체향수</t>
        </is>
      </c>
      <c r="B7403" s="16" t="n">
        <v>44311</v>
      </c>
      <c r="C7403" s="20" t="inlineStr">
        <is>
          <t>일</t>
        </is>
      </c>
      <c r="D7403" s="20" t="inlineStr">
        <is>
          <t>네이버 배너</t>
        </is>
      </c>
      <c r="E7403" s="20" t="inlineStr">
        <is>
          <t>고체향수</t>
        </is>
      </c>
      <c r="K7403" s="20" t="n">
        <v>846559.0909090908</v>
      </c>
    </row>
    <row r="7404">
      <c r="B7404" s="16" t="n">
        <v>44309</v>
      </c>
      <c r="C7404" s="20" t="inlineStr">
        <is>
          <t>금</t>
        </is>
      </c>
      <c r="D7404" s="20" t="inlineStr">
        <is>
          <t>네이버 배너(대행사)</t>
        </is>
      </c>
      <c r="E7404" s="20" t="inlineStr">
        <is>
          <t>고체향수</t>
        </is>
      </c>
      <c r="K7404" s="20">
        <f>411653/1.1</f>
        <v/>
      </c>
    </row>
    <row r="7405">
      <c r="B7405" s="16" t="n">
        <v>44310</v>
      </c>
      <c r="C7405" s="20" t="inlineStr">
        <is>
          <t>토</t>
        </is>
      </c>
      <c r="D7405" s="20" t="inlineStr">
        <is>
          <t>네이버 배너(대행사)</t>
        </is>
      </c>
      <c r="E7405" s="20" t="inlineStr">
        <is>
          <t>고체향수</t>
        </is>
      </c>
      <c r="K7405" s="20">
        <f>554618/1.1</f>
        <v/>
      </c>
    </row>
    <row r="7406">
      <c r="B7406" s="16" t="n">
        <v>44311</v>
      </c>
      <c r="C7406" s="20" t="inlineStr">
        <is>
          <t>일</t>
        </is>
      </c>
      <c r="D7406" s="20" t="inlineStr">
        <is>
          <t>네이버 배너(대행사)</t>
        </is>
      </c>
      <c r="E7406" s="20" t="inlineStr">
        <is>
          <t>고체향수</t>
        </is>
      </c>
      <c r="K7406" s="20">
        <f>565619/1.1</f>
        <v/>
      </c>
    </row>
    <row r="7407">
      <c r="B7407" s="16" t="n">
        <v>44309</v>
      </c>
      <c r="C7407" s="20" t="inlineStr">
        <is>
          <t>금</t>
        </is>
      </c>
      <c r="E7407" s="20">
        <f>INDEX(매칭테이블!C:C,MATCH(RD!G7407,매칭테이블!D:D,0))</f>
        <v/>
      </c>
      <c r="F7407" s="20" t="inlineStr">
        <is>
          <t>올리브영</t>
        </is>
      </c>
      <c r="G7407" s="20" t="inlineStr">
        <is>
          <t>유즈 솔리드퍼퓸 001 이그나이트 30ml 30600 온라인</t>
        </is>
      </c>
      <c r="H7407" s="20" t="n">
        <v>86</v>
      </c>
      <c r="I7407" s="20">
        <f>VLOOKUP(G7407,매칭테이블!D:E,2,0)</f>
        <v/>
      </c>
      <c r="J7407" s="20" t="inlineStr">
        <is>
          <t>210207</t>
        </is>
      </c>
      <c r="L7407" s="20">
        <f>VLOOKUP($O7407,매칭테이블!$G:$J,2,0)*H7407</f>
        <v/>
      </c>
      <c r="M7407" s="20">
        <f>L7407-L7407*VLOOKUP($O7407,매칭테이블!$G:$J,3,0)</f>
        <v/>
      </c>
      <c r="N7407" s="20">
        <f>VLOOKUP($O7407,매칭테이블!$G:$J,4,0)*H7407</f>
        <v/>
      </c>
      <c r="O7407" s="20">
        <f>F7407&amp;E7407&amp;G7407&amp;J7407</f>
        <v/>
      </c>
    </row>
    <row r="7408">
      <c r="B7408" s="16" t="n">
        <v>44309</v>
      </c>
      <c r="C7408" s="20" t="inlineStr">
        <is>
          <t>금</t>
        </is>
      </c>
      <c r="E7408" s="20">
        <f>INDEX(매칭테이블!C:C,MATCH(RD!G7408,매칭테이블!D:D,0))</f>
        <v/>
      </c>
      <c r="F7408" s="20" t="inlineStr">
        <is>
          <t>올리브영</t>
        </is>
      </c>
      <c r="G7408" s="20" t="inlineStr">
        <is>
          <t>유즈 솔리드퍼퓸 002 스테이포에버 30ml 30600 온라인</t>
        </is>
      </c>
      <c r="H7408" s="20" t="n">
        <v>4</v>
      </c>
      <c r="I7408" s="20">
        <f>VLOOKUP(G7408,매칭테이블!D:E,2,0)</f>
        <v/>
      </c>
      <c r="J7408" s="20" t="inlineStr">
        <is>
          <t>210207</t>
        </is>
      </c>
      <c r="L7408" s="20">
        <f>VLOOKUP($O7408,매칭테이블!$G:$J,2,0)*H7408</f>
        <v/>
      </c>
      <c r="M7408" s="20">
        <f>L7408-L7408*VLOOKUP($O7408,매칭테이블!$G:$J,3,0)</f>
        <v/>
      </c>
      <c r="N7408" s="20">
        <f>VLOOKUP($O7408,매칭테이블!$G:$J,4,0)*H7408</f>
        <v/>
      </c>
      <c r="O7408" s="20">
        <f>F7408&amp;E7408&amp;G7408&amp;J7408</f>
        <v/>
      </c>
    </row>
    <row r="7409">
      <c r="A7409" s="20" t="inlineStr">
        <is>
          <t>[승은 TEST] 스테이포에버</t>
        </is>
      </c>
      <c r="B7409" s="16" t="n">
        <v>44312</v>
      </c>
      <c r="C7409" s="20" t="inlineStr">
        <is>
          <t>월</t>
        </is>
      </c>
      <c r="D7409" s="20" t="inlineStr">
        <is>
          <t>페이스북/인스타그램</t>
        </is>
      </c>
      <c r="E7409" s="20" t="inlineStr">
        <is>
          <t>고체향수</t>
        </is>
      </c>
      <c r="K7409" s="20" t="n">
        <v>19235</v>
      </c>
    </row>
    <row r="7410">
      <c r="A7410" s="20" t="inlineStr">
        <is>
          <t>[수현 TEST] 솔리드퍼퓸_이미지</t>
        </is>
      </c>
      <c r="B7410" s="16" t="n">
        <v>44312</v>
      </c>
      <c r="C7410" s="20" t="inlineStr">
        <is>
          <t>월</t>
        </is>
      </c>
      <c r="D7410" s="20" t="inlineStr">
        <is>
          <t>페이스북/인스타그램</t>
        </is>
      </c>
      <c r="E7410" s="20" t="inlineStr">
        <is>
          <t>고체향수</t>
        </is>
      </c>
      <c r="K7410" s="20" t="n">
        <v>20253</v>
      </c>
    </row>
    <row r="7411">
      <c r="A7411" s="20" t="inlineStr">
        <is>
          <t>[비누향 인연] 스테이포에버_카드뉴스</t>
        </is>
      </c>
      <c r="B7411" s="16" t="n">
        <v>44312</v>
      </c>
      <c r="C7411" s="20" t="inlineStr">
        <is>
          <t>월</t>
        </is>
      </c>
      <c r="D7411" s="20" t="inlineStr">
        <is>
          <t>페이스북/인스타그램</t>
        </is>
      </c>
      <c r="E7411" s="20" t="inlineStr">
        <is>
          <t>고체향수</t>
        </is>
      </c>
      <c r="K7411" s="20" t="n">
        <v>91918</v>
      </c>
    </row>
    <row r="7412">
      <c r="A7412" s="20" t="inlineStr">
        <is>
          <t>[성민 TEST] 솔리드퍼퓸_이미지</t>
        </is>
      </c>
      <c r="B7412" s="16" t="n">
        <v>44312</v>
      </c>
      <c r="C7412" s="20" t="inlineStr">
        <is>
          <t>월</t>
        </is>
      </c>
      <c r="D7412" s="20" t="inlineStr">
        <is>
          <t>페이스북/인스타그램</t>
        </is>
      </c>
      <c r="E7412" s="20" t="inlineStr">
        <is>
          <t>고체향수</t>
        </is>
      </c>
      <c r="K7412" s="20" t="n">
        <v>78288</v>
      </c>
    </row>
    <row r="7413">
      <c r="A7413" s="20" t="inlineStr">
        <is>
          <t>[승무원]유튜브_스테이포에버_카드뉴스</t>
        </is>
      </c>
      <c r="B7413" s="16" t="n">
        <v>44312</v>
      </c>
      <c r="C7413" s="20" t="inlineStr">
        <is>
          <t>월</t>
        </is>
      </c>
      <c r="D7413" s="20" t="inlineStr">
        <is>
          <t>페이스북/인스타그램</t>
        </is>
      </c>
      <c r="E7413" s="20" t="inlineStr">
        <is>
          <t>고체향수</t>
        </is>
      </c>
      <c r="K7413" s="20" t="n">
        <v>30110</v>
      </c>
    </row>
    <row r="7414">
      <c r="A7414" s="20" t="inlineStr">
        <is>
          <t>[올리브영] 이그나이트_영상</t>
        </is>
      </c>
      <c r="B7414" s="16" t="n">
        <v>44312</v>
      </c>
      <c r="C7414" s="20" t="inlineStr">
        <is>
          <t>월</t>
        </is>
      </c>
      <c r="D7414" s="20" t="inlineStr">
        <is>
          <t>페이스북/인스타그램</t>
        </is>
      </c>
      <c r="E7414" s="20" t="inlineStr">
        <is>
          <t>고체향수</t>
        </is>
      </c>
      <c r="K7414" s="20" t="n">
        <v>30640</v>
      </c>
    </row>
    <row r="7415">
      <c r="A7415" s="20" t="inlineStr">
        <is>
          <t>[승희 TEST] 솔리드퍼퓸_이미지</t>
        </is>
      </c>
      <c r="B7415" s="16" t="n">
        <v>44312</v>
      </c>
      <c r="C7415" s="20" t="inlineStr">
        <is>
          <t>월</t>
        </is>
      </c>
      <c r="D7415" s="20" t="inlineStr">
        <is>
          <t>페이스북/인스타그램</t>
        </is>
      </c>
      <c r="E7415" s="20" t="inlineStr">
        <is>
          <t>고체향수</t>
        </is>
      </c>
      <c r="K7415" s="20" t="n">
        <v>121463</v>
      </c>
    </row>
    <row r="7416">
      <c r="A7416" s="20" t="inlineStr">
        <is>
          <t>[올리브영] 스테이포에버_영상</t>
        </is>
      </c>
      <c r="B7416" s="16" t="n">
        <v>44312</v>
      </c>
      <c r="C7416" s="20" t="inlineStr">
        <is>
          <t>월</t>
        </is>
      </c>
      <c r="D7416" s="20" t="inlineStr">
        <is>
          <t>페이스북/인스타그램</t>
        </is>
      </c>
      <c r="E7416" s="20" t="inlineStr">
        <is>
          <t>고체향수</t>
        </is>
      </c>
      <c r="K7416" s="20" t="n">
        <v>50394</v>
      </c>
    </row>
    <row r="7417">
      <c r="A7417" s="20" t="inlineStr">
        <is>
          <t>[올리브영] 스테이포에버_이미지</t>
        </is>
      </c>
      <c r="B7417" s="16" t="n">
        <v>44312</v>
      </c>
      <c r="C7417" s="20" t="inlineStr">
        <is>
          <t>월</t>
        </is>
      </c>
      <c r="D7417" s="20" t="inlineStr">
        <is>
          <t>페이스북/인스타그램</t>
        </is>
      </c>
      <c r="E7417" s="20" t="inlineStr">
        <is>
          <t>고체향수</t>
        </is>
      </c>
      <c r="K7417" s="20" t="n">
        <v>30224</v>
      </c>
    </row>
    <row r="7418">
      <c r="A7418" s="20" t="inlineStr">
        <is>
          <t>[승무원] 유튜브재편집_스테이포에버_영상</t>
        </is>
      </c>
      <c r="B7418" s="16" t="n">
        <v>44312</v>
      </c>
      <c r="C7418" s="20" t="inlineStr">
        <is>
          <t>월</t>
        </is>
      </c>
      <c r="D7418" s="20" t="inlineStr">
        <is>
          <t>페이스북/인스타그램</t>
        </is>
      </c>
      <c r="E7418" s="20" t="inlineStr">
        <is>
          <t>고체향수</t>
        </is>
      </c>
      <c r="K7418" s="20" t="n">
        <v>546833</v>
      </c>
    </row>
    <row r="7419">
      <c r="A7419" s="20" t="inlineStr">
        <is>
          <t>[다현 TEST] 스테이포에버_유즈모먼트</t>
        </is>
      </c>
      <c r="B7419" s="16" t="n">
        <v>44312</v>
      </c>
      <c r="C7419" s="20" t="inlineStr">
        <is>
          <t>월</t>
        </is>
      </c>
      <c r="D7419" s="20" t="inlineStr">
        <is>
          <t>페이스북/인스타그램</t>
        </is>
      </c>
      <c r="E7419" s="20" t="inlineStr">
        <is>
          <t>고체향수</t>
        </is>
      </c>
      <c r="K7419" s="20" t="n">
        <v>9502</v>
      </c>
    </row>
    <row r="7420">
      <c r="A7420" s="20" t="inlineStr">
        <is>
          <t>[승무원 면세점] 스테이포에버_카드뉴스</t>
        </is>
      </c>
      <c r="B7420" s="16" t="n">
        <v>44312</v>
      </c>
      <c r="C7420" s="20" t="inlineStr">
        <is>
          <t>월</t>
        </is>
      </c>
      <c r="D7420" s="20" t="inlineStr">
        <is>
          <t>페이스북/인스타그램</t>
        </is>
      </c>
      <c r="E7420" s="20" t="inlineStr">
        <is>
          <t>고체향수</t>
        </is>
      </c>
      <c r="K7420" s="20" t="n">
        <v>301080</v>
      </c>
    </row>
    <row r="7421">
      <c r="A7421" s="20" t="inlineStr">
        <is>
          <t>[카페알바] 스테이포에버_카드뉴스</t>
        </is>
      </c>
      <c r="B7421" s="16" t="n">
        <v>44312</v>
      </c>
      <c r="C7421" s="20" t="inlineStr">
        <is>
          <t>월</t>
        </is>
      </c>
      <c r="D7421" s="20" t="inlineStr">
        <is>
          <t>페이스북/인스타그램</t>
        </is>
      </c>
      <c r="E7421" s="20" t="inlineStr">
        <is>
          <t>고체향수</t>
        </is>
      </c>
      <c r="K7421" s="20" t="n">
        <v>150406</v>
      </c>
    </row>
    <row r="7422">
      <c r="A7422" s="20" t="inlineStr">
        <is>
          <t>[아줌마]스테이포에버_이미지</t>
        </is>
      </c>
      <c r="B7422" s="16" t="n">
        <v>44312</v>
      </c>
      <c r="C7422" s="20" t="inlineStr">
        <is>
          <t>월</t>
        </is>
      </c>
      <c r="D7422" s="20" t="inlineStr">
        <is>
          <t>페이스북/인스타그램</t>
        </is>
      </c>
      <c r="E7422" s="20" t="inlineStr">
        <is>
          <t>고체향수</t>
        </is>
      </c>
      <c r="K7422" s="20" t="n">
        <v>77711</v>
      </c>
    </row>
    <row r="7423">
      <c r="A7423" s="20" t="inlineStr">
        <is>
          <t>[다양한 키워드] 스테이포에버_이미지</t>
        </is>
      </c>
      <c r="B7423" s="16" t="n">
        <v>44312</v>
      </c>
      <c r="C7423" s="20" t="inlineStr">
        <is>
          <t>월</t>
        </is>
      </c>
      <c r="D7423" s="20" t="inlineStr">
        <is>
          <t>페이스북/인스타그램</t>
        </is>
      </c>
      <c r="E7423" s="20" t="inlineStr">
        <is>
          <t>고체향수</t>
        </is>
      </c>
      <c r="K7423" s="20" t="n">
        <v>205699</v>
      </c>
    </row>
    <row r="7424">
      <c r="A7424" s="20" t="inlineStr">
        <is>
          <t>[재입고]스테이포에버_이미지</t>
        </is>
      </c>
      <c r="B7424" s="16" t="n">
        <v>44312</v>
      </c>
      <c r="C7424" s="20" t="inlineStr">
        <is>
          <t>월</t>
        </is>
      </c>
      <c r="D7424" s="20" t="inlineStr">
        <is>
          <t>페이스북/인스타그램</t>
        </is>
      </c>
      <c r="E7424" s="20" t="inlineStr">
        <is>
          <t>고체향수</t>
        </is>
      </c>
      <c r="K7424" s="20" t="n">
        <v>33847</v>
      </c>
    </row>
    <row r="7425">
      <c r="A7425" s="20" t="inlineStr">
        <is>
          <t>[승무원]숏폼_영상</t>
        </is>
      </c>
      <c r="B7425" s="16" t="n">
        <v>44312</v>
      </c>
      <c r="C7425" s="20" t="inlineStr">
        <is>
          <t>월</t>
        </is>
      </c>
      <c r="D7425" s="20" t="inlineStr">
        <is>
          <t>페이스북/인스타그램</t>
        </is>
      </c>
      <c r="E7425" s="20" t="inlineStr">
        <is>
          <t>고체향수</t>
        </is>
      </c>
      <c r="K7425" s="20" t="n">
        <v>50610</v>
      </c>
    </row>
    <row r="7426">
      <c r="A7426" s="20" t="inlineStr">
        <is>
          <t>[재입고]스테이포에버_영상</t>
        </is>
      </c>
      <c r="B7426" s="16" t="n">
        <v>44312</v>
      </c>
      <c r="C7426" s="20" t="inlineStr">
        <is>
          <t>월</t>
        </is>
      </c>
      <c r="D7426" s="20" t="inlineStr">
        <is>
          <t>페이스북/인스타그램</t>
        </is>
      </c>
      <c r="E7426" s="20" t="inlineStr">
        <is>
          <t>고체향수</t>
        </is>
      </c>
      <c r="K7426" s="20" t="n">
        <v>201012</v>
      </c>
    </row>
    <row r="7427">
      <c r="A7427" s="20" t="inlineStr">
        <is>
          <t>[승무원]2019년썰 카드뉴스+ 향묘사_영상</t>
        </is>
      </c>
      <c r="B7427" s="16" t="n">
        <v>44312</v>
      </c>
      <c r="C7427" s="20" t="inlineStr">
        <is>
          <t>월</t>
        </is>
      </c>
      <c r="D7427" s="20" t="inlineStr">
        <is>
          <t>페이스북/인스타그램</t>
        </is>
      </c>
      <c r="E7427" s="20" t="inlineStr">
        <is>
          <t>고체향수</t>
        </is>
      </c>
      <c r="K7427" s="20" t="n">
        <v>40832</v>
      </c>
    </row>
    <row r="7428">
      <c r="A7428" s="20" t="inlineStr">
        <is>
          <t>[승무원어피]스테이포에버_이미지</t>
        </is>
      </c>
      <c r="B7428" s="16" t="n">
        <v>44312</v>
      </c>
      <c r="C7428" s="20" t="inlineStr">
        <is>
          <t>월</t>
        </is>
      </c>
      <c r="D7428" s="20" t="inlineStr">
        <is>
          <t>페이스북/인스타그램</t>
        </is>
      </c>
      <c r="E7428" s="20" t="inlineStr">
        <is>
          <t>고체향수</t>
        </is>
      </c>
      <c r="K7428" s="20" t="n">
        <v>85288</v>
      </c>
    </row>
    <row r="7429">
      <c r="A7429" s="20" t="inlineStr">
        <is>
          <t>[다현]스테이포에버_이미지</t>
        </is>
      </c>
      <c r="B7429" s="16" t="n">
        <v>44312</v>
      </c>
      <c r="C7429" s="20" t="inlineStr">
        <is>
          <t>월</t>
        </is>
      </c>
      <c r="D7429" s="20" t="inlineStr">
        <is>
          <t>페이스북/인스타그램</t>
        </is>
      </c>
      <c r="E7429" s="20" t="inlineStr">
        <is>
          <t>고체향수</t>
        </is>
      </c>
      <c r="K7429" s="20" t="n">
        <v>151815</v>
      </c>
    </row>
    <row r="7430">
      <c r="A7430" s="20" t="inlineStr">
        <is>
          <t>[승무원]스테이포에버_카드뉴스</t>
        </is>
      </c>
      <c r="B7430" s="16" t="n">
        <v>44312</v>
      </c>
      <c r="C7430" s="20" t="inlineStr">
        <is>
          <t>월</t>
        </is>
      </c>
      <c r="D7430" s="20" t="inlineStr">
        <is>
          <t>페이스북/인스타그램</t>
        </is>
      </c>
      <c r="E7430" s="20" t="inlineStr">
        <is>
          <t>고체향수</t>
        </is>
      </c>
      <c r="K7430" s="20" t="n">
        <v>30174</v>
      </c>
    </row>
    <row r="7431">
      <c r="A7431" s="20" t="inlineStr">
        <is>
          <t>[후기타입]스테이포에버_영상</t>
        </is>
      </c>
      <c r="B7431" s="16" t="n">
        <v>44312</v>
      </c>
      <c r="C7431" s="20" t="inlineStr">
        <is>
          <t>월</t>
        </is>
      </c>
      <c r="D7431" s="20" t="inlineStr">
        <is>
          <t>페이스북/인스타그램</t>
        </is>
      </c>
      <c r="E7431" s="20" t="inlineStr">
        <is>
          <t>고체향수</t>
        </is>
      </c>
      <c r="K7431" s="20" t="n">
        <v>150601</v>
      </c>
    </row>
    <row r="7432">
      <c r="A7432" s="20" t="inlineStr">
        <is>
          <t>전환_스테이포에버</t>
        </is>
      </c>
      <c r="B7432" s="16" t="n">
        <v>44312</v>
      </c>
      <c r="C7432" s="20" t="inlineStr">
        <is>
          <t>월</t>
        </is>
      </c>
      <c r="D7432" s="20" t="inlineStr">
        <is>
          <t>페이스북/인스타그램</t>
        </is>
      </c>
      <c r="E7432" s="20" t="inlineStr">
        <is>
          <t>고체향수</t>
        </is>
      </c>
      <c r="K7432" s="20" t="n">
        <v>84518</v>
      </c>
    </row>
    <row r="7433">
      <c r="A7433" s="20" t="inlineStr">
        <is>
          <t>[권태기커플]스테이포에버_영상</t>
        </is>
      </c>
      <c r="B7433" s="16" t="n">
        <v>44312</v>
      </c>
      <c r="C7433" s="20" t="inlineStr">
        <is>
          <t>월</t>
        </is>
      </c>
      <c r="D7433" s="20" t="inlineStr">
        <is>
          <t>페이스북/인스타그램</t>
        </is>
      </c>
      <c r="E7433" s="20" t="inlineStr">
        <is>
          <t>고체향수</t>
        </is>
      </c>
      <c r="K7433" s="20" t="n">
        <v>30270</v>
      </c>
    </row>
    <row r="7434">
      <c r="A7434" s="20" t="inlineStr">
        <is>
          <t>웹사이트 트래픽 서치</t>
        </is>
      </c>
      <c r="B7434" s="16" t="n">
        <v>44312</v>
      </c>
      <c r="C7434" s="20" t="inlineStr">
        <is>
          <t>월</t>
        </is>
      </c>
      <c r="D7434" s="20" t="inlineStr">
        <is>
          <t>유튜브 광고</t>
        </is>
      </c>
      <c r="E7434" s="20" t="inlineStr">
        <is>
          <t>고체향수</t>
        </is>
      </c>
      <c r="K7434" s="20" t="n">
        <v>29207</v>
      </c>
    </row>
    <row r="7435">
      <c r="A7435" s="20" t="inlineStr">
        <is>
          <t>동영상캠페인_승무원_보이는 라디오(cpa)</t>
        </is>
      </c>
      <c r="B7435" s="16" t="n">
        <v>44312</v>
      </c>
      <c r="C7435" s="20" t="inlineStr">
        <is>
          <t>월</t>
        </is>
      </c>
      <c r="D7435" s="20" t="inlineStr">
        <is>
          <t>유튜브 광고</t>
        </is>
      </c>
      <c r="E7435" s="20" t="inlineStr">
        <is>
          <t>고체향수</t>
        </is>
      </c>
      <c r="K7435" s="20" t="n">
        <v>69732</v>
      </c>
    </row>
    <row r="7436">
      <c r="A7436" s="20" t="inlineStr">
        <is>
          <t>디스커버리 배너_승무원,할인_리마케팅</t>
        </is>
      </c>
      <c r="B7436" s="16" t="n">
        <v>44312</v>
      </c>
      <c r="C7436" s="20" t="inlineStr">
        <is>
          <t>월</t>
        </is>
      </c>
      <c r="D7436" s="20" t="inlineStr">
        <is>
          <t>유튜브 광고</t>
        </is>
      </c>
      <c r="E7436" s="20" t="inlineStr">
        <is>
          <t>고체향수</t>
        </is>
      </c>
      <c r="K7436" s="20" t="n">
        <v>500610</v>
      </c>
    </row>
    <row r="7437">
      <c r="A7437" s="20" t="inlineStr">
        <is>
          <t>동영상캠페인_승무원_써니스카이</t>
        </is>
      </c>
      <c r="B7437" s="16" t="n">
        <v>44312</v>
      </c>
      <c r="C7437" s="20" t="inlineStr">
        <is>
          <t>월</t>
        </is>
      </c>
      <c r="D7437" s="20" t="inlineStr">
        <is>
          <t>유튜브 광고</t>
        </is>
      </c>
      <c r="E7437" s="20" t="inlineStr">
        <is>
          <t>고체향수</t>
        </is>
      </c>
      <c r="K7437" s="20" t="n">
        <v>125092</v>
      </c>
    </row>
    <row r="7438">
      <c r="A7438" s="20" t="inlineStr">
        <is>
          <t>동영상캠페인_필라테스_자기관리(타겟 cpa)</t>
        </is>
      </c>
      <c r="B7438" s="16" t="n">
        <v>44312</v>
      </c>
      <c r="C7438" s="20" t="inlineStr">
        <is>
          <t>월</t>
        </is>
      </c>
      <c r="D7438" s="20" t="inlineStr">
        <is>
          <t>유튜브 광고</t>
        </is>
      </c>
      <c r="E7438" s="20" t="inlineStr">
        <is>
          <t>고체향수</t>
        </is>
      </c>
      <c r="K7438" s="20" t="n">
        <v>8404</v>
      </c>
    </row>
    <row r="7439">
      <c r="A7439" s="20" t="inlineStr">
        <is>
          <t>동영상캠페인_유즈모먼트_조향사 친구(cpa)</t>
        </is>
      </c>
      <c r="B7439" s="16" t="n">
        <v>44312</v>
      </c>
      <c r="C7439" s="20" t="inlineStr">
        <is>
          <t>월</t>
        </is>
      </c>
      <c r="D7439" s="20" t="inlineStr">
        <is>
          <t>유튜브 광고</t>
        </is>
      </c>
      <c r="E7439" s="20" t="inlineStr">
        <is>
          <t>고체향수</t>
        </is>
      </c>
      <c r="K7439" s="20" t="n">
        <v>555</v>
      </c>
    </row>
    <row r="7440">
      <c r="A7440" s="20" t="inlineStr">
        <is>
          <t>동영상 캠페인_유튜버 수지큐 2차활용_리마케팅</t>
        </is>
      </c>
      <c r="B7440" s="16" t="n">
        <v>44312</v>
      </c>
      <c r="C7440" s="20" t="inlineStr">
        <is>
          <t>월</t>
        </is>
      </c>
      <c r="D7440" s="20" t="inlineStr">
        <is>
          <t>유튜브 광고</t>
        </is>
      </c>
      <c r="E7440" s="20" t="inlineStr">
        <is>
          <t>고체향수</t>
        </is>
      </c>
      <c r="K7440" s="20" t="n">
        <v>47293</v>
      </c>
    </row>
    <row r="7441">
      <c r="A7441" s="20" t="inlineStr">
        <is>
          <t>[5화자] 동영상 캠페인_벨라의 비행일기</t>
        </is>
      </c>
      <c r="B7441" s="16" t="n">
        <v>44312</v>
      </c>
      <c r="C7441" s="20" t="inlineStr">
        <is>
          <t>월</t>
        </is>
      </c>
      <c r="D7441" s="20" t="inlineStr">
        <is>
          <t>유튜브 광고</t>
        </is>
      </c>
      <c r="E7441" s="20" t="inlineStr">
        <is>
          <t>고체향수</t>
        </is>
      </c>
      <c r="K7441" s="20" t="n">
        <v>406367</v>
      </c>
    </row>
    <row r="7442">
      <c r="A7442" s="20" t="inlineStr">
        <is>
          <t>[5화자] 동영상 캠페인_비행하고 여행하는 은선씨</t>
        </is>
      </c>
      <c r="B7442" s="16" t="n">
        <v>44312</v>
      </c>
      <c r="C7442" s="20" t="inlineStr">
        <is>
          <t>월</t>
        </is>
      </c>
      <c r="D7442" s="20" t="inlineStr">
        <is>
          <t>유튜브 광고</t>
        </is>
      </c>
      <c r="E7442" s="20" t="inlineStr">
        <is>
          <t>고체향수</t>
        </is>
      </c>
      <c r="K7442" s="20" t="n">
        <v>406135</v>
      </c>
    </row>
    <row r="7443">
      <c r="A7443" s="20" t="inlineStr">
        <is>
          <t>[5화자 재편집] 승무원_벨라_면세점에서 천만원</t>
        </is>
      </c>
      <c r="B7443" s="16" t="n">
        <v>44312</v>
      </c>
      <c r="C7443" s="20" t="inlineStr">
        <is>
          <t>월</t>
        </is>
      </c>
      <c r="D7443" s="20" t="inlineStr">
        <is>
          <t>유튜브 광고</t>
        </is>
      </c>
      <c r="E7443" s="20" t="inlineStr">
        <is>
          <t>고체향수</t>
        </is>
      </c>
      <c r="K7443" s="20" t="n">
        <v>304424</v>
      </c>
    </row>
    <row r="7444">
      <c r="A7444" s="20" t="inlineStr">
        <is>
          <t>동영상캠페인_유즈모먼트_면세점뒤졌는데</t>
        </is>
      </c>
      <c r="B7444" s="16" t="n">
        <v>44312</v>
      </c>
      <c r="C7444" s="20" t="inlineStr">
        <is>
          <t>월</t>
        </is>
      </c>
      <c r="D7444" s="20" t="inlineStr">
        <is>
          <t>유튜브 광고</t>
        </is>
      </c>
      <c r="E7444" s="20" t="inlineStr">
        <is>
          <t>고체향수</t>
        </is>
      </c>
      <c r="K7444" s="20" t="n">
        <v>305909</v>
      </c>
    </row>
    <row r="7445">
      <c r="A7445" s="20" t="inlineStr">
        <is>
          <t>메인키워드</t>
        </is>
      </c>
      <c r="B7445" s="16" t="n">
        <v>44312</v>
      </c>
      <c r="C7445" s="20" t="inlineStr">
        <is>
          <t>월</t>
        </is>
      </c>
      <c r="D7445" s="20" t="inlineStr">
        <is>
          <t>네이버 쇼핑검색</t>
        </is>
      </c>
      <c r="E7445" s="20" t="inlineStr">
        <is>
          <t>고체향수</t>
        </is>
      </c>
      <c r="K7445" s="20" t="n">
        <v>25320</v>
      </c>
    </row>
    <row r="7446">
      <c r="A7446" s="20" t="inlineStr">
        <is>
          <t>세부키워드1</t>
        </is>
      </c>
      <c r="B7446" s="16" t="n">
        <v>44312</v>
      </c>
      <c r="C7446" s="20" t="inlineStr">
        <is>
          <t>월</t>
        </is>
      </c>
      <c r="D7446" s="20" t="inlineStr">
        <is>
          <t>네이버 쇼핑검색</t>
        </is>
      </c>
      <c r="E7446" s="20" t="inlineStr">
        <is>
          <t>고체향수</t>
        </is>
      </c>
      <c r="K7446" s="20" t="n">
        <v>0</v>
      </c>
    </row>
    <row r="7447">
      <c r="A7447" s="20" t="inlineStr">
        <is>
          <t>세부키워드3</t>
        </is>
      </c>
      <c r="B7447" s="16" t="n">
        <v>44312</v>
      </c>
      <c r="C7447" s="20" t="inlineStr">
        <is>
          <t>월</t>
        </is>
      </c>
      <c r="D7447" s="20" t="inlineStr">
        <is>
          <t>네이버 쇼핑검색</t>
        </is>
      </c>
      <c r="E7447" s="20" t="inlineStr">
        <is>
          <t>고체향수</t>
        </is>
      </c>
      <c r="K7447" s="20" t="n">
        <v>94759.99999999999</v>
      </c>
    </row>
    <row r="7448">
      <c r="A7448" s="20" t="inlineStr">
        <is>
          <t>모바일 브검</t>
        </is>
      </c>
      <c r="B7448" s="16" t="n">
        <v>44312</v>
      </c>
      <c r="C7448" s="20" t="inlineStr">
        <is>
          <t>월</t>
        </is>
      </c>
      <c r="D7448" s="20" t="inlineStr">
        <is>
          <t>네이버 브랜드검색</t>
        </is>
      </c>
      <c r="E7448" s="20" t="inlineStr">
        <is>
          <t>브랜드</t>
        </is>
      </c>
      <c r="K7448" s="20" t="n">
        <v>88000</v>
      </c>
    </row>
    <row r="7449">
      <c r="A7449" s="20" t="inlineStr">
        <is>
          <t>PC 브랜드검색</t>
        </is>
      </c>
      <c r="B7449" s="16" t="n">
        <v>44312</v>
      </c>
      <c r="C7449" s="20" t="inlineStr">
        <is>
          <t>월</t>
        </is>
      </c>
      <c r="D7449" s="20" t="inlineStr">
        <is>
          <t>네이버 브랜드검색</t>
        </is>
      </c>
      <c r="E7449" s="20" t="inlineStr">
        <is>
          <t>브랜드</t>
        </is>
      </c>
      <c r="K7449" s="20" t="n">
        <v>16700</v>
      </c>
    </row>
    <row r="7450">
      <c r="A7450" s="20" t="inlineStr">
        <is>
          <t>고체향수_승무원 어피_Npay 추적</t>
        </is>
      </c>
      <c r="B7450" s="16" t="n">
        <v>44312</v>
      </c>
      <c r="C7450" s="20" t="inlineStr">
        <is>
          <t>월</t>
        </is>
      </c>
      <c r="D7450" s="20" t="inlineStr">
        <is>
          <t>카카오 배너</t>
        </is>
      </c>
      <c r="E7450" s="20" t="inlineStr">
        <is>
          <t>고체향수</t>
        </is>
      </c>
      <c r="K7450" s="20" t="n">
        <v>91349.99999999999</v>
      </c>
    </row>
    <row r="7451">
      <c r="A7451" s="20" t="inlineStr">
        <is>
          <t>고체향수_Npay 추적</t>
        </is>
      </c>
      <c r="B7451" s="16" t="n">
        <v>44312</v>
      </c>
      <c r="C7451" s="20" t="inlineStr">
        <is>
          <t>월</t>
        </is>
      </c>
      <c r="D7451" s="20" t="inlineStr">
        <is>
          <t>카카오 배너</t>
        </is>
      </c>
      <c r="E7451" s="20" t="inlineStr">
        <is>
          <t>고체향수</t>
        </is>
      </c>
      <c r="K7451" s="20" t="n">
        <v>661150</v>
      </c>
    </row>
    <row r="7452">
      <c r="B7452" s="16" t="n">
        <v>44312</v>
      </c>
      <c r="C7452" s="20" t="inlineStr">
        <is>
          <t>월</t>
        </is>
      </c>
      <c r="E7452" s="20" t="inlineStr">
        <is>
          <t>고체향수</t>
        </is>
      </c>
      <c r="F7452" s="20" t="inlineStr">
        <is>
          <t>W컨셉</t>
        </is>
      </c>
      <c r="G7452" s="20" t="inlineStr">
        <is>
          <t>솔리드퍼퓸 이그나이트/스테이포에버 30ml (2종 택1)&lt;옵션1&gt;002 STAY FOREVER</t>
        </is>
      </c>
      <c r="H7452" s="20" t="n">
        <v>23</v>
      </c>
      <c r="I7452" s="20" t="inlineStr">
        <is>
          <t>스테이포에버</t>
        </is>
      </c>
      <c r="J7452" s="20" t="inlineStr">
        <is>
          <t>210207</t>
        </is>
      </c>
      <c r="L7452" s="20" t="n">
        <v>782000</v>
      </c>
      <c r="M7452" s="20" t="n">
        <v>547400</v>
      </c>
      <c r="N7452" s="20" t="n">
        <v>59616</v>
      </c>
      <c r="O7452" s="20" t="inlineStr">
        <is>
          <t>W컨셉고체향수솔리드퍼퓸 이그나이트/스테이포에버 30ml (2종 택1)&lt;옵션1&gt;002 STAY FOREVER210207</t>
        </is>
      </c>
    </row>
    <row r="7453">
      <c r="B7453" s="16" t="n">
        <v>44312</v>
      </c>
      <c r="C7453" s="20" t="inlineStr">
        <is>
          <t>월</t>
        </is>
      </c>
      <c r="E7453" s="20" t="inlineStr">
        <is>
          <t>고체향수</t>
        </is>
      </c>
      <c r="F7453" s="20" t="inlineStr">
        <is>
          <t>W컨셉</t>
        </is>
      </c>
      <c r="G7453" s="20" t="inlineStr">
        <is>
          <t>솔리드퍼퓸 이그나이트/스테이포에버 30ml (2종 택1)&lt;옵션1&gt;IGNITE + STAY FOREVER</t>
        </is>
      </c>
      <c r="H7453" s="20" t="n">
        <v>1</v>
      </c>
      <c r="I7453" s="20" t="inlineStr">
        <is>
          <t>이그나이트 + 스테이포에버</t>
        </is>
      </c>
      <c r="J7453" s="20" t="inlineStr">
        <is>
          <t>210207</t>
        </is>
      </c>
      <c r="L7453" s="20" t="n">
        <v>58800</v>
      </c>
      <c r="M7453" s="20" t="n">
        <v>47040</v>
      </c>
      <c r="N7453" s="20" t="n">
        <v>5345</v>
      </c>
      <c r="O7453" s="20" t="inlineStr">
        <is>
          <t>W컨셉고체향수솔리드퍼퓸 이그나이트/스테이포에버 30ml (2종 택1)&lt;옵션1&gt;IGNITE + STAY FOREVER210207</t>
        </is>
      </c>
    </row>
    <row r="7454">
      <c r="B7454" s="16" t="n">
        <v>44312</v>
      </c>
      <c r="C7454" s="20" t="inlineStr">
        <is>
          <t>월</t>
        </is>
      </c>
      <c r="E7454" s="20" t="inlineStr">
        <is>
          <t>고체향수</t>
        </is>
      </c>
      <c r="F7454" s="20" t="inlineStr">
        <is>
          <t>스마트스토어</t>
        </is>
      </c>
      <c r="G7454" s="20" t="inlineStr">
        <is>
          <t>유즈 고체향수 세트(유즈 스테이포에버, 유즈 이그나이트)고체향수: 스테이포에버 1개 + 이그나이트 1개</t>
        </is>
      </c>
      <c r="H7454" s="20" t="n">
        <v>2</v>
      </c>
      <c r="I7454" s="20" t="inlineStr">
        <is>
          <t>이그나이트 + 스테이포에버</t>
        </is>
      </c>
      <c r="J7454" s="20" t="inlineStr">
        <is>
          <t>210207</t>
        </is>
      </c>
      <c r="L7454" s="20" t="n">
        <v>117600</v>
      </c>
      <c r="M7454" s="20" t="n">
        <v>110720.4</v>
      </c>
      <c r="N7454" s="20" t="n">
        <v>10690</v>
      </c>
      <c r="O7454" s="20" t="inlineStr">
        <is>
          <t>스마트스토어고체향수유즈 고체향수 세트(유즈 스테이포에버, 유즈 이그나이트)고체향수: 스테이포에버 1개 + 이그나이트 1개210207</t>
        </is>
      </c>
    </row>
    <row r="7455">
      <c r="B7455" s="16" t="n">
        <v>44312</v>
      </c>
      <c r="C7455" s="20" t="inlineStr">
        <is>
          <t>월</t>
        </is>
      </c>
      <c r="E7455" s="20" t="inlineStr">
        <is>
          <t>고체향수</t>
        </is>
      </c>
      <c r="F7455" s="20" t="inlineStr">
        <is>
          <t>스마트스토어</t>
        </is>
      </c>
      <c r="G7455" s="20" t="inlineStr">
        <is>
          <t>유즈 고체향수 세트(유즈 스테이포에버, 유즈 이그나이트)고체향수: 이그나이트 2개</t>
        </is>
      </c>
      <c r="H7455" s="20" t="n">
        <v>1</v>
      </c>
      <c r="I7455" s="20" t="inlineStr">
        <is>
          <t>이그나이트 2set</t>
        </is>
      </c>
      <c r="J7455" s="20" t="inlineStr">
        <is>
          <t>210207</t>
        </is>
      </c>
      <c r="L7455" s="20" t="n">
        <v>58800</v>
      </c>
      <c r="M7455" s="20" t="n">
        <v>57624</v>
      </c>
      <c r="N7455" s="20" t="n">
        <v>5506</v>
      </c>
      <c r="O7455" s="20" t="inlineStr">
        <is>
          <t>스마트스토어고체향수유즈 고체향수 세트(유즈 스테이포에버, 유즈 이그나이트)고체향수: 이그나이트 2개210207</t>
        </is>
      </c>
    </row>
    <row r="7456">
      <c r="B7456" s="16" t="n">
        <v>44312</v>
      </c>
      <c r="C7456" s="20" t="inlineStr">
        <is>
          <t>월</t>
        </is>
      </c>
      <c r="E7456" s="20" t="inlineStr">
        <is>
          <t>고체향수</t>
        </is>
      </c>
      <c r="F7456" s="20" t="inlineStr">
        <is>
          <t>스마트스토어</t>
        </is>
      </c>
      <c r="G7456" s="20" t="inlineStr">
        <is>
          <t>유즈 고체향수 스테이포에버 002고체향수: 스테이포에버 1개</t>
        </is>
      </c>
      <c r="H7456" s="20" t="n">
        <v>9</v>
      </c>
      <c r="I7456" s="20" t="inlineStr">
        <is>
          <t>스테이포에버</t>
        </is>
      </c>
      <c r="J7456" s="20" t="inlineStr">
        <is>
          <t>210207</t>
        </is>
      </c>
      <c r="L7456" s="20" t="n">
        <v>306000</v>
      </c>
      <c r="M7456" s="20" t="n">
        <v>299880</v>
      </c>
      <c r="N7456" s="20" t="n">
        <v>23328</v>
      </c>
      <c r="O7456" s="20" t="inlineStr">
        <is>
          <t>스마트스토어고체향수유즈 고체향수 스테이포에버 002고체향수: 스테이포에버 1개210207</t>
        </is>
      </c>
    </row>
    <row r="7457">
      <c r="B7457" s="16" t="n">
        <v>44312</v>
      </c>
      <c r="C7457" s="20" t="inlineStr">
        <is>
          <t>월</t>
        </is>
      </c>
      <c r="E7457" s="20" t="inlineStr">
        <is>
          <t>고체향수</t>
        </is>
      </c>
      <c r="F7457" s="20" t="inlineStr">
        <is>
          <t>카페24</t>
        </is>
      </c>
      <c r="G7457" s="20" t="inlineStr">
        <is>
          <t>솔리드퍼퓸 세트향=스테이포에버 002 SOLID PERFUME, 세트 선택=1개</t>
        </is>
      </c>
      <c r="H7457" s="20" t="n">
        <v>4</v>
      </c>
      <c r="I7457" s="20" t="inlineStr">
        <is>
          <t>스테이포에버</t>
        </is>
      </c>
      <c r="J7457" s="20" t="inlineStr">
        <is>
          <t>210207</t>
        </is>
      </c>
      <c r="L7457" s="20" t="n">
        <v>136000</v>
      </c>
      <c r="M7457" s="20" t="n">
        <v>128044</v>
      </c>
      <c r="N7457" s="20" t="n">
        <v>10368</v>
      </c>
      <c r="O7457" s="20" t="inlineStr">
        <is>
          <t>카페24고체향수솔리드퍼퓸 세트향=스테이포에버 002 SOLID PERFUME, 세트 선택=1개210207</t>
        </is>
      </c>
    </row>
    <row r="7458">
      <c r="B7458" s="16" t="n">
        <v>44312</v>
      </c>
      <c r="C7458" s="20" t="inlineStr">
        <is>
          <t>월</t>
        </is>
      </c>
      <c r="E7458" s="20" t="inlineStr">
        <is>
          <t>고체향수</t>
        </is>
      </c>
      <c r="F7458" s="20" t="inlineStr">
        <is>
          <t>카페24</t>
        </is>
      </c>
      <c r="G7458" s="20" t="inlineStr">
        <is>
          <t>솔리드퍼퓸 세트향=스테이포에버 002 SOLID PERFUME, 세트 선택=best 2개 (28% 할인)</t>
        </is>
      </c>
      <c r="H7458" s="20" t="n">
        <v>11</v>
      </c>
      <c r="I7458" s="20" t="inlineStr">
        <is>
          <t>스테이포에버 2set</t>
        </is>
      </c>
      <c r="J7458" s="20" t="inlineStr">
        <is>
          <t>210207</t>
        </is>
      </c>
      <c r="L7458" s="20" t="n">
        <v>646800</v>
      </c>
      <c r="M7458" s="20" t="n">
        <v>608962.2</v>
      </c>
      <c r="N7458" s="20" t="n">
        <v>57024</v>
      </c>
      <c r="O7458" s="20" t="inlineStr">
        <is>
          <t>카페24고체향수솔리드퍼퓸 세트향=스테이포에버 002 SOLID PERFUME, 세트 선택=best 2개 (28% 할인)210207</t>
        </is>
      </c>
    </row>
    <row r="7459">
      <c r="B7459" s="16" t="n">
        <v>44312</v>
      </c>
      <c r="C7459" s="20" t="inlineStr">
        <is>
          <t>월</t>
        </is>
      </c>
      <c r="E7459" s="20" t="inlineStr">
        <is>
          <t>고체향수</t>
        </is>
      </c>
      <c r="F7459" s="20" t="inlineStr">
        <is>
          <t>카페24</t>
        </is>
      </c>
      <c r="G7459" s="20" t="inlineStr">
        <is>
          <t>솔리드퍼퓸 세트향=커플세트(이그나이트 + 스테이포에버), 세트 선택=1 SET</t>
        </is>
      </c>
      <c r="H7459" s="20" t="n">
        <v>12</v>
      </c>
      <c r="I7459" s="20" t="inlineStr">
        <is>
          <t>이그나이트 + 스테이포에버</t>
        </is>
      </c>
      <c r="J7459" s="20" t="inlineStr">
        <is>
          <t>210207</t>
        </is>
      </c>
      <c r="L7459" s="20" t="n">
        <v>705600</v>
      </c>
      <c r="M7459" s="20" t="n">
        <v>664322.3999999999</v>
      </c>
      <c r="N7459" s="20" t="n">
        <v>64140</v>
      </c>
      <c r="O7459" s="20" t="inlineStr">
        <is>
          <t>카페24고체향수솔리드퍼퓸 세트향=커플세트(이그나이트 + 스테이포에버), 세트 선택=1 SET210207</t>
        </is>
      </c>
    </row>
    <row r="7460">
      <c r="B7460" s="16" t="n">
        <v>44312</v>
      </c>
      <c r="C7460" s="20" t="inlineStr">
        <is>
          <t>월</t>
        </is>
      </c>
      <c r="E7460" s="20" t="inlineStr">
        <is>
          <t>고체향수</t>
        </is>
      </c>
      <c r="F7460" s="20" t="inlineStr">
        <is>
          <t>카페24</t>
        </is>
      </c>
      <c r="G7460" s="20" t="inlineStr">
        <is>
          <t>솔리드퍼퓸 세트향=커플세트(이그나이트 + 스테이포에버), 세트 선택=2 SET (42% 할인)</t>
        </is>
      </c>
      <c r="H7460" s="20" t="n">
        <v>2</v>
      </c>
      <c r="I7460" s="20" t="inlineStr">
        <is>
          <t>이그나이트 + 스테이포에버</t>
        </is>
      </c>
      <c r="J7460" s="20" t="inlineStr">
        <is>
          <t>210207</t>
        </is>
      </c>
      <c r="L7460" s="20" t="n">
        <v>117600</v>
      </c>
      <c r="M7460" s="20" t="n">
        <v>110720.4</v>
      </c>
      <c r="N7460" s="20" t="n">
        <v>10690</v>
      </c>
      <c r="O7460" s="20" t="inlineStr">
        <is>
          <t>카페24고체향수솔리드퍼퓸 세트향=커플세트(이그나이트 + 스테이포에버), 세트 선택=2 SET (42% 할인)210207</t>
        </is>
      </c>
    </row>
    <row r="7461">
      <c r="B7461" s="16" t="n">
        <v>44312</v>
      </c>
      <c r="C7461" s="20" t="inlineStr">
        <is>
          <t>월</t>
        </is>
      </c>
      <c r="E7461" s="20" t="inlineStr">
        <is>
          <t>고체향수</t>
        </is>
      </c>
      <c r="F7461" s="20" t="inlineStr">
        <is>
          <t>카페24</t>
        </is>
      </c>
      <c r="G7461" s="20" t="inlineStr">
        <is>
          <t>솔리드퍼퓸 스테이포에버 002제품선택=스테이포에버 1개</t>
        </is>
      </c>
      <c r="H7461" s="20" t="n">
        <v>159</v>
      </c>
      <c r="I7461" s="20" t="inlineStr">
        <is>
          <t>스테이포에버</t>
        </is>
      </c>
      <c r="J7461" s="20" t="inlineStr">
        <is>
          <t>210207</t>
        </is>
      </c>
      <c r="L7461" s="20" t="n">
        <v>5406000</v>
      </c>
      <c r="M7461" s="20" t="n">
        <v>5089749</v>
      </c>
      <c r="N7461" s="20" t="n">
        <v>412128</v>
      </c>
      <c r="O7461" s="20" t="inlineStr">
        <is>
          <t>카페24고체향수솔리드퍼퓸 스테이포에버 002제품선택=스테이포에버 1개210207</t>
        </is>
      </c>
    </row>
    <row r="7462">
      <c r="B7462" s="16" t="n">
        <v>44312</v>
      </c>
      <c r="C7462" s="20" t="inlineStr">
        <is>
          <t>월</t>
        </is>
      </c>
      <c r="E7462" s="20" t="inlineStr">
        <is>
          <t>고체향수</t>
        </is>
      </c>
      <c r="F7462" s="20" t="inlineStr">
        <is>
          <t>카페24</t>
        </is>
      </c>
      <c r="G7462" s="20" t="inlineStr">
        <is>
          <t>솔리드퍼퓸 스테이포에버 002제품선택=best스테이포에버 2개[28% 할인]</t>
        </is>
      </c>
      <c r="H7462" s="20" t="n">
        <v>117</v>
      </c>
      <c r="I7462" s="20" t="inlineStr">
        <is>
          <t>스테이포에버 2set</t>
        </is>
      </c>
      <c r="J7462" s="20" t="inlineStr">
        <is>
          <t>210207</t>
        </is>
      </c>
      <c r="L7462" s="20" t="n">
        <v>6879600</v>
      </c>
      <c r="M7462" s="20" t="n">
        <v>6477143.399999999</v>
      </c>
      <c r="N7462" s="20" t="n">
        <v>606528</v>
      </c>
      <c r="O7462" s="20" t="inlineStr">
        <is>
          <t>카페24고체향수솔리드퍼퓸 스테이포에버 002제품선택=best스테이포에버 2개[28% 할인]210207</t>
        </is>
      </c>
    </row>
    <row r="7463">
      <c r="B7463" s="16" t="n">
        <v>44312</v>
      </c>
      <c r="C7463" s="20" t="inlineStr">
        <is>
          <t>월</t>
        </is>
      </c>
      <c r="E7463" s="20" t="inlineStr">
        <is>
          <t>고체향수</t>
        </is>
      </c>
      <c r="F7463" s="20" t="inlineStr">
        <is>
          <t>카페24</t>
        </is>
      </c>
      <c r="G7463" s="20" t="inlineStr">
        <is>
          <t>솔리드퍼퓸 스테이포에버 002제품선택=커플추천스테이포에버 + 이그나이트 세트</t>
        </is>
      </c>
      <c r="H7463" s="20" t="n">
        <v>13</v>
      </c>
      <c r="I7463" s="20" t="inlineStr">
        <is>
          <t>이그나이트 + 스테이포에버</t>
        </is>
      </c>
      <c r="J7463" s="20" t="inlineStr">
        <is>
          <t>210207</t>
        </is>
      </c>
      <c r="L7463" s="20" t="n">
        <v>764400</v>
      </c>
      <c r="M7463" s="20" t="n">
        <v>719682.6</v>
      </c>
      <c r="N7463" s="20" t="n">
        <v>69485</v>
      </c>
      <c r="O7463" s="20" t="inlineStr">
        <is>
          <t>카페24고체향수솔리드퍼퓸 스테이포에버 002제품선택=커플추천스테이포에버 + 이그나이트 세트210207</t>
        </is>
      </c>
    </row>
    <row r="7464">
      <c r="B7464" s="16" t="n">
        <v>44312</v>
      </c>
      <c r="C7464" s="20" t="inlineStr">
        <is>
          <t>월</t>
        </is>
      </c>
      <c r="E7464" s="20" t="inlineStr">
        <is>
          <t>쇼핑백</t>
        </is>
      </c>
      <c r="F7464" s="20" t="inlineStr">
        <is>
          <t>카페24</t>
        </is>
      </c>
      <c r="G7464" s="20" t="inlineStr">
        <is>
          <t>솔리드퍼퓸 스테이포에버 002쇼핑백=선물용 쇼핑백</t>
        </is>
      </c>
      <c r="H7464" s="20" t="n">
        <v>6</v>
      </c>
      <c r="I7464" s="20" t="inlineStr">
        <is>
          <t>쇼핑백</t>
        </is>
      </c>
      <c r="J7464" s="20" t="inlineStr">
        <is>
          <t>210207</t>
        </is>
      </c>
      <c r="L7464" s="20" t="n">
        <v>12000</v>
      </c>
      <c r="M7464" s="20" t="n">
        <v>11298</v>
      </c>
      <c r="N7464" s="20" t="n">
        <v>4980</v>
      </c>
      <c r="O7464" s="20" t="inlineStr">
        <is>
          <t>카페24쇼핑백솔리드퍼퓸 스테이포에버 002쇼핑백=선물용 쇼핑백210207</t>
        </is>
      </c>
    </row>
    <row r="7465">
      <c r="B7465" s="16" t="n">
        <v>44312</v>
      </c>
      <c r="C7465" s="20" t="inlineStr">
        <is>
          <t>월</t>
        </is>
      </c>
      <c r="E7465" s="20" t="inlineStr">
        <is>
          <t>고체향수</t>
        </is>
      </c>
      <c r="F7465" s="20" t="inlineStr">
        <is>
          <t>카페24</t>
        </is>
      </c>
      <c r="G7465" s="20" t="inlineStr">
        <is>
          <t>솔리드퍼퓸 이그나이트 001제품선택=이그나이트 솔리드퍼퓸 - 30ml</t>
        </is>
      </c>
      <c r="H7465" s="20" t="n">
        <v>4</v>
      </c>
      <c r="I7465" s="20" t="inlineStr">
        <is>
          <t>이그나이트</t>
        </is>
      </c>
      <c r="J7465" s="20" t="inlineStr">
        <is>
          <t>210207</t>
        </is>
      </c>
      <c r="L7465" s="20" t="n">
        <v>136000</v>
      </c>
      <c r="M7465" s="20" t="n">
        <v>128044</v>
      </c>
      <c r="N7465" s="20" t="n">
        <v>11012</v>
      </c>
      <c r="O7465" s="20" t="inlineStr">
        <is>
          <t>카페24고체향수솔리드퍼퓸 이그나이트 001제품선택=이그나이트 솔리드퍼퓸 - 30ml210207</t>
        </is>
      </c>
    </row>
    <row r="7466">
      <c r="B7466" s="16" t="n">
        <v>44312</v>
      </c>
      <c r="C7466" s="20" t="inlineStr">
        <is>
          <t>월</t>
        </is>
      </c>
      <c r="E7466" s="20" t="inlineStr">
        <is>
          <t>고체향수</t>
        </is>
      </c>
      <c r="F7466" s="20" t="inlineStr">
        <is>
          <t>카페24</t>
        </is>
      </c>
      <c r="G7466" s="20" t="inlineStr">
        <is>
          <t>솔리드퍼퓸 이그나이트 001제품선택=이그나이트 2개 세트</t>
        </is>
      </c>
      <c r="H7466" s="20" t="n">
        <v>1</v>
      </c>
      <c r="I7466" s="20" t="inlineStr">
        <is>
          <t>이그나이트 2set</t>
        </is>
      </c>
      <c r="J7466" s="20" t="inlineStr">
        <is>
          <t>210207</t>
        </is>
      </c>
      <c r="L7466" s="20" t="n">
        <v>58800</v>
      </c>
      <c r="M7466" s="20" t="n">
        <v>55360.2</v>
      </c>
      <c r="N7466" s="20" t="n">
        <v>5506</v>
      </c>
      <c r="O7466" s="20" t="inlineStr">
        <is>
          <t>카페24고체향수솔리드퍼퓸 이그나이트 001제품선택=이그나이트 2개 세트210207</t>
        </is>
      </c>
    </row>
    <row r="7467">
      <c r="A7467" s="20" t="inlineStr">
        <is>
          <t>고체향수</t>
        </is>
      </c>
      <c r="B7467" s="16" t="n">
        <v>44312</v>
      </c>
      <c r="C7467" s="20" t="inlineStr">
        <is>
          <t>월</t>
        </is>
      </c>
      <c r="D7467" s="20" t="inlineStr">
        <is>
          <t>네이버 배너</t>
        </is>
      </c>
      <c r="E7467" s="20" t="inlineStr">
        <is>
          <t>고체향수</t>
        </is>
      </c>
      <c r="K7467" s="20" t="n">
        <v>898135.4545454545</v>
      </c>
    </row>
    <row r="7468">
      <c r="B7468" s="16" t="n">
        <v>44312</v>
      </c>
      <c r="C7468" s="20" t="inlineStr">
        <is>
          <t>월</t>
        </is>
      </c>
      <c r="D7468" s="20" t="inlineStr">
        <is>
          <t>네이버 배너(대행사)</t>
        </is>
      </c>
      <c r="E7468" s="20" t="inlineStr">
        <is>
          <t>고체향수</t>
        </is>
      </c>
      <c r="K7468" s="20">
        <f>407242/1.1</f>
        <v/>
      </c>
    </row>
    <row r="7469">
      <c r="B7469" s="16" t="n">
        <v>44312</v>
      </c>
      <c r="C7469" s="20" t="inlineStr">
        <is>
          <t>월</t>
        </is>
      </c>
      <c r="E7469" s="20">
        <f>INDEX(매칭테이블!C:C,MATCH(RD!G7469,매칭테이블!D:D,0))</f>
        <v/>
      </c>
      <c r="F7469" s="20" t="inlineStr">
        <is>
          <t>올리브영</t>
        </is>
      </c>
      <c r="G7469" s="20" t="inlineStr">
        <is>
          <t>유즈 솔리드퍼퓸 001 이그나이트 30ml 30600 온라인</t>
        </is>
      </c>
      <c r="H7469" s="20" t="n">
        <v>119</v>
      </c>
      <c r="I7469" s="20">
        <f>VLOOKUP(G7469,매칭테이블!D:E,2,0)</f>
        <v/>
      </c>
      <c r="J7469" s="20" t="inlineStr">
        <is>
          <t>210207</t>
        </is>
      </c>
      <c r="L7469" s="20">
        <f>VLOOKUP($O7469,매칭테이블!$G:$J,2,0)*H7469</f>
        <v/>
      </c>
      <c r="M7469" s="20">
        <f>L7469-L7469*VLOOKUP($O7469,매칭테이블!$G:$J,3,0)</f>
        <v/>
      </c>
      <c r="N7469" s="20">
        <f>VLOOKUP($O7469,매칭테이블!$G:$J,4,0)*H7469</f>
        <v/>
      </c>
      <c r="O7469" s="20">
        <f>F7469&amp;E7469&amp;G7469&amp;J7469</f>
        <v/>
      </c>
    </row>
    <row r="7470">
      <c r="B7470" s="16" t="n">
        <v>44312</v>
      </c>
      <c r="C7470" s="20" t="inlineStr">
        <is>
          <t>월</t>
        </is>
      </c>
      <c r="E7470" s="20">
        <f>INDEX(매칭테이블!C:C,MATCH(RD!G7470,매칭테이블!D:D,0))</f>
        <v/>
      </c>
      <c r="F7470" s="20" t="inlineStr">
        <is>
          <t>올리브영</t>
        </is>
      </c>
      <c r="G7470" s="20" t="inlineStr">
        <is>
          <t>유즈 솔리드퍼퓸 002 스테이포에버 30ml 30600 온라인</t>
        </is>
      </c>
      <c r="H7470" s="20" t="n">
        <v>4</v>
      </c>
      <c r="I7470" s="20">
        <f>VLOOKUP(G7470,매칭테이블!D:E,2,0)</f>
        <v/>
      </c>
      <c r="J7470" s="20" t="inlineStr">
        <is>
          <t>210207</t>
        </is>
      </c>
      <c r="L7470" s="20">
        <f>VLOOKUP($O7470,매칭테이블!$G:$J,2,0)*H7470</f>
        <v/>
      </c>
      <c r="M7470" s="20">
        <f>L7470-L7470*VLOOKUP($O7470,매칭테이블!$G:$J,3,0)</f>
        <v/>
      </c>
      <c r="N7470" s="20">
        <f>VLOOKUP($O7470,매칭테이블!$G:$J,4,0)*H7470</f>
        <v/>
      </c>
      <c r="O7470" s="20">
        <f>F7470&amp;E7470&amp;G7470&amp;J7470</f>
        <v/>
      </c>
    </row>
    <row r="7471">
      <c r="A7471" s="20" t="inlineStr">
        <is>
          <t>[승은 TEST] 스테이포에버</t>
        </is>
      </c>
      <c r="B7471" s="16" t="n">
        <v>44313</v>
      </c>
      <c r="C7471" s="20" t="inlineStr">
        <is>
          <t>화</t>
        </is>
      </c>
      <c r="D7471" s="20" t="inlineStr">
        <is>
          <t>페이스북/인스타그램</t>
        </is>
      </c>
      <c r="E7471" s="20" t="inlineStr">
        <is>
          <t>고체향수</t>
        </is>
      </c>
      <c r="K7471" s="20" t="n">
        <v>61982</v>
      </c>
    </row>
    <row r="7472">
      <c r="A7472" s="20" t="inlineStr">
        <is>
          <t>[수현 TEST] 솔리드퍼퓸_이미지</t>
        </is>
      </c>
      <c r="B7472" s="16" t="n">
        <v>44313</v>
      </c>
      <c r="C7472" s="20" t="inlineStr">
        <is>
          <t>화</t>
        </is>
      </c>
      <c r="D7472" s="20" t="inlineStr">
        <is>
          <t>페이스북/인스타그램</t>
        </is>
      </c>
      <c r="E7472" s="20" t="inlineStr">
        <is>
          <t>고체향수</t>
        </is>
      </c>
      <c r="K7472" s="20" t="n">
        <v>19590</v>
      </c>
    </row>
    <row r="7473">
      <c r="A7473" s="20" t="inlineStr">
        <is>
          <t>[비누향 인연] 스테이포에버_카드뉴스</t>
        </is>
      </c>
      <c r="B7473" s="16" t="n">
        <v>44313</v>
      </c>
      <c r="C7473" s="20" t="inlineStr">
        <is>
          <t>화</t>
        </is>
      </c>
      <c r="D7473" s="20" t="inlineStr">
        <is>
          <t>페이스북/인스타그램</t>
        </is>
      </c>
      <c r="E7473" s="20" t="inlineStr">
        <is>
          <t>고체향수</t>
        </is>
      </c>
      <c r="K7473" s="20" t="n">
        <v>123326</v>
      </c>
    </row>
    <row r="7474">
      <c r="A7474" s="20" t="inlineStr">
        <is>
          <t>[성민 TEST] 솔리드퍼퓸_이미지</t>
        </is>
      </c>
      <c r="B7474" s="16" t="n">
        <v>44313</v>
      </c>
      <c r="C7474" s="20" t="inlineStr">
        <is>
          <t>화</t>
        </is>
      </c>
      <c r="D7474" s="20" t="inlineStr">
        <is>
          <t>페이스북/인스타그램</t>
        </is>
      </c>
      <c r="E7474" s="20" t="inlineStr">
        <is>
          <t>고체향수</t>
        </is>
      </c>
      <c r="K7474" s="20" t="n">
        <v>88517</v>
      </c>
    </row>
    <row r="7475">
      <c r="A7475" s="20" t="inlineStr">
        <is>
          <t>[승무원]유튜브_스테이포에버_카드뉴스</t>
        </is>
      </c>
      <c r="B7475" s="16" t="n">
        <v>44313</v>
      </c>
      <c r="C7475" s="20" t="inlineStr">
        <is>
          <t>화</t>
        </is>
      </c>
      <c r="D7475" s="20" t="inlineStr">
        <is>
          <t>페이스북/인스타그램</t>
        </is>
      </c>
      <c r="E7475" s="20" t="inlineStr">
        <is>
          <t>고체향수</t>
        </is>
      </c>
      <c r="K7475" s="20" t="n">
        <v>28614</v>
      </c>
    </row>
    <row r="7476">
      <c r="A7476" s="20" t="inlineStr">
        <is>
          <t>[올리브영] 이그나이트_영상</t>
        </is>
      </c>
      <c r="B7476" s="16" t="n">
        <v>44313</v>
      </c>
      <c r="C7476" s="20" t="inlineStr">
        <is>
          <t>화</t>
        </is>
      </c>
      <c r="D7476" s="20" t="inlineStr">
        <is>
          <t>페이스북/인스타그램</t>
        </is>
      </c>
      <c r="E7476" s="20" t="inlineStr">
        <is>
          <t>고체향수</t>
        </is>
      </c>
      <c r="K7476" s="20" t="n">
        <v>29872</v>
      </c>
    </row>
    <row r="7477">
      <c r="A7477" s="20" t="inlineStr">
        <is>
          <t>[승희 TEST] 솔리드퍼퓸_이미지</t>
        </is>
      </c>
      <c r="B7477" s="16" t="n">
        <v>44313</v>
      </c>
      <c r="C7477" s="20" t="inlineStr">
        <is>
          <t>화</t>
        </is>
      </c>
      <c r="D7477" s="20" t="inlineStr">
        <is>
          <t>페이스북/인스타그램</t>
        </is>
      </c>
      <c r="E7477" s="20" t="inlineStr">
        <is>
          <t>고체향수</t>
        </is>
      </c>
      <c r="K7477" s="20" t="n">
        <v>136884</v>
      </c>
    </row>
    <row r="7478">
      <c r="A7478" s="20" t="inlineStr">
        <is>
          <t>[올리브영] 스테이포에버_영상</t>
        </is>
      </c>
      <c r="B7478" s="16" t="n">
        <v>44313</v>
      </c>
      <c r="C7478" s="20" t="inlineStr">
        <is>
          <t>화</t>
        </is>
      </c>
      <c r="D7478" s="20" t="inlineStr">
        <is>
          <t>페이스북/인스타그램</t>
        </is>
      </c>
      <c r="E7478" s="20" t="inlineStr">
        <is>
          <t>고체향수</t>
        </is>
      </c>
      <c r="K7478" s="20" t="n">
        <v>48742</v>
      </c>
    </row>
    <row r="7479">
      <c r="A7479" s="20" t="inlineStr">
        <is>
          <t>[올리브영] 스테이포에버_이미지</t>
        </is>
      </c>
      <c r="B7479" s="16" t="n">
        <v>44313</v>
      </c>
      <c r="C7479" s="20" t="inlineStr">
        <is>
          <t>화</t>
        </is>
      </c>
      <c r="D7479" s="20" t="inlineStr">
        <is>
          <t>페이스북/인스타그램</t>
        </is>
      </c>
      <c r="E7479" s="20" t="inlineStr">
        <is>
          <t>고체향수</t>
        </is>
      </c>
      <c r="K7479" s="20" t="n">
        <v>28992</v>
      </c>
    </row>
    <row r="7480">
      <c r="A7480" s="20" t="inlineStr">
        <is>
          <t>[승무원] 유튜브재편집_스테이포에버_영상</t>
        </is>
      </c>
      <c r="B7480" s="16" t="n">
        <v>44313</v>
      </c>
      <c r="C7480" s="20" t="inlineStr">
        <is>
          <t>화</t>
        </is>
      </c>
      <c r="D7480" s="20" t="inlineStr">
        <is>
          <t>페이스북/인스타그램</t>
        </is>
      </c>
      <c r="E7480" s="20" t="inlineStr">
        <is>
          <t>고체향수</t>
        </is>
      </c>
      <c r="K7480" s="20" t="n">
        <v>616364</v>
      </c>
    </row>
    <row r="7481">
      <c r="A7481" s="20" t="inlineStr">
        <is>
          <t>[승무원 면세점] 스테이포에버_카드뉴스</t>
        </is>
      </c>
      <c r="B7481" s="16" t="n">
        <v>44313</v>
      </c>
      <c r="C7481" s="20" t="inlineStr">
        <is>
          <t>화</t>
        </is>
      </c>
      <c r="D7481" s="20" t="inlineStr">
        <is>
          <t>페이스북/인스타그램</t>
        </is>
      </c>
      <c r="E7481" s="20" t="inlineStr">
        <is>
          <t>고체향수</t>
        </is>
      </c>
      <c r="K7481" s="20" t="n">
        <v>261093</v>
      </c>
    </row>
    <row r="7482">
      <c r="A7482" s="20" t="inlineStr">
        <is>
          <t>[카페알바] 스테이포에버_카드뉴스</t>
        </is>
      </c>
      <c r="B7482" s="16" t="n">
        <v>44313</v>
      </c>
      <c r="C7482" s="20" t="inlineStr">
        <is>
          <t>화</t>
        </is>
      </c>
      <c r="D7482" s="20" t="inlineStr">
        <is>
          <t>페이스북/인스타그램</t>
        </is>
      </c>
      <c r="E7482" s="20" t="inlineStr">
        <is>
          <t>고체향수</t>
        </is>
      </c>
      <c r="K7482" s="20" t="n">
        <v>117630</v>
      </c>
    </row>
    <row r="7483">
      <c r="A7483" s="20" t="inlineStr">
        <is>
          <t>[아줌마]스테이포에버_이미지</t>
        </is>
      </c>
      <c r="B7483" s="16" t="n">
        <v>44313</v>
      </c>
      <c r="C7483" s="20" t="inlineStr">
        <is>
          <t>화</t>
        </is>
      </c>
      <c r="D7483" s="20" t="inlineStr">
        <is>
          <t>페이스북/인스타그램</t>
        </is>
      </c>
      <c r="E7483" s="20" t="inlineStr">
        <is>
          <t>고체향수</t>
        </is>
      </c>
      <c r="K7483" s="20" t="n">
        <v>48920</v>
      </c>
    </row>
    <row r="7484">
      <c r="A7484" s="20" t="inlineStr">
        <is>
          <t>[다양한 키워드] 스테이포에버_이미지</t>
        </is>
      </c>
      <c r="B7484" s="16" t="n">
        <v>44313</v>
      </c>
      <c r="C7484" s="20" t="inlineStr">
        <is>
          <t>화</t>
        </is>
      </c>
      <c r="D7484" s="20" t="inlineStr">
        <is>
          <t>페이스북/인스타그램</t>
        </is>
      </c>
      <c r="E7484" s="20" t="inlineStr">
        <is>
          <t>고체향수</t>
        </is>
      </c>
      <c r="K7484" s="20" t="n">
        <v>170274</v>
      </c>
    </row>
    <row r="7485">
      <c r="A7485" s="20" t="inlineStr">
        <is>
          <t>[재입고]스테이포에버_이미지</t>
        </is>
      </c>
      <c r="B7485" s="16" t="n">
        <v>44313</v>
      </c>
      <c r="C7485" s="20" t="inlineStr">
        <is>
          <t>화</t>
        </is>
      </c>
      <c r="D7485" s="20" t="inlineStr">
        <is>
          <t>페이스북/인스타그램</t>
        </is>
      </c>
      <c r="E7485" s="20" t="inlineStr">
        <is>
          <t>고체향수</t>
        </is>
      </c>
      <c r="K7485" s="20" t="n">
        <v>29165</v>
      </c>
    </row>
    <row r="7486">
      <c r="A7486" s="20" t="inlineStr">
        <is>
          <t>[승무원]숏폼_영상</t>
        </is>
      </c>
      <c r="B7486" s="16" t="n">
        <v>44313</v>
      </c>
      <c r="C7486" s="20" t="inlineStr">
        <is>
          <t>화</t>
        </is>
      </c>
      <c r="D7486" s="20" t="inlineStr">
        <is>
          <t>페이스북/인스타그램</t>
        </is>
      </c>
      <c r="E7486" s="20" t="inlineStr">
        <is>
          <t>고체향수</t>
        </is>
      </c>
      <c r="K7486" s="20" t="n">
        <v>48630</v>
      </c>
    </row>
    <row r="7487">
      <c r="A7487" s="20" t="inlineStr">
        <is>
          <t>[재입고]스테이포에버_영상</t>
        </is>
      </c>
      <c r="B7487" s="16" t="n">
        <v>44313</v>
      </c>
      <c r="C7487" s="20" t="inlineStr">
        <is>
          <t>화</t>
        </is>
      </c>
      <c r="D7487" s="20" t="inlineStr">
        <is>
          <t>페이스북/인스타그램</t>
        </is>
      </c>
      <c r="E7487" s="20" t="inlineStr">
        <is>
          <t>고체향수</t>
        </is>
      </c>
      <c r="K7487" s="20" t="n">
        <v>196173</v>
      </c>
    </row>
    <row r="7488">
      <c r="A7488" s="20" t="inlineStr">
        <is>
          <t>[승무원]2019년썰 카드뉴스+ 향묘사_영상</t>
        </is>
      </c>
      <c r="B7488" s="16" t="n">
        <v>44313</v>
      </c>
      <c r="C7488" s="20" t="inlineStr">
        <is>
          <t>화</t>
        </is>
      </c>
      <c r="D7488" s="20" t="inlineStr">
        <is>
          <t>페이스북/인스타그램</t>
        </is>
      </c>
      <c r="E7488" s="20" t="inlineStr">
        <is>
          <t>고체향수</t>
        </is>
      </c>
      <c r="K7488" s="20" t="n">
        <v>47776</v>
      </c>
    </row>
    <row r="7489">
      <c r="A7489" s="20" t="inlineStr">
        <is>
          <t>[승무원어피]스테이포에버_이미지</t>
        </is>
      </c>
      <c r="B7489" s="16" t="n">
        <v>44313</v>
      </c>
      <c r="C7489" s="20" t="inlineStr">
        <is>
          <t>화</t>
        </is>
      </c>
      <c r="D7489" s="20" t="inlineStr">
        <is>
          <t>페이스북/인스타그램</t>
        </is>
      </c>
      <c r="E7489" s="20" t="inlineStr">
        <is>
          <t>고체향수</t>
        </is>
      </c>
      <c r="K7489" s="20" t="n">
        <v>96757</v>
      </c>
    </row>
    <row r="7490">
      <c r="A7490" s="20" t="inlineStr">
        <is>
          <t>[다현]스테이포에버_이미지</t>
        </is>
      </c>
      <c r="B7490" s="16" t="n">
        <v>44313</v>
      </c>
      <c r="C7490" s="20" t="inlineStr">
        <is>
          <t>화</t>
        </is>
      </c>
      <c r="D7490" s="20" t="inlineStr">
        <is>
          <t>페이스북/인스타그램</t>
        </is>
      </c>
      <c r="E7490" s="20" t="inlineStr">
        <is>
          <t>고체향수</t>
        </is>
      </c>
      <c r="K7490" s="20" t="n">
        <v>146610</v>
      </c>
    </row>
    <row r="7491">
      <c r="A7491" s="20" t="inlineStr">
        <is>
          <t>[승무원]스테이포에버_카드뉴스</t>
        </is>
      </c>
      <c r="B7491" s="16" t="n">
        <v>44313</v>
      </c>
      <c r="C7491" s="20" t="inlineStr">
        <is>
          <t>화</t>
        </is>
      </c>
      <c r="D7491" s="20" t="inlineStr">
        <is>
          <t>페이스북/인스타그램</t>
        </is>
      </c>
      <c r="E7491" s="20" t="inlineStr">
        <is>
          <t>고체향수</t>
        </is>
      </c>
      <c r="K7491" s="20" t="n">
        <v>29293</v>
      </c>
    </row>
    <row r="7492">
      <c r="A7492" s="20" t="inlineStr">
        <is>
          <t>[후기타입]스테이포에버_영상</t>
        </is>
      </c>
      <c r="B7492" s="16" t="n">
        <v>44313</v>
      </c>
      <c r="C7492" s="20" t="inlineStr">
        <is>
          <t>화</t>
        </is>
      </c>
      <c r="D7492" s="20" t="inlineStr">
        <is>
          <t>페이스북/인스타그램</t>
        </is>
      </c>
      <c r="E7492" s="20" t="inlineStr">
        <is>
          <t>고체향수</t>
        </is>
      </c>
      <c r="K7492" s="20" t="n">
        <v>149800</v>
      </c>
    </row>
    <row r="7493">
      <c r="A7493" s="20" t="inlineStr">
        <is>
          <t>전환_스테이포에버</t>
        </is>
      </c>
      <c r="B7493" s="16" t="n">
        <v>44313</v>
      </c>
      <c r="C7493" s="20" t="inlineStr">
        <is>
          <t>화</t>
        </is>
      </c>
      <c r="D7493" s="20" t="inlineStr">
        <is>
          <t>페이스북/인스타그램</t>
        </is>
      </c>
      <c r="E7493" s="20" t="inlineStr">
        <is>
          <t>고체향수</t>
        </is>
      </c>
      <c r="K7493" s="20" t="n">
        <v>96266</v>
      </c>
    </row>
    <row r="7494">
      <c r="A7494" s="20" t="inlineStr">
        <is>
          <t>[권태기커플]스테이포에버_영상</t>
        </is>
      </c>
      <c r="B7494" s="16" t="n">
        <v>44313</v>
      </c>
      <c r="C7494" s="20" t="inlineStr">
        <is>
          <t>화</t>
        </is>
      </c>
      <c r="D7494" s="20" t="inlineStr">
        <is>
          <t>페이스북/인스타그램</t>
        </is>
      </c>
      <c r="E7494" s="20" t="inlineStr">
        <is>
          <t>고체향수</t>
        </is>
      </c>
      <c r="K7494" s="20" t="n">
        <v>29784</v>
      </c>
    </row>
    <row r="7495">
      <c r="A7495" s="20" t="inlineStr">
        <is>
          <t>웹사이트 트래픽 서치</t>
        </is>
      </c>
      <c r="B7495" s="16" t="n">
        <v>44313</v>
      </c>
      <c r="C7495" s="20" t="inlineStr">
        <is>
          <t>화</t>
        </is>
      </c>
      <c r="D7495" s="20" t="inlineStr">
        <is>
          <t>유튜브 광고</t>
        </is>
      </c>
      <c r="E7495" s="20" t="inlineStr">
        <is>
          <t>고체향수</t>
        </is>
      </c>
      <c r="K7495" s="20" t="n">
        <v>29205</v>
      </c>
    </row>
    <row r="7496">
      <c r="A7496" s="20" t="inlineStr">
        <is>
          <t>동영상캠페인_승무원_보이는 라디오(cpa)</t>
        </is>
      </c>
      <c r="B7496" s="16" t="n">
        <v>44313</v>
      </c>
      <c r="C7496" s="20" t="inlineStr">
        <is>
          <t>화</t>
        </is>
      </c>
      <c r="D7496" s="20" t="inlineStr">
        <is>
          <t>유튜브 광고</t>
        </is>
      </c>
      <c r="E7496" s="20" t="inlineStr">
        <is>
          <t>고체향수</t>
        </is>
      </c>
      <c r="K7496" s="20" t="n">
        <v>115855</v>
      </c>
    </row>
    <row r="7497">
      <c r="A7497" s="20" t="inlineStr">
        <is>
          <t>디스커버리 배너_승무원,할인_리마케팅</t>
        </is>
      </c>
      <c r="B7497" s="16" t="n">
        <v>44313</v>
      </c>
      <c r="C7497" s="20" t="inlineStr">
        <is>
          <t>화</t>
        </is>
      </c>
      <c r="D7497" s="20" t="inlineStr">
        <is>
          <t>유튜브 광고</t>
        </is>
      </c>
      <c r="E7497" s="20" t="inlineStr">
        <is>
          <t>고체향수</t>
        </is>
      </c>
      <c r="K7497" s="20" t="n">
        <v>457195</v>
      </c>
    </row>
    <row r="7498">
      <c r="A7498" s="20" t="inlineStr">
        <is>
          <t>동영상캠페인_승무원_써니스카이</t>
        </is>
      </c>
      <c r="B7498" s="16" t="n">
        <v>44313</v>
      </c>
      <c r="C7498" s="20" t="inlineStr">
        <is>
          <t>화</t>
        </is>
      </c>
      <c r="D7498" s="20" t="inlineStr">
        <is>
          <t>유튜브 광고</t>
        </is>
      </c>
      <c r="E7498" s="20" t="inlineStr">
        <is>
          <t>고체향수</t>
        </is>
      </c>
      <c r="K7498" s="20" t="n">
        <v>118331</v>
      </c>
    </row>
    <row r="7499">
      <c r="A7499" s="20" t="inlineStr">
        <is>
          <t>동영상캠페인_필라테스_자기관리(타겟 cpa)</t>
        </is>
      </c>
      <c r="B7499" s="16" t="n">
        <v>44313</v>
      </c>
      <c r="C7499" s="20" t="inlineStr">
        <is>
          <t>화</t>
        </is>
      </c>
      <c r="D7499" s="20" t="inlineStr">
        <is>
          <t>유튜브 광고</t>
        </is>
      </c>
      <c r="E7499" s="20" t="inlineStr">
        <is>
          <t>고체향수</t>
        </is>
      </c>
      <c r="K7499" s="20" t="n">
        <v>6843</v>
      </c>
    </row>
    <row r="7500">
      <c r="A7500" s="20" t="inlineStr">
        <is>
          <t>[5화자] 동영상 캠페인_벨라의 비행일기</t>
        </is>
      </c>
      <c r="B7500" s="16" t="n">
        <v>44313</v>
      </c>
      <c r="C7500" s="20" t="inlineStr">
        <is>
          <t>화</t>
        </is>
      </c>
      <c r="D7500" s="20" t="inlineStr">
        <is>
          <t>유튜브 광고</t>
        </is>
      </c>
      <c r="E7500" s="20" t="inlineStr">
        <is>
          <t>고체향수</t>
        </is>
      </c>
      <c r="K7500" s="20" t="n">
        <v>405585</v>
      </c>
    </row>
    <row r="7501">
      <c r="A7501" s="20" t="inlineStr">
        <is>
          <t>[5화자] 동영상 캠페인_비행하고 여행하는 은선씨</t>
        </is>
      </c>
      <c r="B7501" s="16" t="n">
        <v>44313</v>
      </c>
      <c r="C7501" s="20" t="inlineStr">
        <is>
          <t>화</t>
        </is>
      </c>
      <c r="D7501" s="20" t="inlineStr">
        <is>
          <t>유튜브 광고</t>
        </is>
      </c>
      <c r="E7501" s="20" t="inlineStr">
        <is>
          <t>고체향수</t>
        </is>
      </c>
      <c r="K7501" s="20" t="n">
        <v>405385</v>
      </c>
    </row>
    <row r="7502">
      <c r="A7502" s="20" t="inlineStr">
        <is>
          <t>[5화자 재편집] 승무원_벨라_면세점에서 천만원</t>
        </is>
      </c>
      <c r="B7502" s="16" t="n">
        <v>44313</v>
      </c>
      <c r="C7502" s="20" t="inlineStr">
        <is>
          <t>화</t>
        </is>
      </c>
      <c r="D7502" s="20" t="inlineStr">
        <is>
          <t>유튜브 광고</t>
        </is>
      </c>
      <c r="E7502" s="20" t="inlineStr">
        <is>
          <t>고체향수</t>
        </is>
      </c>
      <c r="K7502" s="20" t="n">
        <v>304596</v>
      </c>
    </row>
    <row r="7503">
      <c r="A7503" s="20" t="inlineStr">
        <is>
          <t>동영상캠페인_유즈모먼트_면세점뒤졌는데</t>
        </is>
      </c>
      <c r="B7503" s="16" t="n">
        <v>44313</v>
      </c>
      <c r="C7503" s="20" t="inlineStr">
        <is>
          <t>화</t>
        </is>
      </c>
      <c r="D7503" s="20" t="inlineStr">
        <is>
          <t>유튜브 광고</t>
        </is>
      </c>
      <c r="E7503" s="20" t="inlineStr">
        <is>
          <t>고체향수</t>
        </is>
      </c>
      <c r="K7503" s="20" t="n">
        <v>306089</v>
      </c>
    </row>
    <row r="7504">
      <c r="A7504" s="20" t="inlineStr">
        <is>
          <t>메인키워드</t>
        </is>
      </c>
      <c r="B7504" s="16" t="n">
        <v>44313</v>
      </c>
      <c r="C7504" s="20" t="inlineStr">
        <is>
          <t>화</t>
        </is>
      </c>
      <c r="D7504" s="20" t="inlineStr">
        <is>
          <t>네이버 쇼핑검색</t>
        </is>
      </c>
      <c r="E7504" s="20" t="inlineStr">
        <is>
          <t>고체향수</t>
        </is>
      </c>
      <c r="K7504" s="20" t="n">
        <v>15070</v>
      </c>
    </row>
    <row r="7505">
      <c r="A7505" s="20" t="inlineStr">
        <is>
          <t>세부키워드1</t>
        </is>
      </c>
      <c r="B7505" s="16" t="n">
        <v>44313</v>
      </c>
      <c r="C7505" s="20" t="inlineStr">
        <is>
          <t>화</t>
        </is>
      </c>
      <c r="D7505" s="20" t="inlineStr">
        <is>
          <t>네이버 쇼핑검색</t>
        </is>
      </c>
      <c r="E7505" s="20" t="inlineStr">
        <is>
          <t>고체향수</t>
        </is>
      </c>
      <c r="K7505" s="20" t="n">
        <v>0</v>
      </c>
    </row>
    <row r="7506">
      <c r="A7506" s="20" t="inlineStr">
        <is>
          <t>세부키워드3</t>
        </is>
      </c>
      <c r="B7506" s="16" t="n">
        <v>44313</v>
      </c>
      <c r="C7506" s="20" t="inlineStr">
        <is>
          <t>화</t>
        </is>
      </c>
      <c r="D7506" s="20" t="inlineStr">
        <is>
          <t>네이버 쇼핑검색</t>
        </is>
      </c>
      <c r="E7506" s="20" t="inlineStr">
        <is>
          <t>고체향수</t>
        </is>
      </c>
      <c r="K7506" s="20" t="n">
        <v>120760</v>
      </c>
    </row>
    <row r="7507">
      <c r="A7507" s="20" t="inlineStr">
        <is>
          <t>모바일 브검</t>
        </is>
      </c>
      <c r="B7507" s="16" t="n">
        <v>44313</v>
      </c>
      <c r="C7507" s="20" t="inlineStr">
        <is>
          <t>화</t>
        </is>
      </c>
      <c r="D7507" s="20" t="inlineStr">
        <is>
          <t>네이버 브랜드검색</t>
        </is>
      </c>
      <c r="E7507" s="20" t="inlineStr">
        <is>
          <t>브랜드</t>
        </is>
      </c>
      <c r="K7507" s="20" t="n">
        <v>88000</v>
      </c>
    </row>
    <row r="7508">
      <c r="A7508" s="20" t="inlineStr">
        <is>
          <t>PC 브랜드검색</t>
        </is>
      </c>
      <c r="B7508" s="16" t="n">
        <v>44313</v>
      </c>
      <c r="C7508" s="20" t="inlineStr">
        <is>
          <t>화</t>
        </is>
      </c>
      <c r="D7508" s="20" t="inlineStr">
        <is>
          <t>네이버 브랜드검색</t>
        </is>
      </c>
      <c r="E7508" s="20" t="inlineStr">
        <is>
          <t>브랜드</t>
        </is>
      </c>
      <c r="K7508" s="20" t="n">
        <v>16700</v>
      </c>
    </row>
    <row r="7509">
      <c r="B7509" s="16" t="n">
        <v>44313</v>
      </c>
      <c r="C7509" s="20" t="inlineStr">
        <is>
          <t>화</t>
        </is>
      </c>
      <c r="E7509" s="20" t="inlineStr">
        <is>
          <t>고체향수</t>
        </is>
      </c>
      <c r="F7509" s="20" t="inlineStr">
        <is>
          <t>W컨셉</t>
        </is>
      </c>
      <c r="G7509" s="20" t="inlineStr">
        <is>
          <t>솔리드퍼퓸 이그나이트/스테이포에버 30ml (2종 택1)&lt;옵션1&gt;002 STAY FOREVER</t>
        </is>
      </c>
      <c r="H7509" s="20" t="n">
        <v>8</v>
      </c>
      <c r="I7509" s="20" t="inlineStr">
        <is>
          <t>스테이포에버</t>
        </is>
      </c>
      <c r="J7509" s="20" t="inlineStr">
        <is>
          <t>210207</t>
        </is>
      </c>
      <c r="L7509" s="20" t="n">
        <v>272000</v>
      </c>
      <c r="M7509" s="20" t="n">
        <v>190400</v>
      </c>
      <c r="N7509" s="20" t="n">
        <v>20736</v>
      </c>
      <c r="O7509" s="20" t="inlineStr">
        <is>
          <t>W컨셉고체향수솔리드퍼퓸 이그나이트/스테이포에버 30ml (2종 택1)&lt;옵션1&gt;002 STAY FOREVER210207</t>
        </is>
      </c>
    </row>
    <row r="7510">
      <c r="B7510" s="16" t="n">
        <v>44313</v>
      </c>
      <c r="C7510" s="20" t="inlineStr">
        <is>
          <t>화</t>
        </is>
      </c>
      <c r="E7510" s="20" t="inlineStr">
        <is>
          <t>고체향수</t>
        </is>
      </c>
      <c r="F7510" s="20" t="inlineStr">
        <is>
          <t>W컨셉</t>
        </is>
      </c>
      <c r="G7510" s="20" t="inlineStr">
        <is>
          <t>솔리드퍼퓸 이그나이트/스테이포에버 30ml (2종 택1)&lt;옵션1&gt;IGNITE + STAY FOREVER</t>
        </is>
      </c>
      <c r="H7510" s="20" t="n">
        <v>1</v>
      </c>
      <c r="I7510" s="20" t="inlineStr">
        <is>
          <t>이그나이트 + 스테이포에버</t>
        </is>
      </c>
      <c r="J7510" s="20" t="inlineStr">
        <is>
          <t>210207</t>
        </is>
      </c>
      <c r="L7510" s="20" t="n">
        <v>58800</v>
      </c>
      <c r="M7510" s="20" t="n">
        <v>47040</v>
      </c>
      <c r="N7510" s="20" t="n">
        <v>5345</v>
      </c>
      <c r="O7510" s="20" t="inlineStr">
        <is>
          <t>W컨셉고체향수솔리드퍼퓸 이그나이트/스테이포에버 30ml (2종 택1)&lt;옵션1&gt;IGNITE + STAY FOREVER210207</t>
        </is>
      </c>
    </row>
    <row r="7511">
      <c r="B7511" s="16" t="n">
        <v>44313</v>
      </c>
      <c r="C7511" s="20" t="inlineStr">
        <is>
          <t>화</t>
        </is>
      </c>
      <c r="E7511" s="20" t="inlineStr">
        <is>
          <t>고체향수</t>
        </is>
      </c>
      <c r="F7511" s="20" t="inlineStr">
        <is>
          <t>스마트스토어</t>
        </is>
      </c>
      <c r="G7511" s="20" t="inlineStr">
        <is>
          <t>유즈 고체향수 세트(유즈 스테이포에버, 유즈 이그나이트)고체향수: 스테이포에버 1개 + 이그나이트 1개</t>
        </is>
      </c>
      <c r="H7511" s="20" t="n">
        <v>3</v>
      </c>
      <c r="I7511" s="20" t="inlineStr">
        <is>
          <t>이그나이트 + 스테이포에버</t>
        </is>
      </c>
      <c r="J7511" s="20" t="inlineStr">
        <is>
          <t>210207</t>
        </is>
      </c>
      <c r="L7511" s="20" t="n">
        <v>176400</v>
      </c>
      <c r="M7511" s="20" t="n">
        <v>166080.6</v>
      </c>
      <c r="N7511" s="20" t="n">
        <v>16035</v>
      </c>
      <c r="O7511" s="20" t="inlineStr">
        <is>
          <t>스마트스토어고체향수유즈 고체향수 세트(유즈 스테이포에버, 유즈 이그나이트)고체향수: 스테이포에버 1개 + 이그나이트 1개210207</t>
        </is>
      </c>
    </row>
    <row r="7512">
      <c r="B7512" s="16" t="n">
        <v>44313</v>
      </c>
      <c r="C7512" s="20" t="inlineStr">
        <is>
          <t>화</t>
        </is>
      </c>
      <c r="E7512" s="20" t="inlineStr">
        <is>
          <t>고체향수</t>
        </is>
      </c>
      <c r="F7512" s="20" t="inlineStr">
        <is>
          <t>스마트스토어</t>
        </is>
      </c>
      <c r="G7512" s="20" t="inlineStr">
        <is>
          <t>유즈 고체향수 세트(유즈 스테이포에버, 유즈 이그나이트)고체향수: 스테이포에버 2개</t>
        </is>
      </c>
      <c r="H7512" s="20" t="n">
        <v>1</v>
      </c>
      <c r="I7512" s="20" t="inlineStr">
        <is>
          <t>스테이포에버 2set</t>
        </is>
      </c>
      <c r="J7512" s="20" t="inlineStr">
        <is>
          <t>210207</t>
        </is>
      </c>
      <c r="L7512" s="20" t="n">
        <v>58800</v>
      </c>
      <c r="M7512" s="20" t="n">
        <v>57624</v>
      </c>
      <c r="N7512" s="20" t="n">
        <v>5184</v>
      </c>
      <c r="O7512" s="20" t="inlineStr">
        <is>
          <t>스마트스토어고체향수유즈 고체향수 세트(유즈 스테이포에버, 유즈 이그나이트)고체향수: 스테이포에버 2개210207</t>
        </is>
      </c>
    </row>
    <row r="7513">
      <c r="B7513" s="16" t="n">
        <v>44313</v>
      </c>
      <c r="C7513" s="20" t="inlineStr">
        <is>
          <t>화</t>
        </is>
      </c>
      <c r="E7513" s="20" t="inlineStr">
        <is>
          <t>고체향수</t>
        </is>
      </c>
      <c r="F7513" s="20" t="inlineStr">
        <is>
          <t>스마트스토어</t>
        </is>
      </c>
      <c r="G7513" s="20" t="inlineStr">
        <is>
          <t>유즈 고체향수 스테이포에버 002고체향수: 스테이포에버 1개</t>
        </is>
      </c>
      <c r="H7513" s="20" t="n">
        <v>22</v>
      </c>
      <c r="I7513" s="20" t="inlineStr">
        <is>
          <t>스테이포에버</t>
        </is>
      </c>
      <c r="J7513" s="20" t="inlineStr">
        <is>
          <t>210207</t>
        </is>
      </c>
      <c r="L7513" s="20" t="n">
        <v>748000</v>
      </c>
      <c r="M7513" s="20" t="n">
        <v>733040</v>
      </c>
      <c r="N7513" s="20" t="n">
        <v>57024</v>
      </c>
      <c r="O7513" s="20" t="inlineStr">
        <is>
          <t>스마트스토어고체향수유즈 고체향수 스테이포에버 002고체향수: 스테이포에버 1개210207</t>
        </is>
      </c>
    </row>
    <row r="7514">
      <c r="B7514" s="16" t="n">
        <v>44313</v>
      </c>
      <c r="C7514" s="20" t="inlineStr">
        <is>
          <t>화</t>
        </is>
      </c>
      <c r="E7514" s="20" t="inlineStr">
        <is>
          <t>고체향수</t>
        </is>
      </c>
      <c r="F7514" s="20" t="inlineStr">
        <is>
          <t>유즈 CS</t>
        </is>
      </c>
      <c r="G7514" s="20" t="inlineStr">
        <is>
          <t>솔리드퍼퓸 스테이포에버 002 30ml</t>
        </is>
      </c>
      <c r="H7514" s="20" t="n">
        <v>1</v>
      </c>
      <c r="I7514" s="20" t="inlineStr">
        <is>
          <t>스테이포에버</t>
        </is>
      </c>
      <c r="J7514" s="20" t="inlineStr">
        <is>
          <t>210207</t>
        </is>
      </c>
      <c r="L7514" s="20" t="n">
        <v>0</v>
      </c>
      <c r="M7514" s="20" t="n">
        <v>0</v>
      </c>
      <c r="N7514" s="20" t="n">
        <v>2592</v>
      </c>
      <c r="O7514" s="20" t="inlineStr">
        <is>
          <t>유즈 CS고체향수솔리드퍼퓸 스테이포에버 002 30ml210207</t>
        </is>
      </c>
    </row>
    <row r="7515">
      <c r="B7515" s="16" t="n">
        <v>44313</v>
      </c>
      <c r="C7515" s="20" t="inlineStr">
        <is>
          <t>화</t>
        </is>
      </c>
      <c r="E7515" s="20" t="inlineStr">
        <is>
          <t>고체향수</t>
        </is>
      </c>
      <c r="F7515" s="20" t="inlineStr">
        <is>
          <t>카페24</t>
        </is>
      </c>
      <c r="G7515" s="20" t="inlineStr">
        <is>
          <t>솔리드퍼퓸 세트향=이그나이트 001 SOLID PERFUME, 세트 선택=1개</t>
        </is>
      </c>
      <c r="H7515" s="20" t="n">
        <v>2</v>
      </c>
      <c r="I7515" s="20" t="inlineStr">
        <is>
          <t>이그나이트</t>
        </is>
      </c>
      <c r="J7515" s="20" t="inlineStr">
        <is>
          <t>210207</t>
        </is>
      </c>
      <c r="L7515" s="20" t="n">
        <v>68000</v>
      </c>
      <c r="M7515" s="20" t="n">
        <v>64022</v>
      </c>
      <c r="N7515" s="20" t="n">
        <v>5506</v>
      </c>
      <c r="O7515" s="20" t="inlineStr">
        <is>
          <t>카페24고체향수솔리드퍼퓸 세트향=이그나이트 001 SOLID PERFUME, 세트 선택=1개210207</t>
        </is>
      </c>
    </row>
    <row r="7516">
      <c r="B7516" s="16" t="n">
        <v>44313</v>
      </c>
      <c r="C7516" s="20" t="inlineStr">
        <is>
          <t>화</t>
        </is>
      </c>
      <c r="E7516" s="20" t="inlineStr">
        <is>
          <t>고체향수</t>
        </is>
      </c>
      <c r="F7516" s="20" t="inlineStr">
        <is>
          <t>카페24</t>
        </is>
      </c>
      <c r="G7516" s="20" t="inlineStr">
        <is>
          <t>솔리드퍼퓸 세트향=이그나이트 001 SOLID PERFUME, 세트 선택=best 2개 (28% 할인)</t>
        </is>
      </c>
      <c r="H7516" s="20" t="n">
        <v>2</v>
      </c>
      <c r="I7516" s="20" t="inlineStr">
        <is>
          <t>이그나이트 2set</t>
        </is>
      </c>
      <c r="J7516" s="20" t="inlineStr">
        <is>
          <t>210207</t>
        </is>
      </c>
      <c r="L7516" s="20" t="n">
        <v>117600</v>
      </c>
      <c r="M7516" s="20" t="n">
        <v>110720.4</v>
      </c>
      <c r="N7516" s="20" t="n">
        <v>11012</v>
      </c>
      <c r="O7516" s="20" t="inlineStr">
        <is>
          <t>카페24고체향수솔리드퍼퓸 세트향=이그나이트 001 SOLID PERFUME, 세트 선택=best 2개 (28% 할인)210207</t>
        </is>
      </c>
    </row>
    <row r="7517">
      <c r="B7517" s="16" t="n">
        <v>44313</v>
      </c>
      <c r="C7517" s="20" t="inlineStr">
        <is>
          <t>화</t>
        </is>
      </c>
      <c r="E7517" s="20" t="inlineStr">
        <is>
          <t>고체향수</t>
        </is>
      </c>
      <c r="F7517" s="20" t="inlineStr">
        <is>
          <t>카페24</t>
        </is>
      </c>
      <c r="G7517" s="20" t="inlineStr">
        <is>
          <t>솔리드퍼퓸 세트향=스테이포에버 002 SOLID PERFUME, 세트 선택=1개</t>
        </is>
      </c>
      <c r="H7517" s="20" t="n">
        <v>9</v>
      </c>
      <c r="I7517" s="20" t="inlineStr">
        <is>
          <t>스테이포에버</t>
        </is>
      </c>
      <c r="J7517" s="20" t="inlineStr">
        <is>
          <t>210207</t>
        </is>
      </c>
      <c r="L7517" s="20" t="n">
        <v>306000</v>
      </c>
      <c r="M7517" s="20" t="n">
        <v>288099</v>
      </c>
      <c r="N7517" s="20" t="n">
        <v>23328</v>
      </c>
      <c r="O7517" s="20" t="inlineStr">
        <is>
          <t>카페24고체향수솔리드퍼퓸 세트향=스테이포에버 002 SOLID PERFUME, 세트 선택=1개210207</t>
        </is>
      </c>
    </row>
    <row r="7518">
      <c r="B7518" s="16" t="n">
        <v>44313</v>
      </c>
      <c r="C7518" s="20" t="inlineStr">
        <is>
          <t>화</t>
        </is>
      </c>
      <c r="E7518" s="20" t="inlineStr">
        <is>
          <t>고체향수</t>
        </is>
      </c>
      <c r="F7518" s="20" t="inlineStr">
        <is>
          <t>카페24</t>
        </is>
      </c>
      <c r="G7518" s="20" t="inlineStr">
        <is>
          <t>솔리드퍼퓸 세트향=스테이포에버 002 SOLID PERFUME, 세트 선택=best 2개 (28% 할인)</t>
        </is>
      </c>
      <c r="H7518" s="20" t="n">
        <v>6</v>
      </c>
      <c r="I7518" s="20" t="inlineStr">
        <is>
          <t>스테이포에버 2set</t>
        </is>
      </c>
      <c r="J7518" s="20" t="inlineStr">
        <is>
          <t>210207</t>
        </is>
      </c>
      <c r="L7518" s="20" t="n">
        <v>352800</v>
      </c>
      <c r="M7518" s="20" t="n">
        <v>332161.2</v>
      </c>
      <c r="N7518" s="20" t="n">
        <v>31104</v>
      </c>
      <c r="O7518" s="20" t="inlineStr">
        <is>
          <t>카페24고체향수솔리드퍼퓸 세트향=스테이포에버 002 SOLID PERFUME, 세트 선택=best 2개 (28% 할인)210207</t>
        </is>
      </c>
    </row>
    <row r="7519">
      <c r="B7519" s="16" t="n">
        <v>44313</v>
      </c>
      <c r="C7519" s="20" t="inlineStr">
        <is>
          <t>화</t>
        </is>
      </c>
      <c r="E7519" s="20" t="inlineStr">
        <is>
          <t>고체향수</t>
        </is>
      </c>
      <c r="F7519" s="20" t="inlineStr">
        <is>
          <t>카페24</t>
        </is>
      </c>
      <c r="G7519" s="20" t="inlineStr">
        <is>
          <t>솔리드퍼퓸 세트향=커플세트(이그나이트 + 스테이포에버), 세트 선택=1 SET</t>
        </is>
      </c>
      <c r="H7519" s="20" t="n">
        <v>12</v>
      </c>
      <c r="I7519" s="20" t="inlineStr">
        <is>
          <t>이그나이트 + 스테이포에버</t>
        </is>
      </c>
      <c r="J7519" s="20" t="inlineStr">
        <is>
          <t>210207</t>
        </is>
      </c>
      <c r="L7519" s="20" t="n">
        <v>705600</v>
      </c>
      <c r="M7519" s="20" t="n">
        <v>664322.3999999999</v>
      </c>
      <c r="N7519" s="20" t="n">
        <v>64140</v>
      </c>
      <c r="O7519" s="20" t="inlineStr">
        <is>
          <t>카페24고체향수솔리드퍼퓸 세트향=커플세트(이그나이트 + 스테이포에버), 세트 선택=1 SET210207</t>
        </is>
      </c>
    </row>
    <row r="7520">
      <c r="B7520" s="16" t="n">
        <v>44313</v>
      </c>
      <c r="C7520" s="20" t="inlineStr">
        <is>
          <t>화</t>
        </is>
      </c>
      <c r="E7520" s="20" t="inlineStr">
        <is>
          <t>고체향수</t>
        </is>
      </c>
      <c r="F7520" s="20" t="inlineStr">
        <is>
          <t>카페24</t>
        </is>
      </c>
      <c r="G7520" s="20" t="inlineStr">
        <is>
          <t>솔리드퍼퓸 세트향=커플세트(이그나이트 + 스테이포에버), 세트 선택=2 SET (42% 할인)</t>
        </is>
      </c>
      <c r="H7520" s="20" t="n">
        <v>2</v>
      </c>
      <c r="I7520" s="20" t="inlineStr">
        <is>
          <t>이그나이트 + 스테이포에버</t>
        </is>
      </c>
      <c r="J7520" s="20" t="inlineStr">
        <is>
          <t>210207</t>
        </is>
      </c>
      <c r="L7520" s="20" t="n">
        <v>117600</v>
      </c>
      <c r="M7520" s="20" t="n">
        <v>110720.4</v>
      </c>
      <c r="N7520" s="20" t="n">
        <v>10690</v>
      </c>
      <c r="O7520" s="20" t="inlineStr">
        <is>
          <t>카페24고체향수솔리드퍼퓸 세트향=커플세트(이그나이트 + 스테이포에버), 세트 선택=2 SET (42% 할인)210207</t>
        </is>
      </c>
    </row>
    <row r="7521">
      <c r="B7521" s="16" t="n">
        <v>44313</v>
      </c>
      <c r="C7521" s="20" t="inlineStr">
        <is>
          <t>화</t>
        </is>
      </c>
      <c r="E7521" s="20" t="inlineStr">
        <is>
          <t>고체향수</t>
        </is>
      </c>
      <c r="F7521" s="20" t="inlineStr">
        <is>
          <t>카페24</t>
        </is>
      </c>
      <c r="G7521" s="20" t="inlineStr">
        <is>
          <t>솔리드퍼퓸 스테이포에버 002제품선택=스테이포에버 1개</t>
        </is>
      </c>
      <c r="H7521" s="20" t="n">
        <v>172</v>
      </c>
      <c r="I7521" s="20" t="inlineStr">
        <is>
          <t>스테이포에버</t>
        </is>
      </c>
      <c r="J7521" s="20" t="inlineStr">
        <is>
          <t>210207</t>
        </is>
      </c>
      <c r="L7521" s="20" t="n">
        <v>5848000</v>
      </c>
      <c r="M7521" s="20" t="n">
        <v>5505892</v>
      </c>
      <c r="N7521" s="20" t="n">
        <v>445824</v>
      </c>
      <c r="O7521" s="20" t="inlineStr">
        <is>
          <t>카페24고체향수솔리드퍼퓸 스테이포에버 002제품선택=스테이포에버 1개210207</t>
        </is>
      </c>
    </row>
    <row r="7522">
      <c r="B7522" s="16" t="n">
        <v>44313</v>
      </c>
      <c r="C7522" s="20" t="inlineStr">
        <is>
          <t>화</t>
        </is>
      </c>
      <c r="E7522" s="20" t="inlineStr">
        <is>
          <t>고체향수</t>
        </is>
      </c>
      <c r="F7522" s="20" t="inlineStr">
        <is>
          <t>카페24</t>
        </is>
      </c>
      <c r="G7522" s="20" t="inlineStr">
        <is>
          <t>솔리드퍼퓸 스테이포에버 002제품선택=best스테이포에버 2개[28% 할인]</t>
        </is>
      </c>
      <c r="H7522" s="20" t="n">
        <v>138</v>
      </c>
      <c r="I7522" s="20" t="inlineStr">
        <is>
          <t>스테이포에버 2set</t>
        </is>
      </c>
      <c r="J7522" s="20" t="inlineStr">
        <is>
          <t>210207</t>
        </is>
      </c>
      <c r="L7522" s="20" t="n">
        <v>8114400</v>
      </c>
      <c r="M7522" s="20" t="n">
        <v>7639707.6</v>
      </c>
      <c r="N7522" s="20" t="n">
        <v>715392</v>
      </c>
      <c r="O7522" s="20" t="inlineStr">
        <is>
          <t>카페24고체향수솔리드퍼퓸 스테이포에버 002제품선택=best스테이포에버 2개[28% 할인]210207</t>
        </is>
      </c>
    </row>
    <row r="7523">
      <c r="B7523" s="16" t="n">
        <v>44313</v>
      </c>
      <c r="C7523" s="20" t="inlineStr">
        <is>
          <t>화</t>
        </is>
      </c>
      <c r="E7523" s="20" t="inlineStr">
        <is>
          <t>고체향수</t>
        </is>
      </c>
      <c r="F7523" s="20" t="inlineStr">
        <is>
          <t>카페24</t>
        </is>
      </c>
      <c r="G7523" s="20" t="inlineStr">
        <is>
          <t>솔리드퍼퓸 스테이포에버 002제품선택=커플추천스테이포에버 + 이그나이트 세트</t>
        </is>
      </c>
      <c r="H7523" s="20" t="n">
        <v>10</v>
      </c>
      <c r="I7523" s="20" t="inlineStr">
        <is>
          <t>이그나이트 + 스테이포에버</t>
        </is>
      </c>
      <c r="J7523" s="20" t="inlineStr">
        <is>
          <t>210207</t>
        </is>
      </c>
      <c r="L7523" s="20" t="n">
        <v>588000</v>
      </c>
      <c r="M7523" s="20" t="n">
        <v>553602</v>
      </c>
      <c r="N7523" s="20" t="n">
        <v>53450</v>
      </c>
      <c r="O7523" s="20" t="inlineStr">
        <is>
          <t>카페24고체향수솔리드퍼퓸 스테이포에버 002제품선택=커플추천스테이포에버 + 이그나이트 세트210207</t>
        </is>
      </c>
    </row>
    <row r="7524">
      <c r="B7524" s="16" t="n">
        <v>44313</v>
      </c>
      <c r="C7524" s="20" t="inlineStr">
        <is>
          <t>화</t>
        </is>
      </c>
      <c r="E7524" s="20" t="inlineStr">
        <is>
          <t>쇼핑백</t>
        </is>
      </c>
      <c r="F7524" s="20" t="inlineStr">
        <is>
          <t>카페24</t>
        </is>
      </c>
      <c r="G7524" s="20" t="inlineStr">
        <is>
          <t>솔리드퍼퓸 스테이포에버 002쇼핑백=선물용 쇼핑백</t>
        </is>
      </c>
      <c r="H7524" s="20" t="n">
        <v>6</v>
      </c>
      <c r="I7524" s="20" t="inlineStr">
        <is>
          <t>쇼핑백</t>
        </is>
      </c>
      <c r="J7524" s="20" t="inlineStr">
        <is>
          <t>210207</t>
        </is>
      </c>
      <c r="L7524" s="20" t="n">
        <v>12000</v>
      </c>
      <c r="M7524" s="20" t="n">
        <v>11298</v>
      </c>
      <c r="N7524" s="20" t="n">
        <v>4980</v>
      </c>
      <c r="O7524" s="20" t="inlineStr">
        <is>
          <t>카페24쇼핑백솔리드퍼퓸 스테이포에버 002쇼핑백=선물용 쇼핑백210207</t>
        </is>
      </c>
    </row>
    <row r="7525">
      <c r="B7525" s="16" t="n">
        <v>44313</v>
      </c>
      <c r="C7525" s="20" t="inlineStr">
        <is>
          <t>화</t>
        </is>
      </c>
      <c r="E7525" s="20" t="inlineStr">
        <is>
          <t>고체향수</t>
        </is>
      </c>
      <c r="F7525" s="20" t="inlineStr">
        <is>
          <t>카페24</t>
        </is>
      </c>
      <c r="G7525" s="20" t="inlineStr">
        <is>
          <t>솔리드퍼퓸 이그나이트 001제품선택=이그나이트 솔리드퍼퓸 - 30ml</t>
        </is>
      </c>
      <c r="H7525" s="20" t="n">
        <v>8</v>
      </c>
      <c r="I7525" s="20" t="inlineStr">
        <is>
          <t>이그나이트</t>
        </is>
      </c>
      <c r="J7525" s="20" t="inlineStr">
        <is>
          <t>210207</t>
        </is>
      </c>
      <c r="L7525" s="20" t="n">
        <v>272000</v>
      </c>
      <c r="M7525" s="20" t="n">
        <v>256088</v>
      </c>
      <c r="N7525" s="20" t="n">
        <v>22024</v>
      </c>
      <c r="O7525" s="20" t="inlineStr">
        <is>
          <t>카페24고체향수솔리드퍼퓸 이그나이트 001제품선택=이그나이트 솔리드퍼퓸 - 30ml210207</t>
        </is>
      </c>
    </row>
    <row r="7526">
      <c r="B7526" s="16" t="n">
        <v>44313</v>
      </c>
      <c r="C7526" s="20" t="inlineStr">
        <is>
          <t>화</t>
        </is>
      </c>
      <c r="E7526" s="20" t="inlineStr">
        <is>
          <t>고체향수</t>
        </is>
      </c>
      <c r="F7526" s="20" t="inlineStr">
        <is>
          <t>카페24</t>
        </is>
      </c>
      <c r="G7526" s="20" t="inlineStr">
        <is>
          <t>솔리드퍼퓸 이그나이트 001제품선택=이그나이트 2개 세트</t>
        </is>
      </c>
      <c r="H7526" s="20" t="n">
        <v>2</v>
      </c>
      <c r="I7526" s="20" t="inlineStr">
        <is>
          <t>이그나이트 2set</t>
        </is>
      </c>
      <c r="J7526" s="20" t="inlineStr">
        <is>
          <t>210207</t>
        </is>
      </c>
      <c r="L7526" s="20" t="n">
        <v>117600</v>
      </c>
      <c r="M7526" s="20" t="n">
        <v>110720.4</v>
      </c>
      <c r="N7526" s="20" t="n">
        <v>11012</v>
      </c>
      <c r="O7526" s="20" t="inlineStr">
        <is>
          <t>카페24고체향수솔리드퍼퓸 이그나이트 001제품선택=이그나이트 2개 세트210207</t>
        </is>
      </c>
    </row>
    <row r="7527">
      <c r="A7527" s="20" t="inlineStr">
        <is>
          <t>고체향수</t>
        </is>
      </c>
      <c r="B7527" s="16" t="n">
        <v>44313</v>
      </c>
      <c r="C7527" s="20" t="inlineStr">
        <is>
          <t>화</t>
        </is>
      </c>
      <c r="D7527" s="20" t="inlineStr">
        <is>
          <t>네이버 배너</t>
        </is>
      </c>
      <c r="E7527" s="20" t="inlineStr">
        <is>
          <t>고체향수</t>
        </is>
      </c>
      <c r="K7527" s="20" t="n">
        <v>859980.9090909091</v>
      </c>
    </row>
    <row r="7528">
      <c r="B7528" s="16" t="n">
        <v>44313</v>
      </c>
      <c r="C7528" s="20" t="inlineStr">
        <is>
          <t>화</t>
        </is>
      </c>
      <c r="D7528" s="20" t="inlineStr">
        <is>
          <t>네이버 배너(대행사)</t>
        </is>
      </c>
      <c r="E7528" s="20" t="inlineStr">
        <is>
          <t>고체향수</t>
        </is>
      </c>
      <c r="K7528" s="20">
        <f>520785/1.1</f>
        <v/>
      </c>
    </row>
    <row r="7529">
      <c r="B7529" s="16" t="n">
        <v>44313</v>
      </c>
      <c r="C7529" s="20" t="inlineStr">
        <is>
          <t>화</t>
        </is>
      </c>
      <c r="E7529" s="20">
        <f>INDEX(매칭테이블!C:C,MATCH(RD!G7529,매칭테이블!D:D,0))</f>
        <v/>
      </c>
      <c r="F7529" s="20" t="inlineStr">
        <is>
          <t>올리브영</t>
        </is>
      </c>
      <c r="G7529" s="20" t="inlineStr">
        <is>
          <t>유즈 솔리드퍼퓸 001 이그나이트 30ml 30600 온라인</t>
        </is>
      </c>
      <c r="H7529" s="20" t="n">
        <v>113</v>
      </c>
      <c r="I7529" s="20">
        <f>VLOOKUP(G7529,매칭테이블!D:E,2,0)</f>
        <v/>
      </c>
      <c r="J7529" s="20" t="inlineStr">
        <is>
          <t>210207</t>
        </is>
      </c>
      <c r="L7529" s="20">
        <f>VLOOKUP($O7529,매칭테이블!$G:$J,2,0)*H7529</f>
        <v/>
      </c>
      <c r="M7529" s="20">
        <f>L7529-L7529*VLOOKUP($O7529,매칭테이블!$G:$J,3,0)</f>
        <v/>
      </c>
      <c r="N7529" s="20">
        <f>VLOOKUP($O7529,매칭테이블!$G:$J,4,0)*H7529</f>
        <v/>
      </c>
      <c r="O7529" s="20">
        <f>F7529&amp;E7529&amp;G7529&amp;J7529</f>
        <v/>
      </c>
    </row>
    <row r="7530">
      <c r="B7530" s="16" t="n">
        <v>44313</v>
      </c>
      <c r="C7530" s="20" t="inlineStr">
        <is>
          <t>화</t>
        </is>
      </c>
      <c r="E7530" s="20">
        <f>INDEX(매칭테이블!C:C,MATCH(RD!G7530,매칭테이블!D:D,0))</f>
        <v/>
      </c>
      <c r="F7530" s="20" t="inlineStr">
        <is>
          <t>올리브영</t>
        </is>
      </c>
      <c r="G7530" s="20" t="inlineStr">
        <is>
          <t>유즈 솔리드퍼퓸 002 스테이포에버 30ml 30600 온라인</t>
        </is>
      </c>
      <c r="H7530" s="20" t="n">
        <v>1</v>
      </c>
      <c r="I7530" s="20">
        <f>VLOOKUP(G7530,매칭테이블!D:E,2,0)</f>
        <v/>
      </c>
      <c r="J7530" s="20" t="inlineStr">
        <is>
          <t>210207</t>
        </is>
      </c>
      <c r="L7530" s="20">
        <f>VLOOKUP($O7530,매칭테이블!$G:$J,2,0)*H7530</f>
        <v/>
      </c>
      <c r="M7530" s="20">
        <f>L7530-L7530*VLOOKUP($O7530,매칭테이블!$G:$J,3,0)</f>
        <v/>
      </c>
      <c r="N7530" s="20">
        <f>VLOOKUP($O7530,매칭테이블!$G:$J,4,0)*H7530</f>
        <v/>
      </c>
      <c r="O7530" s="20">
        <f>F7530&amp;E7530&amp;G7530&amp;J7530</f>
        <v/>
      </c>
    </row>
    <row r="7531">
      <c r="B7531" s="16" t="n">
        <v>44313</v>
      </c>
      <c r="C7531" s="20" t="inlineStr">
        <is>
          <t>화</t>
        </is>
      </c>
      <c r="D7531" s="20" t="inlineStr">
        <is>
          <t>카카오 배너</t>
        </is>
      </c>
      <c r="E7531" s="20" t="inlineStr">
        <is>
          <t>고체향수</t>
        </is>
      </c>
      <c r="K7531" s="20">
        <f>676082/1.1</f>
        <v/>
      </c>
    </row>
    <row r="7532">
      <c r="A7532" s="20" t="inlineStr">
        <is>
          <t>[승은 TEST] 스테이포에버</t>
        </is>
      </c>
      <c r="B7532" s="16" t="n">
        <v>44314</v>
      </c>
      <c r="C7532" s="20" t="inlineStr">
        <is>
          <t>수</t>
        </is>
      </c>
      <c r="D7532" s="20" t="inlineStr">
        <is>
          <t>페이스북/인스타그램</t>
        </is>
      </c>
      <c r="E7532" s="20" t="inlineStr">
        <is>
          <t>고체향수</t>
        </is>
      </c>
      <c r="K7532" s="20" t="n">
        <v>63438</v>
      </c>
    </row>
    <row r="7533">
      <c r="A7533" s="20" t="inlineStr">
        <is>
          <t>[수현 TEST] 솔리드퍼퓸_이미지</t>
        </is>
      </c>
      <c r="B7533" s="16" t="n">
        <v>44314</v>
      </c>
      <c r="C7533" s="20" t="inlineStr">
        <is>
          <t>수</t>
        </is>
      </c>
      <c r="D7533" s="20" t="inlineStr">
        <is>
          <t>페이스북/인스타그램</t>
        </is>
      </c>
      <c r="E7533" s="20" t="inlineStr">
        <is>
          <t>고체향수</t>
        </is>
      </c>
      <c r="K7533" s="20" t="n">
        <v>39328</v>
      </c>
    </row>
    <row r="7534">
      <c r="A7534" s="20" t="inlineStr">
        <is>
          <t>[비누향 인연] 스테이포에버_카드뉴스</t>
        </is>
      </c>
      <c r="B7534" s="16" t="n">
        <v>44314</v>
      </c>
      <c r="C7534" s="20" t="inlineStr">
        <is>
          <t>수</t>
        </is>
      </c>
      <c r="D7534" s="20" t="inlineStr">
        <is>
          <t>페이스북/인스타그램</t>
        </is>
      </c>
      <c r="E7534" s="20" t="inlineStr">
        <is>
          <t>고체향수</t>
        </is>
      </c>
      <c r="K7534" s="20" t="n">
        <v>153949</v>
      </c>
    </row>
    <row r="7535">
      <c r="A7535" s="20" t="inlineStr">
        <is>
          <t>[성민 TEST] 솔리드퍼퓸_이미지</t>
        </is>
      </c>
      <c r="B7535" s="16" t="n">
        <v>44314</v>
      </c>
      <c r="C7535" s="20" t="inlineStr">
        <is>
          <t>수</t>
        </is>
      </c>
      <c r="D7535" s="20" t="inlineStr">
        <is>
          <t>페이스북/인스타그램</t>
        </is>
      </c>
      <c r="E7535" s="20" t="inlineStr">
        <is>
          <t>고체향수</t>
        </is>
      </c>
      <c r="K7535" s="20" t="n">
        <v>67556</v>
      </c>
    </row>
    <row r="7536">
      <c r="A7536" s="20" t="inlineStr">
        <is>
          <t>[승무원]유튜브_스테이포에버_카드뉴스</t>
        </is>
      </c>
      <c r="B7536" s="16" t="n">
        <v>44314</v>
      </c>
      <c r="C7536" s="20" t="inlineStr">
        <is>
          <t>수</t>
        </is>
      </c>
      <c r="D7536" s="20" t="inlineStr">
        <is>
          <t>페이스북/인스타그램</t>
        </is>
      </c>
      <c r="E7536" s="20" t="inlineStr">
        <is>
          <t>고체향수</t>
        </is>
      </c>
      <c r="K7536" s="20" t="n">
        <v>50302</v>
      </c>
    </row>
    <row r="7537">
      <c r="A7537" s="20" t="inlineStr">
        <is>
          <t>[올리브영] 이그나이트_영상</t>
        </is>
      </c>
      <c r="B7537" s="16" t="n">
        <v>44314</v>
      </c>
      <c r="C7537" s="20" t="inlineStr">
        <is>
          <t>수</t>
        </is>
      </c>
      <c r="D7537" s="20" t="inlineStr">
        <is>
          <t>페이스북/인스타그램</t>
        </is>
      </c>
      <c r="E7537" s="20" t="inlineStr">
        <is>
          <t>고체향수</t>
        </is>
      </c>
      <c r="K7537" s="20" t="n">
        <v>28491</v>
      </c>
    </row>
    <row r="7538">
      <c r="A7538" s="20" t="inlineStr">
        <is>
          <t>[승희 TEST] 솔리드퍼퓸_이미지</t>
        </is>
      </c>
      <c r="B7538" s="16" t="n">
        <v>44314</v>
      </c>
      <c r="C7538" s="20" t="inlineStr">
        <is>
          <t>수</t>
        </is>
      </c>
      <c r="D7538" s="20" t="inlineStr">
        <is>
          <t>페이스북/인스타그램</t>
        </is>
      </c>
      <c r="E7538" s="20" t="inlineStr">
        <is>
          <t>고체향수</t>
        </is>
      </c>
      <c r="K7538" s="20" t="n">
        <v>126633</v>
      </c>
    </row>
    <row r="7539">
      <c r="A7539" s="20" t="inlineStr">
        <is>
          <t>[올리브영] 스테이포에버_영상</t>
        </is>
      </c>
      <c r="B7539" s="16" t="n">
        <v>44314</v>
      </c>
      <c r="C7539" s="20" t="inlineStr">
        <is>
          <t>수</t>
        </is>
      </c>
      <c r="D7539" s="20" t="inlineStr">
        <is>
          <t>페이스북/인스타그램</t>
        </is>
      </c>
      <c r="E7539" s="20" t="inlineStr">
        <is>
          <t>고체향수</t>
        </is>
      </c>
      <c r="K7539" s="20" t="n">
        <v>48067</v>
      </c>
    </row>
    <row r="7540">
      <c r="A7540" s="20" t="inlineStr">
        <is>
          <t>[올리브영] 스테이포에버_이미지</t>
        </is>
      </c>
      <c r="B7540" s="16" t="n">
        <v>44314</v>
      </c>
      <c r="C7540" s="20" t="inlineStr">
        <is>
          <t>수</t>
        </is>
      </c>
      <c r="D7540" s="20" t="inlineStr">
        <is>
          <t>페이스북/인스타그램</t>
        </is>
      </c>
      <c r="E7540" s="20" t="inlineStr">
        <is>
          <t>고체향수</t>
        </is>
      </c>
      <c r="K7540" s="20" t="n">
        <v>29171</v>
      </c>
    </row>
    <row r="7541">
      <c r="A7541" s="20" t="inlineStr">
        <is>
          <t>[승무원] 유튜브재편집_스테이포에버_영상</t>
        </is>
      </c>
      <c r="B7541" s="16" t="n">
        <v>44314</v>
      </c>
      <c r="C7541" s="20" t="inlineStr">
        <is>
          <t>수</t>
        </is>
      </c>
      <c r="D7541" s="20" t="inlineStr">
        <is>
          <t>페이스북/인스타그램</t>
        </is>
      </c>
      <c r="E7541" s="20" t="inlineStr">
        <is>
          <t>고체향수</t>
        </is>
      </c>
      <c r="K7541" s="20" t="n">
        <v>705562</v>
      </c>
    </row>
    <row r="7542">
      <c r="A7542" s="20" t="inlineStr">
        <is>
          <t>[승무원 면세점] 스테이포에버_카드뉴스</t>
        </is>
      </c>
      <c r="B7542" s="16" t="n">
        <v>44314</v>
      </c>
      <c r="C7542" s="20" t="inlineStr">
        <is>
          <t>수</t>
        </is>
      </c>
      <c r="D7542" s="20" t="inlineStr">
        <is>
          <t>페이스북/인스타그램</t>
        </is>
      </c>
      <c r="E7542" s="20" t="inlineStr">
        <is>
          <t>고체향수</t>
        </is>
      </c>
      <c r="K7542" s="20" t="n">
        <v>244019</v>
      </c>
    </row>
    <row r="7543">
      <c r="A7543" s="20" t="inlineStr">
        <is>
          <t>[카페알바] 스테이포에버_카드뉴스</t>
        </is>
      </c>
      <c r="B7543" s="16" t="n">
        <v>44314</v>
      </c>
      <c r="C7543" s="20" t="inlineStr">
        <is>
          <t>수</t>
        </is>
      </c>
      <c r="D7543" s="20" t="inlineStr">
        <is>
          <t>페이스북/인스타그램</t>
        </is>
      </c>
      <c r="E7543" s="20" t="inlineStr">
        <is>
          <t>고체향수</t>
        </is>
      </c>
      <c r="K7543" s="20" t="n">
        <v>95730</v>
      </c>
    </row>
    <row r="7544">
      <c r="A7544" s="20" t="inlineStr">
        <is>
          <t>[아줌마]스테이포에버_이미지</t>
        </is>
      </c>
      <c r="B7544" s="16" t="n">
        <v>44314</v>
      </c>
      <c r="C7544" s="20" t="inlineStr">
        <is>
          <t>수</t>
        </is>
      </c>
      <c r="D7544" s="20" t="inlineStr">
        <is>
          <t>페이스북/인스타그램</t>
        </is>
      </c>
      <c r="E7544" s="20" t="inlineStr">
        <is>
          <t>고체향수</t>
        </is>
      </c>
      <c r="K7544" s="20" t="n">
        <v>49844</v>
      </c>
    </row>
    <row r="7545">
      <c r="A7545" s="20" t="inlineStr">
        <is>
          <t>[다양한 키워드] 스테이포에버_이미지</t>
        </is>
      </c>
      <c r="B7545" s="16" t="n">
        <v>44314</v>
      </c>
      <c r="C7545" s="20" t="inlineStr">
        <is>
          <t>수</t>
        </is>
      </c>
      <c r="D7545" s="20" t="inlineStr">
        <is>
          <t>페이스북/인스타그램</t>
        </is>
      </c>
      <c r="E7545" s="20" t="inlineStr">
        <is>
          <t>고체향수</t>
        </is>
      </c>
      <c r="K7545" s="20" t="n">
        <v>148542</v>
      </c>
    </row>
    <row r="7546">
      <c r="A7546" s="20" t="inlineStr">
        <is>
          <t>[재입고]스테이포에버_이미지</t>
        </is>
      </c>
      <c r="B7546" s="16" t="n">
        <v>44314</v>
      </c>
      <c r="C7546" s="20" t="inlineStr">
        <is>
          <t>수</t>
        </is>
      </c>
      <c r="D7546" s="20" t="inlineStr">
        <is>
          <t>페이스북/인스타그램</t>
        </is>
      </c>
      <c r="E7546" s="20" t="inlineStr">
        <is>
          <t>고체향수</t>
        </is>
      </c>
      <c r="K7546" s="20" t="n">
        <v>28874</v>
      </c>
    </row>
    <row r="7547">
      <c r="A7547" s="20" t="inlineStr">
        <is>
          <t>[승무원]숏폼_영상</t>
        </is>
      </c>
      <c r="B7547" s="16" t="n">
        <v>44314</v>
      </c>
      <c r="C7547" s="20" t="inlineStr">
        <is>
          <t>수</t>
        </is>
      </c>
      <c r="D7547" s="20" t="inlineStr">
        <is>
          <t>페이스북/인스타그램</t>
        </is>
      </c>
      <c r="E7547" s="20" t="inlineStr">
        <is>
          <t>고체향수</t>
        </is>
      </c>
      <c r="K7547" s="20" t="n">
        <v>49000</v>
      </c>
    </row>
    <row r="7548">
      <c r="A7548" s="20" t="inlineStr">
        <is>
          <t>[재입고]스테이포에버_영상</t>
        </is>
      </c>
      <c r="B7548" s="16" t="n">
        <v>44314</v>
      </c>
      <c r="C7548" s="20" t="inlineStr">
        <is>
          <t>수</t>
        </is>
      </c>
      <c r="D7548" s="20" t="inlineStr">
        <is>
          <t>페이스북/인스타그램</t>
        </is>
      </c>
      <c r="E7548" s="20" t="inlineStr">
        <is>
          <t>고체향수</t>
        </is>
      </c>
      <c r="K7548" s="20" t="n">
        <v>197475</v>
      </c>
    </row>
    <row r="7549">
      <c r="A7549" s="20" t="inlineStr">
        <is>
          <t>웹사이트 트래픽 서치</t>
        </is>
      </c>
      <c r="B7549" s="16" t="n">
        <v>44314</v>
      </c>
      <c r="C7549" s="20" t="inlineStr">
        <is>
          <t>수</t>
        </is>
      </c>
      <c r="D7549" s="20" t="inlineStr">
        <is>
          <t>유튜브 광고</t>
        </is>
      </c>
      <c r="E7549" s="20" t="inlineStr">
        <is>
          <t>고체향수</t>
        </is>
      </c>
      <c r="K7549" s="20" t="n">
        <v>27755</v>
      </c>
    </row>
    <row r="7550">
      <c r="A7550" s="20" t="inlineStr">
        <is>
          <t>동영상캠페인_승무원_보이는 라디오(cpa)</t>
        </is>
      </c>
      <c r="B7550" s="16" t="n">
        <v>44314</v>
      </c>
      <c r="C7550" s="20" t="inlineStr">
        <is>
          <t>수</t>
        </is>
      </c>
      <c r="D7550" s="20" t="inlineStr">
        <is>
          <t>유튜브 광고</t>
        </is>
      </c>
      <c r="E7550" s="20" t="inlineStr">
        <is>
          <t>고체향수</t>
        </is>
      </c>
      <c r="K7550" s="20" t="n">
        <v>199953</v>
      </c>
    </row>
    <row r="7551">
      <c r="A7551" s="20" t="inlineStr">
        <is>
          <t>디스커버리 배너_승무원,할인_리마케팅</t>
        </is>
      </c>
      <c r="B7551" s="16" t="n">
        <v>44314</v>
      </c>
      <c r="C7551" s="20" t="inlineStr">
        <is>
          <t>수</t>
        </is>
      </c>
      <c r="D7551" s="20" t="inlineStr">
        <is>
          <t>유튜브 광고</t>
        </is>
      </c>
      <c r="E7551" s="20" t="inlineStr">
        <is>
          <t>고체향수</t>
        </is>
      </c>
      <c r="K7551" s="20" t="n">
        <v>391274</v>
      </c>
    </row>
    <row r="7552">
      <c r="A7552" s="20" t="inlineStr">
        <is>
          <t>동영상캠페인_승무원_써니스카이</t>
        </is>
      </c>
      <c r="B7552" s="16" t="n">
        <v>44314</v>
      </c>
      <c r="C7552" s="20" t="inlineStr">
        <is>
          <t>수</t>
        </is>
      </c>
      <c r="D7552" s="20" t="inlineStr">
        <is>
          <t>유튜브 광고</t>
        </is>
      </c>
      <c r="E7552" s="20" t="inlineStr">
        <is>
          <t>고체향수</t>
        </is>
      </c>
      <c r="K7552" s="20" t="n">
        <v>103074</v>
      </c>
    </row>
    <row r="7553">
      <c r="A7553" s="20" t="inlineStr">
        <is>
          <t>동영상캠페인_필라테스_자기관리(타겟 cpa)</t>
        </is>
      </c>
      <c r="B7553" s="16" t="n">
        <v>44314</v>
      </c>
      <c r="C7553" s="20" t="inlineStr">
        <is>
          <t>수</t>
        </is>
      </c>
      <c r="D7553" s="20" t="inlineStr">
        <is>
          <t>유튜브 광고</t>
        </is>
      </c>
      <c r="E7553" s="20" t="inlineStr">
        <is>
          <t>고체향수</t>
        </is>
      </c>
      <c r="K7553" s="20" t="n">
        <v>8363</v>
      </c>
    </row>
    <row r="7554">
      <c r="A7554" s="20" t="inlineStr">
        <is>
          <t>[5화자] 동영상 캠페인_벨라의 비행일기</t>
        </is>
      </c>
      <c r="B7554" s="16" t="n">
        <v>44314</v>
      </c>
      <c r="C7554" s="20" t="inlineStr">
        <is>
          <t>수</t>
        </is>
      </c>
      <c r="D7554" s="20" t="inlineStr">
        <is>
          <t>유튜브 광고</t>
        </is>
      </c>
      <c r="E7554" s="20" t="inlineStr">
        <is>
          <t>고체향수</t>
        </is>
      </c>
      <c r="K7554" s="20" t="n">
        <v>380286</v>
      </c>
    </row>
    <row r="7555">
      <c r="A7555" s="20" t="inlineStr">
        <is>
          <t>[5화자] 동영상 캠페인_비행하고 여행하는 은선씨</t>
        </is>
      </c>
      <c r="B7555" s="16" t="n">
        <v>44314</v>
      </c>
      <c r="C7555" s="20" t="inlineStr">
        <is>
          <t>수</t>
        </is>
      </c>
      <c r="D7555" s="20" t="inlineStr">
        <is>
          <t>유튜브 광고</t>
        </is>
      </c>
      <c r="E7555" s="20" t="inlineStr">
        <is>
          <t>고체향수</t>
        </is>
      </c>
      <c r="K7555" s="20" t="n">
        <v>300036</v>
      </c>
    </row>
    <row r="7556">
      <c r="A7556" s="20" t="inlineStr">
        <is>
          <t>[5화자 재편집] 승무원_벨라_면세점에서 천만원</t>
        </is>
      </c>
      <c r="B7556" s="16" t="n">
        <v>44314</v>
      </c>
      <c r="C7556" s="20" t="inlineStr">
        <is>
          <t>수</t>
        </is>
      </c>
      <c r="D7556" s="20" t="inlineStr">
        <is>
          <t>유튜브 광고</t>
        </is>
      </c>
      <c r="E7556" s="20" t="inlineStr">
        <is>
          <t>고체향수</t>
        </is>
      </c>
      <c r="K7556" s="20" t="n">
        <v>400023</v>
      </c>
    </row>
    <row r="7557">
      <c r="A7557" s="20" t="inlineStr">
        <is>
          <t>동영상캠페인_유즈모먼트_면세점뒤졌는데</t>
        </is>
      </c>
      <c r="B7557" s="16" t="n">
        <v>44314</v>
      </c>
      <c r="C7557" s="20" t="inlineStr">
        <is>
          <t>수</t>
        </is>
      </c>
      <c r="D7557" s="20" t="inlineStr">
        <is>
          <t>유튜브 광고</t>
        </is>
      </c>
      <c r="E7557" s="20" t="inlineStr">
        <is>
          <t>고체향수</t>
        </is>
      </c>
      <c r="K7557" s="20" t="n">
        <v>399982</v>
      </c>
    </row>
    <row r="7558">
      <c r="A7558" s="20" t="inlineStr">
        <is>
          <t>메인키워드</t>
        </is>
      </c>
      <c r="B7558" s="16" t="n">
        <v>44314</v>
      </c>
      <c r="C7558" s="20" t="inlineStr">
        <is>
          <t>수</t>
        </is>
      </c>
      <c r="D7558" s="20" t="inlineStr">
        <is>
          <t>네이버 쇼핑검색</t>
        </is>
      </c>
      <c r="E7558" s="20" t="inlineStr">
        <is>
          <t>고체향수</t>
        </is>
      </c>
      <c r="K7558" s="20" t="n">
        <v>14350</v>
      </c>
    </row>
    <row r="7559">
      <c r="A7559" s="20" t="inlineStr">
        <is>
          <t>세부키워드1</t>
        </is>
      </c>
      <c r="B7559" s="16" t="n">
        <v>44314</v>
      </c>
      <c r="C7559" s="20" t="inlineStr">
        <is>
          <t>수</t>
        </is>
      </c>
      <c r="D7559" s="20" t="inlineStr">
        <is>
          <t>네이버 쇼핑검색</t>
        </is>
      </c>
      <c r="E7559" s="20" t="inlineStr">
        <is>
          <t>고체향수</t>
        </is>
      </c>
      <c r="K7559" s="20" t="n">
        <v>0</v>
      </c>
    </row>
    <row r="7560">
      <c r="A7560" s="20" t="inlineStr">
        <is>
          <t>세부키워드3</t>
        </is>
      </c>
      <c r="B7560" s="16" t="n">
        <v>44314</v>
      </c>
      <c r="C7560" s="20" t="inlineStr">
        <is>
          <t>수</t>
        </is>
      </c>
      <c r="D7560" s="20" t="inlineStr">
        <is>
          <t>네이버 쇼핑검색</t>
        </is>
      </c>
      <c r="E7560" s="20" t="inlineStr">
        <is>
          <t>고체향수</t>
        </is>
      </c>
      <c r="K7560" s="20" t="n">
        <v>122070</v>
      </c>
    </row>
    <row r="7561">
      <c r="A7561" s="20" t="inlineStr">
        <is>
          <t>모바일 브검</t>
        </is>
      </c>
      <c r="B7561" s="16" t="n">
        <v>44314</v>
      </c>
      <c r="C7561" s="20" t="inlineStr">
        <is>
          <t>수</t>
        </is>
      </c>
      <c r="D7561" s="20" t="inlineStr">
        <is>
          <t>네이버 브랜드검색</t>
        </is>
      </c>
      <c r="E7561" s="20" t="inlineStr">
        <is>
          <t>브랜드</t>
        </is>
      </c>
      <c r="K7561" s="20" t="n">
        <v>88000</v>
      </c>
    </row>
    <row r="7562">
      <c r="A7562" s="20" t="inlineStr">
        <is>
          <t>PC 브랜드검색</t>
        </is>
      </c>
      <c r="B7562" s="16" t="n">
        <v>44314</v>
      </c>
      <c r="C7562" s="20" t="inlineStr">
        <is>
          <t>수</t>
        </is>
      </c>
      <c r="D7562" s="20" t="inlineStr">
        <is>
          <t>네이버 브랜드검색</t>
        </is>
      </c>
      <c r="E7562" s="20" t="inlineStr">
        <is>
          <t>브랜드</t>
        </is>
      </c>
      <c r="K7562" s="20" t="n">
        <v>16700</v>
      </c>
    </row>
    <row r="7563">
      <c r="B7563" s="16" t="n">
        <v>44314</v>
      </c>
      <c r="C7563" s="20" t="inlineStr">
        <is>
          <t>수</t>
        </is>
      </c>
      <c r="E7563" s="20" t="inlineStr">
        <is>
          <t>고체향수</t>
        </is>
      </c>
      <c r="F7563" s="20" t="inlineStr">
        <is>
          <t>W컨셉</t>
        </is>
      </c>
      <c r="G7563" s="20" t="inlineStr">
        <is>
          <t>솔리드퍼퓸 이그나이트/스테이포에버 30ml (2종 택1)&lt;옵션1&gt;002 STAY FOREVER</t>
        </is>
      </c>
      <c r="H7563" s="20" t="n">
        <v>2</v>
      </c>
      <c r="I7563" s="20" t="inlineStr">
        <is>
          <t>스테이포에버</t>
        </is>
      </c>
      <c r="J7563" s="20" t="inlineStr">
        <is>
          <t>210207</t>
        </is>
      </c>
      <c r="L7563" s="20" t="n">
        <v>68000</v>
      </c>
      <c r="M7563" s="20" t="n">
        <v>47600</v>
      </c>
      <c r="N7563" s="20" t="n">
        <v>5184</v>
      </c>
      <c r="O7563" s="20" t="inlineStr">
        <is>
          <t>W컨셉고체향수솔리드퍼퓸 이그나이트/스테이포에버 30ml (2종 택1)&lt;옵션1&gt;002 STAY FOREVER210207</t>
        </is>
      </c>
    </row>
    <row r="7564">
      <c r="B7564" s="16" t="n">
        <v>44314</v>
      </c>
      <c r="C7564" s="20" t="inlineStr">
        <is>
          <t>수</t>
        </is>
      </c>
      <c r="E7564" s="20" t="inlineStr">
        <is>
          <t>고체향수</t>
        </is>
      </c>
      <c r="F7564" s="20" t="inlineStr">
        <is>
          <t>스마트스토어</t>
        </is>
      </c>
      <c r="G7564" s="20" t="inlineStr">
        <is>
          <t>유즈 고체향수 세트(유즈 스테이포에버, 유즈 이그나이트)고체향수: 스테이포에버 2개</t>
        </is>
      </c>
      <c r="H7564" s="20" t="n">
        <v>2</v>
      </c>
      <c r="I7564" s="20" t="inlineStr">
        <is>
          <t>스테이포에버 2set</t>
        </is>
      </c>
      <c r="J7564" s="20" t="inlineStr">
        <is>
          <t>210207</t>
        </is>
      </c>
      <c r="L7564" s="20" t="n">
        <v>117600</v>
      </c>
      <c r="M7564" s="20" t="n">
        <v>115248</v>
      </c>
      <c r="N7564" s="20" t="n">
        <v>10368</v>
      </c>
      <c r="O7564" s="20" t="inlineStr">
        <is>
          <t>스마트스토어고체향수유즈 고체향수 세트(유즈 스테이포에버, 유즈 이그나이트)고체향수: 스테이포에버 2개210207</t>
        </is>
      </c>
    </row>
    <row r="7565">
      <c r="B7565" s="16" t="n">
        <v>44314</v>
      </c>
      <c r="C7565" s="20" t="inlineStr">
        <is>
          <t>수</t>
        </is>
      </c>
      <c r="E7565" s="20" t="inlineStr">
        <is>
          <t>고체향수</t>
        </is>
      </c>
      <c r="F7565" s="20" t="inlineStr">
        <is>
          <t>스마트스토어</t>
        </is>
      </c>
      <c r="G7565" s="20" t="inlineStr">
        <is>
          <t>유즈 고체향수 스테이포에버 002고체향수: 스테이포에버 1개</t>
        </is>
      </c>
      <c r="H7565" s="20" t="n">
        <v>19</v>
      </c>
      <c r="I7565" s="20" t="inlineStr">
        <is>
          <t>스테이포에버</t>
        </is>
      </c>
      <c r="J7565" s="20" t="inlineStr">
        <is>
          <t>210207</t>
        </is>
      </c>
      <c r="L7565" s="20" t="n">
        <v>646000</v>
      </c>
      <c r="M7565" s="20" t="n">
        <v>633080</v>
      </c>
      <c r="N7565" s="20" t="n">
        <v>49248</v>
      </c>
      <c r="O7565" s="20" t="inlineStr">
        <is>
          <t>스마트스토어고체향수유즈 고체향수 스테이포에버 002고체향수: 스테이포에버 1개210207</t>
        </is>
      </c>
    </row>
    <row r="7566">
      <c r="B7566" s="16" t="n">
        <v>44314</v>
      </c>
      <c r="C7566" s="20" t="inlineStr">
        <is>
          <t>수</t>
        </is>
      </c>
      <c r="E7566" s="20" t="inlineStr">
        <is>
          <t>고체향수</t>
        </is>
      </c>
      <c r="F7566" s="20" t="inlineStr">
        <is>
          <t>스마트스토어</t>
        </is>
      </c>
      <c r="G7566" s="20" t="inlineStr">
        <is>
          <t>유즈 고체향수 이그나이트 001고체향수: 이그나이트 1개</t>
        </is>
      </c>
      <c r="H7566" s="20" t="n">
        <v>2</v>
      </c>
      <c r="I7566" s="20" t="inlineStr">
        <is>
          <t>이그나이트</t>
        </is>
      </c>
      <c r="J7566" s="20" t="inlineStr">
        <is>
          <t>210207</t>
        </is>
      </c>
      <c r="L7566" s="20" t="n">
        <v>68000</v>
      </c>
      <c r="M7566" s="20" t="n">
        <v>66640</v>
      </c>
      <c r="N7566" s="20" t="n">
        <v>5506</v>
      </c>
      <c r="O7566" s="20" t="inlineStr">
        <is>
          <t>스마트스토어고체향수유즈 고체향수 이그나이트 001고체향수: 이그나이트 1개210207</t>
        </is>
      </c>
    </row>
    <row r="7567">
      <c r="B7567" s="16" t="n">
        <v>44314</v>
      </c>
      <c r="C7567" s="20" t="inlineStr">
        <is>
          <t>수</t>
        </is>
      </c>
      <c r="E7567" s="20" t="inlineStr">
        <is>
          <t>쇼핑백</t>
        </is>
      </c>
      <c r="F7567" s="20" t="inlineStr">
        <is>
          <t>카페24</t>
        </is>
      </c>
      <c r="G7567" s="20" t="inlineStr">
        <is>
          <t>선물용 쇼핑백</t>
        </is>
      </c>
      <c r="H7567" s="20" t="n">
        <v>1</v>
      </c>
      <c r="I7567" s="20" t="inlineStr">
        <is>
          <t>쇼핑백</t>
        </is>
      </c>
      <c r="J7567" s="20" t="inlineStr">
        <is>
          <t>210207</t>
        </is>
      </c>
      <c r="L7567" s="20" t="n">
        <v>2000</v>
      </c>
      <c r="M7567" s="20" t="n">
        <v>1883</v>
      </c>
      <c r="N7567" s="20" t="n">
        <v>830</v>
      </c>
      <c r="O7567" s="20" t="inlineStr">
        <is>
          <t>카페24쇼핑백선물용 쇼핑백210207</t>
        </is>
      </c>
    </row>
    <row r="7568">
      <c r="B7568" s="16" t="n">
        <v>44314</v>
      </c>
      <c r="C7568" s="20" t="inlineStr">
        <is>
          <t>수</t>
        </is>
      </c>
      <c r="E7568" s="20" t="inlineStr">
        <is>
          <t>고체향수</t>
        </is>
      </c>
      <c r="F7568" s="20" t="inlineStr">
        <is>
          <t>카페24</t>
        </is>
      </c>
      <c r="G7568" s="20" t="inlineStr">
        <is>
          <t>솔리드퍼퓸 세트향=이그나이트 001 SOLID PERFUME, 세트 선택=best 2개 (28% 할인)</t>
        </is>
      </c>
      <c r="H7568" s="20" t="n">
        <v>1</v>
      </c>
      <c r="I7568" s="20" t="inlineStr">
        <is>
          <t>이그나이트 2set</t>
        </is>
      </c>
      <c r="J7568" s="20" t="inlineStr">
        <is>
          <t>210207</t>
        </is>
      </c>
      <c r="L7568" s="20" t="n">
        <v>58800</v>
      </c>
      <c r="M7568" s="20" t="n">
        <v>55360.2</v>
      </c>
      <c r="N7568" s="20" t="n">
        <v>5506</v>
      </c>
      <c r="O7568" s="20" t="inlineStr">
        <is>
          <t>카페24고체향수솔리드퍼퓸 세트향=이그나이트 001 SOLID PERFUME, 세트 선택=best 2개 (28% 할인)210207</t>
        </is>
      </c>
    </row>
    <row r="7569">
      <c r="B7569" s="16" t="n">
        <v>44314</v>
      </c>
      <c r="C7569" s="20" t="inlineStr">
        <is>
          <t>수</t>
        </is>
      </c>
      <c r="E7569" s="20" t="inlineStr">
        <is>
          <t>고체향수</t>
        </is>
      </c>
      <c r="F7569" s="20" t="inlineStr">
        <is>
          <t>카페24</t>
        </is>
      </c>
      <c r="G7569" s="20" t="inlineStr">
        <is>
          <t>솔리드퍼퓸 세트향=스테이포에버 002 SOLID PERFUME, 세트 선택=1개</t>
        </is>
      </c>
      <c r="H7569" s="20" t="n">
        <v>3</v>
      </c>
      <c r="I7569" s="20" t="inlineStr">
        <is>
          <t>스테이포에버</t>
        </is>
      </c>
      <c r="J7569" s="20" t="inlineStr">
        <is>
          <t>210207</t>
        </is>
      </c>
      <c r="L7569" s="20" t="n">
        <v>102000</v>
      </c>
      <c r="M7569" s="20" t="n">
        <v>96033</v>
      </c>
      <c r="N7569" s="20" t="n">
        <v>7776</v>
      </c>
      <c r="O7569" s="20" t="inlineStr">
        <is>
          <t>카페24고체향수솔리드퍼퓸 세트향=스테이포에버 002 SOLID PERFUME, 세트 선택=1개210207</t>
        </is>
      </c>
    </row>
    <row r="7570">
      <c r="B7570" s="16" t="n">
        <v>44314</v>
      </c>
      <c r="C7570" s="20" t="inlineStr">
        <is>
          <t>수</t>
        </is>
      </c>
      <c r="E7570" s="20" t="inlineStr">
        <is>
          <t>고체향수</t>
        </is>
      </c>
      <c r="F7570" s="20" t="inlineStr">
        <is>
          <t>카페24</t>
        </is>
      </c>
      <c r="G7570" s="20" t="inlineStr">
        <is>
          <t>솔리드퍼퓸 세트향=스테이포에버 002 SOLID PERFUME, 세트 선택=best 2개 (28% 할인)</t>
        </is>
      </c>
      <c r="H7570" s="20" t="n">
        <v>5</v>
      </c>
      <c r="I7570" s="20" t="inlineStr">
        <is>
          <t>스테이포에버 2set</t>
        </is>
      </c>
      <c r="J7570" s="20" t="inlineStr">
        <is>
          <t>210207</t>
        </is>
      </c>
      <c r="L7570" s="20" t="n">
        <v>294000</v>
      </c>
      <c r="M7570" s="20" t="n">
        <v>276801</v>
      </c>
      <c r="N7570" s="20" t="n">
        <v>25920</v>
      </c>
      <c r="O7570" s="20" t="inlineStr">
        <is>
          <t>카페24고체향수솔리드퍼퓸 세트향=스테이포에버 002 SOLID PERFUME, 세트 선택=best 2개 (28% 할인)210207</t>
        </is>
      </c>
    </row>
    <row r="7571">
      <c r="B7571" s="16" t="n">
        <v>44314</v>
      </c>
      <c r="C7571" s="20" t="inlineStr">
        <is>
          <t>수</t>
        </is>
      </c>
      <c r="E7571" s="20" t="inlineStr">
        <is>
          <t>고체향수</t>
        </is>
      </c>
      <c r="F7571" s="20" t="inlineStr">
        <is>
          <t>카페24</t>
        </is>
      </c>
      <c r="G7571" s="20" t="inlineStr">
        <is>
          <t>솔리드퍼퓸 세트향=커플세트(이그나이트 + 스테이포에버), 세트 선택=1 SET</t>
        </is>
      </c>
      <c r="H7571" s="20" t="n">
        <v>10</v>
      </c>
      <c r="I7571" s="20" t="inlineStr">
        <is>
          <t>이그나이트 + 스테이포에버</t>
        </is>
      </c>
      <c r="J7571" s="20" t="inlineStr">
        <is>
          <t>210207</t>
        </is>
      </c>
      <c r="L7571" s="20" t="n">
        <v>588000</v>
      </c>
      <c r="M7571" s="20" t="n">
        <v>553602</v>
      </c>
      <c r="N7571" s="20" t="n">
        <v>53450</v>
      </c>
      <c r="O7571" s="20" t="inlineStr">
        <is>
          <t>카페24고체향수솔리드퍼퓸 세트향=커플세트(이그나이트 + 스테이포에버), 세트 선택=1 SET210207</t>
        </is>
      </c>
    </row>
    <row r="7572">
      <c r="B7572" s="16" t="n">
        <v>44314</v>
      </c>
      <c r="C7572" s="20" t="inlineStr">
        <is>
          <t>수</t>
        </is>
      </c>
      <c r="E7572" s="20" t="inlineStr">
        <is>
          <t>고체향수</t>
        </is>
      </c>
      <c r="F7572" s="20" t="inlineStr">
        <is>
          <t>카페24</t>
        </is>
      </c>
      <c r="G7572" s="20" t="inlineStr">
        <is>
          <t>솔리드퍼퓸 세트향=커플세트(이그나이트 + 스테이포에버), 세트 선택=2 SET (42% 할인)</t>
        </is>
      </c>
      <c r="H7572" s="20" t="n">
        <v>1</v>
      </c>
      <c r="I7572" s="20" t="inlineStr">
        <is>
          <t>이그나이트 + 스테이포에버</t>
        </is>
      </c>
      <c r="J7572" s="20" t="inlineStr">
        <is>
          <t>210207</t>
        </is>
      </c>
      <c r="L7572" s="20" t="n">
        <v>58800</v>
      </c>
      <c r="M7572" s="20" t="n">
        <v>55360.2</v>
      </c>
      <c r="N7572" s="20" t="n">
        <v>5345</v>
      </c>
      <c r="O7572" s="20" t="inlineStr">
        <is>
          <t>카페24고체향수솔리드퍼퓸 세트향=커플세트(이그나이트 + 스테이포에버), 세트 선택=2 SET (42% 할인)210207</t>
        </is>
      </c>
    </row>
    <row r="7573">
      <c r="B7573" s="16" t="n">
        <v>44314</v>
      </c>
      <c r="C7573" s="20" t="inlineStr">
        <is>
          <t>수</t>
        </is>
      </c>
      <c r="E7573" s="20" t="inlineStr">
        <is>
          <t>고체향수</t>
        </is>
      </c>
      <c r="F7573" s="20" t="inlineStr">
        <is>
          <t>카페24</t>
        </is>
      </c>
      <c r="G7573" s="20" t="inlineStr">
        <is>
          <t>솔리드퍼퓸 스테이포에버 002제품선택=스테이포에버 1개</t>
        </is>
      </c>
      <c r="H7573" s="20" t="n">
        <v>201</v>
      </c>
      <c r="I7573" s="20" t="inlineStr">
        <is>
          <t>스테이포에버</t>
        </is>
      </c>
      <c r="J7573" s="20" t="inlineStr">
        <is>
          <t>210207</t>
        </is>
      </c>
      <c r="L7573" s="20" t="n">
        <v>6834000</v>
      </c>
      <c r="M7573" s="20" t="n">
        <v>6434211</v>
      </c>
      <c r="N7573" s="20" t="n">
        <v>520992</v>
      </c>
      <c r="O7573" s="20" t="inlineStr">
        <is>
          <t>카페24고체향수솔리드퍼퓸 스테이포에버 002제품선택=스테이포에버 1개210207</t>
        </is>
      </c>
    </row>
    <row r="7574">
      <c r="B7574" s="16" t="n">
        <v>44314</v>
      </c>
      <c r="C7574" s="20" t="inlineStr">
        <is>
          <t>수</t>
        </is>
      </c>
      <c r="E7574" s="20" t="inlineStr">
        <is>
          <t>고체향수</t>
        </is>
      </c>
      <c r="F7574" s="20" t="inlineStr">
        <is>
          <t>카페24</t>
        </is>
      </c>
      <c r="G7574" s="20" t="inlineStr">
        <is>
          <t>솔리드퍼퓸 스테이포에버 002제품선택=best스테이포에버 2개[28% 할인]</t>
        </is>
      </c>
      <c r="H7574" s="20" t="n">
        <v>123</v>
      </c>
      <c r="I7574" s="20" t="inlineStr">
        <is>
          <t>스테이포에버 2set</t>
        </is>
      </c>
      <c r="J7574" s="20" t="inlineStr">
        <is>
          <t>210207</t>
        </is>
      </c>
      <c r="L7574" s="20" t="n">
        <v>7232400</v>
      </c>
      <c r="M7574" s="20" t="n">
        <v>6809304.6</v>
      </c>
      <c r="N7574" s="20" t="n">
        <v>637632</v>
      </c>
      <c r="O7574" s="20" t="inlineStr">
        <is>
          <t>카페24고체향수솔리드퍼퓸 스테이포에버 002제품선택=best스테이포에버 2개[28% 할인]210207</t>
        </is>
      </c>
    </row>
    <row r="7575">
      <c r="B7575" s="16" t="n">
        <v>44314</v>
      </c>
      <c r="C7575" s="20" t="inlineStr">
        <is>
          <t>수</t>
        </is>
      </c>
      <c r="E7575" s="20" t="inlineStr">
        <is>
          <t>고체향수</t>
        </is>
      </c>
      <c r="F7575" s="20" t="inlineStr">
        <is>
          <t>카페24</t>
        </is>
      </c>
      <c r="G7575" s="20" t="inlineStr">
        <is>
          <t>솔리드퍼퓸 스테이포에버 002제품선택=커플추천스테이포에버 + 이그나이트 세트</t>
        </is>
      </c>
      <c r="H7575" s="20" t="n">
        <v>9</v>
      </c>
      <c r="I7575" s="20" t="inlineStr">
        <is>
          <t>이그나이트 + 스테이포에버</t>
        </is>
      </c>
      <c r="J7575" s="20" t="inlineStr">
        <is>
          <t>210207</t>
        </is>
      </c>
      <c r="L7575" s="20" t="n">
        <v>529200</v>
      </c>
      <c r="M7575" s="20" t="n">
        <v>498241.8</v>
      </c>
      <c r="N7575" s="20" t="n">
        <v>48105</v>
      </c>
      <c r="O7575" s="20" t="inlineStr">
        <is>
          <t>카페24고체향수솔리드퍼퓸 스테이포에버 002제품선택=커플추천스테이포에버 + 이그나이트 세트210207</t>
        </is>
      </c>
    </row>
    <row r="7576">
      <c r="B7576" s="16" t="n">
        <v>44314</v>
      </c>
      <c r="C7576" s="20" t="inlineStr">
        <is>
          <t>수</t>
        </is>
      </c>
      <c r="E7576" s="20" t="inlineStr">
        <is>
          <t>쇼핑백</t>
        </is>
      </c>
      <c r="F7576" s="20" t="inlineStr">
        <is>
          <t>카페24</t>
        </is>
      </c>
      <c r="G7576" s="20" t="inlineStr">
        <is>
          <t>솔리드퍼퓸 스테이포에버 002쇼핑백=선물용 쇼핑백</t>
        </is>
      </c>
      <c r="H7576" s="20" t="n">
        <v>4</v>
      </c>
      <c r="I7576" s="20" t="inlineStr">
        <is>
          <t>쇼핑백</t>
        </is>
      </c>
      <c r="J7576" s="20" t="inlineStr">
        <is>
          <t>210207</t>
        </is>
      </c>
      <c r="L7576" s="20" t="n">
        <v>8000</v>
      </c>
      <c r="M7576" s="20" t="n">
        <v>7532</v>
      </c>
      <c r="N7576" s="20" t="n">
        <v>3320</v>
      </c>
      <c r="O7576" s="20" t="inlineStr">
        <is>
          <t>카페24쇼핑백솔리드퍼퓸 스테이포에버 002쇼핑백=선물용 쇼핑백210207</t>
        </is>
      </c>
    </row>
    <row r="7577">
      <c r="B7577" s="16" t="n">
        <v>44314</v>
      </c>
      <c r="C7577" s="20" t="inlineStr">
        <is>
          <t>수</t>
        </is>
      </c>
      <c r="E7577" s="20" t="inlineStr">
        <is>
          <t>고체향수</t>
        </is>
      </c>
      <c r="F7577" s="20" t="inlineStr">
        <is>
          <t>카페24</t>
        </is>
      </c>
      <c r="G7577" s="20" t="inlineStr">
        <is>
          <t>솔리드퍼퓸 이그나이트 001제품선택=이그나이트 솔리드퍼퓸 - 30ml</t>
        </is>
      </c>
      <c r="H7577" s="20" t="n">
        <v>5</v>
      </c>
      <c r="I7577" s="20" t="inlineStr">
        <is>
          <t>이그나이트</t>
        </is>
      </c>
      <c r="J7577" s="20" t="inlineStr">
        <is>
          <t>210207</t>
        </is>
      </c>
      <c r="L7577" s="20" t="n">
        <v>170000</v>
      </c>
      <c r="M7577" s="20" t="n">
        <v>160055</v>
      </c>
      <c r="N7577" s="20" t="n">
        <v>13765</v>
      </c>
      <c r="O7577" s="20" t="inlineStr">
        <is>
          <t>카페24고체향수솔리드퍼퓸 이그나이트 001제품선택=이그나이트 솔리드퍼퓸 - 30ml210207</t>
        </is>
      </c>
    </row>
    <row r="7578">
      <c r="A7578" s="20" t="inlineStr">
        <is>
          <t>고체향수</t>
        </is>
      </c>
      <c r="B7578" s="16" t="n">
        <v>44314</v>
      </c>
      <c r="C7578" s="20" t="inlineStr">
        <is>
          <t>수</t>
        </is>
      </c>
      <c r="D7578" s="20" t="inlineStr">
        <is>
          <t>네이버 배너</t>
        </is>
      </c>
      <c r="E7578" s="20" t="inlineStr">
        <is>
          <t>고체향수</t>
        </is>
      </c>
      <c r="K7578" s="20" t="n">
        <v>779274.5454545454</v>
      </c>
    </row>
    <row r="7579">
      <c r="B7579" s="16" t="n">
        <v>44314</v>
      </c>
      <c r="C7579" s="20" t="inlineStr">
        <is>
          <t>수</t>
        </is>
      </c>
      <c r="D7579" s="20" t="inlineStr">
        <is>
          <t>네이버 배너(대행사)</t>
        </is>
      </c>
      <c r="K7579" s="20">
        <f>673231/1.1</f>
        <v/>
      </c>
    </row>
    <row r="7580">
      <c r="B7580" s="16" t="n">
        <v>44314</v>
      </c>
      <c r="C7580" s="20" t="inlineStr">
        <is>
          <t>수</t>
        </is>
      </c>
      <c r="E7580" s="20">
        <f>INDEX(매칭테이블!C:C,MATCH(RD!G7580,매칭테이블!D:D,0))</f>
        <v/>
      </c>
      <c r="F7580" s="20" t="inlineStr">
        <is>
          <t>올리브영</t>
        </is>
      </c>
      <c r="G7580" s="20" t="inlineStr">
        <is>
          <t>유즈 솔리드퍼퓸 001 이그나이트 30ml 30600 온라인</t>
        </is>
      </c>
      <c r="H7580" s="20" t="n">
        <v>4</v>
      </c>
      <c r="I7580" s="20">
        <f>VLOOKUP(G7580,매칭테이블!D:E,2,0)</f>
        <v/>
      </c>
      <c r="J7580" s="20" t="inlineStr">
        <is>
          <t>210207</t>
        </is>
      </c>
      <c r="L7580" s="20">
        <f>VLOOKUP($O7580,매칭테이블!$G:$J,2,0)*H7580</f>
        <v/>
      </c>
      <c r="M7580" s="20">
        <f>L7580-L7580*VLOOKUP($O7580,매칭테이블!$G:$J,3,0)</f>
        <v/>
      </c>
      <c r="N7580" s="20">
        <f>VLOOKUP($O7580,매칭테이블!$G:$J,4,0)*H7580</f>
        <v/>
      </c>
      <c r="O7580" s="20">
        <f>F7580&amp;E7580&amp;G7580&amp;J7580</f>
        <v/>
      </c>
    </row>
    <row r="7581">
      <c r="B7581" s="16" t="n">
        <v>44314</v>
      </c>
      <c r="C7581" s="20" t="inlineStr">
        <is>
          <t>수</t>
        </is>
      </c>
      <c r="E7581" s="20">
        <f>INDEX(매칭테이블!C:C,MATCH(RD!G7581,매칭테이블!D:D,0))</f>
        <v/>
      </c>
      <c r="F7581" s="20" t="inlineStr">
        <is>
          <t>올리브영</t>
        </is>
      </c>
      <c r="G7581" s="20" t="inlineStr">
        <is>
          <t>유즈 솔리드퍼퓸 002 스테이포에버 30ml 30600 온라인</t>
        </is>
      </c>
      <c r="H7581" s="20" t="n">
        <v>50</v>
      </c>
      <c r="I7581" s="20">
        <f>VLOOKUP(G7581,매칭테이블!D:E,2,0)</f>
        <v/>
      </c>
      <c r="J7581" s="20" t="inlineStr">
        <is>
          <t>210207</t>
        </is>
      </c>
      <c r="L7581" s="20">
        <f>VLOOKUP($O7581,매칭테이블!$G:$J,2,0)*H7581</f>
        <v/>
      </c>
      <c r="M7581" s="20">
        <f>L7581-L7581*VLOOKUP($O7581,매칭테이블!$G:$J,3,0)</f>
        <v/>
      </c>
      <c r="N7581" s="20">
        <f>VLOOKUP($O7581,매칭테이블!$G:$J,4,0)*H7581</f>
        <v/>
      </c>
      <c r="O7581" s="20">
        <f>F7581&amp;E7581&amp;G7581&amp;J7581</f>
        <v/>
      </c>
    </row>
    <row r="7582">
      <c r="B7582" s="16" t="n">
        <v>44314</v>
      </c>
      <c r="C7582" s="20" t="inlineStr">
        <is>
          <t>수</t>
        </is>
      </c>
      <c r="D7582" s="20" t="inlineStr">
        <is>
          <t>카카오 배너</t>
        </is>
      </c>
      <c r="K7582" s="20">
        <f>682825/1.1</f>
        <v/>
      </c>
    </row>
    <row r="7583">
      <c r="A7583" s="20" t="inlineStr">
        <is>
          <t>[승은 TEST] 스테이포에버</t>
        </is>
      </c>
      <c r="B7583" s="16" t="n">
        <v>44315</v>
      </c>
      <c r="C7583" s="20" t="inlineStr">
        <is>
          <t>목</t>
        </is>
      </c>
      <c r="D7583" s="20" t="inlineStr">
        <is>
          <t>페이스북/인스타그램</t>
        </is>
      </c>
      <c r="E7583" s="20" t="inlineStr">
        <is>
          <t>고체향수</t>
        </is>
      </c>
      <c r="K7583" s="20" t="n">
        <v>62537</v>
      </c>
    </row>
    <row r="7584">
      <c r="A7584" s="20" t="inlineStr">
        <is>
          <t>[수현 TEST] 솔리드퍼퓸_이미지</t>
        </is>
      </c>
      <c r="B7584" s="16" t="n">
        <v>44315</v>
      </c>
      <c r="C7584" s="20" t="inlineStr">
        <is>
          <t>목</t>
        </is>
      </c>
      <c r="D7584" s="20" t="inlineStr">
        <is>
          <t>페이스북/인스타그램</t>
        </is>
      </c>
      <c r="E7584" s="20" t="inlineStr">
        <is>
          <t>고체향수</t>
        </is>
      </c>
      <c r="K7584" s="20" t="n">
        <v>48757</v>
      </c>
    </row>
    <row r="7585">
      <c r="A7585" s="20" t="inlineStr">
        <is>
          <t>[비누향 인연] 스테이포에버_카드뉴스</t>
        </is>
      </c>
      <c r="B7585" s="16" t="n">
        <v>44315</v>
      </c>
      <c r="C7585" s="20" t="inlineStr">
        <is>
          <t>목</t>
        </is>
      </c>
      <c r="D7585" s="20" t="inlineStr">
        <is>
          <t>페이스북/인스타그램</t>
        </is>
      </c>
      <c r="E7585" s="20" t="inlineStr">
        <is>
          <t>고체향수</t>
        </is>
      </c>
      <c r="K7585" s="20" t="n">
        <v>121933</v>
      </c>
    </row>
    <row r="7586">
      <c r="A7586" s="20" t="inlineStr">
        <is>
          <t>[성민 TEST] 솔리드퍼퓸_이미지</t>
        </is>
      </c>
      <c r="B7586" s="16" t="n">
        <v>44315</v>
      </c>
      <c r="C7586" s="20" t="inlineStr">
        <is>
          <t>목</t>
        </is>
      </c>
      <c r="D7586" s="20" t="inlineStr">
        <is>
          <t>페이스북/인스타그램</t>
        </is>
      </c>
      <c r="E7586" s="20" t="inlineStr">
        <is>
          <t>고체향수</t>
        </is>
      </c>
      <c r="K7586" s="20" t="n">
        <v>59226</v>
      </c>
    </row>
    <row r="7587">
      <c r="A7587" s="20" t="inlineStr">
        <is>
          <t>[승무원]유튜브_스테이포에버_카드뉴스</t>
        </is>
      </c>
      <c r="B7587" s="16" t="n">
        <v>44315</v>
      </c>
      <c r="C7587" s="20" t="inlineStr">
        <is>
          <t>목</t>
        </is>
      </c>
      <c r="D7587" s="20" t="inlineStr">
        <is>
          <t>페이스북/인스타그램</t>
        </is>
      </c>
      <c r="E7587" s="20" t="inlineStr">
        <is>
          <t>고체향수</t>
        </is>
      </c>
      <c r="K7587" s="20" t="n">
        <v>49216</v>
      </c>
    </row>
    <row r="7588">
      <c r="A7588" s="20" t="inlineStr">
        <is>
          <t>[올리브영] 이그나이트_영상</t>
        </is>
      </c>
      <c r="B7588" s="16" t="n">
        <v>44315</v>
      </c>
      <c r="C7588" s="20" t="inlineStr">
        <is>
          <t>목</t>
        </is>
      </c>
      <c r="D7588" s="20" t="inlineStr">
        <is>
          <t>페이스북/인스타그램</t>
        </is>
      </c>
      <c r="E7588" s="20" t="inlineStr">
        <is>
          <t>고체향수</t>
        </is>
      </c>
      <c r="K7588" s="20" t="n">
        <v>29188</v>
      </c>
    </row>
    <row r="7589">
      <c r="A7589" s="20" t="inlineStr">
        <is>
          <t>[승희 TEST] 솔리드퍼퓸_이미지</t>
        </is>
      </c>
      <c r="B7589" s="16" t="n">
        <v>44315</v>
      </c>
      <c r="C7589" s="20" t="inlineStr">
        <is>
          <t>목</t>
        </is>
      </c>
      <c r="D7589" s="20" t="inlineStr">
        <is>
          <t>페이스북/인스타그램</t>
        </is>
      </c>
      <c r="E7589" s="20" t="inlineStr">
        <is>
          <t>고체향수</t>
        </is>
      </c>
      <c r="K7589" s="20" t="n">
        <v>117300</v>
      </c>
    </row>
    <row r="7590">
      <c r="A7590" s="20" t="inlineStr">
        <is>
          <t>[올리브영] 스테이포에버_영상</t>
        </is>
      </c>
      <c r="B7590" s="16" t="n">
        <v>44315</v>
      </c>
      <c r="C7590" s="20" t="inlineStr">
        <is>
          <t>목</t>
        </is>
      </c>
      <c r="D7590" s="20" t="inlineStr">
        <is>
          <t>페이스북/인스타그램</t>
        </is>
      </c>
      <c r="E7590" s="20" t="inlineStr">
        <is>
          <t>고체향수</t>
        </is>
      </c>
      <c r="K7590" s="20" t="n">
        <v>48872</v>
      </c>
    </row>
    <row r="7591">
      <c r="A7591" s="20" t="inlineStr">
        <is>
          <t>[올리브영] 스테이포에버_이미지</t>
        </is>
      </c>
      <c r="B7591" s="16" t="n">
        <v>44315</v>
      </c>
      <c r="C7591" s="20" t="inlineStr">
        <is>
          <t>목</t>
        </is>
      </c>
      <c r="D7591" s="20" t="inlineStr">
        <is>
          <t>페이스북/인스타그램</t>
        </is>
      </c>
      <c r="E7591" s="20" t="inlineStr">
        <is>
          <t>고체향수</t>
        </is>
      </c>
      <c r="K7591" s="20" t="n">
        <v>29691</v>
      </c>
    </row>
    <row r="7592">
      <c r="A7592" s="20" t="inlineStr">
        <is>
          <t>[승무원] 유튜브재편집_스테이포에버_영상</t>
        </is>
      </c>
      <c r="B7592" s="16" t="n">
        <v>44315</v>
      </c>
      <c r="C7592" s="20" t="inlineStr">
        <is>
          <t>목</t>
        </is>
      </c>
      <c r="D7592" s="20" t="inlineStr">
        <is>
          <t>페이스북/인스타그램</t>
        </is>
      </c>
      <c r="E7592" s="20" t="inlineStr">
        <is>
          <t>고체향수</t>
        </is>
      </c>
      <c r="K7592" s="20" t="n">
        <v>822824</v>
      </c>
    </row>
    <row r="7593">
      <c r="A7593" s="20" t="inlineStr">
        <is>
          <t>[승무원 면세점] 스테이포에버_카드뉴스</t>
        </is>
      </c>
      <c r="B7593" s="16" t="n">
        <v>44315</v>
      </c>
      <c r="C7593" s="20" t="inlineStr">
        <is>
          <t>목</t>
        </is>
      </c>
      <c r="D7593" s="20" t="inlineStr">
        <is>
          <t>페이스북/인스타그램</t>
        </is>
      </c>
      <c r="E7593" s="20" t="inlineStr">
        <is>
          <t>고체향수</t>
        </is>
      </c>
      <c r="K7593" s="20" t="n">
        <v>245090</v>
      </c>
    </row>
    <row r="7594">
      <c r="A7594" s="20" t="inlineStr">
        <is>
          <t>[카페알바] 스테이포에버_카드뉴스</t>
        </is>
      </c>
      <c r="B7594" s="16" t="n">
        <v>44315</v>
      </c>
      <c r="C7594" s="20" t="inlineStr">
        <is>
          <t>목</t>
        </is>
      </c>
      <c r="D7594" s="20" t="inlineStr">
        <is>
          <t>페이스북/인스타그램</t>
        </is>
      </c>
      <c r="E7594" s="20" t="inlineStr">
        <is>
          <t>고체향수</t>
        </is>
      </c>
      <c r="K7594" s="20" t="n">
        <v>96712</v>
      </c>
    </row>
    <row r="7595">
      <c r="A7595" s="20" t="inlineStr">
        <is>
          <t>[아줌마]스테이포에버_이미지</t>
        </is>
      </c>
      <c r="B7595" s="16" t="n">
        <v>44315</v>
      </c>
      <c r="C7595" s="20" t="inlineStr">
        <is>
          <t>목</t>
        </is>
      </c>
      <c r="D7595" s="20" t="inlineStr">
        <is>
          <t>페이스북/인스타그램</t>
        </is>
      </c>
      <c r="E7595" s="20" t="inlineStr">
        <is>
          <t>고체향수</t>
        </is>
      </c>
      <c r="K7595" s="20" t="n">
        <v>49717</v>
      </c>
    </row>
    <row r="7596">
      <c r="A7596" s="20" t="inlineStr">
        <is>
          <t>[다양한 키워드] 스테이포에버_이미지</t>
        </is>
      </c>
      <c r="B7596" s="16" t="n">
        <v>44315</v>
      </c>
      <c r="C7596" s="20" t="inlineStr">
        <is>
          <t>목</t>
        </is>
      </c>
      <c r="D7596" s="20" t="inlineStr">
        <is>
          <t>페이스북/인스타그램</t>
        </is>
      </c>
      <c r="E7596" s="20" t="inlineStr">
        <is>
          <t>고체향수</t>
        </is>
      </c>
      <c r="K7596" s="20" t="n">
        <v>148195</v>
      </c>
    </row>
    <row r="7597">
      <c r="A7597" s="20" t="inlineStr">
        <is>
          <t>[재입고]스테이포에버_이미지</t>
        </is>
      </c>
      <c r="B7597" s="16" t="n">
        <v>44315</v>
      </c>
      <c r="C7597" s="20" t="inlineStr">
        <is>
          <t>목</t>
        </is>
      </c>
      <c r="D7597" s="20" t="inlineStr">
        <is>
          <t>페이스북/인스타그램</t>
        </is>
      </c>
      <c r="E7597" s="20" t="inlineStr">
        <is>
          <t>고체향수</t>
        </is>
      </c>
      <c r="K7597" s="20" t="n">
        <v>29058</v>
      </c>
    </row>
    <row r="7598">
      <c r="A7598" s="20" t="inlineStr">
        <is>
          <t>[승무원]숏폼_영상</t>
        </is>
      </c>
      <c r="B7598" s="16" t="n">
        <v>44315</v>
      </c>
      <c r="C7598" s="20" t="inlineStr">
        <is>
          <t>목</t>
        </is>
      </c>
      <c r="D7598" s="20" t="inlineStr">
        <is>
          <t>페이스북/인스타그램</t>
        </is>
      </c>
      <c r="E7598" s="20" t="inlineStr">
        <is>
          <t>고체향수</t>
        </is>
      </c>
      <c r="K7598" s="20" t="n">
        <v>49124</v>
      </c>
    </row>
    <row r="7599">
      <c r="A7599" s="20" t="inlineStr">
        <is>
          <t>[재입고]스테이포에버_영상</t>
        </is>
      </c>
      <c r="B7599" s="16" t="n">
        <v>44315</v>
      </c>
      <c r="C7599" s="20" t="inlineStr">
        <is>
          <t>목</t>
        </is>
      </c>
      <c r="D7599" s="20" t="inlineStr">
        <is>
          <t>페이스북/인스타그램</t>
        </is>
      </c>
      <c r="E7599" s="20" t="inlineStr">
        <is>
          <t>고체향수</t>
        </is>
      </c>
      <c r="K7599" s="20" t="n">
        <v>197470</v>
      </c>
    </row>
    <row r="7600">
      <c r="A7600" s="20" t="inlineStr">
        <is>
          <t>[승무원]2019년썰 카드뉴스+ 향묘사_영상</t>
        </is>
      </c>
      <c r="B7600" s="16" t="n">
        <v>44315</v>
      </c>
      <c r="C7600" s="20" t="inlineStr">
        <is>
          <t>목</t>
        </is>
      </c>
      <c r="D7600" s="20" t="inlineStr">
        <is>
          <t>페이스북/인스타그램</t>
        </is>
      </c>
      <c r="E7600" s="20" t="inlineStr">
        <is>
          <t>고체향수</t>
        </is>
      </c>
      <c r="K7600" s="20" t="n">
        <v>48604</v>
      </c>
    </row>
    <row r="7601">
      <c r="A7601" s="20" t="inlineStr">
        <is>
          <t>[승무원어피]스테이포에버_이미지</t>
        </is>
      </c>
      <c r="B7601" s="16" t="n">
        <v>44315</v>
      </c>
      <c r="C7601" s="20" t="inlineStr">
        <is>
          <t>목</t>
        </is>
      </c>
      <c r="D7601" s="20" t="inlineStr">
        <is>
          <t>페이스북/인스타그램</t>
        </is>
      </c>
      <c r="E7601" s="20" t="inlineStr">
        <is>
          <t>고체향수</t>
        </is>
      </c>
      <c r="K7601" s="20" t="n">
        <v>97307</v>
      </c>
    </row>
    <row r="7602">
      <c r="A7602" s="20" t="inlineStr">
        <is>
          <t>[다현]스테이포에버_이미지</t>
        </is>
      </c>
      <c r="B7602" s="16" t="n">
        <v>44315</v>
      </c>
      <c r="C7602" s="20" t="inlineStr">
        <is>
          <t>목</t>
        </is>
      </c>
      <c r="D7602" s="20" t="inlineStr">
        <is>
          <t>페이스북/인스타그램</t>
        </is>
      </c>
      <c r="E7602" s="20" t="inlineStr">
        <is>
          <t>고체향수</t>
        </is>
      </c>
      <c r="K7602" s="20" t="n">
        <v>148443</v>
      </c>
    </row>
    <row r="7603">
      <c r="A7603" s="20" t="inlineStr">
        <is>
          <t>[승무원]스테이포에버_카드뉴스</t>
        </is>
      </c>
      <c r="B7603" s="16" t="n">
        <v>44315</v>
      </c>
      <c r="C7603" s="20" t="inlineStr">
        <is>
          <t>목</t>
        </is>
      </c>
      <c r="D7603" s="20" t="inlineStr">
        <is>
          <t>페이스북/인스타그램</t>
        </is>
      </c>
      <c r="E7603" s="20" t="inlineStr">
        <is>
          <t>고체향수</t>
        </is>
      </c>
      <c r="K7603" s="20" t="n">
        <v>29588</v>
      </c>
    </row>
    <row r="7604">
      <c r="A7604" s="20" t="inlineStr">
        <is>
          <t>[후기타입]스테이포에버_영상</t>
        </is>
      </c>
      <c r="B7604" s="16" t="n">
        <v>44315</v>
      </c>
      <c r="C7604" s="20" t="inlineStr">
        <is>
          <t>목</t>
        </is>
      </c>
      <c r="D7604" s="20" t="inlineStr">
        <is>
          <t>페이스북/인스타그램</t>
        </is>
      </c>
      <c r="E7604" s="20" t="inlineStr">
        <is>
          <t>고체향수</t>
        </is>
      </c>
      <c r="K7604" s="20" t="n">
        <v>148339</v>
      </c>
    </row>
    <row r="7605">
      <c r="A7605" s="20" t="inlineStr">
        <is>
          <t>전환_스테이포에버</t>
        </is>
      </c>
      <c r="B7605" s="16" t="n">
        <v>44315</v>
      </c>
      <c r="C7605" s="20" t="inlineStr">
        <is>
          <t>목</t>
        </is>
      </c>
      <c r="D7605" s="20" t="inlineStr">
        <is>
          <t>페이스북/인스타그램</t>
        </is>
      </c>
      <c r="E7605" s="20" t="inlineStr">
        <is>
          <t>고체향수</t>
        </is>
      </c>
      <c r="K7605" s="20" t="n">
        <v>98196</v>
      </c>
    </row>
    <row r="7606">
      <c r="A7606" s="20" t="inlineStr">
        <is>
          <t>[권태기커플]스테이포에버_영상</t>
        </is>
      </c>
      <c r="B7606" s="16" t="n">
        <v>44315</v>
      </c>
      <c r="C7606" s="20" t="inlineStr">
        <is>
          <t>목</t>
        </is>
      </c>
      <c r="D7606" s="20" t="inlineStr">
        <is>
          <t>페이스북/인스타그램</t>
        </is>
      </c>
      <c r="E7606" s="20" t="inlineStr">
        <is>
          <t>고체향수</t>
        </is>
      </c>
      <c r="K7606" s="20" t="n">
        <v>29784</v>
      </c>
    </row>
    <row r="7607">
      <c r="A7607" s="20" t="inlineStr">
        <is>
          <t>웹사이트 트래픽 서치</t>
        </is>
      </c>
      <c r="B7607" s="16" t="n">
        <v>44315</v>
      </c>
      <c r="C7607" s="20" t="inlineStr">
        <is>
          <t>목</t>
        </is>
      </c>
      <c r="D7607" s="20" t="inlineStr">
        <is>
          <t>유튜브 광고</t>
        </is>
      </c>
      <c r="E7607" s="20" t="inlineStr">
        <is>
          <t>고체향수</t>
        </is>
      </c>
      <c r="K7607" s="20" t="n">
        <v>20461</v>
      </c>
    </row>
    <row r="7608">
      <c r="A7608" s="20" t="inlineStr">
        <is>
          <t>동영상캠페인_승무원_보이는 라디오(cpa)</t>
        </is>
      </c>
      <c r="B7608" s="16" t="n">
        <v>44315</v>
      </c>
      <c r="C7608" s="20" t="inlineStr">
        <is>
          <t>목</t>
        </is>
      </c>
      <c r="D7608" s="20" t="inlineStr">
        <is>
          <t>유튜브 광고</t>
        </is>
      </c>
      <c r="E7608" s="20" t="inlineStr">
        <is>
          <t>고체향수</t>
        </is>
      </c>
      <c r="K7608" s="20" t="n">
        <v>200087</v>
      </c>
    </row>
    <row r="7609">
      <c r="A7609" s="20" t="inlineStr">
        <is>
          <t>디스커버리 배너_승무원,할인_리마케팅</t>
        </is>
      </c>
      <c r="B7609" s="16" t="n">
        <v>44315</v>
      </c>
      <c r="C7609" s="20" t="inlineStr">
        <is>
          <t>목</t>
        </is>
      </c>
      <c r="D7609" s="20" t="inlineStr">
        <is>
          <t>유튜브 광고</t>
        </is>
      </c>
      <c r="E7609" s="20" t="inlineStr">
        <is>
          <t>고체향수</t>
        </is>
      </c>
      <c r="K7609" s="20" t="n">
        <v>393889</v>
      </c>
    </row>
    <row r="7610">
      <c r="A7610" s="20" t="inlineStr">
        <is>
          <t>동영상캠페인_승무원_써니스카이</t>
        </is>
      </c>
      <c r="B7610" s="16" t="n">
        <v>44315</v>
      </c>
      <c r="C7610" s="20" t="inlineStr">
        <is>
          <t>목</t>
        </is>
      </c>
      <c r="D7610" s="20" t="inlineStr">
        <is>
          <t>유튜브 광고</t>
        </is>
      </c>
      <c r="E7610" s="20" t="inlineStr">
        <is>
          <t>고체향수</t>
        </is>
      </c>
      <c r="K7610" s="20" t="n">
        <v>93961</v>
      </c>
    </row>
    <row r="7611">
      <c r="A7611" s="20" t="inlineStr">
        <is>
          <t>[5화자] 동영상 캠페인_벨라의 비행일기</t>
        </is>
      </c>
      <c r="B7611" s="16" t="n">
        <v>44315</v>
      </c>
      <c r="C7611" s="20" t="inlineStr">
        <is>
          <t>목</t>
        </is>
      </c>
      <c r="D7611" s="20" t="inlineStr">
        <is>
          <t>유튜브 광고</t>
        </is>
      </c>
      <c r="E7611" s="20" t="inlineStr">
        <is>
          <t>고체향수</t>
        </is>
      </c>
      <c r="K7611" s="20" t="n">
        <v>384392</v>
      </c>
    </row>
    <row r="7612">
      <c r="A7612" s="20" t="inlineStr">
        <is>
          <t>[5화자] 동영상 캠페인_비행하고 여행하는 은선씨</t>
        </is>
      </c>
      <c r="B7612" s="16" t="n">
        <v>44315</v>
      </c>
      <c r="C7612" s="20" t="inlineStr">
        <is>
          <t>목</t>
        </is>
      </c>
      <c r="D7612" s="20" t="inlineStr">
        <is>
          <t>유튜브 광고</t>
        </is>
      </c>
      <c r="E7612" s="20" t="inlineStr">
        <is>
          <t>고체향수</t>
        </is>
      </c>
      <c r="K7612" s="20" t="n">
        <v>302984</v>
      </c>
    </row>
    <row r="7613">
      <c r="A7613" s="20" t="inlineStr">
        <is>
          <t>[5화자 재편집] 승무원_벨라_면세점에서 천만원</t>
        </is>
      </c>
      <c r="B7613" s="16" t="n">
        <v>44315</v>
      </c>
      <c r="C7613" s="20" t="inlineStr">
        <is>
          <t>목</t>
        </is>
      </c>
      <c r="D7613" s="20" t="inlineStr">
        <is>
          <t>유튜브 광고</t>
        </is>
      </c>
      <c r="E7613" s="20" t="inlineStr">
        <is>
          <t>고체향수</t>
        </is>
      </c>
      <c r="K7613" s="20" t="n">
        <v>404648</v>
      </c>
    </row>
    <row r="7614">
      <c r="A7614" s="20" t="inlineStr">
        <is>
          <t>동영상캠페인_유즈모먼트_면세점뒤졌는데</t>
        </is>
      </c>
      <c r="B7614" s="16" t="n">
        <v>44315</v>
      </c>
      <c r="C7614" s="20" t="inlineStr">
        <is>
          <t>목</t>
        </is>
      </c>
      <c r="D7614" s="20" t="inlineStr">
        <is>
          <t>유튜브 광고</t>
        </is>
      </c>
      <c r="E7614" s="20" t="inlineStr">
        <is>
          <t>고체향수</t>
        </is>
      </c>
      <c r="K7614" s="20" t="n">
        <v>404332</v>
      </c>
    </row>
    <row r="7615">
      <c r="A7615" s="20" t="inlineStr">
        <is>
          <t>메인키워드</t>
        </is>
      </c>
      <c r="B7615" s="16" t="n">
        <v>44315</v>
      </c>
      <c r="C7615" s="20" t="inlineStr">
        <is>
          <t>목</t>
        </is>
      </c>
      <c r="D7615" s="20" t="inlineStr">
        <is>
          <t>네이버 쇼핑검색</t>
        </is>
      </c>
      <c r="E7615" s="20" t="inlineStr">
        <is>
          <t>고체향수</t>
        </is>
      </c>
      <c r="K7615" s="20" t="n">
        <v>14560</v>
      </c>
    </row>
    <row r="7616">
      <c r="A7616" s="20" t="inlineStr">
        <is>
          <t>세부키워드1</t>
        </is>
      </c>
      <c r="B7616" s="16" t="n">
        <v>44315</v>
      </c>
      <c r="C7616" s="20" t="inlineStr">
        <is>
          <t>목</t>
        </is>
      </c>
      <c r="D7616" s="20" t="inlineStr">
        <is>
          <t>네이버 쇼핑검색</t>
        </is>
      </c>
      <c r="E7616" s="20" t="inlineStr">
        <is>
          <t>고체향수</t>
        </is>
      </c>
      <c r="K7616" s="20" t="n">
        <v>49.99999999999999</v>
      </c>
    </row>
    <row r="7617">
      <c r="A7617" s="20" t="inlineStr">
        <is>
          <t>세부키워드3</t>
        </is>
      </c>
      <c r="B7617" s="16" t="n">
        <v>44315</v>
      </c>
      <c r="C7617" s="20" t="inlineStr">
        <is>
          <t>목</t>
        </is>
      </c>
      <c r="D7617" s="20" t="inlineStr">
        <is>
          <t>네이버 쇼핑검색</t>
        </is>
      </c>
      <c r="E7617" s="20" t="inlineStr">
        <is>
          <t>고체향수</t>
        </is>
      </c>
      <c r="K7617" s="20" t="n">
        <v>122360</v>
      </c>
    </row>
    <row r="7618">
      <c r="A7618" s="20" t="inlineStr">
        <is>
          <t>모바일 브검</t>
        </is>
      </c>
      <c r="B7618" s="16" t="n">
        <v>44315</v>
      </c>
      <c r="C7618" s="20" t="inlineStr">
        <is>
          <t>목</t>
        </is>
      </c>
      <c r="D7618" s="20" t="inlineStr">
        <is>
          <t>네이버 브랜드검색</t>
        </is>
      </c>
      <c r="E7618" s="20" t="inlineStr">
        <is>
          <t>브랜드</t>
        </is>
      </c>
      <c r="K7618" s="20" t="n">
        <v>88000</v>
      </c>
    </row>
    <row r="7619">
      <c r="A7619" s="20" t="inlineStr">
        <is>
          <t>PC 브랜드검색</t>
        </is>
      </c>
      <c r="B7619" s="16" t="n">
        <v>44315</v>
      </c>
      <c r="C7619" s="20" t="inlineStr">
        <is>
          <t>목</t>
        </is>
      </c>
      <c r="D7619" s="20" t="inlineStr">
        <is>
          <t>네이버 브랜드검색</t>
        </is>
      </c>
      <c r="E7619" s="20" t="inlineStr">
        <is>
          <t>브랜드</t>
        </is>
      </c>
      <c r="K7619" s="20" t="n">
        <v>16700</v>
      </c>
    </row>
    <row r="7620">
      <c r="B7620" s="16" t="n">
        <v>44315</v>
      </c>
      <c r="C7620" s="20" t="inlineStr">
        <is>
          <t>목</t>
        </is>
      </c>
      <c r="E7620" s="20" t="inlineStr">
        <is>
          <t>고체향수</t>
        </is>
      </c>
      <c r="F7620" s="20" t="inlineStr">
        <is>
          <t>W컨셉</t>
        </is>
      </c>
      <c r="G7620" s="20" t="inlineStr">
        <is>
          <t>솔리드퍼퓸 이그나이트/스테이포에버 30ml (2종 택1)&lt;옵션1&gt;002 STAY FOREVER</t>
        </is>
      </c>
      <c r="H7620" s="20" t="n">
        <v>5</v>
      </c>
      <c r="I7620" s="20" t="inlineStr">
        <is>
          <t>스테이포에버</t>
        </is>
      </c>
      <c r="J7620" s="20" t="inlineStr">
        <is>
          <t>210207</t>
        </is>
      </c>
      <c r="L7620" s="20" t="n">
        <v>170000</v>
      </c>
      <c r="M7620" s="20" t="n">
        <v>119000</v>
      </c>
      <c r="N7620" s="20" t="n">
        <v>12960</v>
      </c>
      <c r="O7620" s="20" t="inlineStr">
        <is>
          <t>W컨셉고체향수솔리드퍼퓸 이그나이트/스테이포에버 30ml (2종 택1)&lt;옵션1&gt;002 STAY FOREVER210207</t>
        </is>
      </c>
    </row>
    <row r="7621">
      <c r="B7621" s="16" t="n">
        <v>44315</v>
      </c>
      <c r="C7621" s="20" t="inlineStr">
        <is>
          <t>목</t>
        </is>
      </c>
      <c r="E7621" s="20" t="inlineStr">
        <is>
          <t>고체향수</t>
        </is>
      </c>
      <c r="F7621" s="20" t="inlineStr">
        <is>
          <t>W컨셉</t>
        </is>
      </c>
      <c r="G7621" s="20" t="inlineStr">
        <is>
          <t>솔리드퍼퓸 이그나이트/스테이포에버 30ml (2종 택1)&lt;옵션1&gt;IGNITE + STAY FOREVER</t>
        </is>
      </c>
      <c r="H7621" s="20" t="n">
        <v>1</v>
      </c>
      <c r="I7621" s="20" t="inlineStr">
        <is>
          <t>이그나이트 + 스테이포에버</t>
        </is>
      </c>
      <c r="J7621" s="20" t="inlineStr">
        <is>
          <t>210207</t>
        </is>
      </c>
      <c r="L7621" s="20" t="n">
        <v>58800</v>
      </c>
      <c r="M7621" s="20" t="n">
        <v>47040</v>
      </c>
      <c r="N7621" s="20" t="n">
        <v>5345</v>
      </c>
      <c r="O7621" s="20" t="inlineStr">
        <is>
          <t>W컨셉고체향수솔리드퍼퓸 이그나이트/스테이포에버 30ml (2종 택1)&lt;옵션1&gt;IGNITE + STAY FOREVER210207</t>
        </is>
      </c>
    </row>
    <row r="7622">
      <c r="B7622" s="16" t="n">
        <v>44315</v>
      </c>
      <c r="C7622" s="20" t="inlineStr">
        <is>
          <t>목</t>
        </is>
      </c>
      <c r="E7622" s="20" t="inlineStr">
        <is>
          <t>고체향수</t>
        </is>
      </c>
      <c r="F7622" s="20" t="inlineStr">
        <is>
          <t>스마트스토어</t>
        </is>
      </c>
      <c r="G7622" s="20" t="inlineStr">
        <is>
          <t>유즈 고체향수 세트(유즈 스테이포에버, 유즈 이그나이트)고체향수: 스테이포에버 2개</t>
        </is>
      </c>
      <c r="H7622" s="20" t="n">
        <v>2</v>
      </c>
      <c r="I7622" s="20" t="inlineStr">
        <is>
          <t>스테이포에버 2set</t>
        </is>
      </c>
      <c r="J7622" s="20" t="inlineStr">
        <is>
          <t>210207</t>
        </is>
      </c>
      <c r="L7622" s="20" t="n">
        <v>117600</v>
      </c>
      <c r="M7622" s="20" t="n">
        <v>115248</v>
      </c>
      <c r="N7622" s="20" t="n">
        <v>10368</v>
      </c>
      <c r="O7622" s="20" t="inlineStr">
        <is>
          <t>스마트스토어고체향수유즈 고체향수 세트(유즈 스테이포에버, 유즈 이그나이트)고체향수: 스테이포에버 2개210207</t>
        </is>
      </c>
    </row>
    <row r="7623">
      <c r="B7623" s="16" t="n">
        <v>44315</v>
      </c>
      <c r="C7623" s="20" t="inlineStr">
        <is>
          <t>목</t>
        </is>
      </c>
      <c r="E7623" s="20" t="inlineStr">
        <is>
          <t>고체향수</t>
        </is>
      </c>
      <c r="F7623" s="20" t="inlineStr">
        <is>
          <t>스마트스토어</t>
        </is>
      </c>
      <c r="G7623" s="20" t="inlineStr">
        <is>
          <t>유즈 고체향수 스테이포에버 002고체향수: 스테이포에버 1개</t>
        </is>
      </c>
      <c r="H7623" s="20" t="n">
        <v>84</v>
      </c>
      <c r="I7623" s="20" t="inlineStr">
        <is>
          <t>스테이포에버</t>
        </is>
      </c>
      <c r="J7623" s="20" t="inlineStr">
        <is>
          <t>210207</t>
        </is>
      </c>
      <c r="L7623" s="20" t="n">
        <v>2856000</v>
      </c>
      <c r="M7623" s="20" t="n">
        <v>2798880</v>
      </c>
      <c r="N7623" s="20" t="n">
        <v>217728</v>
      </c>
      <c r="O7623" s="20" t="inlineStr">
        <is>
          <t>스마트스토어고체향수유즈 고체향수 스테이포에버 002고체향수: 스테이포에버 1개210207</t>
        </is>
      </c>
    </row>
    <row r="7624">
      <c r="B7624" s="16" t="n">
        <v>44315</v>
      </c>
      <c r="C7624" s="20" t="inlineStr">
        <is>
          <t>목</t>
        </is>
      </c>
      <c r="E7624" s="20" t="inlineStr">
        <is>
          <t>고체향수</t>
        </is>
      </c>
      <c r="F7624" s="20" t="inlineStr">
        <is>
          <t>스마트스토어</t>
        </is>
      </c>
      <c r="G7624" s="20" t="inlineStr">
        <is>
          <t>유즈 고체향수 이그나이트 001고체향수: 이그나이트 1개</t>
        </is>
      </c>
      <c r="H7624" s="20" t="n">
        <v>1</v>
      </c>
      <c r="I7624" s="20" t="inlineStr">
        <is>
          <t>이그나이트</t>
        </is>
      </c>
      <c r="J7624" s="20" t="inlineStr">
        <is>
          <t>210207</t>
        </is>
      </c>
      <c r="L7624" s="20" t="n">
        <v>34000</v>
      </c>
      <c r="M7624" s="20" t="n">
        <v>33320</v>
      </c>
      <c r="N7624" s="20" t="n">
        <v>2753</v>
      </c>
      <c r="O7624" s="20" t="inlineStr">
        <is>
          <t>스마트스토어고체향수유즈 고체향수 이그나이트 001고체향수: 이그나이트 1개210207</t>
        </is>
      </c>
    </row>
    <row r="7625">
      <c r="B7625" s="16" t="n">
        <v>44315</v>
      </c>
      <c r="C7625" s="20" t="inlineStr">
        <is>
          <t>목</t>
        </is>
      </c>
      <c r="E7625" s="20" t="inlineStr">
        <is>
          <t>고체향수</t>
        </is>
      </c>
      <c r="F7625" s="20" t="inlineStr">
        <is>
          <t>카페24</t>
        </is>
      </c>
      <c r="G7625" s="20" t="inlineStr">
        <is>
          <t>솔리드퍼퓸 세트향=이그나이트 001 SOLID PERFUME, 세트 선택=1개</t>
        </is>
      </c>
      <c r="H7625" s="20" t="n">
        <v>5</v>
      </c>
      <c r="I7625" s="20" t="inlineStr">
        <is>
          <t>이그나이트</t>
        </is>
      </c>
      <c r="J7625" s="20" t="inlineStr">
        <is>
          <t>210207</t>
        </is>
      </c>
      <c r="L7625" s="20" t="n">
        <v>170000</v>
      </c>
      <c r="M7625" s="20" t="n">
        <v>160055</v>
      </c>
      <c r="N7625" s="20" t="n">
        <v>13765</v>
      </c>
      <c r="O7625" s="20" t="inlineStr">
        <is>
          <t>카페24고체향수솔리드퍼퓸 세트향=이그나이트 001 SOLID PERFUME, 세트 선택=1개210207</t>
        </is>
      </c>
    </row>
    <row r="7626">
      <c r="B7626" s="16" t="n">
        <v>44315</v>
      </c>
      <c r="C7626" s="20" t="inlineStr">
        <is>
          <t>목</t>
        </is>
      </c>
      <c r="E7626" s="20" t="inlineStr">
        <is>
          <t>고체향수</t>
        </is>
      </c>
      <c r="F7626" s="20" t="inlineStr">
        <is>
          <t>카페24</t>
        </is>
      </c>
      <c r="G7626" s="20" t="inlineStr">
        <is>
          <t>솔리드퍼퓸 세트향=스테이포에버 002 SOLID PERFUME, 세트 선택=1개</t>
        </is>
      </c>
      <c r="H7626" s="20" t="n">
        <v>2</v>
      </c>
      <c r="I7626" s="20" t="inlineStr">
        <is>
          <t>스테이포에버</t>
        </is>
      </c>
      <c r="J7626" s="20" t="inlineStr">
        <is>
          <t>210207</t>
        </is>
      </c>
      <c r="L7626" s="20" t="n">
        <v>68000</v>
      </c>
      <c r="M7626" s="20" t="n">
        <v>64022</v>
      </c>
      <c r="N7626" s="20" t="n">
        <v>5184</v>
      </c>
      <c r="O7626" s="20" t="inlineStr">
        <is>
          <t>카페24고체향수솔리드퍼퓸 세트향=스테이포에버 002 SOLID PERFUME, 세트 선택=1개210207</t>
        </is>
      </c>
    </row>
    <row r="7627">
      <c r="B7627" s="16" t="n">
        <v>44315</v>
      </c>
      <c r="C7627" s="20" t="inlineStr">
        <is>
          <t>목</t>
        </is>
      </c>
      <c r="E7627" s="20" t="inlineStr">
        <is>
          <t>고체향수</t>
        </is>
      </c>
      <c r="F7627" s="20" t="inlineStr">
        <is>
          <t>카페24</t>
        </is>
      </c>
      <c r="G7627" s="20" t="inlineStr">
        <is>
          <t>솔리드퍼퓸 세트향=스테이포에버 002 SOLID PERFUME, 세트 선택=best 2개 (28% 할인)</t>
        </is>
      </c>
      <c r="H7627" s="20" t="n">
        <v>4</v>
      </c>
      <c r="I7627" s="20" t="inlineStr">
        <is>
          <t>스테이포에버 2set</t>
        </is>
      </c>
      <c r="J7627" s="20" t="inlineStr">
        <is>
          <t>210207</t>
        </is>
      </c>
      <c r="L7627" s="20" t="n">
        <v>235200</v>
      </c>
      <c r="M7627" s="20" t="n">
        <v>221440.8</v>
      </c>
      <c r="N7627" s="20" t="n">
        <v>20736</v>
      </c>
      <c r="O7627" s="20" t="inlineStr">
        <is>
          <t>카페24고체향수솔리드퍼퓸 세트향=스테이포에버 002 SOLID PERFUME, 세트 선택=best 2개 (28% 할인)210207</t>
        </is>
      </c>
    </row>
    <row r="7628">
      <c r="B7628" s="16" t="n">
        <v>44315</v>
      </c>
      <c r="C7628" s="20" t="inlineStr">
        <is>
          <t>목</t>
        </is>
      </c>
      <c r="E7628" s="20" t="inlineStr">
        <is>
          <t>고체향수</t>
        </is>
      </c>
      <c r="F7628" s="20" t="inlineStr">
        <is>
          <t>카페24</t>
        </is>
      </c>
      <c r="G7628" s="20" t="inlineStr">
        <is>
          <t>솔리드퍼퓸 세트향=커플세트(이그나이트 + 스테이포에버), 세트 선택=1 SET</t>
        </is>
      </c>
      <c r="H7628" s="20" t="n">
        <v>11</v>
      </c>
      <c r="I7628" s="20" t="inlineStr">
        <is>
          <t>이그나이트 + 스테이포에버</t>
        </is>
      </c>
      <c r="J7628" s="20" t="inlineStr">
        <is>
          <t>210207</t>
        </is>
      </c>
      <c r="L7628" s="20" t="n">
        <v>646800</v>
      </c>
      <c r="M7628" s="20" t="n">
        <v>608962.2</v>
      </c>
      <c r="N7628" s="20" t="n">
        <v>58795</v>
      </c>
      <c r="O7628" s="20" t="inlineStr">
        <is>
          <t>카페24고체향수솔리드퍼퓸 세트향=커플세트(이그나이트 + 스테이포에버), 세트 선택=1 SET210207</t>
        </is>
      </c>
    </row>
    <row r="7629">
      <c r="B7629" s="16" t="n">
        <v>44315</v>
      </c>
      <c r="C7629" s="20" t="inlineStr">
        <is>
          <t>목</t>
        </is>
      </c>
      <c r="E7629" s="20" t="inlineStr">
        <is>
          <t>고체향수</t>
        </is>
      </c>
      <c r="F7629" s="20" t="inlineStr">
        <is>
          <t>카페24</t>
        </is>
      </c>
      <c r="G7629" s="20" t="inlineStr">
        <is>
          <t>솔리드퍼퓸 세트향=커플세트(이그나이트 + 스테이포에버), 세트 선택=2 SET (42% 할인)</t>
        </is>
      </c>
      <c r="H7629" s="20" t="n">
        <v>3</v>
      </c>
      <c r="I7629" s="20" t="inlineStr">
        <is>
          <t>이그나이트 + 스테이포에버</t>
        </is>
      </c>
      <c r="J7629" s="20" t="inlineStr">
        <is>
          <t>210207</t>
        </is>
      </c>
      <c r="L7629" s="20" t="n">
        <v>176400</v>
      </c>
      <c r="M7629" s="20" t="n">
        <v>166080.6</v>
      </c>
      <c r="N7629" s="20" t="n">
        <v>16035</v>
      </c>
      <c r="O7629" s="20" t="inlineStr">
        <is>
          <t>카페24고체향수솔리드퍼퓸 세트향=커플세트(이그나이트 + 스테이포에버), 세트 선택=2 SET (42% 할인)210207</t>
        </is>
      </c>
    </row>
    <row r="7630">
      <c r="B7630" s="16" t="n">
        <v>44315</v>
      </c>
      <c r="C7630" s="20" t="inlineStr">
        <is>
          <t>목</t>
        </is>
      </c>
      <c r="E7630" s="20" t="inlineStr">
        <is>
          <t>고체향수</t>
        </is>
      </c>
      <c r="F7630" s="20" t="inlineStr">
        <is>
          <t>카페24</t>
        </is>
      </c>
      <c r="G7630" s="20" t="inlineStr">
        <is>
          <t>솔리드퍼퓸 스테이포에버 002제품선택=스테이포에버 1개</t>
        </is>
      </c>
      <c r="H7630" s="20" t="n">
        <v>173</v>
      </c>
      <c r="I7630" s="20" t="inlineStr">
        <is>
          <t>스테이포에버</t>
        </is>
      </c>
      <c r="J7630" s="20" t="inlineStr">
        <is>
          <t>210207</t>
        </is>
      </c>
      <c r="L7630" s="20" t="n">
        <v>5882000</v>
      </c>
      <c r="M7630" s="20" t="n">
        <v>5537903</v>
      </c>
      <c r="N7630" s="20" t="n">
        <v>448416</v>
      </c>
      <c r="O7630" s="20" t="inlineStr">
        <is>
          <t>카페24고체향수솔리드퍼퓸 스테이포에버 002제품선택=스테이포에버 1개210207</t>
        </is>
      </c>
    </row>
    <row r="7631">
      <c r="B7631" s="16" t="n">
        <v>44315</v>
      </c>
      <c r="C7631" s="20" t="inlineStr">
        <is>
          <t>목</t>
        </is>
      </c>
      <c r="E7631" s="20" t="inlineStr">
        <is>
          <t>고체향수</t>
        </is>
      </c>
      <c r="F7631" s="20" t="inlineStr">
        <is>
          <t>카페24</t>
        </is>
      </c>
      <c r="G7631" s="20" t="inlineStr">
        <is>
          <t>솔리드퍼퓸 스테이포에버 002제품선택=best스테이포에버 2개[28% 할인]</t>
        </is>
      </c>
      <c r="H7631" s="20" t="n">
        <v>113</v>
      </c>
      <c r="I7631" s="20" t="inlineStr">
        <is>
          <t>스테이포에버 2set</t>
        </is>
      </c>
      <c r="J7631" s="20" t="inlineStr">
        <is>
          <t>210207</t>
        </is>
      </c>
      <c r="L7631" s="20" t="n">
        <v>6644400</v>
      </c>
      <c r="M7631" s="20" t="n">
        <v>6255702.6</v>
      </c>
      <c r="N7631" s="20" t="n">
        <v>585792</v>
      </c>
      <c r="O7631" s="20" t="inlineStr">
        <is>
          <t>카페24고체향수솔리드퍼퓸 스테이포에버 002제품선택=best스테이포에버 2개[28% 할인]210207</t>
        </is>
      </c>
    </row>
    <row r="7632">
      <c r="B7632" s="16" t="n">
        <v>44315</v>
      </c>
      <c r="C7632" s="20" t="inlineStr">
        <is>
          <t>목</t>
        </is>
      </c>
      <c r="E7632" s="20" t="inlineStr">
        <is>
          <t>고체향수</t>
        </is>
      </c>
      <c r="F7632" s="20" t="inlineStr">
        <is>
          <t>카페24</t>
        </is>
      </c>
      <c r="G7632" s="20" t="inlineStr">
        <is>
          <t>솔리드퍼퓸 스테이포에버 002제품선택=커플추천스테이포에버 + 이그나이트 세트</t>
        </is>
      </c>
      <c r="H7632" s="20" t="n">
        <v>8</v>
      </c>
      <c r="I7632" s="20" t="inlineStr">
        <is>
          <t>이그나이트 + 스테이포에버</t>
        </is>
      </c>
      <c r="J7632" s="20" t="inlineStr">
        <is>
          <t>210207</t>
        </is>
      </c>
      <c r="L7632" s="20" t="n">
        <v>470400</v>
      </c>
      <c r="M7632" s="20" t="n">
        <v>442881.6</v>
      </c>
      <c r="N7632" s="20" t="n">
        <v>42760</v>
      </c>
      <c r="O7632" s="20" t="inlineStr">
        <is>
          <t>카페24고체향수솔리드퍼퓸 스테이포에버 002제품선택=커플추천스테이포에버 + 이그나이트 세트210207</t>
        </is>
      </c>
    </row>
    <row r="7633">
      <c r="B7633" s="16" t="n">
        <v>44315</v>
      </c>
      <c r="C7633" s="20" t="inlineStr">
        <is>
          <t>목</t>
        </is>
      </c>
      <c r="E7633" s="20" t="inlineStr">
        <is>
          <t>쇼핑백</t>
        </is>
      </c>
      <c r="F7633" s="20" t="inlineStr">
        <is>
          <t>카페24</t>
        </is>
      </c>
      <c r="G7633" s="20" t="inlineStr">
        <is>
          <t>솔리드퍼퓸 스테이포에버 002쇼핑백=선물용 쇼핑백</t>
        </is>
      </c>
      <c r="H7633" s="20" t="n">
        <v>4</v>
      </c>
      <c r="I7633" s="20" t="inlineStr">
        <is>
          <t>쇼핑백</t>
        </is>
      </c>
      <c r="J7633" s="20" t="inlineStr">
        <is>
          <t>210207</t>
        </is>
      </c>
      <c r="L7633" s="20" t="n">
        <v>8000</v>
      </c>
      <c r="M7633" s="20" t="n">
        <v>7532</v>
      </c>
      <c r="N7633" s="20" t="n">
        <v>3320</v>
      </c>
      <c r="O7633" s="20" t="inlineStr">
        <is>
          <t>카페24쇼핑백솔리드퍼퓸 스테이포에버 002쇼핑백=선물용 쇼핑백210207</t>
        </is>
      </c>
    </row>
    <row r="7634">
      <c r="B7634" s="16" t="n">
        <v>44315</v>
      </c>
      <c r="C7634" s="20" t="inlineStr">
        <is>
          <t>목</t>
        </is>
      </c>
      <c r="E7634" s="20" t="inlineStr">
        <is>
          <t>고체향수</t>
        </is>
      </c>
      <c r="F7634" s="20" t="inlineStr">
        <is>
          <t>카페24</t>
        </is>
      </c>
      <c r="G7634" s="20" t="inlineStr">
        <is>
          <t>솔리드퍼퓸 이그나이트 001제품선택=이그나이트 솔리드퍼퓸 - 30ml</t>
        </is>
      </c>
      <c r="H7634" s="20" t="n">
        <v>1</v>
      </c>
      <c r="I7634" s="20" t="inlineStr">
        <is>
          <t>이그나이트</t>
        </is>
      </c>
      <c r="J7634" s="20" t="inlineStr">
        <is>
          <t>210207</t>
        </is>
      </c>
      <c r="L7634" s="20" t="n">
        <v>34000</v>
      </c>
      <c r="M7634" s="20" t="n">
        <v>32011</v>
      </c>
      <c r="N7634" s="20" t="n">
        <v>2753</v>
      </c>
      <c r="O7634" s="20" t="inlineStr">
        <is>
          <t>카페24고체향수솔리드퍼퓸 이그나이트 001제품선택=이그나이트 솔리드퍼퓸 - 30ml210207</t>
        </is>
      </c>
    </row>
    <row r="7635">
      <c r="B7635" s="16" t="n">
        <v>44315</v>
      </c>
      <c r="C7635" s="20" t="inlineStr">
        <is>
          <t>목</t>
        </is>
      </c>
      <c r="E7635" s="20" t="inlineStr">
        <is>
          <t>고체향수</t>
        </is>
      </c>
      <c r="F7635" s="20" t="inlineStr">
        <is>
          <t>카페24</t>
        </is>
      </c>
      <c r="G7635" s="20" t="inlineStr">
        <is>
          <t>솔리드퍼퓸 이그나이트 001제품선택=이그나이트 2개 세트</t>
        </is>
      </c>
      <c r="H7635" s="20" t="n">
        <v>1</v>
      </c>
      <c r="I7635" s="20" t="inlineStr">
        <is>
          <t>이그나이트 2set</t>
        </is>
      </c>
      <c r="J7635" s="20" t="inlineStr">
        <is>
          <t>210207</t>
        </is>
      </c>
      <c r="L7635" s="20" t="n">
        <v>58800</v>
      </c>
      <c r="M7635" s="20" t="n">
        <v>55360.2</v>
      </c>
      <c r="N7635" s="20" t="n">
        <v>5506</v>
      </c>
      <c r="O7635" s="20" t="inlineStr">
        <is>
          <t>카페24고체향수솔리드퍼퓸 이그나이트 001제품선택=이그나이트 2개 세트210207</t>
        </is>
      </c>
    </row>
    <row r="7636">
      <c r="B7636" s="16" t="n">
        <v>44315</v>
      </c>
      <c r="C7636" s="20" t="inlineStr">
        <is>
          <t>목</t>
        </is>
      </c>
      <c r="E7636" s="20" t="inlineStr">
        <is>
          <t>쇼핑백</t>
        </is>
      </c>
      <c r="F7636" s="20" t="inlineStr">
        <is>
          <t>카페24</t>
        </is>
      </c>
      <c r="G7636" s="20" t="inlineStr">
        <is>
          <t>솔리드퍼퓸 이그나이트 001쇼핑백=선물용 쇼핑백</t>
        </is>
      </c>
      <c r="H7636" s="20" t="n">
        <v>1</v>
      </c>
      <c r="I7636" s="20" t="inlineStr">
        <is>
          <t>쇼핑백</t>
        </is>
      </c>
      <c r="J7636" s="20" t="inlineStr">
        <is>
          <t>210207</t>
        </is>
      </c>
      <c r="L7636" s="20" t="n">
        <v>2000</v>
      </c>
      <c r="M7636" s="20" t="n">
        <v>1883</v>
      </c>
      <c r="N7636" s="20" t="n">
        <v>830</v>
      </c>
      <c r="O7636" s="20" t="inlineStr">
        <is>
          <t>카페24쇼핑백솔리드퍼퓸 이그나이트 001쇼핑백=선물용 쇼핑백210207</t>
        </is>
      </c>
    </row>
    <row r="7637">
      <c r="A7637" s="20" t="inlineStr">
        <is>
          <t>고체향수</t>
        </is>
      </c>
      <c r="B7637" s="16" t="n">
        <v>44315</v>
      </c>
      <c r="C7637" s="20" t="inlineStr">
        <is>
          <t>목</t>
        </is>
      </c>
      <c r="D7637" s="20" t="inlineStr">
        <is>
          <t>네이버 배너</t>
        </is>
      </c>
      <c r="E7637" s="20" t="inlineStr">
        <is>
          <t>고체향수</t>
        </is>
      </c>
      <c r="K7637" s="20" t="n">
        <v>807987.2727272727</v>
      </c>
    </row>
    <row r="7638">
      <c r="B7638" s="16" t="n">
        <v>44315</v>
      </c>
      <c r="C7638" s="20" t="inlineStr">
        <is>
          <t>목</t>
        </is>
      </c>
      <c r="D7638" s="20" t="inlineStr">
        <is>
          <t>네이버 배너(대행사)</t>
        </is>
      </c>
      <c r="E7638" s="20" t="inlineStr">
        <is>
          <t>고체향수</t>
        </is>
      </c>
      <c r="K7638" s="20">
        <f>264635/1.1</f>
        <v/>
      </c>
    </row>
    <row r="7639">
      <c r="B7639" s="16" t="n">
        <v>44315</v>
      </c>
      <c r="C7639" s="20" t="inlineStr">
        <is>
          <t>목</t>
        </is>
      </c>
      <c r="E7639" s="20">
        <f>INDEX(매칭테이블!C:C,MATCH(RD!G7639,매칭테이블!D:D,0))</f>
        <v/>
      </c>
      <c r="F7639" s="20" t="inlineStr">
        <is>
          <t>올리브영</t>
        </is>
      </c>
      <c r="G7639" s="20" t="inlineStr">
        <is>
          <t>유즈 솔리드퍼퓸 001 이그나이트 30ml 30600 온라인</t>
        </is>
      </c>
      <c r="H7639" s="20" t="n">
        <v>1</v>
      </c>
      <c r="J7639" s="20" t="inlineStr">
        <is>
          <t>210207</t>
        </is>
      </c>
      <c r="L7639" s="20">
        <f>VLOOKUP($O7639,매칭테이블!$G:$J,2,0)*H7639</f>
        <v/>
      </c>
      <c r="M7639" s="20">
        <f>L7639-L7639*VLOOKUP($O7639,매칭테이블!$G:$J,3,0)</f>
        <v/>
      </c>
      <c r="N7639" s="20">
        <f>VLOOKUP($O7639,매칭테이블!$G:$J,4,0)*H7639</f>
        <v/>
      </c>
      <c r="O7639" s="20">
        <f>F7639&amp;E7639&amp;G7639&amp;J7639</f>
        <v/>
      </c>
    </row>
    <row r="7640">
      <c r="B7640" s="16" t="n">
        <v>44315</v>
      </c>
      <c r="C7640" s="20" t="inlineStr">
        <is>
          <t>목</t>
        </is>
      </c>
      <c r="E7640" s="20">
        <f>INDEX(매칭테이블!C:C,MATCH(RD!G7640,매칭테이블!D:D,0))</f>
        <v/>
      </c>
      <c r="F7640" s="20" t="inlineStr">
        <is>
          <t>올리브영</t>
        </is>
      </c>
      <c r="G7640" s="20" t="inlineStr">
        <is>
          <t>유즈 솔리드퍼퓸 002 스테이포에버 30ml 30600 온라인</t>
        </is>
      </c>
      <c r="H7640" s="20" t="n">
        <v>56</v>
      </c>
      <c r="J7640" s="20" t="inlineStr">
        <is>
          <t>210207</t>
        </is>
      </c>
      <c r="L7640" s="20">
        <f>VLOOKUP($O7640,매칭테이블!$G:$J,2,0)*H7640</f>
        <v/>
      </c>
      <c r="M7640" s="20">
        <f>L7640-L7640*VLOOKUP($O7640,매칭테이블!$G:$J,3,0)</f>
        <v/>
      </c>
      <c r="N7640" s="20">
        <f>VLOOKUP($O7640,매칭테이블!$G:$J,4,0)*H7640</f>
        <v/>
      </c>
      <c r="O7640" s="20">
        <f>F7640&amp;E7640&amp;G7640&amp;J7640</f>
        <v/>
      </c>
    </row>
    <row r="7641">
      <c r="B7641" s="16" t="n">
        <v>44315</v>
      </c>
      <c r="C7641" s="20" t="inlineStr">
        <is>
          <t>목</t>
        </is>
      </c>
      <c r="D7641" s="20" t="inlineStr">
        <is>
          <t>카카오 배너</t>
        </is>
      </c>
      <c r="E7641" s="20" t="inlineStr">
        <is>
          <t>고체향수</t>
        </is>
      </c>
      <c r="K7641" s="20">
        <f>681164/1.1</f>
        <v/>
      </c>
    </row>
    <row r="7642">
      <c r="A7642" s="20" t="inlineStr">
        <is>
          <t>[비누향 인연_유즈모먼트] 스테이포에버_영상</t>
        </is>
      </c>
      <c r="B7642" s="16" t="n">
        <v>44316</v>
      </c>
      <c r="C7642" s="20" t="inlineStr">
        <is>
          <t>금</t>
        </is>
      </c>
      <c r="D7642" s="20">
        <f>VLOOKUP($A7642,매칭테이블!$B$548:$D$1048576,2,0)</f>
        <v/>
      </c>
      <c r="K7642" s="20" t="n">
        <v>7905</v>
      </c>
    </row>
    <row r="7643">
      <c r="A7643" s="20" t="inlineStr">
        <is>
          <t>[승은 TEST] 스테이포에버</t>
        </is>
      </c>
      <c r="B7643" s="16" t="n">
        <v>44316</v>
      </c>
      <c r="C7643" s="20" t="inlineStr">
        <is>
          <t>금</t>
        </is>
      </c>
      <c r="D7643" s="20" t="inlineStr">
        <is>
          <t>페이스북/인스타그램</t>
        </is>
      </c>
      <c r="E7643" s="20" t="inlineStr">
        <is>
          <t>고체향수</t>
        </is>
      </c>
      <c r="K7643" s="20" t="n">
        <v>62473</v>
      </c>
    </row>
    <row r="7644">
      <c r="A7644" s="20" t="inlineStr">
        <is>
          <t>[수현 TEST] 솔리드퍼퓸_이미지</t>
        </is>
      </c>
      <c r="B7644" s="16" t="n">
        <v>44316</v>
      </c>
      <c r="C7644" s="20" t="inlineStr">
        <is>
          <t>금</t>
        </is>
      </c>
      <c r="D7644" s="20" t="inlineStr">
        <is>
          <t>페이스북/인스타그램</t>
        </is>
      </c>
      <c r="E7644" s="20" t="inlineStr">
        <is>
          <t>고체향수</t>
        </is>
      </c>
      <c r="K7644" s="20" t="n">
        <v>61576</v>
      </c>
    </row>
    <row r="7645">
      <c r="A7645" s="20" t="inlineStr">
        <is>
          <t>[비누향 인연] 스테이포에버_카드뉴스</t>
        </is>
      </c>
      <c r="B7645" s="16" t="n">
        <v>44316</v>
      </c>
      <c r="C7645" s="20" t="inlineStr">
        <is>
          <t>금</t>
        </is>
      </c>
      <c r="D7645" s="20" t="inlineStr">
        <is>
          <t>페이스북/인스타그램</t>
        </is>
      </c>
      <c r="E7645" s="20" t="inlineStr">
        <is>
          <t>고체향수</t>
        </is>
      </c>
      <c r="K7645" s="20" t="n">
        <v>107022</v>
      </c>
    </row>
    <row r="7646">
      <c r="A7646" s="20" t="inlineStr">
        <is>
          <t>[성민 TEST] 솔리드퍼퓸_이미지</t>
        </is>
      </c>
      <c r="B7646" s="16" t="n">
        <v>44316</v>
      </c>
      <c r="C7646" s="20" t="inlineStr">
        <is>
          <t>금</t>
        </is>
      </c>
      <c r="D7646" s="20" t="inlineStr">
        <is>
          <t>페이스북/인스타그램</t>
        </is>
      </c>
      <c r="E7646" s="20" t="inlineStr">
        <is>
          <t>고체향수</t>
        </is>
      </c>
      <c r="K7646" s="20" t="n">
        <v>58848</v>
      </c>
    </row>
    <row r="7647">
      <c r="A7647" s="20" t="inlineStr">
        <is>
          <t>[승무원]유튜브_스테이포에버_카드뉴스</t>
        </is>
      </c>
      <c r="B7647" s="16" t="n">
        <v>44316</v>
      </c>
      <c r="C7647" s="20" t="inlineStr">
        <is>
          <t>금</t>
        </is>
      </c>
      <c r="D7647" s="20" t="inlineStr">
        <is>
          <t>페이스북/인스타그램</t>
        </is>
      </c>
      <c r="E7647" s="20" t="inlineStr">
        <is>
          <t>고체향수</t>
        </is>
      </c>
      <c r="K7647" s="20" t="n">
        <v>67890</v>
      </c>
    </row>
    <row r="7648">
      <c r="A7648" s="20" t="inlineStr">
        <is>
          <t>[올리브영] 이그나이트_영상</t>
        </is>
      </c>
      <c r="B7648" s="16" t="n">
        <v>44316</v>
      </c>
      <c r="C7648" s="20" t="inlineStr">
        <is>
          <t>금</t>
        </is>
      </c>
      <c r="D7648" s="20" t="inlineStr">
        <is>
          <t>페이스북/인스타그램</t>
        </is>
      </c>
      <c r="E7648" s="20" t="inlineStr">
        <is>
          <t>고체향수</t>
        </is>
      </c>
      <c r="K7648" s="20" t="n">
        <v>29784</v>
      </c>
    </row>
    <row r="7649">
      <c r="A7649" s="20" t="inlineStr">
        <is>
          <t>[승희 TEST] 솔리드퍼퓸_이미지</t>
        </is>
      </c>
      <c r="B7649" s="16" t="n">
        <v>44316</v>
      </c>
      <c r="C7649" s="20" t="inlineStr">
        <is>
          <t>금</t>
        </is>
      </c>
      <c r="D7649" s="20" t="inlineStr">
        <is>
          <t>페이스북/인스타그램</t>
        </is>
      </c>
      <c r="E7649" s="20" t="inlineStr">
        <is>
          <t>고체향수</t>
        </is>
      </c>
      <c r="K7649" s="20" t="n">
        <v>142039</v>
      </c>
    </row>
    <row r="7650">
      <c r="A7650" s="20" t="inlineStr">
        <is>
          <t>[올리브영] 스테이포에버_영상</t>
        </is>
      </c>
      <c r="B7650" s="16" t="n">
        <v>44316</v>
      </c>
      <c r="C7650" s="20" t="inlineStr">
        <is>
          <t>금</t>
        </is>
      </c>
      <c r="D7650" s="20" t="inlineStr">
        <is>
          <t>페이스북/인스타그램</t>
        </is>
      </c>
      <c r="E7650" s="20" t="inlineStr">
        <is>
          <t>고체향수</t>
        </is>
      </c>
      <c r="K7650" s="20" t="n">
        <v>49553</v>
      </c>
    </row>
    <row r="7651">
      <c r="A7651" s="20" t="inlineStr">
        <is>
          <t>[올리브영] 스테이포에버_이미지</t>
        </is>
      </c>
      <c r="B7651" s="16" t="n">
        <v>44316</v>
      </c>
      <c r="C7651" s="20" t="inlineStr">
        <is>
          <t>금</t>
        </is>
      </c>
      <c r="D7651" s="20" t="inlineStr">
        <is>
          <t>페이스북/인스타그램</t>
        </is>
      </c>
      <c r="E7651" s="20" t="inlineStr">
        <is>
          <t>고체향수</t>
        </is>
      </c>
      <c r="K7651" s="20" t="n">
        <v>29706</v>
      </c>
    </row>
    <row r="7652">
      <c r="A7652" s="20" t="inlineStr">
        <is>
          <t>[승무원] 유튜브재편집_스테이포에버_영상</t>
        </is>
      </c>
      <c r="B7652" s="16" t="n">
        <v>44316</v>
      </c>
      <c r="C7652" s="20" t="inlineStr">
        <is>
          <t>금</t>
        </is>
      </c>
      <c r="D7652" s="20" t="inlineStr">
        <is>
          <t>페이스북/인스타그램</t>
        </is>
      </c>
      <c r="E7652" s="20" t="inlineStr">
        <is>
          <t>고체향수</t>
        </is>
      </c>
      <c r="K7652" s="20" t="n">
        <v>751419</v>
      </c>
    </row>
    <row r="7653">
      <c r="A7653" s="20" t="inlineStr">
        <is>
          <t>[승무원 면세점] 스테이포에버_카드뉴스</t>
        </is>
      </c>
      <c r="B7653" s="16" t="n">
        <v>44316</v>
      </c>
      <c r="C7653" s="20" t="inlineStr">
        <is>
          <t>금</t>
        </is>
      </c>
      <c r="D7653" s="20" t="inlineStr">
        <is>
          <t>페이스북/인스타그램</t>
        </is>
      </c>
      <c r="E7653" s="20" t="inlineStr">
        <is>
          <t>고체향수</t>
        </is>
      </c>
      <c r="K7653" s="20" t="n">
        <v>238958</v>
      </c>
    </row>
    <row r="7654">
      <c r="A7654" s="20" t="inlineStr">
        <is>
          <t>[카페알바] 스테이포에버_카드뉴스</t>
        </is>
      </c>
      <c r="B7654" s="16" t="n">
        <v>44316</v>
      </c>
      <c r="C7654" s="20" t="inlineStr">
        <is>
          <t>금</t>
        </is>
      </c>
      <c r="D7654" s="20" t="inlineStr">
        <is>
          <t>페이스북/인스타그램</t>
        </is>
      </c>
      <c r="E7654" s="20" t="inlineStr">
        <is>
          <t>고체향수</t>
        </is>
      </c>
      <c r="K7654" s="20" t="n">
        <v>97350</v>
      </c>
    </row>
    <row r="7655">
      <c r="A7655" s="20" t="inlineStr">
        <is>
          <t>[아줌마]스테이포에버_이미지</t>
        </is>
      </c>
      <c r="B7655" s="16" t="n">
        <v>44316</v>
      </c>
      <c r="C7655" s="20" t="inlineStr">
        <is>
          <t>금</t>
        </is>
      </c>
      <c r="D7655" s="20" t="inlineStr">
        <is>
          <t>페이스북/인스타그램</t>
        </is>
      </c>
      <c r="E7655" s="20" t="inlineStr">
        <is>
          <t>고체향수</t>
        </is>
      </c>
      <c r="K7655" s="20" t="n">
        <v>49278</v>
      </c>
    </row>
    <row r="7656">
      <c r="A7656" s="20" t="inlineStr">
        <is>
          <t>[다양한 키워드] 스테이포에버_이미지</t>
        </is>
      </c>
      <c r="B7656" s="16" t="n">
        <v>44316</v>
      </c>
      <c r="C7656" s="20" t="inlineStr">
        <is>
          <t>금</t>
        </is>
      </c>
      <c r="D7656" s="20" t="inlineStr">
        <is>
          <t>페이스북/인스타그램</t>
        </is>
      </c>
      <c r="E7656" s="20" t="inlineStr">
        <is>
          <t>고체향수</t>
        </is>
      </c>
      <c r="K7656" s="20" t="n">
        <v>146451</v>
      </c>
    </row>
    <row r="7657">
      <c r="A7657" s="20" t="inlineStr">
        <is>
          <t>[재입고]스테이포에버_이미지</t>
        </is>
      </c>
      <c r="B7657" s="16" t="n">
        <v>44316</v>
      </c>
      <c r="C7657" s="20" t="inlineStr">
        <is>
          <t>금</t>
        </is>
      </c>
      <c r="D7657" s="20" t="inlineStr">
        <is>
          <t>페이스북/인스타그램</t>
        </is>
      </c>
      <c r="E7657" s="20" t="inlineStr">
        <is>
          <t>고체향수</t>
        </is>
      </c>
      <c r="K7657" s="20" t="n">
        <v>29031</v>
      </c>
    </row>
    <row r="7658">
      <c r="A7658" s="20" t="inlineStr">
        <is>
          <t>[승무원]숏폼_영상</t>
        </is>
      </c>
      <c r="B7658" s="16" t="n">
        <v>44316</v>
      </c>
      <c r="C7658" s="20" t="inlineStr">
        <is>
          <t>금</t>
        </is>
      </c>
      <c r="D7658" s="20" t="inlineStr">
        <is>
          <t>페이스북/인스타그램</t>
        </is>
      </c>
      <c r="E7658" s="20" t="inlineStr">
        <is>
          <t>고체향수</t>
        </is>
      </c>
      <c r="K7658" s="20" t="n">
        <v>49471</v>
      </c>
    </row>
    <row r="7659">
      <c r="A7659" s="20" t="inlineStr">
        <is>
          <t>[재입고]스테이포에버_영상</t>
        </is>
      </c>
      <c r="B7659" s="16" t="n">
        <v>44316</v>
      </c>
      <c r="C7659" s="20" t="inlineStr">
        <is>
          <t>금</t>
        </is>
      </c>
      <c r="D7659" s="20" t="inlineStr">
        <is>
          <t>페이스북/인스타그램</t>
        </is>
      </c>
      <c r="E7659" s="20" t="inlineStr">
        <is>
          <t>고체향수</t>
        </is>
      </c>
      <c r="K7659" s="20" t="n">
        <v>196809</v>
      </c>
    </row>
    <row r="7660">
      <c r="A7660" s="20" t="inlineStr">
        <is>
          <t>[승무원]2019년썰 카드뉴스+ 향묘사_영상</t>
        </is>
      </c>
      <c r="B7660" s="16" t="n">
        <v>44316</v>
      </c>
      <c r="C7660" s="20" t="inlineStr">
        <is>
          <t>금</t>
        </is>
      </c>
      <c r="D7660" s="20" t="inlineStr">
        <is>
          <t>페이스북/인스타그램</t>
        </is>
      </c>
      <c r="E7660" s="20" t="inlineStr">
        <is>
          <t>고체향수</t>
        </is>
      </c>
      <c r="K7660" s="20" t="n">
        <v>49335</v>
      </c>
    </row>
    <row r="7661">
      <c r="A7661" s="20" t="inlineStr">
        <is>
          <t>[승무원어피]스테이포에버_이미지</t>
        </is>
      </c>
      <c r="B7661" s="16" t="n">
        <v>44316</v>
      </c>
      <c r="C7661" s="20" t="inlineStr">
        <is>
          <t>금</t>
        </is>
      </c>
      <c r="D7661" s="20" t="inlineStr">
        <is>
          <t>페이스북/인스타그램</t>
        </is>
      </c>
      <c r="E7661" s="20" t="inlineStr">
        <is>
          <t>고체향수</t>
        </is>
      </c>
      <c r="K7661" s="20" t="n">
        <v>97555</v>
      </c>
    </row>
    <row r="7662">
      <c r="A7662" s="20" t="inlineStr">
        <is>
          <t>[다현]스테이포에버_이미지</t>
        </is>
      </c>
      <c r="B7662" s="16" t="n">
        <v>44316</v>
      </c>
      <c r="C7662" s="20" t="inlineStr">
        <is>
          <t>금</t>
        </is>
      </c>
      <c r="D7662" s="20" t="inlineStr">
        <is>
          <t>페이스북/인스타그램</t>
        </is>
      </c>
      <c r="E7662" s="20" t="inlineStr">
        <is>
          <t>고체향수</t>
        </is>
      </c>
      <c r="K7662" s="20" t="n">
        <v>148155</v>
      </c>
    </row>
    <row r="7663">
      <c r="A7663" s="20" t="inlineStr">
        <is>
          <t>[승무원]스테이포에버_카드뉴스</t>
        </is>
      </c>
      <c r="B7663" s="16" t="n">
        <v>44316</v>
      </c>
      <c r="C7663" s="20" t="inlineStr">
        <is>
          <t>금</t>
        </is>
      </c>
      <c r="D7663" s="20" t="inlineStr">
        <is>
          <t>페이스북/인스타그램</t>
        </is>
      </c>
      <c r="E7663" s="20" t="inlineStr">
        <is>
          <t>고체향수</t>
        </is>
      </c>
      <c r="K7663" s="20" t="n">
        <v>29547</v>
      </c>
    </row>
    <row r="7664">
      <c r="A7664" s="20" t="inlineStr">
        <is>
          <t>[후기타입]스테이포에버_영상</t>
        </is>
      </c>
      <c r="B7664" s="16" t="n">
        <v>44316</v>
      </c>
      <c r="C7664" s="20" t="inlineStr">
        <is>
          <t>금</t>
        </is>
      </c>
      <c r="D7664" s="20" t="inlineStr">
        <is>
          <t>페이스북/인스타그램</t>
        </is>
      </c>
      <c r="E7664" s="20" t="inlineStr">
        <is>
          <t>고체향수</t>
        </is>
      </c>
      <c r="K7664" s="20" t="n">
        <v>146965</v>
      </c>
    </row>
    <row r="7665">
      <c r="A7665" s="20" t="inlineStr">
        <is>
          <t>전환_스테이포에버</t>
        </is>
      </c>
      <c r="B7665" s="16" t="n">
        <v>44316</v>
      </c>
      <c r="C7665" s="20" t="inlineStr">
        <is>
          <t>금</t>
        </is>
      </c>
      <c r="D7665" s="20" t="inlineStr">
        <is>
          <t>페이스북/인스타그램</t>
        </is>
      </c>
      <c r="E7665" s="20" t="inlineStr">
        <is>
          <t>고체향수</t>
        </is>
      </c>
      <c r="K7665" s="20" t="n">
        <v>97016</v>
      </c>
    </row>
    <row r="7666">
      <c r="A7666" s="20" t="inlineStr">
        <is>
          <t>[권태기커플]스테이포에버_영상</t>
        </is>
      </c>
      <c r="B7666" s="16" t="n">
        <v>44316</v>
      </c>
      <c r="C7666" s="20" t="inlineStr">
        <is>
          <t>금</t>
        </is>
      </c>
      <c r="D7666" s="20" t="inlineStr">
        <is>
          <t>페이스북/인스타그램</t>
        </is>
      </c>
      <c r="E7666" s="20" t="inlineStr">
        <is>
          <t>고체향수</t>
        </is>
      </c>
      <c r="K7666" s="20" t="n">
        <v>29390</v>
      </c>
    </row>
    <row r="7667">
      <c r="A7667" s="20" t="inlineStr">
        <is>
          <t>[비누향 인연_유즈모먼트] 스테이포에버_영상</t>
        </is>
      </c>
      <c r="B7667" s="16" t="n">
        <v>44317</v>
      </c>
      <c r="C7667" s="20" t="inlineStr">
        <is>
          <t>토</t>
        </is>
      </c>
      <c r="D7667" s="20">
        <f>VLOOKUP($A7667,매칭테이블!$B$548:$D$1048576,2,0)</f>
        <v/>
      </c>
      <c r="E7667" s="20" t="inlineStr">
        <is>
          <t>고체향수</t>
        </is>
      </c>
      <c r="K7667" s="20" t="n">
        <v>29066</v>
      </c>
    </row>
    <row r="7668">
      <c r="A7668" s="20" t="inlineStr">
        <is>
          <t>[승은 TEST] 스테이포에버</t>
        </is>
      </c>
      <c r="B7668" s="16" t="n">
        <v>44317</v>
      </c>
      <c r="C7668" s="20" t="inlineStr">
        <is>
          <t>토</t>
        </is>
      </c>
      <c r="D7668" s="20" t="inlineStr">
        <is>
          <t>페이스북/인스타그램</t>
        </is>
      </c>
      <c r="E7668" s="20" t="inlineStr">
        <is>
          <t>고체향수</t>
        </is>
      </c>
      <c r="K7668" s="20" t="n">
        <v>63147</v>
      </c>
    </row>
    <row r="7669">
      <c r="A7669" s="20" t="inlineStr">
        <is>
          <t>[수현 TEST] 솔리드퍼퓸_이미지</t>
        </is>
      </c>
      <c r="B7669" s="16" t="n">
        <v>44317</v>
      </c>
      <c r="C7669" s="20" t="inlineStr">
        <is>
          <t>토</t>
        </is>
      </c>
      <c r="D7669" s="20" t="inlineStr">
        <is>
          <t>페이스북/인스타그램</t>
        </is>
      </c>
      <c r="E7669" s="20" t="inlineStr">
        <is>
          <t>고체향수</t>
        </is>
      </c>
      <c r="K7669" s="20" t="n">
        <v>65474</v>
      </c>
    </row>
    <row r="7670">
      <c r="A7670" s="20" t="inlineStr">
        <is>
          <t>[비누향 인연] 스테이포에버_카드뉴스</t>
        </is>
      </c>
      <c r="B7670" s="16" t="n">
        <v>44317</v>
      </c>
      <c r="C7670" s="20" t="inlineStr">
        <is>
          <t>토</t>
        </is>
      </c>
      <c r="D7670" s="20" t="inlineStr">
        <is>
          <t>페이스북/인스타그램</t>
        </is>
      </c>
      <c r="E7670" s="20" t="inlineStr">
        <is>
          <t>고체향수</t>
        </is>
      </c>
      <c r="K7670" s="20" t="n">
        <v>112170</v>
      </c>
    </row>
    <row r="7671">
      <c r="A7671" s="20" t="inlineStr">
        <is>
          <t>[성민 TEST] 솔리드퍼퓸_이미지</t>
        </is>
      </c>
      <c r="B7671" s="16" t="n">
        <v>44317</v>
      </c>
      <c r="C7671" s="20" t="inlineStr">
        <is>
          <t>토</t>
        </is>
      </c>
      <c r="D7671" s="20" t="inlineStr">
        <is>
          <t>페이스북/인스타그램</t>
        </is>
      </c>
      <c r="E7671" s="20" t="inlineStr">
        <is>
          <t>고체향수</t>
        </is>
      </c>
      <c r="K7671" s="20" t="n">
        <v>61364</v>
      </c>
    </row>
    <row r="7672">
      <c r="A7672" s="20" t="inlineStr">
        <is>
          <t>[승무원]유튜브_스테이포에버_카드뉴스</t>
        </is>
      </c>
      <c r="B7672" s="16" t="n">
        <v>44317</v>
      </c>
      <c r="C7672" s="20" t="inlineStr">
        <is>
          <t>토</t>
        </is>
      </c>
      <c r="D7672" s="20" t="inlineStr">
        <is>
          <t>페이스북/인스타그램</t>
        </is>
      </c>
      <c r="E7672" s="20" t="inlineStr">
        <is>
          <t>고체향수</t>
        </is>
      </c>
      <c r="K7672" s="20" t="n">
        <v>73049</v>
      </c>
    </row>
    <row r="7673">
      <c r="A7673" s="20" t="inlineStr">
        <is>
          <t>[올리브영] 이그나이트_영상</t>
        </is>
      </c>
      <c r="B7673" s="16" t="n">
        <v>44317</v>
      </c>
      <c r="C7673" s="20" t="inlineStr">
        <is>
          <t>토</t>
        </is>
      </c>
      <c r="D7673" s="20" t="inlineStr">
        <is>
          <t>페이스북/인스타그램</t>
        </is>
      </c>
      <c r="E7673" s="20" t="inlineStr">
        <is>
          <t>고체향수</t>
        </is>
      </c>
      <c r="K7673" s="20" t="n">
        <v>31747</v>
      </c>
    </row>
    <row r="7674">
      <c r="A7674" s="20" t="inlineStr">
        <is>
          <t>[승희 TEST] 솔리드퍼퓸_이미지</t>
        </is>
      </c>
      <c r="B7674" s="16" t="n">
        <v>44317</v>
      </c>
      <c r="C7674" s="20" t="inlineStr">
        <is>
          <t>토</t>
        </is>
      </c>
      <c r="D7674" s="20" t="inlineStr">
        <is>
          <t>페이스북/인스타그램</t>
        </is>
      </c>
      <c r="E7674" s="20" t="inlineStr">
        <is>
          <t>고체향수</t>
        </is>
      </c>
      <c r="K7674" s="20" t="n">
        <v>128952</v>
      </c>
    </row>
    <row r="7675">
      <c r="A7675" s="20" t="inlineStr">
        <is>
          <t>[올리브영] 스테이포에버_영상</t>
        </is>
      </c>
      <c r="B7675" s="16" t="n">
        <v>44317</v>
      </c>
      <c r="C7675" s="20" t="inlineStr">
        <is>
          <t>토</t>
        </is>
      </c>
      <c r="D7675" s="20" t="inlineStr">
        <is>
          <t>페이스북/인스타그램</t>
        </is>
      </c>
      <c r="E7675" s="20" t="inlineStr">
        <is>
          <t>고체향수</t>
        </is>
      </c>
      <c r="K7675" s="20" t="n">
        <v>53892</v>
      </c>
    </row>
    <row r="7676">
      <c r="A7676" s="20" t="inlineStr">
        <is>
          <t>[올리브영] 스테이포에버_이미지</t>
        </is>
      </c>
      <c r="B7676" s="16" t="n">
        <v>44317</v>
      </c>
      <c r="C7676" s="20" t="inlineStr">
        <is>
          <t>토</t>
        </is>
      </c>
      <c r="D7676" s="20" t="inlineStr">
        <is>
          <t>페이스북/인스타그램</t>
        </is>
      </c>
      <c r="E7676" s="20" t="inlineStr">
        <is>
          <t>고체향수</t>
        </is>
      </c>
      <c r="K7676" s="20" t="n">
        <v>32497</v>
      </c>
    </row>
    <row r="7677">
      <c r="A7677" s="20" t="inlineStr">
        <is>
          <t>[승무원] 유튜브재편집_스테이포에버_영상</t>
        </is>
      </c>
      <c r="B7677" s="16" t="n">
        <v>44317</v>
      </c>
      <c r="C7677" s="20" t="inlineStr">
        <is>
          <t>토</t>
        </is>
      </c>
      <c r="D7677" s="20" t="inlineStr">
        <is>
          <t>페이스북/인스타그램</t>
        </is>
      </c>
      <c r="E7677" s="20" t="inlineStr">
        <is>
          <t>고체향수</t>
        </is>
      </c>
      <c r="K7677" s="20" t="n">
        <v>794601</v>
      </c>
    </row>
    <row r="7678">
      <c r="A7678" s="20" t="inlineStr">
        <is>
          <t>[승무원 면세점] 스테이포에버_카드뉴스</t>
        </is>
      </c>
      <c r="B7678" s="16" t="n">
        <v>44317</v>
      </c>
      <c r="C7678" s="20" t="inlineStr">
        <is>
          <t>토</t>
        </is>
      </c>
      <c r="D7678" s="20" t="inlineStr">
        <is>
          <t>페이스북/인스타그램</t>
        </is>
      </c>
      <c r="E7678" s="20" t="inlineStr">
        <is>
          <t>고체향수</t>
        </is>
      </c>
      <c r="K7678" s="20" t="n">
        <v>250336</v>
      </c>
    </row>
    <row r="7679">
      <c r="A7679" s="20" t="inlineStr">
        <is>
          <t>[카페알바] 스테이포에버_카드뉴스</t>
        </is>
      </c>
      <c r="B7679" s="16" t="n">
        <v>44317</v>
      </c>
      <c r="C7679" s="20" t="inlineStr">
        <is>
          <t>토</t>
        </is>
      </c>
      <c r="D7679" s="20" t="inlineStr">
        <is>
          <t>페이스북/인스타그램</t>
        </is>
      </c>
      <c r="E7679" s="20" t="inlineStr">
        <is>
          <t>고체향수</t>
        </is>
      </c>
      <c r="K7679" s="20" t="n">
        <v>113758</v>
      </c>
    </row>
    <row r="7680">
      <c r="A7680" s="20" t="inlineStr">
        <is>
          <t>[아줌마]스테이포에버_이미지</t>
        </is>
      </c>
      <c r="B7680" s="16" t="n">
        <v>44317</v>
      </c>
      <c r="C7680" s="20" t="inlineStr">
        <is>
          <t>토</t>
        </is>
      </c>
      <c r="D7680" s="20" t="inlineStr">
        <is>
          <t>페이스북/인스타그램</t>
        </is>
      </c>
      <c r="E7680" s="20" t="inlineStr">
        <is>
          <t>고체향수</t>
        </is>
      </c>
      <c r="K7680" s="20" t="n">
        <v>50111</v>
      </c>
    </row>
    <row r="7681">
      <c r="A7681" s="20" t="inlineStr">
        <is>
          <t>[다양한 키워드] 스테이포에버_이미지</t>
        </is>
      </c>
      <c r="B7681" s="16" t="n">
        <v>44317</v>
      </c>
      <c r="C7681" s="20" t="inlineStr">
        <is>
          <t>토</t>
        </is>
      </c>
      <c r="D7681" s="20" t="inlineStr">
        <is>
          <t>페이스북/인스타그램</t>
        </is>
      </c>
      <c r="E7681" s="20" t="inlineStr">
        <is>
          <t>고체향수</t>
        </is>
      </c>
      <c r="K7681" s="20" t="n">
        <v>154497</v>
      </c>
    </row>
    <row r="7682">
      <c r="A7682" s="20" t="inlineStr">
        <is>
          <t>[재입고]스테이포에버_이미지</t>
        </is>
      </c>
      <c r="B7682" s="16" t="n">
        <v>44317</v>
      </c>
      <c r="C7682" s="20" t="inlineStr">
        <is>
          <t>토</t>
        </is>
      </c>
      <c r="D7682" s="20" t="inlineStr">
        <is>
          <t>페이스북/인스타그램</t>
        </is>
      </c>
      <c r="E7682" s="20" t="inlineStr">
        <is>
          <t>고체향수</t>
        </is>
      </c>
      <c r="K7682" s="20" t="n">
        <v>30573</v>
      </c>
    </row>
    <row r="7683">
      <c r="A7683" s="20" t="inlineStr">
        <is>
          <t>[승무원]숏폼_영상</t>
        </is>
      </c>
      <c r="B7683" s="16" t="n">
        <v>44317</v>
      </c>
      <c r="C7683" s="20" t="inlineStr">
        <is>
          <t>토</t>
        </is>
      </c>
      <c r="D7683" s="20" t="inlineStr">
        <is>
          <t>페이스북/인스타그램</t>
        </is>
      </c>
      <c r="E7683" s="20" t="inlineStr">
        <is>
          <t>고체향수</t>
        </is>
      </c>
      <c r="K7683" s="20" t="n">
        <v>51629</v>
      </c>
    </row>
    <row r="7684">
      <c r="A7684" s="20" t="inlineStr">
        <is>
          <t>[재입고]스테이포에버_영상</t>
        </is>
      </c>
      <c r="B7684" s="16" t="n">
        <v>44317</v>
      </c>
      <c r="C7684" s="20" t="inlineStr">
        <is>
          <t>토</t>
        </is>
      </c>
      <c r="D7684" s="20" t="inlineStr">
        <is>
          <t>페이스북/인스타그램</t>
        </is>
      </c>
      <c r="E7684" s="20" t="inlineStr">
        <is>
          <t>고체향수</t>
        </is>
      </c>
      <c r="K7684" s="20" t="n">
        <v>209862</v>
      </c>
    </row>
    <row r="7685">
      <c r="A7685" s="20" t="inlineStr">
        <is>
          <t>[승무원]2019년썰 카드뉴스+ 향묘사_영상</t>
        </is>
      </c>
      <c r="B7685" s="16" t="n">
        <v>44317</v>
      </c>
      <c r="C7685" s="20" t="inlineStr">
        <is>
          <t>토</t>
        </is>
      </c>
      <c r="D7685" s="20" t="inlineStr">
        <is>
          <t>페이스북/인스타그램</t>
        </is>
      </c>
      <c r="E7685" s="20" t="inlineStr">
        <is>
          <t>고체향수</t>
        </is>
      </c>
      <c r="K7685" s="20" t="n">
        <v>51357</v>
      </c>
    </row>
    <row r="7686">
      <c r="A7686" s="20" t="inlineStr">
        <is>
          <t>[승무원어피]스테이포에버_이미지</t>
        </is>
      </c>
      <c r="B7686" s="16" t="n">
        <v>44317</v>
      </c>
      <c r="C7686" s="20" t="inlineStr">
        <is>
          <t>토</t>
        </is>
      </c>
      <c r="D7686" s="20" t="inlineStr">
        <is>
          <t>페이스북/인스타그램</t>
        </is>
      </c>
      <c r="E7686" s="20" t="inlineStr">
        <is>
          <t>고체향수</t>
        </is>
      </c>
      <c r="K7686" s="20" t="n">
        <v>101895</v>
      </c>
    </row>
    <row r="7687">
      <c r="A7687" s="20" t="inlineStr">
        <is>
          <t>[다현]스테이포에버_이미지</t>
        </is>
      </c>
      <c r="B7687" s="16" t="n">
        <v>44317</v>
      </c>
      <c r="C7687" s="20" t="inlineStr">
        <is>
          <t>토</t>
        </is>
      </c>
      <c r="D7687" s="20" t="inlineStr">
        <is>
          <t>페이스북/인스타그램</t>
        </is>
      </c>
      <c r="E7687" s="20" t="inlineStr">
        <is>
          <t>고체향수</t>
        </is>
      </c>
      <c r="K7687" s="20" t="n">
        <v>155929</v>
      </c>
    </row>
    <row r="7688">
      <c r="A7688" s="20" t="inlineStr">
        <is>
          <t>[승무원]스테이포에버_카드뉴스</t>
        </is>
      </c>
      <c r="B7688" s="16" t="n">
        <v>44317</v>
      </c>
      <c r="C7688" s="20" t="inlineStr">
        <is>
          <t>토</t>
        </is>
      </c>
      <c r="D7688" s="20" t="inlineStr">
        <is>
          <t>페이스북/인스타그램</t>
        </is>
      </c>
      <c r="E7688" s="20" t="inlineStr">
        <is>
          <t>고체향수</t>
        </is>
      </c>
      <c r="K7688" s="20" t="n">
        <v>31051</v>
      </c>
    </row>
    <row r="7689">
      <c r="A7689" s="20" t="inlineStr">
        <is>
          <t>[후기타입]스테이포에버_영상</t>
        </is>
      </c>
      <c r="B7689" s="16" t="n">
        <v>44317</v>
      </c>
      <c r="C7689" s="20" t="inlineStr">
        <is>
          <t>토</t>
        </is>
      </c>
      <c r="D7689" s="20" t="inlineStr">
        <is>
          <t>페이스북/인스타그램</t>
        </is>
      </c>
      <c r="E7689" s="20" t="inlineStr">
        <is>
          <t>고체향수</t>
        </is>
      </c>
      <c r="K7689" s="20" t="n">
        <v>153938</v>
      </c>
    </row>
    <row r="7690">
      <c r="A7690" s="20" t="inlineStr">
        <is>
          <t>전환_스테이포에버</t>
        </is>
      </c>
      <c r="B7690" s="16" t="n">
        <v>44317</v>
      </c>
      <c r="C7690" s="20" t="inlineStr">
        <is>
          <t>토</t>
        </is>
      </c>
      <c r="D7690" s="20" t="inlineStr">
        <is>
          <t>페이스북/인스타그램</t>
        </is>
      </c>
      <c r="E7690" s="20" t="inlineStr">
        <is>
          <t>고체향수</t>
        </is>
      </c>
      <c r="K7690" s="20" t="n">
        <v>102744</v>
      </c>
    </row>
    <row r="7691">
      <c r="A7691" s="20" t="inlineStr">
        <is>
          <t>[권태기커플]스테이포에버_영상</t>
        </is>
      </c>
      <c r="B7691" s="16" t="n">
        <v>44317</v>
      </c>
      <c r="C7691" s="20" t="inlineStr">
        <is>
          <t>토</t>
        </is>
      </c>
      <c r="D7691" s="20" t="inlineStr">
        <is>
          <t>페이스북/인스타그램</t>
        </is>
      </c>
      <c r="E7691" s="20" t="inlineStr">
        <is>
          <t>고체향수</t>
        </is>
      </c>
      <c r="K7691" s="20" t="n">
        <v>30787</v>
      </c>
    </row>
    <row r="7692">
      <c r="A7692" s="20" t="inlineStr">
        <is>
          <t>[승은 TEST] 스테이포에버</t>
        </is>
      </c>
      <c r="B7692" s="16" t="n">
        <v>44318</v>
      </c>
      <c r="C7692" s="20" t="inlineStr">
        <is>
          <t>일</t>
        </is>
      </c>
      <c r="D7692" s="20" t="inlineStr">
        <is>
          <t>페이스북/인스타그램</t>
        </is>
      </c>
      <c r="E7692" s="20" t="inlineStr">
        <is>
          <t>고체향수</t>
        </is>
      </c>
      <c r="K7692" s="20" t="n">
        <v>61022</v>
      </c>
    </row>
    <row r="7693">
      <c r="A7693" s="20" t="inlineStr">
        <is>
          <t>[수현 TEST] 솔리드퍼퓸_이미지</t>
        </is>
      </c>
      <c r="B7693" s="16" t="n">
        <v>44318</v>
      </c>
      <c r="C7693" s="20" t="inlineStr">
        <is>
          <t>일</t>
        </is>
      </c>
      <c r="D7693" s="20" t="inlineStr">
        <is>
          <t>페이스북/인스타그램</t>
        </is>
      </c>
      <c r="E7693" s="20" t="inlineStr">
        <is>
          <t>고체향수</t>
        </is>
      </c>
      <c r="K7693" s="20" t="n">
        <v>100364</v>
      </c>
    </row>
    <row r="7694">
      <c r="A7694" s="20" t="inlineStr">
        <is>
          <t>[비누향 인연] 스테이포에버_카드뉴스</t>
        </is>
      </c>
      <c r="B7694" s="16" t="n">
        <v>44318</v>
      </c>
      <c r="C7694" s="20" t="inlineStr">
        <is>
          <t>일</t>
        </is>
      </c>
      <c r="D7694" s="20" t="inlineStr">
        <is>
          <t>페이스북/인스타그램</t>
        </is>
      </c>
      <c r="E7694" s="20" t="inlineStr">
        <is>
          <t>고체향수</t>
        </is>
      </c>
      <c r="K7694" s="20" t="n">
        <v>100099</v>
      </c>
    </row>
    <row r="7695">
      <c r="A7695" s="20" t="inlineStr">
        <is>
          <t>[성민 TEST] 솔리드퍼퓸_이미지</t>
        </is>
      </c>
      <c r="B7695" s="16" t="n">
        <v>44318</v>
      </c>
      <c r="C7695" s="20" t="inlineStr">
        <is>
          <t>일</t>
        </is>
      </c>
      <c r="D7695" s="20" t="inlineStr">
        <is>
          <t>페이스북/인스타그램</t>
        </is>
      </c>
      <c r="E7695" s="20" t="inlineStr">
        <is>
          <t>고체향수</t>
        </is>
      </c>
      <c r="K7695" s="20" t="n">
        <v>60422</v>
      </c>
    </row>
    <row r="7696">
      <c r="A7696" s="20" t="inlineStr">
        <is>
          <t>[승무원]유튜브_스테이포에버_카드뉴스</t>
        </is>
      </c>
      <c r="B7696" s="16" t="n">
        <v>44318</v>
      </c>
      <c r="C7696" s="20" t="inlineStr">
        <is>
          <t>일</t>
        </is>
      </c>
      <c r="D7696" s="20" t="inlineStr">
        <is>
          <t>페이스북/인스타그램</t>
        </is>
      </c>
      <c r="E7696" s="20" t="inlineStr">
        <is>
          <t>고체향수</t>
        </is>
      </c>
      <c r="K7696" s="20" t="n">
        <v>80750</v>
      </c>
    </row>
    <row r="7697">
      <c r="A7697" s="20" t="inlineStr">
        <is>
          <t>[올리브영] 이그나이트_영상</t>
        </is>
      </c>
      <c r="B7697" s="16" t="n">
        <v>44318</v>
      </c>
      <c r="C7697" s="20" t="inlineStr">
        <is>
          <t>일</t>
        </is>
      </c>
      <c r="D7697" s="20" t="inlineStr">
        <is>
          <t>페이스북/인스타그램</t>
        </is>
      </c>
      <c r="E7697" s="20" t="inlineStr">
        <is>
          <t>고체향수</t>
        </is>
      </c>
      <c r="K7697" s="20" t="n">
        <v>30286</v>
      </c>
    </row>
    <row r="7698">
      <c r="A7698" s="20" t="inlineStr">
        <is>
          <t>[승희 TEST] 솔리드퍼퓸_이미지</t>
        </is>
      </c>
      <c r="B7698" s="16" t="n">
        <v>44318</v>
      </c>
      <c r="C7698" s="20" t="inlineStr">
        <is>
          <t>일</t>
        </is>
      </c>
      <c r="D7698" s="20" t="inlineStr">
        <is>
          <t>페이스북/인스타그램</t>
        </is>
      </c>
      <c r="E7698" s="20" t="inlineStr">
        <is>
          <t>고체향수</t>
        </is>
      </c>
      <c r="K7698" s="20" t="n">
        <v>110866</v>
      </c>
    </row>
    <row r="7699">
      <c r="A7699" s="20" t="inlineStr">
        <is>
          <t>[올리브영] 스테이포에버_영상</t>
        </is>
      </c>
      <c r="B7699" s="16" t="n">
        <v>44318</v>
      </c>
      <c r="C7699" s="20" t="inlineStr">
        <is>
          <t>일</t>
        </is>
      </c>
      <c r="D7699" s="20" t="inlineStr">
        <is>
          <t>페이스북/인스타그램</t>
        </is>
      </c>
      <c r="E7699" s="20" t="inlineStr">
        <is>
          <t>고체향수</t>
        </is>
      </c>
      <c r="K7699" s="20" t="n">
        <v>50532</v>
      </c>
    </row>
    <row r="7700">
      <c r="A7700" s="20" t="inlineStr">
        <is>
          <t>[올리브영] 스테이포에버_이미지</t>
        </is>
      </c>
      <c r="B7700" s="16" t="n">
        <v>44318</v>
      </c>
      <c r="C7700" s="20" t="inlineStr">
        <is>
          <t>일</t>
        </is>
      </c>
      <c r="D7700" s="20" t="inlineStr">
        <is>
          <t>페이스북/인스타그램</t>
        </is>
      </c>
      <c r="E7700" s="20" t="inlineStr">
        <is>
          <t>고체향수</t>
        </is>
      </c>
      <c r="K7700" s="20" t="n">
        <v>30392</v>
      </c>
    </row>
    <row r="7701">
      <c r="A7701" s="20" t="inlineStr">
        <is>
          <t>[승무원] 유튜브재편집_스테이포에버_영상</t>
        </is>
      </c>
      <c r="B7701" s="16" t="n">
        <v>44318</v>
      </c>
      <c r="C7701" s="20" t="inlineStr">
        <is>
          <t>일</t>
        </is>
      </c>
      <c r="D7701" s="20" t="inlineStr">
        <is>
          <t>페이스북/인스타그램</t>
        </is>
      </c>
      <c r="E7701" s="20" t="inlineStr">
        <is>
          <t>고체향수</t>
        </is>
      </c>
      <c r="K7701" s="20" t="n">
        <v>801555</v>
      </c>
    </row>
    <row r="7702">
      <c r="A7702" s="20" t="inlineStr">
        <is>
          <t>[승무원 면세점] 스테이포에버_카드뉴스</t>
        </is>
      </c>
      <c r="B7702" s="16" t="n">
        <v>44318</v>
      </c>
      <c r="C7702" s="20" t="inlineStr">
        <is>
          <t>일</t>
        </is>
      </c>
      <c r="D7702" s="20" t="inlineStr">
        <is>
          <t>페이스북/인스타그램</t>
        </is>
      </c>
      <c r="E7702" s="20" t="inlineStr">
        <is>
          <t>고체향수</t>
        </is>
      </c>
      <c r="K7702" s="20" t="n">
        <v>250359</v>
      </c>
    </row>
    <row r="7703">
      <c r="A7703" s="20" t="inlineStr">
        <is>
          <t>[카페알바] 스테이포에버_카드뉴스</t>
        </is>
      </c>
      <c r="B7703" s="16" t="n">
        <v>44318</v>
      </c>
      <c r="C7703" s="20" t="inlineStr">
        <is>
          <t>일</t>
        </is>
      </c>
      <c r="D7703" s="20" t="inlineStr">
        <is>
          <t>페이스북/인스타그램</t>
        </is>
      </c>
      <c r="E7703" s="20" t="inlineStr">
        <is>
          <t>고체향수</t>
        </is>
      </c>
      <c r="K7703" s="20" t="n">
        <v>100349</v>
      </c>
    </row>
    <row r="7704">
      <c r="A7704" s="20" t="inlineStr">
        <is>
          <t>[아줌마]스테이포에버_이미지</t>
        </is>
      </c>
      <c r="B7704" s="16" t="n">
        <v>44318</v>
      </c>
      <c r="C7704" s="20" t="inlineStr">
        <is>
          <t>일</t>
        </is>
      </c>
      <c r="D7704" s="20" t="inlineStr">
        <is>
          <t>페이스북/인스타그램</t>
        </is>
      </c>
      <c r="E7704" s="20" t="inlineStr">
        <is>
          <t>고체향수</t>
        </is>
      </c>
      <c r="K7704" s="20" t="n">
        <v>50346</v>
      </c>
    </row>
    <row r="7705">
      <c r="A7705" s="20" t="inlineStr">
        <is>
          <t>[다양한 키워드] 스테이포에버_이미지</t>
        </is>
      </c>
      <c r="B7705" s="16" t="n">
        <v>44318</v>
      </c>
      <c r="C7705" s="20" t="inlineStr">
        <is>
          <t>일</t>
        </is>
      </c>
      <c r="D7705" s="20" t="inlineStr">
        <is>
          <t>페이스북/인스타그램</t>
        </is>
      </c>
      <c r="E7705" s="20" t="inlineStr">
        <is>
          <t>고체향수</t>
        </is>
      </c>
      <c r="K7705" s="20" t="n">
        <v>150979</v>
      </c>
    </row>
    <row r="7706">
      <c r="A7706" s="20" t="inlineStr">
        <is>
          <t>[재입고]스테이포에버_이미지</t>
        </is>
      </c>
      <c r="B7706" s="16" t="n">
        <v>44318</v>
      </c>
      <c r="C7706" s="20" t="inlineStr">
        <is>
          <t>일</t>
        </is>
      </c>
      <c r="D7706" s="20" t="inlineStr">
        <is>
          <t>페이스북/인스타그램</t>
        </is>
      </c>
      <c r="E7706" s="20" t="inlineStr">
        <is>
          <t>고체향수</t>
        </is>
      </c>
      <c r="K7706" s="20" t="n">
        <v>30369</v>
      </c>
    </row>
    <row r="7707">
      <c r="A7707" s="20" t="inlineStr">
        <is>
          <t>[승무원]숏폼_영상</t>
        </is>
      </c>
      <c r="B7707" s="16" t="n">
        <v>44318</v>
      </c>
      <c r="C7707" s="20" t="inlineStr">
        <is>
          <t>일</t>
        </is>
      </c>
      <c r="D7707" s="20" t="inlineStr">
        <is>
          <t>페이스북/인스타그램</t>
        </is>
      </c>
      <c r="E7707" s="20" t="inlineStr">
        <is>
          <t>고체향수</t>
        </is>
      </c>
      <c r="K7707" s="20" t="n">
        <v>50095</v>
      </c>
    </row>
    <row r="7708">
      <c r="A7708" s="20" t="inlineStr">
        <is>
          <t>[재입고]스테이포에버_영상</t>
        </is>
      </c>
      <c r="B7708" s="16" t="n">
        <v>44318</v>
      </c>
      <c r="C7708" s="20" t="inlineStr">
        <is>
          <t>일</t>
        </is>
      </c>
      <c r="D7708" s="20" t="inlineStr">
        <is>
          <t>페이스북/인스타그램</t>
        </is>
      </c>
      <c r="E7708" s="20" t="inlineStr">
        <is>
          <t>고체향수</t>
        </is>
      </c>
      <c r="K7708" s="20" t="n">
        <v>201144</v>
      </c>
    </row>
    <row r="7709">
      <c r="A7709" s="20" t="inlineStr">
        <is>
          <t>[승무원]2019년썰 카드뉴스+ 향묘사_영상</t>
        </is>
      </c>
      <c r="B7709" s="16" t="n">
        <v>44318</v>
      </c>
      <c r="C7709" s="20" t="inlineStr">
        <is>
          <t>일</t>
        </is>
      </c>
      <c r="D7709" s="20" t="inlineStr">
        <is>
          <t>페이스북/인스타그램</t>
        </is>
      </c>
      <c r="E7709" s="20" t="inlineStr">
        <is>
          <t>고체향수</t>
        </is>
      </c>
      <c r="K7709" s="20" t="n">
        <v>50115</v>
      </c>
    </row>
    <row r="7710">
      <c r="A7710" s="20" t="inlineStr">
        <is>
          <t>[승무원어피]스테이포에버_이미지</t>
        </is>
      </c>
      <c r="B7710" s="16" t="n">
        <v>44318</v>
      </c>
      <c r="C7710" s="20" t="inlineStr">
        <is>
          <t>일</t>
        </is>
      </c>
      <c r="D7710" s="20" t="inlineStr">
        <is>
          <t>페이스북/인스타그램</t>
        </is>
      </c>
      <c r="E7710" s="20" t="inlineStr">
        <is>
          <t>고체향수</t>
        </is>
      </c>
      <c r="K7710" s="20" t="n">
        <v>100869</v>
      </c>
    </row>
    <row r="7711">
      <c r="A7711" s="20" t="inlineStr">
        <is>
          <t>[다현]스테이포에버_이미지</t>
        </is>
      </c>
      <c r="B7711" s="16" t="n">
        <v>44318</v>
      </c>
      <c r="C7711" s="20" t="inlineStr">
        <is>
          <t>일</t>
        </is>
      </c>
      <c r="D7711" s="20" t="inlineStr">
        <is>
          <t>페이스북/인스타그램</t>
        </is>
      </c>
      <c r="E7711" s="20" t="inlineStr">
        <is>
          <t>고체향수</t>
        </is>
      </c>
      <c r="K7711" s="20" t="n">
        <v>150545</v>
      </c>
    </row>
    <row r="7712">
      <c r="A7712" s="20" t="inlineStr">
        <is>
          <t>[승무원]스테이포에버_카드뉴스</t>
        </is>
      </c>
      <c r="B7712" s="16" t="n">
        <v>44318</v>
      </c>
      <c r="C7712" s="20" t="inlineStr">
        <is>
          <t>일</t>
        </is>
      </c>
      <c r="D7712" s="20" t="inlineStr">
        <is>
          <t>페이스북/인스타그램</t>
        </is>
      </c>
      <c r="E7712" s="20" t="inlineStr">
        <is>
          <t>고체향수</t>
        </is>
      </c>
      <c r="K7712" s="20" t="n">
        <v>30307</v>
      </c>
    </row>
    <row r="7713">
      <c r="A7713" s="20" t="inlineStr">
        <is>
          <t>[후기타입]스테이포에버_영상</t>
        </is>
      </c>
      <c r="B7713" s="16" t="n">
        <v>44318</v>
      </c>
      <c r="C7713" s="20" t="inlineStr">
        <is>
          <t>일</t>
        </is>
      </c>
      <c r="D7713" s="20" t="inlineStr">
        <is>
          <t>페이스북/인스타그램</t>
        </is>
      </c>
      <c r="E7713" s="20" t="inlineStr">
        <is>
          <t>고체향수</t>
        </is>
      </c>
      <c r="K7713" s="20" t="n">
        <v>150357</v>
      </c>
    </row>
    <row r="7714">
      <c r="A7714" s="20" t="inlineStr">
        <is>
          <t>전환_스테이포에버</t>
        </is>
      </c>
      <c r="B7714" s="16" t="n">
        <v>44318</v>
      </c>
      <c r="C7714" s="20" t="inlineStr">
        <is>
          <t>일</t>
        </is>
      </c>
      <c r="D7714" s="20" t="inlineStr">
        <is>
          <t>페이스북/인스타그램</t>
        </is>
      </c>
      <c r="E7714" s="20" t="inlineStr">
        <is>
          <t>고체향수</t>
        </is>
      </c>
      <c r="K7714" s="20" t="n">
        <v>100288</v>
      </c>
    </row>
    <row r="7715">
      <c r="A7715" s="20" t="inlineStr">
        <is>
          <t>[권태기커플]스테이포에버_영상</t>
        </is>
      </c>
      <c r="B7715" s="16" t="n">
        <v>44318</v>
      </c>
      <c r="C7715" s="20" t="inlineStr">
        <is>
          <t>일</t>
        </is>
      </c>
      <c r="D7715" s="20" t="inlineStr">
        <is>
          <t>페이스북/인스타그램</t>
        </is>
      </c>
      <c r="E7715" s="20" t="inlineStr">
        <is>
          <t>고체향수</t>
        </is>
      </c>
      <c r="K7715" s="20" t="n">
        <v>30055</v>
      </c>
    </row>
    <row r="7716">
      <c r="A7716" s="20" t="inlineStr">
        <is>
          <t>웹사이트 트래픽 서치</t>
        </is>
      </c>
      <c r="B7716" s="16" t="n">
        <v>44316</v>
      </c>
      <c r="C7716" s="20" t="inlineStr">
        <is>
          <t>금</t>
        </is>
      </c>
      <c r="D7716" s="20" t="inlineStr">
        <is>
          <t>유튜브 광고</t>
        </is>
      </c>
      <c r="E7716" s="20" t="inlineStr">
        <is>
          <t>고체향수</t>
        </is>
      </c>
      <c r="K7716" s="20" t="n">
        <v>19439</v>
      </c>
    </row>
    <row r="7717">
      <c r="A7717" s="20" t="inlineStr">
        <is>
          <t>동영상캠페인_승무원_보이는 라디오(cpa)</t>
        </is>
      </c>
      <c r="B7717" s="16" t="n">
        <v>44316</v>
      </c>
      <c r="C7717" s="20" t="inlineStr">
        <is>
          <t>금</t>
        </is>
      </c>
      <c r="D7717" s="20" t="inlineStr">
        <is>
          <t>유튜브 광고</t>
        </is>
      </c>
      <c r="E7717" s="20" t="inlineStr">
        <is>
          <t>고체향수</t>
        </is>
      </c>
      <c r="K7717" s="20" t="n">
        <v>50000</v>
      </c>
    </row>
    <row r="7718">
      <c r="A7718" s="20" t="inlineStr">
        <is>
          <t>디스커버리 배너_승무원,할인_리마케팅</t>
        </is>
      </c>
      <c r="B7718" s="16" t="n">
        <v>44316</v>
      </c>
      <c r="C7718" s="20" t="inlineStr">
        <is>
          <t>금</t>
        </is>
      </c>
      <c r="D7718" s="20" t="inlineStr">
        <is>
          <t>유튜브 광고</t>
        </is>
      </c>
      <c r="E7718" s="20" t="inlineStr">
        <is>
          <t>고체향수</t>
        </is>
      </c>
      <c r="K7718" s="20" t="n">
        <v>603273</v>
      </c>
    </row>
    <row r="7719">
      <c r="A7719" s="20" t="inlineStr">
        <is>
          <t>동영상캠페인_승무원_써니스카이</t>
        </is>
      </c>
      <c r="B7719" s="16" t="n">
        <v>44316</v>
      </c>
      <c r="C7719" s="20" t="inlineStr">
        <is>
          <t>금</t>
        </is>
      </c>
      <c r="D7719" s="20" t="inlineStr">
        <is>
          <t>유튜브 광고</t>
        </is>
      </c>
      <c r="E7719" s="20" t="inlineStr">
        <is>
          <t>고체향수</t>
        </is>
      </c>
      <c r="K7719" s="20" t="n">
        <v>61287</v>
      </c>
    </row>
    <row r="7720">
      <c r="A7720" s="20" t="inlineStr">
        <is>
          <t>[5화자] 동영상 캠페인_벨라의 비행일기</t>
        </is>
      </c>
      <c r="B7720" s="16" t="n">
        <v>44316</v>
      </c>
      <c r="C7720" s="20" t="inlineStr">
        <is>
          <t>금</t>
        </is>
      </c>
      <c r="D7720" s="20" t="inlineStr">
        <is>
          <t>유튜브 광고</t>
        </is>
      </c>
      <c r="E7720" s="20" t="inlineStr">
        <is>
          <t>고체향수</t>
        </is>
      </c>
      <c r="K7720" s="20" t="n">
        <v>376558</v>
      </c>
    </row>
    <row r="7721">
      <c r="A7721" s="20" t="inlineStr">
        <is>
          <t>[5화자] 동영상 캠페인_비행하고 여행하는 은선씨</t>
        </is>
      </c>
      <c r="B7721" s="16" t="n">
        <v>44316</v>
      </c>
      <c r="C7721" s="20" t="inlineStr">
        <is>
          <t>금</t>
        </is>
      </c>
      <c r="D7721" s="20" t="inlineStr">
        <is>
          <t>유튜브 광고</t>
        </is>
      </c>
      <c r="E7721" s="20" t="inlineStr">
        <is>
          <t>고체향수</t>
        </is>
      </c>
      <c r="K7721" s="20" t="n">
        <v>296987</v>
      </c>
    </row>
    <row r="7722">
      <c r="A7722" s="20" t="inlineStr">
        <is>
          <t>[5화자 재편집] 승무원_벨라_면세점에서 천만원</t>
        </is>
      </c>
      <c r="B7722" s="16" t="n">
        <v>44316</v>
      </c>
      <c r="C7722" s="20" t="inlineStr">
        <is>
          <t>금</t>
        </is>
      </c>
      <c r="D7722" s="20" t="inlineStr">
        <is>
          <t>유튜브 광고</t>
        </is>
      </c>
      <c r="E7722" s="20" t="inlineStr">
        <is>
          <t>고체향수</t>
        </is>
      </c>
      <c r="K7722" s="20" t="n">
        <v>395868</v>
      </c>
    </row>
    <row r="7723">
      <c r="A7723" s="20" t="inlineStr">
        <is>
          <t>동영상캠페인_유즈모먼트_면세점뒤졌는데</t>
        </is>
      </c>
      <c r="B7723" s="16" t="n">
        <v>44316</v>
      </c>
      <c r="C7723" s="20" t="inlineStr">
        <is>
          <t>금</t>
        </is>
      </c>
      <c r="D7723" s="20" t="inlineStr">
        <is>
          <t>유튜브 광고</t>
        </is>
      </c>
      <c r="E7723" s="20" t="inlineStr">
        <is>
          <t>고체향수</t>
        </is>
      </c>
      <c r="K7723" s="20" t="n">
        <v>396156</v>
      </c>
    </row>
    <row r="7724">
      <c r="A7724" s="20" t="inlineStr">
        <is>
          <t>동영상_유즈모먼트_06_비누향인연</t>
        </is>
      </c>
      <c r="B7724" s="16" t="n">
        <v>44316</v>
      </c>
      <c r="C7724" s="20" t="inlineStr">
        <is>
          <t>금</t>
        </is>
      </c>
      <c r="D7724" s="20">
        <f>VLOOKUP($A7724,매칭테이블!$B$548:$D$1048576,2,0)</f>
        <v/>
      </c>
      <c r="E7724" s="20" t="inlineStr">
        <is>
          <t>고체향수</t>
        </is>
      </c>
      <c r="K7724" s="20" t="n">
        <v>50010</v>
      </c>
    </row>
    <row r="7725">
      <c r="A7725" s="20" t="inlineStr">
        <is>
          <t>웹사이트 트래픽 서치</t>
        </is>
      </c>
      <c r="B7725" s="16" t="n">
        <v>44317</v>
      </c>
      <c r="C7725" s="20" t="inlineStr">
        <is>
          <t>토</t>
        </is>
      </c>
      <c r="D7725" s="20" t="inlineStr">
        <is>
          <t>유튜브 광고</t>
        </is>
      </c>
      <c r="E7725" s="20" t="inlineStr">
        <is>
          <t>고체향수</t>
        </is>
      </c>
      <c r="K7725" s="20" t="n">
        <v>26023</v>
      </c>
    </row>
    <row r="7726">
      <c r="A7726" s="20" t="inlineStr">
        <is>
          <t>동영상캠페인_승무원_보이는 라디오(cpa)</t>
        </is>
      </c>
      <c r="B7726" s="16" t="n">
        <v>44317</v>
      </c>
      <c r="C7726" s="20" t="inlineStr">
        <is>
          <t>토</t>
        </is>
      </c>
      <c r="D7726" s="20" t="inlineStr">
        <is>
          <t>유튜브 광고</t>
        </is>
      </c>
      <c r="E7726" s="20" t="inlineStr">
        <is>
          <t>고체향수</t>
        </is>
      </c>
      <c r="K7726" s="20" t="n">
        <v>49000</v>
      </c>
    </row>
    <row r="7727">
      <c r="A7727" s="20" t="inlineStr">
        <is>
          <t>디스커버리 배너_승무원,할인_리마케팅</t>
        </is>
      </c>
      <c r="B7727" s="16" t="n">
        <v>44317</v>
      </c>
      <c r="C7727" s="20" t="inlineStr">
        <is>
          <t>토</t>
        </is>
      </c>
      <c r="D7727" s="20" t="inlineStr">
        <is>
          <t>유튜브 광고</t>
        </is>
      </c>
      <c r="E7727" s="20" t="inlineStr">
        <is>
          <t>고체향수</t>
        </is>
      </c>
      <c r="K7727" s="20" t="n">
        <v>594759</v>
      </c>
    </row>
    <row r="7728">
      <c r="A7728" s="20" t="inlineStr">
        <is>
          <t>동영상캠페인_승무원_써니스카이</t>
        </is>
      </c>
      <c r="B7728" s="16" t="n">
        <v>44317</v>
      </c>
      <c r="C7728" s="20" t="inlineStr">
        <is>
          <t>토</t>
        </is>
      </c>
      <c r="D7728" s="20" t="inlineStr">
        <is>
          <t>유튜브 광고</t>
        </is>
      </c>
      <c r="E7728" s="20" t="inlineStr">
        <is>
          <t>고체향수</t>
        </is>
      </c>
      <c r="K7728" s="20" t="n">
        <v>117733</v>
      </c>
    </row>
    <row r="7729">
      <c r="A7729" s="20" t="inlineStr">
        <is>
          <t>[5화자] 동영상 캠페인_벨라의 비행일기</t>
        </is>
      </c>
      <c r="B7729" s="16" t="n">
        <v>44317</v>
      </c>
      <c r="C7729" s="20" t="inlineStr">
        <is>
          <t>토</t>
        </is>
      </c>
      <c r="D7729" s="20" t="inlineStr">
        <is>
          <t>유튜브 광고</t>
        </is>
      </c>
      <c r="E7729" s="20" t="inlineStr">
        <is>
          <t>고체향수</t>
        </is>
      </c>
      <c r="K7729" s="20" t="n">
        <v>392271</v>
      </c>
    </row>
    <row r="7730">
      <c r="A7730" s="20" t="inlineStr">
        <is>
          <t>[5화자] 동영상 캠페인_비행하고 여행하는 은선씨</t>
        </is>
      </c>
      <c r="B7730" s="16" t="n">
        <v>44317</v>
      </c>
      <c r="C7730" s="20" t="inlineStr">
        <is>
          <t>토</t>
        </is>
      </c>
      <c r="D7730" s="20" t="inlineStr">
        <is>
          <t>유튜브 광고</t>
        </is>
      </c>
      <c r="E7730" s="20" t="inlineStr">
        <is>
          <t>고체향수</t>
        </is>
      </c>
      <c r="K7730" s="20" t="n">
        <v>294253</v>
      </c>
    </row>
    <row r="7731">
      <c r="A7731" s="20" t="inlineStr">
        <is>
          <t>[5화자 재편집] 승무원_벨라_면세점에서 천만원</t>
        </is>
      </c>
      <c r="B7731" s="16" t="n">
        <v>44317</v>
      </c>
      <c r="C7731" s="20" t="inlineStr">
        <is>
          <t>토</t>
        </is>
      </c>
      <c r="D7731" s="20" t="inlineStr">
        <is>
          <t>유튜브 광고</t>
        </is>
      </c>
      <c r="E7731" s="20" t="inlineStr">
        <is>
          <t>고체향수</t>
        </is>
      </c>
      <c r="K7731" s="20" t="n">
        <v>392278</v>
      </c>
    </row>
    <row r="7732">
      <c r="A7732" s="20" t="inlineStr">
        <is>
          <t>동영상캠페인_유즈모먼트_면세점뒤졌는데</t>
        </is>
      </c>
      <c r="B7732" s="16" t="n">
        <v>44317</v>
      </c>
      <c r="C7732" s="20" t="inlineStr">
        <is>
          <t>토</t>
        </is>
      </c>
      <c r="D7732" s="20" t="inlineStr">
        <is>
          <t>유튜브 광고</t>
        </is>
      </c>
      <c r="E7732" s="20" t="inlineStr">
        <is>
          <t>고체향수</t>
        </is>
      </c>
      <c r="K7732" s="20" t="n">
        <v>392291</v>
      </c>
    </row>
    <row r="7733">
      <c r="A7733" s="20" t="inlineStr">
        <is>
          <t>동영상_유즈모먼트_06_비누향인연</t>
        </is>
      </c>
      <c r="B7733" s="16" t="n">
        <v>44317</v>
      </c>
      <c r="C7733" s="20" t="inlineStr">
        <is>
          <t>토</t>
        </is>
      </c>
      <c r="D7733" s="20">
        <f>VLOOKUP($A7733,매칭테이블!$B$548:$D$1048576,2,0)</f>
        <v/>
      </c>
      <c r="E7733" s="20" t="inlineStr">
        <is>
          <t>고체향수</t>
        </is>
      </c>
      <c r="K7733" s="20" t="n">
        <v>49036</v>
      </c>
    </row>
    <row r="7734">
      <c r="A7734" s="20" t="inlineStr">
        <is>
          <t>웹사이트 트래픽 서치</t>
        </is>
      </c>
      <c r="B7734" s="16" t="n">
        <v>44318</v>
      </c>
      <c r="C7734" s="20" t="inlineStr">
        <is>
          <t>일</t>
        </is>
      </c>
      <c r="D7734" s="20" t="inlineStr">
        <is>
          <t>유튜브 광고</t>
        </is>
      </c>
      <c r="E7734" s="20" t="inlineStr">
        <is>
          <t>고체향수</t>
        </is>
      </c>
      <c r="K7734" s="20" t="n">
        <v>40211</v>
      </c>
    </row>
    <row r="7735">
      <c r="A7735" s="20" t="inlineStr">
        <is>
          <t>동영상캠페인_승무원_보이는 라디오(cpa)</t>
        </is>
      </c>
      <c r="B7735" s="16" t="n">
        <v>44318</v>
      </c>
      <c r="C7735" s="20" t="inlineStr">
        <is>
          <t>일</t>
        </is>
      </c>
      <c r="D7735" s="20" t="inlineStr">
        <is>
          <t>유튜브 광고</t>
        </is>
      </c>
      <c r="E7735" s="20" t="inlineStr">
        <is>
          <t>고체향수</t>
        </is>
      </c>
      <c r="K7735" s="20" t="n">
        <v>37056</v>
      </c>
    </row>
    <row r="7736">
      <c r="A7736" s="20" t="inlineStr">
        <is>
          <t>디스커버리 배너_승무원,할인_리마케팅</t>
        </is>
      </c>
      <c r="B7736" s="16" t="n">
        <v>44318</v>
      </c>
      <c r="C7736" s="20" t="inlineStr">
        <is>
          <t>일</t>
        </is>
      </c>
      <c r="D7736" s="20" t="inlineStr">
        <is>
          <t>유튜브 광고</t>
        </is>
      </c>
      <c r="E7736" s="20" t="inlineStr">
        <is>
          <t>고체향수</t>
        </is>
      </c>
      <c r="K7736" s="20" t="n">
        <v>527679</v>
      </c>
    </row>
    <row r="7737">
      <c r="A7737" s="20" t="inlineStr">
        <is>
          <t>동영상캠페인_승무원_써니스카이</t>
        </is>
      </c>
      <c r="B7737" s="16" t="n">
        <v>44318</v>
      </c>
      <c r="C7737" s="20" t="inlineStr">
        <is>
          <t>일</t>
        </is>
      </c>
      <c r="D7737" s="20" t="inlineStr">
        <is>
          <t>유튜브 광고</t>
        </is>
      </c>
      <c r="E7737" s="20" t="inlineStr">
        <is>
          <t>고체향수</t>
        </is>
      </c>
      <c r="K7737" s="20" t="n">
        <v>109104</v>
      </c>
    </row>
    <row r="7738">
      <c r="A7738" s="20" t="inlineStr">
        <is>
          <t>[5화자] 동영상 캠페인_벨라의 비행일기</t>
        </is>
      </c>
      <c r="B7738" s="16" t="n">
        <v>44318</v>
      </c>
      <c r="C7738" s="20" t="inlineStr">
        <is>
          <t>일</t>
        </is>
      </c>
      <c r="D7738" s="20" t="inlineStr">
        <is>
          <t>유튜브 광고</t>
        </is>
      </c>
      <c r="E7738" s="20" t="inlineStr">
        <is>
          <t>고체향수</t>
        </is>
      </c>
      <c r="K7738" s="20" t="n">
        <v>392472</v>
      </c>
    </row>
    <row r="7739">
      <c r="A7739" s="20" t="inlineStr">
        <is>
          <t>[5화자] 동영상 캠페인_비행하고 여행하는 은선씨</t>
        </is>
      </c>
      <c r="B7739" s="16" t="n">
        <v>44318</v>
      </c>
      <c r="C7739" s="20" t="inlineStr">
        <is>
          <t>일</t>
        </is>
      </c>
      <c r="D7739" s="20" t="inlineStr">
        <is>
          <t>유튜브 광고</t>
        </is>
      </c>
      <c r="E7739" s="20" t="inlineStr">
        <is>
          <t>고체향수</t>
        </is>
      </c>
      <c r="K7739" s="20" t="n">
        <v>294205</v>
      </c>
    </row>
    <row r="7740">
      <c r="A7740" s="20" t="inlineStr">
        <is>
          <t>[5화자 재편집] 승무원_벨라_면세점에서 천만원</t>
        </is>
      </c>
      <c r="B7740" s="16" t="n">
        <v>44318</v>
      </c>
      <c r="C7740" s="20" t="inlineStr">
        <is>
          <t>일</t>
        </is>
      </c>
      <c r="D7740" s="20" t="inlineStr">
        <is>
          <t>유튜브 광고</t>
        </is>
      </c>
      <c r="E7740" s="20" t="inlineStr">
        <is>
          <t>고체향수</t>
        </is>
      </c>
      <c r="K7740" s="20" t="n">
        <v>392264</v>
      </c>
    </row>
    <row r="7741">
      <c r="A7741" s="20" t="inlineStr">
        <is>
          <t>동영상캠페인_유즈모먼트_면세점뒤졌는데</t>
        </is>
      </c>
      <c r="B7741" s="16" t="n">
        <v>44318</v>
      </c>
      <c r="C7741" s="20" t="inlineStr">
        <is>
          <t>일</t>
        </is>
      </c>
      <c r="D7741" s="20" t="inlineStr">
        <is>
          <t>유튜브 광고</t>
        </is>
      </c>
      <c r="E7741" s="20" t="inlineStr">
        <is>
          <t>고체향수</t>
        </is>
      </c>
      <c r="K7741" s="20" t="n">
        <v>392255</v>
      </c>
    </row>
    <row r="7742">
      <c r="A7742" s="20" t="inlineStr">
        <is>
          <t>동영상_유즈모먼트_06_비누향인연</t>
        </is>
      </c>
      <c r="B7742" s="16" t="n">
        <v>44318</v>
      </c>
      <c r="C7742" s="20" t="inlineStr">
        <is>
          <t>일</t>
        </is>
      </c>
      <c r="D7742" s="20">
        <f>VLOOKUP($A7742,매칭테이블!$B$548:$D$1048576,2,0)</f>
        <v/>
      </c>
      <c r="E7742" s="20" t="inlineStr">
        <is>
          <t>고체향수</t>
        </is>
      </c>
      <c r="K7742" s="20" t="n">
        <v>49062</v>
      </c>
    </row>
    <row r="7743">
      <c r="A7743" s="20" t="inlineStr">
        <is>
          <t>메인키워드</t>
        </is>
      </c>
      <c r="B7743" s="16" t="n">
        <v>44318</v>
      </c>
      <c r="C7743" s="20" t="inlineStr">
        <is>
          <t>일</t>
        </is>
      </c>
      <c r="D7743" s="20" t="inlineStr">
        <is>
          <t>네이버 쇼핑검색</t>
        </is>
      </c>
      <c r="E7743" s="20" t="inlineStr">
        <is>
          <t>고체향수</t>
        </is>
      </c>
      <c r="K7743" s="20" t="n">
        <v>16910</v>
      </c>
    </row>
    <row r="7744">
      <c r="A7744" s="20" t="inlineStr">
        <is>
          <t>세부키워드1</t>
        </is>
      </c>
      <c r="B7744" s="16" t="n">
        <v>44318</v>
      </c>
      <c r="C7744" s="20" t="inlineStr">
        <is>
          <t>일</t>
        </is>
      </c>
      <c r="D7744" s="20" t="inlineStr">
        <is>
          <t>네이버 쇼핑검색</t>
        </is>
      </c>
      <c r="E7744" s="20" t="inlineStr">
        <is>
          <t>고체향수</t>
        </is>
      </c>
      <c r="K7744" s="20" t="n">
        <v>0</v>
      </c>
    </row>
    <row r="7745">
      <c r="A7745" s="20" t="inlineStr">
        <is>
          <t>세부키워드3</t>
        </is>
      </c>
      <c r="B7745" s="16" t="n">
        <v>44318</v>
      </c>
      <c r="C7745" s="20" t="inlineStr">
        <is>
          <t>일</t>
        </is>
      </c>
      <c r="D7745" s="20" t="inlineStr">
        <is>
          <t>네이버 쇼핑검색</t>
        </is>
      </c>
      <c r="E7745" s="20" t="inlineStr">
        <is>
          <t>고체향수</t>
        </is>
      </c>
      <c r="K7745" s="20" t="n">
        <v>120060</v>
      </c>
    </row>
    <row r="7746">
      <c r="A7746" s="20" t="inlineStr">
        <is>
          <t>모바일 브검</t>
        </is>
      </c>
      <c r="B7746" s="16" t="n">
        <v>44318</v>
      </c>
      <c r="C7746" s="20" t="inlineStr">
        <is>
          <t>일</t>
        </is>
      </c>
      <c r="D7746" s="20" t="inlineStr">
        <is>
          <t>네이버 브랜드검색</t>
        </is>
      </c>
      <c r="E7746" s="20" t="inlineStr">
        <is>
          <t>브랜드</t>
        </is>
      </c>
      <c r="K7746" s="20" t="n">
        <v>88000</v>
      </c>
    </row>
    <row r="7747">
      <c r="A7747" s="20" t="inlineStr">
        <is>
          <t>PC 브랜드검색</t>
        </is>
      </c>
      <c r="B7747" s="16" t="n">
        <v>44318</v>
      </c>
      <c r="C7747" s="20" t="inlineStr">
        <is>
          <t>일</t>
        </is>
      </c>
      <c r="D7747" s="20" t="inlineStr">
        <is>
          <t>네이버 브랜드검색</t>
        </is>
      </c>
      <c r="E7747" s="20" t="inlineStr">
        <is>
          <t>브랜드</t>
        </is>
      </c>
      <c r="K7747" s="20" t="n">
        <v>16700</v>
      </c>
    </row>
    <row r="7748">
      <c r="A7748" s="20" t="inlineStr">
        <is>
          <t>메인키워드</t>
        </is>
      </c>
      <c r="B7748" s="16" t="n">
        <v>44317</v>
      </c>
      <c r="C7748" s="20" t="inlineStr">
        <is>
          <t>토</t>
        </is>
      </c>
      <c r="D7748" s="20" t="inlineStr">
        <is>
          <t>네이버 쇼핑검색</t>
        </is>
      </c>
      <c r="E7748" s="20" t="inlineStr">
        <is>
          <t>고체향수</t>
        </is>
      </c>
      <c r="K7748" s="20" t="n">
        <v>20120</v>
      </c>
    </row>
    <row r="7749">
      <c r="A7749" s="20" t="inlineStr">
        <is>
          <t>세부키워드1</t>
        </is>
      </c>
      <c r="B7749" s="16" t="n">
        <v>44317</v>
      </c>
      <c r="C7749" s="20" t="inlineStr">
        <is>
          <t>토</t>
        </is>
      </c>
      <c r="D7749" s="20" t="inlineStr">
        <is>
          <t>네이버 쇼핑검색</t>
        </is>
      </c>
      <c r="E7749" s="20" t="inlineStr">
        <is>
          <t>고체향수</t>
        </is>
      </c>
      <c r="K7749" s="20" t="n">
        <v>49.99999999999999</v>
      </c>
    </row>
    <row r="7750">
      <c r="A7750" s="20" t="inlineStr">
        <is>
          <t>세부키워드3</t>
        </is>
      </c>
      <c r="B7750" s="16" t="n">
        <v>44317</v>
      </c>
      <c r="C7750" s="20" t="inlineStr">
        <is>
          <t>토</t>
        </is>
      </c>
      <c r="D7750" s="20" t="inlineStr">
        <is>
          <t>네이버 쇼핑검색</t>
        </is>
      </c>
      <c r="E7750" s="20" t="inlineStr">
        <is>
          <t>고체향수</t>
        </is>
      </c>
      <c r="K7750" s="20" t="n">
        <v>117490</v>
      </c>
    </row>
    <row r="7751">
      <c r="A7751" s="20" t="inlineStr">
        <is>
          <t>모바일 브검</t>
        </is>
      </c>
      <c r="B7751" s="16" t="n">
        <v>44317</v>
      </c>
      <c r="C7751" s="20" t="inlineStr">
        <is>
          <t>토</t>
        </is>
      </c>
      <c r="D7751" s="20" t="inlineStr">
        <is>
          <t>네이버 브랜드검색</t>
        </is>
      </c>
      <c r="E7751" s="20" t="inlineStr">
        <is>
          <t>브랜드</t>
        </is>
      </c>
      <c r="K7751" s="20" t="n">
        <v>88000</v>
      </c>
    </row>
    <row r="7752">
      <c r="A7752" s="20" t="inlineStr">
        <is>
          <t>PC 브랜드검색</t>
        </is>
      </c>
      <c r="B7752" s="16" t="n">
        <v>44317</v>
      </c>
      <c r="C7752" s="20" t="inlineStr">
        <is>
          <t>토</t>
        </is>
      </c>
      <c r="D7752" s="20" t="inlineStr">
        <is>
          <t>네이버 브랜드검색</t>
        </is>
      </c>
      <c r="E7752" s="20" t="inlineStr">
        <is>
          <t>브랜드</t>
        </is>
      </c>
      <c r="K7752" s="20" t="n">
        <v>16700</v>
      </c>
    </row>
    <row r="7753">
      <c r="A7753" s="20" t="inlineStr">
        <is>
          <t>메인키워드</t>
        </is>
      </c>
      <c r="B7753" s="16" t="n">
        <v>44316</v>
      </c>
      <c r="C7753" s="20" t="inlineStr">
        <is>
          <t>금</t>
        </is>
      </c>
      <c r="D7753" s="20" t="inlineStr">
        <is>
          <t>네이버 쇼핑검색</t>
        </is>
      </c>
      <c r="E7753" s="20" t="inlineStr">
        <is>
          <t>고체향수</t>
        </is>
      </c>
      <c r="K7753" s="20" t="n">
        <v>18520</v>
      </c>
    </row>
    <row r="7754">
      <c r="A7754" s="20" t="inlineStr">
        <is>
          <t>세부키워드1</t>
        </is>
      </c>
      <c r="B7754" s="16" t="n">
        <v>44316</v>
      </c>
      <c r="C7754" s="20" t="inlineStr">
        <is>
          <t>금</t>
        </is>
      </c>
      <c r="D7754" s="20" t="inlineStr">
        <is>
          <t>네이버 쇼핑검색</t>
        </is>
      </c>
      <c r="E7754" s="20" t="inlineStr">
        <is>
          <t>고체향수</t>
        </is>
      </c>
      <c r="K7754" s="20" t="n">
        <v>99.99999999999999</v>
      </c>
    </row>
    <row r="7755">
      <c r="A7755" s="20" t="inlineStr">
        <is>
          <t>세부키워드3</t>
        </is>
      </c>
      <c r="B7755" s="16" t="n">
        <v>44316</v>
      </c>
      <c r="C7755" s="20" t="inlineStr">
        <is>
          <t>금</t>
        </is>
      </c>
      <c r="D7755" s="20" t="inlineStr">
        <is>
          <t>네이버 쇼핑검색</t>
        </is>
      </c>
      <c r="E7755" s="20" t="inlineStr">
        <is>
          <t>고체향수</t>
        </is>
      </c>
      <c r="K7755" s="20" t="n">
        <v>117220</v>
      </c>
    </row>
    <row r="7756">
      <c r="A7756" s="20" t="inlineStr">
        <is>
          <t>모바일 브검</t>
        </is>
      </c>
      <c r="B7756" s="16" t="n">
        <v>44316</v>
      </c>
      <c r="C7756" s="20" t="inlineStr">
        <is>
          <t>금</t>
        </is>
      </c>
      <c r="D7756" s="20" t="inlineStr">
        <is>
          <t>네이버 브랜드검색</t>
        </is>
      </c>
      <c r="E7756" s="20" t="inlineStr">
        <is>
          <t>브랜드</t>
        </is>
      </c>
      <c r="K7756" s="20" t="n">
        <v>88000</v>
      </c>
    </row>
    <row r="7757">
      <c r="A7757" s="20" t="inlineStr">
        <is>
          <t>PC 브랜드검색</t>
        </is>
      </c>
      <c r="B7757" s="16" t="n">
        <v>44316</v>
      </c>
      <c r="C7757" s="20" t="inlineStr">
        <is>
          <t>금</t>
        </is>
      </c>
      <c r="D7757" s="20" t="inlineStr">
        <is>
          <t>네이버 브랜드검색</t>
        </is>
      </c>
      <c r="E7757" s="20" t="inlineStr">
        <is>
          <t>브랜드</t>
        </is>
      </c>
      <c r="K7757" s="20" t="n">
        <v>16700</v>
      </c>
    </row>
    <row r="7758">
      <c r="B7758" s="16" t="n">
        <v>44316</v>
      </c>
      <c r="C7758" s="20" t="inlineStr">
        <is>
          <t>금</t>
        </is>
      </c>
      <c r="E7758" s="20" t="inlineStr">
        <is>
          <t>고체향수</t>
        </is>
      </c>
      <c r="F7758" s="20" t="inlineStr">
        <is>
          <t>W컨셉</t>
        </is>
      </c>
      <c r="G7758" s="20" t="inlineStr">
        <is>
          <t>솔리드퍼퓸 이그나이트/스테이포에버 30ml (2종 택1)&lt;옵션1&gt;002 STAY FOREVER</t>
        </is>
      </c>
      <c r="H7758" s="20" t="n">
        <v>7</v>
      </c>
      <c r="I7758" s="20" t="inlineStr">
        <is>
          <t>스테이포에버</t>
        </is>
      </c>
      <c r="J7758" s="20" t="inlineStr">
        <is>
          <t>210207</t>
        </is>
      </c>
      <c r="L7758" s="20" t="n">
        <v>238000</v>
      </c>
      <c r="M7758" s="20" t="n">
        <v>166600</v>
      </c>
      <c r="N7758" s="20" t="n">
        <v>18144</v>
      </c>
      <c r="O7758" s="20" t="inlineStr">
        <is>
          <t>W컨셉고체향수솔리드퍼퓸 이그나이트/스테이포에버 30ml (2종 택1)&lt;옵션1&gt;002 STAY FOREVER210207</t>
        </is>
      </c>
    </row>
    <row r="7759">
      <c r="B7759" s="16" t="n">
        <v>44316</v>
      </c>
      <c r="C7759" s="20" t="inlineStr">
        <is>
          <t>금</t>
        </is>
      </c>
      <c r="E7759" s="20" t="inlineStr">
        <is>
          <t>고체향수</t>
        </is>
      </c>
      <c r="F7759" s="20" t="inlineStr">
        <is>
          <t>W컨셉</t>
        </is>
      </c>
      <c r="G7759" s="20" t="inlineStr">
        <is>
          <t>솔리드퍼퓸 이그나이트/스테이포에버 30ml (2종 택1)&lt;옵션1&gt;IGNITE + STAY FOREVER</t>
        </is>
      </c>
      <c r="H7759" s="20" t="n">
        <v>1</v>
      </c>
      <c r="I7759" s="20" t="inlineStr">
        <is>
          <t>이그나이트 + 스테이포에버</t>
        </is>
      </c>
      <c r="J7759" s="20" t="inlineStr">
        <is>
          <t>210207</t>
        </is>
      </c>
      <c r="L7759" s="20" t="n">
        <v>58800</v>
      </c>
      <c r="M7759" s="20" t="n">
        <v>47040</v>
      </c>
      <c r="N7759" s="20" t="n">
        <v>5345</v>
      </c>
      <c r="O7759" s="20" t="inlineStr">
        <is>
          <t>W컨셉고체향수솔리드퍼퓸 이그나이트/스테이포에버 30ml (2종 택1)&lt;옵션1&gt;IGNITE + STAY FOREVER210207</t>
        </is>
      </c>
    </row>
    <row r="7760">
      <c r="B7760" s="16" t="n">
        <v>44316</v>
      </c>
      <c r="C7760" s="20" t="inlineStr">
        <is>
          <t>금</t>
        </is>
      </c>
      <c r="E7760" s="20" t="inlineStr">
        <is>
          <t>고체향수</t>
        </is>
      </c>
      <c r="F7760" s="20" t="inlineStr">
        <is>
          <t>스마트스토어</t>
        </is>
      </c>
      <c r="G7760" s="20" t="inlineStr">
        <is>
          <t>유즈 고체향수 세트(유즈 스테이포에버, 유즈 이그나이트)고체향수: 스테이포에버 1개 + 이그나이트 1개</t>
        </is>
      </c>
      <c r="H7760" s="20" t="n">
        <v>1</v>
      </c>
      <c r="I7760" s="20" t="inlineStr">
        <is>
          <t>이그나이트 + 스테이포에버</t>
        </is>
      </c>
      <c r="J7760" s="20" t="inlineStr">
        <is>
          <t>210207</t>
        </is>
      </c>
      <c r="L7760" s="20" t="n">
        <v>58800</v>
      </c>
      <c r="M7760" s="20" t="n">
        <v>55360.2</v>
      </c>
      <c r="N7760" s="20" t="n">
        <v>5345</v>
      </c>
      <c r="O7760" s="20" t="inlineStr">
        <is>
          <t>스마트스토어고체향수유즈 고체향수 세트(유즈 스테이포에버, 유즈 이그나이트)고체향수: 스테이포에버 1개 + 이그나이트 1개210207</t>
        </is>
      </c>
    </row>
    <row r="7761">
      <c r="B7761" s="16" t="n">
        <v>44316</v>
      </c>
      <c r="C7761" s="20" t="inlineStr">
        <is>
          <t>금</t>
        </is>
      </c>
      <c r="E7761" s="20" t="inlineStr">
        <is>
          <t>고체향수</t>
        </is>
      </c>
      <c r="F7761" s="20" t="inlineStr">
        <is>
          <t>스마트스토어</t>
        </is>
      </c>
      <c r="G7761" s="20" t="inlineStr">
        <is>
          <t>유즈 고체향수 세트(유즈 스테이포에버, 유즈 이그나이트)고체향수: 스테이포에버 2개</t>
        </is>
      </c>
      <c r="H7761" s="20" t="n">
        <v>1</v>
      </c>
      <c r="I7761" s="20" t="inlineStr">
        <is>
          <t>스테이포에버 2set</t>
        </is>
      </c>
      <c r="J7761" s="20" t="inlineStr">
        <is>
          <t>210207</t>
        </is>
      </c>
      <c r="L7761" s="20" t="n">
        <v>58800</v>
      </c>
      <c r="M7761" s="20" t="n">
        <v>57624</v>
      </c>
      <c r="N7761" s="20" t="n">
        <v>5184</v>
      </c>
      <c r="O7761" s="20" t="inlineStr">
        <is>
          <t>스마트스토어고체향수유즈 고체향수 세트(유즈 스테이포에버, 유즈 이그나이트)고체향수: 스테이포에버 2개210207</t>
        </is>
      </c>
    </row>
    <row r="7762">
      <c r="B7762" s="16" t="n">
        <v>44316</v>
      </c>
      <c r="C7762" s="20" t="inlineStr">
        <is>
          <t>금</t>
        </is>
      </c>
      <c r="E7762" s="20" t="inlineStr">
        <is>
          <t>고체향수</t>
        </is>
      </c>
      <c r="F7762" s="20" t="inlineStr">
        <is>
          <t>스마트스토어</t>
        </is>
      </c>
      <c r="G7762" s="20" t="inlineStr">
        <is>
          <t>유즈 고체향수 스테이포에버 002고체향수: 스테이포에버 1개</t>
        </is>
      </c>
      <c r="H7762" s="20" t="n">
        <v>23</v>
      </c>
      <c r="I7762" s="20" t="inlineStr">
        <is>
          <t>스테이포에버</t>
        </is>
      </c>
      <c r="J7762" s="20" t="inlineStr">
        <is>
          <t>210207</t>
        </is>
      </c>
      <c r="L7762" s="20" t="n">
        <v>782000</v>
      </c>
      <c r="M7762" s="20" t="n">
        <v>766360</v>
      </c>
      <c r="N7762" s="20" t="n">
        <v>59616</v>
      </c>
      <c r="O7762" s="20" t="inlineStr">
        <is>
          <t>스마트스토어고체향수유즈 고체향수 스테이포에버 002고체향수: 스테이포에버 1개210207</t>
        </is>
      </c>
    </row>
    <row r="7763">
      <c r="B7763" s="16" t="n">
        <v>44316</v>
      </c>
      <c r="C7763" s="20" t="inlineStr">
        <is>
          <t>금</t>
        </is>
      </c>
      <c r="E7763" s="20" t="inlineStr">
        <is>
          <t>고체향수</t>
        </is>
      </c>
      <c r="F7763" s="20" t="inlineStr">
        <is>
          <t>카페24</t>
        </is>
      </c>
      <c r="G7763" s="20" t="inlineStr">
        <is>
          <t>솔리드퍼퓸 세트향=스테이포에버 002 SOLID PERFUME, 세트 선택=1개</t>
        </is>
      </c>
      <c r="H7763" s="20" t="n">
        <v>7</v>
      </c>
      <c r="I7763" s="20" t="inlineStr">
        <is>
          <t>스테이포에버</t>
        </is>
      </c>
      <c r="J7763" s="20" t="inlineStr">
        <is>
          <t>210207</t>
        </is>
      </c>
      <c r="L7763" s="20" t="n">
        <v>238000</v>
      </c>
      <c r="M7763" s="20" t="n">
        <v>224077</v>
      </c>
      <c r="N7763" s="20" t="n">
        <v>18144</v>
      </c>
      <c r="O7763" s="20" t="inlineStr">
        <is>
          <t>카페24고체향수솔리드퍼퓸 세트향=스테이포에버 002 SOLID PERFUME, 세트 선택=1개210207</t>
        </is>
      </c>
    </row>
    <row r="7764">
      <c r="B7764" s="16" t="n">
        <v>44316</v>
      </c>
      <c r="C7764" s="20" t="inlineStr">
        <is>
          <t>금</t>
        </is>
      </c>
      <c r="E7764" s="20" t="inlineStr">
        <is>
          <t>고체향수</t>
        </is>
      </c>
      <c r="F7764" s="20" t="inlineStr">
        <is>
          <t>카페24</t>
        </is>
      </c>
      <c r="G7764" s="20" t="inlineStr">
        <is>
          <t>솔리드퍼퓸 세트향=스테이포에버 002 SOLID PERFUME, 세트 선택=best 2개 (28% 할인)</t>
        </is>
      </c>
      <c r="H7764" s="20" t="n">
        <v>5</v>
      </c>
      <c r="I7764" s="20" t="inlineStr">
        <is>
          <t>스테이포에버 2set</t>
        </is>
      </c>
      <c r="J7764" s="20" t="inlineStr">
        <is>
          <t>210207</t>
        </is>
      </c>
      <c r="L7764" s="20" t="n">
        <v>294000</v>
      </c>
      <c r="M7764" s="20" t="n">
        <v>276801</v>
      </c>
      <c r="N7764" s="20" t="n">
        <v>25920</v>
      </c>
      <c r="O7764" s="20" t="inlineStr">
        <is>
          <t>카페24고체향수솔리드퍼퓸 세트향=스테이포에버 002 SOLID PERFUME, 세트 선택=best 2개 (28% 할인)210207</t>
        </is>
      </c>
    </row>
    <row r="7765">
      <c r="B7765" s="16" t="n">
        <v>44316</v>
      </c>
      <c r="C7765" s="20" t="inlineStr">
        <is>
          <t>금</t>
        </is>
      </c>
      <c r="E7765" s="20" t="inlineStr">
        <is>
          <t>고체향수</t>
        </is>
      </c>
      <c r="F7765" s="20" t="inlineStr">
        <is>
          <t>카페24</t>
        </is>
      </c>
      <c r="G7765" s="20" t="inlineStr">
        <is>
          <t>솔리드퍼퓸 세트향=커플세트(이그나이트 + 스테이포에버), 세트 선택=1 SET</t>
        </is>
      </c>
      <c r="H7765" s="20" t="n">
        <v>8</v>
      </c>
      <c r="I7765" s="20" t="inlineStr">
        <is>
          <t>이그나이트 + 스테이포에버</t>
        </is>
      </c>
      <c r="J7765" s="20" t="inlineStr">
        <is>
          <t>210207</t>
        </is>
      </c>
      <c r="L7765" s="20" t="n">
        <v>470400</v>
      </c>
      <c r="M7765" s="20" t="n">
        <v>442881.6</v>
      </c>
      <c r="N7765" s="20" t="n">
        <v>42760</v>
      </c>
      <c r="O7765" s="20" t="inlineStr">
        <is>
          <t>카페24고체향수솔리드퍼퓸 세트향=커플세트(이그나이트 + 스테이포에버), 세트 선택=1 SET210207</t>
        </is>
      </c>
    </row>
    <row r="7766">
      <c r="B7766" s="16" t="n">
        <v>44316</v>
      </c>
      <c r="C7766" s="20" t="inlineStr">
        <is>
          <t>금</t>
        </is>
      </c>
      <c r="E7766" s="20" t="inlineStr">
        <is>
          <t>고체향수</t>
        </is>
      </c>
      <c r="F7766" s="20" t="inlineStr">
        <is>
          <t>카페24</t>
        </is>
      </c>
      <c r="G7766" s="20" t="inlineStr">
        <is>
          <t>솔리드퍼퓸 세트향=커플세트(이그나이트 + 스테이포에버), 세트 선택=2 SET (42% 할인)</t>
        </is>
      </c>
      <c r="H7766" s="20" t="n">
        <v>2</v>
      </c>
      <c r="I7766" s="20" t="inlineStr">
        <is>
          <t>이그나이트 + 스테이포에버</t>
        </is>
      </c>
      <c r="J7766" s="20" t="inlineStr">
        <is>
          <t>210207</t>
        </is>
      </c>
      <c r="L7766" s="20" t="n">
        <v>117600</v>
      </c>
      <c r="M7766" s="20" t="n">
        <v>110720.4</v>
      </c>
      <c r="N7766" s="20" t="n">
        <v>10690</v>
      </c>
      <c r="O7766" s="20" t="inlineStr">
        <is>
          <t>카페24고체향수솔리드퍼퓸 세트향=커플세트(이그나이트 + 스테이포에버), 세트 선택=2 SET (42% 할인)210207</t>
        </is>
      </c>
    </row>
    <row r="7767">
      <c r="B7767" s="16" t="n">
        <v>44316</v>
      </c>
      <c r="C7767" s="20" t="inlineStr">
        <is>
          <t>금</t>
        </is>
      </c>
      <c r="E7767" s="20" t="inlineStr">
        <is>
          <t>고체향수</t>
        </is>
      </c>
      <c r="F7767" s="20" t="inlineStr">
        <is>
          <t>카페24</t>
        </is>
      </c>
      <c r="G7767" s="20" t="inlineStr">
        <is>
          <t>솔리드퍼퓸 스테이포에버 002제품선택=스테이포에버 1개</t>
        </is>
      </c>
      <c r="H7767" s="20" t="n">
        <v>194</v>
      </c>
      <c r="I7767" s="20" t="inlineStr">
        <is>
          <t>스테이포에버</t>
        </is>
      </c>
      <c r="J7767" s="20" t="inlineStr">
        <is>
          <t>210207</t>
        </is>
      </c>
      <c r="L7767" s="20" t="n">
        <v>6596000</v>
      </c>
      <c r="M7767" s="20" t="n">
        <v>6210134</v>
      </c>
      <c r="N7767" s="20" t="n">
        <v>502848</v>
      </c>
      <c r="O7767" s="20" t="inlineStr">
        <is>
          <t>카페24고체향수솔리드퍼퓸 스테이포에버 002제품선택=스테이포에버 1개210207</t>
        </is>
      </c>
    </row>
    <row r="7768">
      <c r="B7768" s="16" t="n">
        <v>44316</v>
      </c>
      <c r="C7768" s="20" t="inlineStr">
        <is>
          <t>금</t>
        </is>
      </c>
      <c r="E7768" s="20" t="inlineStr">
        <is>
          <t>고체향수</t>
        </is>
      </c>
      <c r="F7768" s="20" t="inlineStr">
        <is>
          <t>카페24</t>
        </is>
      </c>
      <c r="G7768" s="20" t="inlineStr">
        <is>
          <t>솔리드퍼퓸 스테이포에버 002제품선택=best스테이포에버 2개[28% 할인]</t>
        </is>
      </c>
      <c r="H7768" s="20" t="n">
        <v>113</v>
      </c>
      <c r="I7768" s="20" t="inlineStr">
        <is>
          <t>스테이포에버 2set</t>
        </is>
      </c>
      <c r="J7768" s="20" t="inlineStr">
        <is>
          <t>210207</t>
        </is>
      </c>
      <c r="L7768" s="20" t="n">
        <v>6644400</v>
      </c>
      <c r="M7768" s="20" t="n">
        <v>6255702.6</v>
      </c>
      <c r="N7768" s="20" t="n">
        <v>585792</v>
      </c>
      <c r="O7768" s="20" t="inlineStr">
        <is>
          <t>카페24고체향수솔리드퍼퓸 스테이포에버 002제품선택=best스테이포에버 2개[28% 할인]210207</t>
        </is>
      </c>
    </row>
    <row r="7769">
      <c r="B7769" s="16" t="n">
        <v>44316</v>
      </c>
      <c r="C7769" s="20" t="inlineStr">
        <is>
          <t>금</t>
        </is>
      </c>
      <c r="E7769" s="20" t="inlineStr">
        <is>
          <t>고체향수</t>
        </is>
      </c>
      <c r="F7769" s="20" t="inlineStr">
        <is>
          <t>카페24</t>
        </is>
      </c>
      <c r="G7769" s="20" t="inlineStr">
        <is>
          <t>솔리드퍼퓸 스테이포에버 002제품선택=커플추천스테이포에버 + 이그나이트 세트</t>
        </is>
      </c>
      <c r="H7769" s="20" t="n">
        <v>6</v>
      </c>
      <c r="I7769" s="20" t="inlineStr">
        <is>
          <t>이그나이트 + 스테이포에버</t>
        </is>
      </c>
      <c r="J7769" s="20" t="inlineStr">
        <is>
          <t>210207</t>
        </is>
      </c>
      <c r="L7769" s="20" t="n">
        <v>352800</v>
      </c>
      <c r="M7769" s="20" t="n">
        <v>332161.2</v>
      </c>
      <c r="N7769" s="20" t="n">
        <v>32070</v>
      </c>
      <c r="O7769" s="20" t="inlineStr">
        <is>
          <t>카페24고체향수솔리드퍼퓸 스테이포에버 002제품선택=커플추천스테이포에버 + 이그나이트 세트210207</t>
        </is>
      </c>
    </row>
    <row r="7770">
      <c r="B7770" s="16" t="n">
        <v>44316</v>
      </c>
      <c r="C7770" s="20" t="inlineStr">
        <is>
          <t>금</t>
        </is>
      </c>
      <c r="E7770" s="20" t="inlineStr">
        <is>
          <t>쇼핑백</t>
        </is>
      </c>
      <c r="F7770" s="20" t="inlineStr">
        <is>
          <t>카페24</t>
        </is>
      </c>
      <c r="G7770" s="20" t="inlineStr">
        <is>
          <t>솔리드퍼퓸 스테이포에버 002쇼핑백=선물용 쇼핑백</t>
        </is>
      </c>
      <c r="H7770" s="20" t="n">
        <v>3</v>
      </c>
      <c r="I7770" s="20" t="inlineStr">
        <is>
          <t>쇼핑백</t>
        </is>
      </c>
      <c r="J7770" s="20" t="inlineStr">
        <is>
          <t>210207</t>
        </is>
      </c>
      <c r="L7770" s="20" t="n">
        <v>6000</v>
      </c>
      <c r="M7770" s="20" t="n">
        <v>5649</v>
      </c>
      <c r="N7770" s="20" t="n">
        <v>2490</v>
      </c>
      <c r="O7770" s="20" t="inlineStr">
        <is>
          <t>카페24쇼핑백솔리드퍼퓸 스테이포에버 002쇼핑백=선물용 쇼핑백210207</t>
        </is>
      </c>
    </row>
    <row r="7771">
      <c r="B7771" s="16" t="n">
        <v>44316</v>
      </c>
      <c r="C7771" s="20" t="inlineStr">
        <is>
          <t>금</t>
        </is>
      </c>
      <c r="E7771" s="20" t="inlineStr">
        <is>
          <t>고체향수</t>
        </is>
      </c>
      <c r="F7771" s="20" t="inlineStr">
        <is>
          <t>카페24</t>
        </is>
      </c>
      <c r="G7771" s="20" t="inlineStr">
        <is>
          <t>솔리드퍼퓸 이그나이트 001제품선택=이그나이트 솔리드퍼퓸 - 30ml</t>
        </is>
      </c>
      <c r="H7771" s="20" t="n">
        <v>1</v>
      </c>
      <c r="I7771" s="20" t="inlineStr">
        <is>
          <t>이그나이트</t>
        </is>
      </c>
      <c r="J7771" s="20" t="inlineStr">
        <is>
          <t>210207</t>
        </is>
      </c>
      <c r="L7771" s="20" t="n">
        <v>34000</v>
      </c>
      <c r="M7771" s="20" t="n">
        <v>32011</v>
      </c>
      <c r="N7771" s="20" t="n">
        <v>2753</v>
      </c>
      <c r="O7771" s="20" t="inlineStr">
        <is>
          <t>카페24고체향수솔리드퍼퓸 이그나이트 001제품선택=이그나이트 솔리드퍼퓸 - 30ml210207</t>
        </is>
      </c>
    </row>
    <row r="7772">
      <c r="B7772" s="16" t="n">
        <v>44316</v>
      </c>
      <c r="C7772" s="20" t="inlineStr">
        <is>
          <t>금</t>
        </is>
      </c>
      <c r="E7772" s="20" t="inlineStr">
        <is>
          <t>고체향수</t>
        </is>
      </c>
      <c r="F7772" s="20" t="inlineStr">
        <is>
          <t>카페24</t>
        </is>
      </c>
      <c r="G7772" s="20" t="inlineStr">
        <is>
          <t>솔리드퍼퓸 이그나이트 001제품선택=이그나이트 2개 세트</t>
        </is>
      </c>
      <c r="H7772" s="20" t="n">
        <v>1</v>
      </c>
      <c r="I7772" s="20" t="inlineStr">
        <is>
          <t>이그나이트 2set</t>
        </is>
      </c>
      <c r="J7772" s="20" t="inlineStr">
        <is>
          <t>210207</t>
        </is>
      </c>
      <c r="L7772" s="20" t="n">
        <v>58800</v>
      </c>
      <c r="M7772" s="20" t="n">
        <v>55360.2</v>
      </c>
      <c r="N7772" s="20" t="n">
        <v>5506</v>
      </c>
      <c r="O7772" s="20" t="inlineStr">
        <is>
          <t>카페24고체향수솔리드퍼퓸 이그나이트 001제품선택=이그나이트 2개 세트210207</t>
        </is>
      </c>
    </row>
    <row r="7773">
      <c r="B7773" s="16" t="n">
        <v>44316</v>
      </c>
      <c r="C7773" s="20" t="inlineStr">
        <is>
          <t>금</t>
        </is>
      </c>
      <c r="E7773" s="20" t="inlineStr">
        <is>
          <t>쇼핑백</t>
        </is>
      </c>
      <c r="F7773" s="20" t="inlineStr">
        <is>
          <t>카페24</t>
        </is>
      </c>
      <c r="G7773" s="20" t="inlineStr">
        <is>
          <t>솔리드퍼퓸 이그나이트 001쇼핑백=선물용 쇼핑백</t>
        </is>
      </c>
      <c r="H7773" s="20" t="n">
        <v>1</v>
      </c>
      <c r="I7773" s="20" t="inlineStr">
        <is>
          <t>쇼핑백</t>
        </is>
      </c>
      <c r="J7773" s="20" t="inlineStr">
        <is>
          <t>210207</t>
        </is>
      </c>
      <c r="L7773" s="20" t="n">
        <v>2000</v>
      </c>
      <c r="M7773" s="20" t="n">
        <v>1883</v>
      </c>
      <c r="N7773" s="20" t="n">
        <v>830</v>
      </c>
      <c r="O7773" s="20" t="inlineStr">
        <is>
          <t>카페24쇼핑백솔리드퍼퓸 이그나이트 001쇼핑백=선물용 쇼핑백210207</t>
        </is>
      </c>
    </row>
    <row r="7774">
      <c r="B7774" s="16" t="n">
        <v>44317</v>
      </c>
      <c r="C7774" s="20" t="inlineStr">
        <is>
          <t>토</t>
        </is>
      </c>
      <c r="E7774" s="20" t="inlineStr">
        <is>
          <t>고체향수</t>
        </is>
      </c>
      <c r="F7774" s="20" t="inlineStr">
        <is>
          <t>스마트스토어</t>
        </is>
      </c>
      <c r="G7774" s="20" t="inlineStr">
        <is>
          <t>유즈 고체향수 세트(유즈 스테이포에버, 유즈 이그나이트)고체향수: 스테이포에버 1개 + 이그나이트 1개</t>
        </is>
      </c>
      <c r="H7774" s="20" t="n">
        <v>1</v>
      </c>
      <c r="I7774" s="20" t="inlineStr">
        <is>
          <t>이그나이트 + 스테이포에버</t>
        </is>
      </c>
      <c r="J7774" s="20" t="inlineStr">
        <is>
          <t>210207</t>
        </is>
      </c>
      <c r="L7774" s="20" t="n">
        <v>58800</v>
      </c>
      <c r="M7774" s="20" t="n">
        <v>55360.2</v>
      </c>
      <c r="N7774" s="20" t="n">
        <v>5345</v>
      </c>
      <c r="O7774" s="20" t="inlineStr">
        <is>
          <t>스마트스토어고체향수유즈 고체향수 세트(유즈 스테이포에버, 유즈 이그나이트)고체향수: 스테이포에버 1개 + 이그나이트 1개210207</t>
        </is>
      </c>
    </row>
    <row r="7775">
      <c r="B7775" s="16" t="n">
        <v>44317</v>
      </c>
      <c r="C7775" s="20" t="inlineStr">
        <is>
          <t>토</t>
        </is>
      </c>
      <c r="E7775" s="20" t="inlineStr">
        <is>
          <t>고체향수</t>
        </is>
      </c>
      <c r="F7775" s="20" t="inlineStr">
        <is>
          <t>스마트스토어</t>
        </is>
      </c>
      <c r="G7775" s="20" t="inlineStr">
        <is>
          <t>유즈 고체향수 세트(유즈 스테이포에버, 유즈 이그나이트)고체향수: 스테이포에버 2개</t>
        </is>
      </c>
      <c r="H7775" s="20" t="n">
        <v>1</v>
      </c>
      <c r="I7775" s="20" t="inlineStr">
        <is>
          <t>스테이포에버 2set</t>
        </is>
      </c>
      <c r="J7775" s="20" t="inlineStr">
        <is>
          <t>210207</t>
        </is>
      </c>
      <c r="L7775" s="20" t="n">
        <v>58800</v>
      </c>
      <c r="M7775" s="20" t="n">
        <v>57624</v>
      </c>
      <c r="N7775" s="20" t="n">
        <v>5184</v>
      </c>
      <c r="O7775" s="20" t="inlineStr">
        <is>
          <t>스마트스토어고체향수유즈 고체향수 세트(유즈 스테이포에버, 유즈 이그나이트)고체향수: 스테이포에버 2개210207</t>
        </is>
      </c>
    </row>
    <row r="7776">
      <c r="B7776" s="16" t="n">
        <v>44317</v>
      </c>
      <c r="C7776" s="20" t="inlineStr">
        <is>
          <t>토</t>
        </is>
      </c>
      <c r="E7776" s="20" t="inlineStr">
        <is>
          <t>고체향수</t>
        </is>
      </c>
      <c r="F7776" s="20" t="inlineStr">
        <is>
          <t>스마트스토어</t>
        </is>
      </c>
      <c r="G7776" s="20" t="inlineStr">
        <is>
          <t>유즈 고체향수 스테이포에버 002고체향수: 스테이포에버 1개</t>
        </is>
      </c>
      <c r="H7776" s="20" t="n">
        <v>17</v>
      </c>
      <c r="I7776" s="20" t="inlineStr">
        <is>
          <t>스테이포에버</t>
        </is>
      </c>
      <c r="J7776" s="20" t="inlineStr">
        <is>
          <t>210207</t>
        </is>
      </c>
      <c r="L7776" s="20" t="n">
        <v>578000</v>
      </c>
      <c r="M7776" s="20" t="n">
        <v>566440</v>
      </c>
      <c r="N7776" s="20" t="n">
        <v>44064</v>
      </c>
      <c r="O7776" s="20" t="inlineStr">
        <is>
          <t>스마트스토어고체향수유즈 고체향수 스테이포에버 002고체향수: 스테이포에버 1개210207</t>
        </is>
      </c>
    </row>
    <row r="7777">
      <c r="B7777" s="16" t="n">
        <v>44317</v>
      </c>
      <c r="C7777" s="20" t="inlineStr">
        <is>
          <t>토</t>
        </is>
      </c>
      <c r="E7777" s="20" t="inlineStr">
        <is>
          <t>고체향수</t>
        </is>
      </c>
      <c r="F7777" s="20" t="inlineStr">
        <is>
          <t>스마트스토어</t>
        </is>
      </c>
      <c r="G7777" s="20" t="inlineStr">
        <is>
          <t>유즈 고체향수 이그나이트 001고체향수: 이그나이트 1개</t>
        </is>
      </c>
      <c r="H7777" s="20" t="n">
        <v>1</v>
      </c>
      <c r="I7777" s="20" t="inlineStr">
        <is>
          <t>이그나이트</t>
        </is>
      </c>
      <c r="J7777" s="20" t="inlineStr">
        <is>
          <t>210207</t>
        </is>
      </c>
      <c r="L7777" s="20" t="n">
        <v>34000</v>
      </c>
      <c r="M7777" s="20" t="n">
        <v>33320</v>
      </c>
      <c r="N7777" s="20" t="n">
        <v>2753</v>
      </c>
      <c r="O7777" s="20" t="inlineStr">
        <is>
          <t>스마트스토어고체향수유즈 고체향수 이그나이트 001고체향수: 이그나이트 1개210207</t>
        </is>
      </c>
    </row>
    <row r="7778">
      <c r="B7778" s="16" t="n">
        <v>44317</v>
      </c>
      <c r="C7778" s="20" t="inlineStr">
        <is>
          <t>토</t>
        </is>
      </c>
      <c r="E7778" s="20" t="inlineStr">
        <is>
          <t>고체향수</t>
        </is>
      </c>
      <c r="F7778" s="20" t="inlineStr">
        <is>
          <t>카페24</t>
        </is>
      </c>
      <c r="G7778" s="20" t="inlineStr">
        <is>
          <t>솔리드퍼퓸 세트향=이그나이트 001 SOLID PERFUME, 세트 선택=best 2개 (28% 할인)</t>
        </is>
      </c>
      <c r="H7778" s="20" t="n">
        <v>1</v>
      </c>
      <c r="I7778" s="20" t="inlineStr">
        <is>
          <t>이그나이트 2set</t>
        </is>
      </c>
      <c r="J7778" s="20" t="inlineStr">
        <is>
          <t>210207</t>
        </is>
      </c>
      <c r="L7778" s="20" t="n">
        <v>58800</v>
      </c>
      <c r="M7778" s="20" t="n">
        <v>55360.2</v>
      </c>
      <c r="N7778" s="20" t="n">
        <v>5506</v>
      </c>
      <c r="O7778" s="20" t="inlineStr">
        <is>
          <t>카페24고체향수솔리드퍼퓸 세트향=이그나이트 001 SOLID PERFUME, 세트 선택=best 2개 (28% 할인)210207</t>
        </is>
      </c>
    </row>
    <row r="7779">
      <c r="B7779" s="16" t="n">
        <v>44317</v>
      </c>
      <c r="C7779" s="20" t="inlineStr">
        <is>
          <t>토</t>
        </is>
      </c>
      <c r="E7779" s="20" t="inlineStr">
        <is>
          <t>고체향수</t>
        </is>
      </c>
      <c r="F7779" s="20" t="inlineStr">
        <is>
          <t>카페24</t>
        </is>
      </c>
      <c r="G7779" s="20" t="inlineStr">
        <is>
          <t>솔리드퍼퓸 세트향=스테이포에버 002 SOLID PERFUME, 세트 선택=1개</t>
        </is>
      </c>
      <c r="H7779" s="20" t="n">
        <v>4</v>
      </c>
      <c r="I7779" s="20" t="inlineStr">
        <is>
          <t>스테이포에버</t>
        </is>
      </c>
      <c r="J7779" s="20" t="inlineStr">
        <is>
          <t>210207</t>
        </is>
      </c>
      <c r="L7779" s="20" t="n">
        <v>136000</v>
      </c>
      <c r="M7779" s="20" t="n">
        <v>128044</v>
      </c>
      <c r="N7779" s="20" t="n">
        <v>10368</v>
      </c>
      <c r="O7779" s="20" t="inlineStr">
        <is>
          <t>카페24고체향수솔리드퍼퓸 세트향=스테이포에버 002 SOLID PERFUME, 세트 선택=1개210207</t>
        </is>
      </c>
    </row>
    <row r="7780">
      <c r="B7780" s="16" t="n">
        <v>44317</v>
      </c>
      <c r="C7780" s="20" t="inlineStr">
        <is>
          <t>토</t>
        </is>
      </c>
      <c r="E7780" s="20" t="inlineStr">
        <is>
          <t>고체향수</t>
        </is>
      </c>
      <c r="F7780" s="20" t="inlineStr">
        <is>
          <t>카페24</t>
        </is>
      </c>
      <c r="G7780" s="20" t="inlineStr">
        <is>
          <t>솔리드퍼퓸 세트향=스테이포에버 002 SOLID PERFUME, 세트 선택=best 2개 (28% 할인)</t>
        </is>
      </c>
      <c r="H7780" s="20" t="n">
        <v>10</v>
      </c>
      <c r="I7780" s="20" t="inlineStr">
        <is>
          <t>스테이포에버 2set</t>
        </is>
      </c>
      <c r="J7780" s="20" t="inlineStr">
        <is>
          <t>210207</t>
        </is>
      </c>
      <c r="L7780" s="20" t="n">
        <v>588000</v>
      </c>
      <c r="M7780" s="20" t="n">
        <v>553602</v>
      </c>
      <c r="N7780" s="20" t="n">
        <v>51840</v>
      </c>
      <c r="O7780" s="20" t="inlineStr">
        <is>
          <t>카페24고체향수솔리드퍼퓸 세트향=스테이포에버 002 SOLID PERFUME, 세트 선택=best 2개 (28% 할인)210207</t>
        </is>
      </c>
    </row>
    <row r="7781">
      <c r="B7781" s="16" t="n">
        <v>44317</v>
      </c>
      <c r="C7781" s="20" t="inlineStr">
        <is>
          <t>토</t>
        </is>
      </c>
      <c r="E7781" s="20" t="inlineStr">
        <is>
          <t>고체향수</t>
        </is>
      </c>
      <c r="F7781" s="20" t="inlineStr">
        <is>
          <t>카페24</t>
        </is>
      </c>
      <c r="G7781" s="20" t="inlineStr">
        <is>
          <t>솔리드퍼퓸 세트향=커플세트(이그나이트 + 스테이포에버), 세트 선택=1 SET</t>
        </is>
      </c>
      <c r="H7781" s="20" t="n">
        <v>13</v>
      </c>
      <c r="I7781" s="20" t="inlineStr">
        <is>
          <t>이그나이트 + 스테이포에버</t>
        </is>
      </c>
      <c r="J7781" s="20" t="inlineStr">
        <is>
          <t>210207</t>
        </is>
      </c>
      <c r="L7781" s="20" t="n">
        <v>764400</v>
      </c>
      <c r="M7781" s="20" t="n">
        <v>719682.6</v>
      </c>
      <c r="N7781" s="20" t="n">
        <v>69485</v>
      </c>
      <c r="O7781" s="20" t="inlineStr">
        <is>
          <t>카페24고체향수솔리드퍼퓸 세트향=커플세트(이그나이트 + 스테이포에버), 세트 선택=1 SET210207</t>
        </is>
      </c>
    </row>
    <row r="7782">
      <c r="B7782" s="16" t="n">
        <v>44317</v>
      </c>
      <c r="C7782" s="20" t="inlineStr">
        <is>
          <t>토</t>
        </is>
      </c>
      <c r="E7782" s="20" t="inlineStr">
        <is>
          <t>고체향수</t>
        </is>
      </c>
      <c r="F7782" s="20" t="inlineStr">
        <is>
          <t>카페24</t>
        </is>
      </c>
      <c r="G7782" s="20" t="inlineStr">
        <is>
          <t>솔리드퍼퓸 세트향=커플세트(이그나이트 + 스테이포에버), 세트 선택=2 SET (42% 할인)</t>
        </is>
      </c>
      <c r="H7782" s="20" t="n">
        <v>2</v>
      </c>
      <c r="I7782" s="20" t="inlineStr">
        <is>
          <t>이그나이트 + 스테이포에버</t>
        </is>
      </c>
      <c r="J7782" s="20" t="inlineStr">
        <is>
          <t>210207</t>
        </is>
      </c>
      <c r="L7782" s="20" t="n">
        <v>117600</v>
      </c>
      <c r="M7782" s="20" t="n">
        <v>110720.4</v>
      </c>
      <c r="N7782" s="20" t="n">
        <v>10690</v>
      </c>
      <c r="O7782" s="20" t="inlineStr">
        <is>
          <t>카페24고체향수솔리드퍼퓸 세트향=커플세트(이그나이트 + 스테이포에버), 세트 선택=2 SET (42% 할인)210207</t>
        </is>
      </c>
    </row>
    <row r="7783">
      <c r="B7783" s="16" t="n">
        <v>44317</v>
      </c>
      <c r="C7783" s="20" t="inlineStr">
        <is>
          <t>토</t>
        </is>
      </c>
      <c r="E7783" s="20" t="inlineStr">
        <is>
          <t>고체향수</t>
        </is>
      </c>
      <c r="F7783" s="20" t="inlineStr">
        <is>
          <t>카페24</t>
        </is>
      </c>
      <c r="G7783" s="20" t="inlineStr">
        <is>
          <t>솔리드퍼퓸 스테이포에버 002제품선택=스테이포에버 1개</t>
        </is>
      </c>
      <c r="H7783" s="20" t="n">
        <v>283</v>
      </c>
      <c r="I7783" s="20" t="inlineStr">
        <is>
          <t>스테이포에버</t>
        </is>
      </c>
      <c r="J7783" s="20" t="inlineStr">
        <is>
          <t>210207</t>
        </is>
      </c>
      <c r="L7783" s="20" t="n">
        <v>9622000</v>
      </c>
      <c r="M7783" s="20" t="n">
        <v>9059113</v>
      </c>
      <c r="N7783" s="20" t="n">
        <v>733536</v>
      </c>
      <c r="O7783" s="20" t="inlineStr">
        <is>
          <t>카페24고체향수솔리드퍼퓸 스테이포에버 002제품선택=스테이포에버 1개210207</t>
        </is>
      </c>
    </row>
    <row r="7784">
      <c r="B7784" s="16" t="n">
        <v>44317</v>
      </c>
      <c r="C7784" s="20" t="inlineStr">
        <is>
          <t>토</t>
        </is>
      </c>
      <c r="E7784" s="20" t="inlineStr">
        <is>
          <t>고체향수</t>
        </is>
      </c>
      <c r="F7784" s="20" t="inlineStr">
        <is>
          <t>카페24</t>
        </is>
      </c>
      <c r="G7784" s="20" t="inlineStr">
        <is>
          <t>솔리드퍼퓸 스테이포에버 002제품선택=best스테이포에버 2개[28% 할인]</t>
        </is>
      </c>
      <c r="H7784" s="20" t="n">
        <v>178</v>
      </c>
      <c r="I7784" s="20" t="inlineStr">
        <is>
          <t>스테이포에버 2set</t>
        </is>
      </c>
      <c r="J7784" s="20" t="inlineStr">
        <is>
          <t>210207</t>
        </is>
      </c>
      <c r="L7784" s="20" t="n">
        <v>10466400</v>
      </c>
      <c r="M7784" s="20" t="n">
        <v>9854115.6</v>
      </c>
      <c r="N7784" s="20" t="n">
        <v>922752</v>
      </c>
      <c r="O7784" s="20" t="inlineStr">
        <is>
          <t>카페24고체향수솔리드퍼퓸 스테이포에버 002제품선택=best스테이포에버 2개[28% 할인]210207</t>
        </is>
      </c>
    </row>
    <row r="7785">
      <c r="B7785" s="16" t="n">
        <v>44317</v>
      </c>
      <c r="C7785" s="20" t="inlineStr">
        <is>
          <t>토</t>
        </is>
      </c>
      <c r="E7785" s="20" t="inlineStr">
        <is>
          <t>고체향수</t>
        </is>
      </c>
      <c r="F7785" s="20" t="inlineStr">
        <is>
          <t>카페24</t>
        </is>
      </c>
      <c r="G7785" s="20" t="inlineStr">
        <is>
          <t>솔리드퍼퓸 스테이포에버 002제품선택=커플추천스테이포에버 + 이그나이트 세트</t>
        </is>
      </c>
      <c r="H7785" s="20" t="n">
        <v>21</v>
      </c>
      <c r="I7785" s="20" t="inlineStr">
        <is>
          <t>이그나이트 + 스테이포에버</t>
        </is>
      </c>
      <c r="J7785" s="20" t="inlineStr">
        <is>
          <t>210207</t>
        </is>
      </c>
      <c r="L7785" s="20" t="n">
        <v>1234800</v>
      </c>
      <c r="M7785" s="20" t="n">
        <v>1162564.2</v>
      </c>
      <c r="N7785" s="20" t="n">
        <v>112245</v>
      </c>
      <c r="O7785" s="20" t="inlineStr">
        <is>
          <t>카페24고체향수솔리드퍼퓸 스테이포에버 002제품선택=커플추천스테이포에버 + 이그나이트 세트210207</t>
        </is>
      </c>
    </row>
    <row r="7786">
      <c r="B7786" s="16" t="n">
        <v>44317</v>
      </c>
      <c r="C7786" s="20" t="inlineStr">
        <is>
          <t>토</t>
        </is>
      </c>
      <c r="E7786" s="20" t="inlineStr">
        <is>
          <t>쇼핑백</t>
        </is>
      </c>
      <c r="F7786" s="20" t="inlineStr">
        <is>
          <t>카페24</t>
        </is>
      </c>
      <c r="G7786" s="20" t="inlineStr">
        <is>
          <t>솔리드퍼퓸 스테이포에버 002쇼핑백=선물용 쇼핑백</t>
        </is>
      </c>
      <c r="H7786" s="20" t="n">
        <v>8</v>
      </c>
      <c r="I7786" s="20" t="inlineStr">
        <is>
          <t>쇼핑백</t>
        </is>
      </c>
      <c r="J7786" s="20" t="inlineStr">
        <is>
          <t>210207</t>
        </is>
      </c>
      <c r="L7786" s="20" t="n">
        <v>16000</v>
      </c>
      <c r="M7786" s="20" t="n">
        <v>15064</v>
      </c>
      <c r="N7786" s="20" t="n">
        <v>6640</v>
      </c>
      <c r="O7786" s="20" t="inlineStr">
        <is>
          <t>카페24쇼핑백솔리드퍼퓸 스테이포에버 002쇼핑백=선물용 쇼핑백210207</t>
        </is>
      </c>
    </row>
    <row r="7787">
      <c r="B7787" s="16" t="n">
        <v>44317</v>
      </c>
      <c r="C7787" s="20" t="inlineStr">
        <is>
          <t>토</t>
        </is>
      </c>
      <c r="E7787" s="20" t="inlineStr">
        <is>
          <t>고체향수</t>
        </is>
      </c>
      <c r="F7787" s="20" t="inlineStr">
        <is>
          <t>카페24</t>
        </is>
      </c>
      <c r="G7787" s="20" t="inlineStr">
        <is>
          <t>솔리드퍼퓸 이그나이트 001제품선택=이그나이트 솔리드퍼퓸 - 30ml</t>
        </is>
      </c>
      <c r="H7787" s="20" t="n">
        <v>2</v>
      </c>
      <c r="I7787" s="20" t="inlineStr">
        <is>
          <t>이그나이트</t>
        </is>
      </c>
      <c r="J7787" s="20" t="inlineStr">
        <is>
          <t>210207</t>
        </is>
      </c>
      <c r="L7787" s="20" t="n">
        <v>68000</v>
      </c>
      <c r="M7787" s="20" t="n">
        <v>64022</v>
      </c>
      <c r="N7787" s="20" t="n">
        <v>5506</v>
      </c>
      <c r="O7787" s="20" t="inlineStr">
        <is>
          <t>카페24고체향수솔리드퍼퓸 이그나이트 001제품선택=이그나이트 솔리드퍼퓸 - 30ml210207</t>
        </is>
      </c>
    </row>
    <row r="7788">
      <c r="B7788" s="16" t="n">
        <v>44317</v>
      </c>
      <c r="C7788" s="20" t="inlineStr">
        <is>
          <t>토</t>
        </is>
      </c>
      <c r="E7788" s="20" t="inlineStr">
        <is>
          <t>고체향수</t>
        </is>
      </c>
      <c r="F7788" s="20" t="inlineStr">
        <is>
          <t>카페24</t>
        </is>
      </c>
      <c r="G7788" s="20" t="inlineStr">
        <is>
          <t>솔리드퍼퓸 이그나이트 001제품선택=이그나이트 2개 세트</t>
        </is>
      </c>
      <c r="H7788" s="20" t="n">
        <v>1</v>
      </c>
      <c r="I7788" s="20" t="inlineStr">
        <is>
          <t>이그나이트 2set</t>
        </is>
      </c>
      <c r="J7788" s="20" t="inlineStr">
        <is>
          <t>210207</t>
        </is>
      </c>
      <c r="L7788" s="20" t="n">
        <v>58800</v>
      </c>
      <c r="M7788" s="20" t="n">
        <v>55360.2</v>
      </c>
      <c r="N7788" s="20" t="n">
        <v>5506</v>
      </c>
      <c r="O7788" s="20" t="inlineStr">
        <is>
          <t>카페24고체향수솔리드퍼퓸 이그나이트 001제품선택=이그나이트 2개 세트210207</t>
        </is>
      </c>
    </row>
    <row r="7789">
      <c r="B7789" s="16" t="n">
        <v>44318</v>
      </c>
      <c r="C7789" s="20" t="inlineStr">
        <is>
          <t>일</t>
        </is>
      </c>
      <c r="E7789" s="20" t="inlineStr">
        <is>
          <t>고체향수</t>
        </is>
      </c>
      <c r="F7789" s="20" t="inlineStr">
        <is>
          <t>스마트스토어</t>
        </is>
      </c>
      <c r="G7789" s="20" t="inlineStr">
        <is>
          <t>유즈 고체향수 세트(유즈 스테이포에버, 유즈 이그나이트)고체향수: 스테이포에버 1개 + 이그나이트 1개</t>
        </is>
      </c>
      <c r="H7789" s="20" t="n">
        <v>3</v>
      </c>
      <c r="I7789" s="20" t="inlineStr">
        <is>
          <t>이그나이트 + 스테이포에버</t>
        </is>
      </c>
      <c r="J7789" s="20" t="inlineStr">
        <is>
          <t>210207</t>
        </is>
      </c>
      <c r="L7789" s="20" t="n">
        <v>176400</v>
      </c>
      <c r="M7789" s="20" t="n">
        <v>166080.6</v>
      </c>
      <c r="N7789" s="20" t="n">
        <v>16035</v>
      </c>
      <c r="O7789" s="20" t="inlineStr">
        <is>
          <t>스마트스토어고체향수유즈 고체향수 세트(유즈 스테이포에버, 유즈 이그나이트)고체향수: 스테이포에버 1개 + 이그나이트 1개210207</t>
        </is>
      </c>
    </row>
    <row r="7790">
      <c r="B7790" s="16" t="n">
        <v>44318</v>
      </c>
      <c r="C7790" s="20" t="inlineStr">
        <is>
          <t>일</t>
        </is>
      </c>
      <c r="E7790" s="20" t="inlineStr">
        <is>
          <t>고체향수</t>
        </is>
      </c>
      <c r="F7790" s="20" t="inlineStr">
        <is>
          <t>스마트스토어</t>
        </is>
      </c>
      <c r="G7790" s="20" t="inlineStr">
        <is>
          <t>유즈 고체향수 세트(유즈 스테이포에버, 유즈 이그나이트)고체향수: 스테이포에버 2개</t>
        </is>
      </c>
      <c r="H7790" s="20" t="n">
        <v>1</v>
      </c>
      <c r="I7790" s="20" t="inlineStr">
        <is>
          <t>스테이포에버 2set</t>
        </is>
      </c>
      <c r="J7790" s="20" t="inlineStr">
        <is>
          <t>210207</t>
        </is>
      </c>
      <c r="L7790" s="20" t="n">
        <v>58800</v>
      </c>
      <c r="M7790" s="20" t="n">
        <v>57624</v>
      </c>
      <c r="N7790" s="20" t="n">
        <v>5184</v>
      </c>
      <c r="O7790" s="20" t="inlineStr">
        <is>
          <t>스마트스토어고체향수유즈 고체향수 세트(유즈 스테이포에버, 유즈 이그나이트)고체향수: 스테이포에버 2개210207</t>
        </is>
      </c>
    </row>
    <row r="7791">
      <c r="B7791" s="16" t="n">
        <v>44318</v>
      </c>
      <c r="C7791" s="20" t="inlineStr">
        <is>
          <t>일</t>
        </is>
      </c>
      <c r="E7791" s="20" t="inlineStr">
        <is>
          <t>고체향수</t>
        </is>
      </c>
      <c r="F7791" s="20" t="inlineStr">
        <is>
          <t>스마트스토어</t>
        </is>
      </c>
      <c r="G7791" s="20" t="inlineStr">
        <is>
          <t>유즈 고체향수 스테이포에버 002고체향수: 스테이포에버 1개</t>
        </is>
      </c>
      <c r="H7791" s="20" t="n">
        <v>15</v>
      </c>
      <c r="I7791" s="20" t="inlineStr">
        <is>
          <t>스테이포에버</t>
        </is>
      </c>
      <c r="J7791" s="20" t="inlineStr">
        <is>
          <t>210207</t>
        </is>
      </c>
      <c r="L7791" s="20" t="n">
        <v>510000</v>
      </c>
      <c r="M7791" s="20" t="n">
        <v>499800</v>
      </c>
      <c r="N7791" s="20" t="n">
        <v>38880</v>
      </c>
      <c r="O7791" s="20" t="inlineStr">
        <is>
          <t>스마트스토어고체향수유즈 고체향수 스테이포에버 002고체향수: 스테이포에버 1개210207</t>
        </is>
      </c>
    </row>
    <row r="7792">
      <c r="B7792" s="16" t="n">
        <v>44318</v>
      </c>
      <c r="C7792" s="20" t="inlineStr">
        <is>
          <t>일</t>
        </is>
      </c>
      <c r="E7792" s="20" t="inlineStr">
        <is>
          <t>쇼핑백</t>
        </is>
      </c>
      <c r="F7792" s="20" t="inlineStr">
        <is>
          <t>카페24</t>
        </is>
      </c>
      <c r="G7792" s="20" t="inlineStr">
        <is>
          <t>선물용 쇼핑백</t>
        </is>
      </c>
      <c r="H7792" s="20" t="n">
        <v>1</v>
      </c>
      <c r="I7792" s="20" t="inlineStr">
        <is>
          <t>쇼핑백</t>
        </is>
      </c>
      <c r="J7792" s="20" t="inlineStr">
        <is>
          <t>210207</t>
        </is>
      </c>
      <c r="L7792" s="20" t="n">
        <v>2000</v>
      </c>
      <c r="M7792" s="20" t="n">
        <v>1883</v>
      </c>
      <c r="N7792" s="20" t="n">
        <v>830</v>
      </c>
      <c r="O7792" s="20" t="inlineStr">
        <is>
          <t>카페24쇼핑백선물용 쇼핑백210207</t>
        </is>
      </c>
    </row>
    <row r="7793">
      <c r="B7793" s="16" t="n">
        <v>44318</v>
      </c>
      <c r="C7793" s="20" t="inlineStr">
        <is>
          <t>일</t>
        </is>
      </c>
      <c r="E7793" s="20" t="inlineStr">
        <is>
          <t>고체향수</t>
        </is>
      </c>
      <c r="F7793" s="20" t="inlineStr">
        <is>
          <t>카페24</t>
        </is>
      </c>
      <c r="G7793" s="20" t="inlineStr">
        <is>
          <t>솔리드퍼퓸 세트향=스테이포에버 002 SOLID PERFUME, 세트 선택=1개</t>
        </is>
      </c>
      <c r="H7793" s="20" t="n">
        <v>5</v>
      </c>
      <c r="I7793" s="20" t="inlineStr">
        <is>
          <t>스테이포에버</t>
        </is>
      </c>
      <c r="J7793" s="20" t="inlineStr">
        <is>
          <t>210207</t>
        </is>
      </c>
      <c r="L7793" s="20" t="n">
        <v>170000</v>
      </c>
      <c r="M7793" s="20" t="n">
        <v>160055</v>
      </c>
      <c r="N7793" s="20" t="n">
        <v>12960</v>
      </c>
      <c r="O7793" s="20" t="inlineStr">
        <is>
          <t>카페24고체향수솔리드퍼퓸 세트향=스테이포에버 002 SOLID PERFUME, 세트 선택=1개210207</t>
        </is>
      </c>
    </row>
    <row r="7794">
      <c r="B7794" s="16" t="n">
        <v>44318</v>
      </c>
      <c r="C7794" s="20" t="inlineStr">
        <is>
          <t>일</t>
        </is>
      </c>
      <c r="E7794" s="20" t="inlineStr">
        <is>
          <t>고체향수</t>
        </is>
      </c>
      <c r="F7794" s="20" t="inlineStr">
        <is>
          <t>카페24</t>
        </is>
      </c>
      <c r="G7794" s="20" t="inlineStr">
        <is>
          <t>솔리드퍼퓸 세트향=스테이포에버 002 SOLID PERFUME, 세트 선택=best 2개 (28% 할인)</t>
        </is>
      </c>
      <c r="H7794" s="20" t="n">
        <v>8</v>
      </c>
      <c r="I7794" s="20" t="inlineStr">
        <is>
          <t>스테이포에버 2set</t>
        </is>
      </c>
      <c r="J7794" s="20" t="inlineStr">
        <is>
          <t>210207</t>
        </is>
      </c>
      <c r="L7794" s="20" t="n">
        <v>470400</v>
      </c>
      <c r="M7794" s="20" t="n">
        <v>442881.6</v>
      </c>
      <c r="N7794" s="20" t="n">
        <v>41472</v>
      </c>
      <c r="O7794" s="20" t="inlineStr">
        <is>
          <t>카페24고체향수솔리드퍼퓸 세트향=스테이포에버 002 SOLID PERFUME, 세트 선택=best 2개 (28% 할인)210207</t>
        </is>
      </c>
    </row>
    <row r="7795">
      <c r="B7795" s="16" t="n">
        <v>44318</v>
      </c>
      <c r="C7795" s="20" t="inlineStr">
        <is>
          <t>일</t>
        </is>
      </c>
      <c r="E7795" s="20" t="inlineStr">
        <is>
          <t>고체향수</t>
        </is>
      </c>
      <c r="F7795" s="20" t="inlineStr">
        <is>
          <t>카페24</t>
        </is>
      </c>
      <c r="G7795" s="20" t="inlineStr">
        <is>
          <t>솔리드퍼퓸 세트향=커플세트(이그나이트 + 스테이포에버), 세트 선택=1 SET</t>
        </is>
      </c>
      <c r="H7795" s="20" t="n">
        <v>10</v>
      </c>
      <c r="I7795" s="20" t="inlineStr">
        <is>
          <t>이그나이트 + 스테이포에버</t>
        </is>
      </c>
      <c r="J7795" s="20" t="inlineStr">
        <is>
          <t>210207</t>
        </is>
      </c>
      <c r="L7795" s="20" t="n">
        <v>588000</v>
      </c>
      <c r="M7795" s="20" t="n">
        <v>553602</v>
      </c>
      <c r="N7795" s="20" t="n">
        <v>53450</v>
      </c>
      <c r="O7795" s="20" t="inlineStr">
        <is>
          <t>카페24고체향수솔리드퍼퓸 세트향=커플세트(이그나이트 + 스테이포에버), 세트 선택=1 SET210207</t>
        </is>
      </c>
    </row>
    <row r="7796">
      <c r="B7796" s="16" t="n">
        <v>44318</v>
      </c>
      <c r="C7796" s="20" t="inlineStr">
        <is>
          <t>일</t>
        </is>
      </c>
      <c r="E7796" s="20" t="inlineStr">
        <is>
          <t>고체향수</t>
        </is>
      </c>
      <c r="F7796" s="20" t="inlineStr">
        <is>
          <t>카페24</t>
        </is>
      </c>
      <c r="G7796" s="20" t="inlineStr">
        <is>
          <t>솔리드퍼퓸 세트향=커플세트(이그나이트 + 스테이포에버), 세트 선택=2 SET (42% 할인)</t>
        </is>
      </c>
      <c r="H7796" s="20" t="n">
        <v>1</v>
      </c>
      <c r="I7796" s="20" t="inlineStr">
        <is>
          <t>이그나이트 + 스테이포에버</t>
        </is>
      </c>
      <c r="J7796" s="20" t="inlineStr">
        <is>
          <t>210207</t>
        </is>
      </c>
      <c r="L7796" s="20" t="n">
        <v>58800</v>
      </c>
      <c r="M7796" s="20" t="n">
        <v>55360.2</v>
      </c>
      <c r="N7796" s="20" t="n">
        <v>5345</v>
      </c>
      <c r="O7796" s="20" t="inlineStr">
        <is>
          <t>카페24고체향수솔리드퍼퓸 세트향=커플세트(이그나이트 + 스테이포에버), 세트 선택=2 SET (42% 할인)210207</t>
        </is>
      </c>
    </row>
    <row r="7797">
      <c r="B7797" s="16" t="n">
        <v>44318</v>
      </c>
      <c r="C7797" s="20" t="inlineStr">
        <is>
          <t>일</t>
        </is>
      </c>
      <c r="E7797" s="20" t="inlineStr">
        <is>
          <t>고체향수</t>
        </is>
      </c>
      <c r="F7797" s="20" t="inlineStr">
        <is>
          <t>카페24</t>
        </is>
      </c>
      <c r="G7797" s="20" t="inlineStr">
        <is>
          <t>솔리드퍼퓸 스테이포에버 002제품선택=스테이포에버 1개</t>
        </is>
      </c>
      <c r="H7797" s="20" t="n">
        <v>263</v>
      </c>
      <c r="I7797" s="20" t="inlineStr">
        <is>
          <t>스테이포에버</t>
        </is>
      </c>
      <c r="J7797" s="20" t="inlineStr">
        <is>
          <t>210207</t>
        </is>
      </c>
      <c r="L7797" s="20" t="n">
        <v>8942000</v>
      </c>
      <c r="M7797" s="20" t="n">
        <v>8418893</v>
      </c>
      <c r="N7797" s="20" t="n">
        <v>681696</v>
      </c>
      <c r="O7797" s="20" t="inlineStr">
        <is>
          <t>카페24고체향수솔리드퍼퓸 스테이포에버 002제품선택=스테이포에버 1개210207</t>
        </is>
      </c>
    </row>
    <row r="7798">
      <c r="B7798" s="16" t="n">
        <v>44318</v>
      </c>
      <c r="C7798" s="20" t="inlineStr">
        <is>
          <t>일</t>
        </is>
      </c>
      <c r="E7798" s="20" t="inlineStr">
        <is>
          <t>고체향수</t>
        </is>
      </c>
      <c r="F7798" s="20" t="inlineStr">
        <is>
          <t>카페24</t>
        </is>
      </c>
      <c r="G7798" s="20" t="inlineStr">
        <is>
          <t>솔리드퍼퓸 스테이포에버 002제품선택=best스테이포에버 2개[28% 할인]</t>
        </is>
      </c>
      <c r="H7798" s="20" t="n">
        <v>170</v>
      </c>
      <c r="I7798" s="20" t="inlineStr">
        <is>
          <t>스테이포에버 2set</t>
        </is>
      </c>
      <c r="J7798" s="20" t="inlineStr">
        <is>
          <t>210207</t>
        </is>
      </c>
      <c r="L7798" s="20" t="n">
        <v>9996000</v>
      </c>
      <c r="M7798" s="20" t="n">
        <v>9411234</v>
      </c>
      <c r="N7798" s="20" t="n">
        <v>881280</v>
      </c>
      <c r="O7798" s="20" t="inlineStr">
        <is>
          <t>카페24고체향수솔리드퍼퓸 스테이포에버 002제품선택=best스테이포에버 2개[28% 할인]210207</t>
        </is>
      </c>
    </row>
    <row r="7799">
      <c r="B7799" s="16" t="n">
        <v>44318</v>
      </c>
      <c r="C7799" s="20" t="inlineStr">
        <is>
          <t>일</t>
        </is>
      </c>
      <c r="E7799" s="20" t="inlineStr">
        <is>
          <t>고체향수</t>
        </is>
      </c>
      <c r="F7799" s="20" t="inlineStr">
        <is>
          <t>카페24</t>
        </is>
      </c>
      <c r="G7799" s="20" t="inlineStr">
        <is>
          <t>솔리드퍼퓸 스테이포에버 002제품선택=커플추천스테이포에버 + 이그나이트 세트</t>
        </is>
      </c>
      <c r="H7799" s="20" t="n">
        <v>35</v>
      </c>
      <c r="I7799" s="20" t="inlineStr">
        <is>
          <t>이그나이트 + 스테이포에버</t>
        </is>
      </c>
      <c r="J7799" s="20" t="inlineStr">
        <is>
          <t>210207</t>
        </is>
      </c>
      <c r="L7799" s="20" t="n">
        <v>2058000</v>
      </c>
      <c r="M7799" s="20" t="n">
        <v>1937607</v>
      </c>
      <c r="N7799" s="20" t="n">
        <v>187075</v>
      </c>
      <c r="O7799" s="20" t="inlineStr">
        <is>
          <t>카페24고체향수솔리드퍼퓸 스테이포에버 002제품선택=커플추천스테이포에버 + 이그나이트 세트210207</t>
        </is>
      </c>
    </row>
    <row r="7800">
      <c r="B7800" s="16" t="n">
        <v>44318</v>
      </c>
      <c r="C7800" s="20" t="inlineStr">
        <is>
          <t>일</t>
        </is>
      </c>
      <c r="E7800" s="20" t="inlineStr">
        <is>
          <t>쇼핑백</t>
        </is>
      </c>
      <c r="F7800" s="20" t="inlineStr">
        <is>
          <t>카페24</t>
        </is>
      </c>
      <c r="G7800" s="20" t="inlineStr">
        <is>
          <t>솔리드퍼퓸 스테이포에버 002쇼핑백=선물용 쇼핑백</t>
        </is>
      </c>
      <c r="H7800" s="20" t="n">
        <v>14</v>
      </c>
      <c r="I7800" s="20" t="inlineStr">
        <is>
          <t>쇼핑백</t>
        </is>
      </c>
      <c r="J7800" s="20" t="inlineStr">
        <is>
          <t>210207</t>
        </is>
      </c>
      <c r="L7800" s="20" t="n">
        <v>28000</v>
      </c>
      <c r="M7800" s="20" t="n">
        <v>26362</v>
      </c>
      <c r="N7800" s="20" t="n">
        <v>11620</v>
      </c>
      <c r="O7800" s="20" t="inlineStr">
        <is>
          <t>카페24쇼핑백솔리드퍼퓸 스테이포에버 002쇼핑백=선물용 쇼핑백210207</t>
        </is>
      </c>
    </row>
    <row r="7801">
      <c r="B7801" s="16" t="n">
        <v>44318</v>
      </c>
      <c r="C7801" s="20" t="inlineStr">
        <is>
          <t>일</t>
        </is>
      </c>
      <c r="E7801" s="20" t="inlineStr">
        <is>
          <t>고체향수</t>
        </is>
      </c>
      <c r="F7801" s="20" t="inlineStr">
        <is>
          <t>카페24</t>
        </is>
      </c>
      <c r="G7801" s="20" t="inlineStr">
        <is>
          <t>솔리드퍼퓸 이그나이트 001제품선택=이그나이트 솔리드퍼퓸 - 30ml</t>
        </is>
      </c>
      <c r="H7801" s="20" t="n">
        <v>1</v>
      </c>
      <c r="I7801" s="20" t="inlineStr">
        <is>
          <t>이그나이트</t>
        </is>
      </c>
      <c r="J7801" s="20" t="inlineStr">
        <is>
          <t>210207</t>
        </is>
      </c>
      <c r="L7801" s="20" t="n">
        <v>34000</v>
      </c>
      <c r="M7801" s="20" t="n">
        <v>32011</v>
      </c>
      <c r="N7801" s="20" t="n">
        <v>2753</v>
      </c>
      <c r="O7801" s="20" t="inlineStr">
        <is>
          <t>카페24고체향수솔리드퍼퓸 이그나이트 001제품선택=이그나이트 솔리드퍼퓸 - 30ml210207</t>
        </is>
      </c>
    </row>
    <row r="7802">
      <c r="B7802" s="16" t="n">
        <v>44318</v>
      </c>
      <c r="C7802" s="20" t="inlineStr">
        <is>
          <t>일</t>
        </is>
      </c>
      <c r="E7802" s="20" t="inlineStr">
        <is>
          <t>고체향수</t>
        </is>
      </c>
      <c r="F7802" s="20" t="inlineStr">
        <is>
          <t>카페24</t>
        </is>
      </c>
      <c r="G7802" s="20" t="inlineStr">
        <is>
          <t>솔리드퍼퓸 이그나이트 001제품선택=이그나이트 2개 세트</t>
        </is>
      </c>
      <c r="H7802" s="20" t="n">
        <v>2</v>
      </c>
      <c r="I7802" s="20" t="inlineStr">
        <is>
          <t>이그나이트 2set</t>
        </is>
      </c>
      <c r="J7802" s="20" t="inlineStr">
        <is>
          <t>210207</t>
        </is>
      </c>
      <c r="L7802" s="20" t="n">
        <v>117600</v>
      </c>
      <c r="M7802" s="20" t="n">
        <v>110720.4</v>
      </c>
      <c r="N7802" s="20" t="n">
        <v>11012</v>
      </c>
      <c r="O7802" s="20" t="inlineStr">
        <is>
          <t>카페24고체향수솔리드퍼퓸 이그나이트 001제품선택=이그나이트 2개 세트210207</t>
        </is>
      </c>
    </row>
    <row r="7803">
      <c r="A7803" s="20" t="inlineStr">
        <is>
          <t>고체향수</t>
        </is>
      </c>
      <c r="B7803" s="16" t="n">
        <v>44316</v>
      </c>
      <c r="C7803" s="20" t="inlineStr">
        <is>
          <t>금</t>
        </is>
      </c>
      <c r="D7803" s="20" t="inlineStr">
        <is>
          <t>네이버 배너</t>
        </is>
      </c>
      <c r="E7803" s="20" t="inlineStr">
        <is>
          <t>고체향수</t>
        </is>
      </c>
      <c r="K7803" s="20" t="n">
        <v>852768.1818181818</v>
      </c>
    </row>
    <row r="7804">
      <c r="A7804" s="20" t="inlineStr">
        <is>
          <t>고체향수</t>
        </is>
      </c>
      <c r="B7804" s="16" t="n">
        <v>44317</v>
      </c>
      <c r="C7804" s="20" t="inlineStr">
        <is>
          <t>토</t>
        </is>
      </c>
      <c r="D7804" s="20" t="inlineStr">
        <is>
          <t>네이버 배너</t>
        </is>
      </c>
      <c r="E7804" s="20" t="inlineStr">
        <is>
          <t>고체향수</t>
        </is>
      </c>
      <c r="K7804" s="20" t="n">
        <v>1133682.727272727</v>
      </c>
    </row>
    <row r="7805">
      <c r="A7805" s="20" t="inlineStr">
        <is>
          <t>고체향수</t>
        </is>
      </c>
      <c r="B7805" s="16" t="n">
        <v>44318</v>
      </c>
      <c r="C7805" s="20" t="inlineStr">
        <is>
          <t>일</t>
        </is>
      </c>
      <c r="D7805" s="20" t="inlineStr">
        <is>
          <t>네이버 배너</t>
        </is>
      </c>
      <c r="E7805" s="20" t="inlineStr">
        <is>
          <t>고체향수</t>
        </is>
      </c>
      <c r="K7805" s="20" t="n">
        <v>1149204.545454545</v>
      </c>
    </row>
    <row r="7806" ht="16.5" customHeight="1" s="17">
      <c r="A7806" s="20" t="inlineStr">
        <is>
          <t>고체향수</t>
        </is>
      </c>
      <c r="B7806" s="15" t="n">
        <v>44315</v>
      </c>
      <c r="C7806" s="20" t="inlineStr">
        <is>
          <t>목</t>
        </is>
      </c>
      <c r="D7806" s="20" t="inlineStr">
        <is>
          <t>카카오 배너</t>
        </is>
      </c>
      <c r="K7806" s="13" t="n">
        <v>619240</v>
      </c>
    </row>
    <row r="7807" ht="16.5" customHeight="1" s="17">
      <c r="A7807" s="20" t="inlineStr">
        <is>
          <t>고체향수</t>
        </is>
      </c>
      <c r="B7807" s="15" t="n">
        <v>44316</v>
      </c>
      <c r="C7807" s="20" t="inlineStr">
        <is>
          <t>금</t>
        </is>
      </c>
      <c r="D7807" s="20" t="inlineStr">
        <is>
          <t>카카오 배너</t>
        </is>
      </c>
      <c r="K7807" s="13" t="n">
        <v>756490</v>
      </c>
    </row>
    <row r="7808" ht="16.5" customHeight="1" s="17">
      <c r="A7808" s="20" t="inlineStr">
        <is>
          <t>고체향수</t>
        </is>
      </c>
      <c r="B7808" s="15" t="n">
        <v>44317</v>
      </c>
      <c r="C7808" s="20" t="inlineStr">
        <is>
          <t>토</t>
        </is>
      </c>
      <c r="D7808" s="20" t="inlineStr">
        <is>
          <t>카카오 배너</t>
        </is>
      </c>
      <c r="K7808" s="13" t="n">
        <v>818520</v>
      </c>
    </row>
    <row r="7809" ht="16.5" customHeight="1" s="17">
      <c r="A7809" s="20" t="inlineStr">
        <is>
          <t>고체향수</t>
        </is>
      </c>
      <c r="B7809" s="15" t="n">
        <v>44318</v>
      </c>
      <c r="C7809" s="20" t="inlineStr">
        <is>
          <t>일</t>
        </is>
      </c>
      <c r="D7809" s="20" t="inlineStr">
        <is>
          <t>카카오 배너</t>
        </is>
      </c>
      <c r="K7809" s="13" t="n">
        <v>824540</v>
      </c>
    </row>
    <row r="7810">
      <c r="B7810" s="16" t="n">
        <v>44316</v>
      </c>
      <c r="C7810" s="20" t="inlineStr">
        <is>
          <t>금</t>
        </is>
      </c>
      <c r="E7810" s="20">
        <f>INDEX(매칭테이블!C:C,MATCH(RD!G7812,매칭테이블!D:D,0))</f>
        <v/>
      </c>
      <c r="F7810" s="20" t="inlineStr">
        <is>
          <t>올리브영</t>
        </is>
      </c>
      <c r="G7810" s="20" t="inlineStr">
        <is>
          <t>유즈 솔리드퍼퓸 001 이그나이트 30ml 30600 온라인</t>
        </is>
      </c>
      <c r="H7810" s="20" t="n">
        <v>1</v>
      </c>
      <c r="J7810" s="20" t="inlineStr">
        <is>
          <t>210207</t>
        </is>
      </c>
      <c r="L7810" s="20">
        <f>VLOOKUP($O7810,매칭테이블!$G:$J,2,0)*H7810</f>
        <v/>
      </c>
      <c r="M7810" s="20">
        <f>L7810-L7810*VLOOKUP($O7810,매칭테이블!$G:$J,3,0)</f>
        <v/>
      </c>
      <c r="N7810" s="20">
        <f>VLOOKUP($O7810,매칭테이블!$G:$J,4,0)*H7810</f>
        <v/>
      </c>
      <c r="O7810" s="20">
        <f>F7810&amp;E7810&amp;G7810&amp;J7810</f>
        <v/>
      </c>
    </row>
    <row r="7811">
      <c r="B7811" s="16" t="n">
        <v>44316</v>
      </c>
      <c r="C7811" s="20" t="inlineStr">
        <is>
          <t>금</t>
        </is>
      </c>
      <c r="E7811" s="20">
        <f>INDEX(매칭테이블!C:C,MATCH(RD!G7813,매칭테이블!D:D,0))</f>
        <v/>
      </c>
      <c r="F7811" s="20" t="inlineStr">
        <is>
          <t>올리브영</t>
        </is>
      </c>
      <c r="G7811" s="20" t="inlineStr">
        <is>
          <t>유즈 솔리드퍼퓸 002 스테이포에버 30ml 30600 온라인</t>
        </is>
      </c>
      <c r="H7811" s="20" t="n">
        <v>42</v>
      </c>
      <c r="J7811" s="20" t="inlineStr">
        <is>
          <t>210207</t>
        </is>
      </c>
      <c r="L7811" s="20">
        <f>VLOOKUP($O7811,매칭테이블!$G:$J,2,0)*H7811</f>
        <v/>
      </c>
      <c r="M7811" s="20">
        <f>L7811-L7811*VLOOKUP($O7811,매칭테이블!$G:$J,3,0)</f>
        <v/>
      </c>
      <c r="N7811" s="20">
        <f>VLOOKUP($O7811,매칭테이블!$G:$J,4,0)*H7811</f>
        <v/>
      </c>
      <c r="O7811" s="20">
        <f>F7811&amp;E7811&amp;G7811&amp;J7811</f>
        <v/>
      </c>
    </row>
    <row r="7812">
      <c r="B7812" s="16" t="n">
        <v>44317</v>
      </c>
      <c r="C7812" s="20" t="inlineStr">
        <is>
          <t>토</t>
        </is>
      </c>
      <c r="E7812" s="20">
        <f>INDEX(매칭테이블!C:C,MATCH(RD!G7811,매칭테이블!D:D,0))</f>
        <v/>
      </c>
      <c r="F7812" s="20" t="inlineStr">
        <is>
          <t>올리브영</t>
        </is>
      </c>
      <c r="G7812" s="20" t="inlineStr">
        <is>
          <t>유즈 솔리드퍼퓸 001 이그나이트 30ml 30600 온라인</t>
        </is>
      </c>
      <c r="H7812" s="20" t="n">
        <v>1</v>
      </c>
      <c r="J7812" s="20" t="inlineStr">
        <is>
          <t>210207</t>
        </is>
      </c>
      <c r="L7812" s="20">
        <f>VLOOKUP($O7812,매칭테이블!$G:$J,2,0)*H7812</f>
        <v/>
      </c>
      <c r="M7812" s="20">
        <f>L7812-L7812*VLOOKUP($O7812,매칭테이블!$G:$J,3,0)</f>
        <v/>
      </c>
      <c r="N7812" s="20">
        <f>VLOOKUP($O7812,매칭테이블!$G:$J,4,0)*H7812</f>
        <v/>
      </c>
      <c r="O7812" s="20">
        <f>F7812&amp;E7812&amp;G7812&amp;J7812</f>
        <v/>
      </c>
    </row>
    <row r="7813">
      <c r="B7813" s="16" t="n">
        <v>44317</v>
      </c>
      <c r="C7813" s="20" t="inlineStr">
        <is>
          <t>토</t>
        </is>
      </c>
      <c r="E7813" s="20">
        <f>INDEX(매칭테이블!C:C,MATCH(RD!G7813,매칭테이블!D:D,0))</f>
        <v/>
      </c>
      <c r="F7813" s="20" t="inlineStr">
        <is>
          <t>올리브영</t>
        </is>
      </c>
      <c r="G7813" s="20" t="inlineStr">
        <is>
          <t>유즈 솔리드퍼퓸 002 스테이포에버 30ml 30600 온라인</t>
        </is>
      </c>
      <c r="H7813" s="20" t="n">
        <v>48</v>
      </c>
      <c r="J7813" s="20" t="inlineStr">
        <is>
          <t>210207</t>
        </is>
      </c>
      <c r="L7813" s="20">
        <f>VLOOKUP($O7813,매칭테이블!$G:$J,2,0)*H7813</f>
        <v/>
      </c>
      <c r="M7813" s="20">
        <f>L7813-L7813*VLOOKUP($O7813,매칭테이블!$G:$J,3,0)</f>
        <v/>
      </c>
      <c r="N7813" s="20">
        <f>VLOOKUP($O7813,매칭테이블!$G:$J,4,0)*H7813</f>
        <v/>
      </c>
      <c r="O7813" s="20">
        <f>F7813&amp;E7813&amp;G7813&amp;J7813</f>
        <v/>
      </c>
    </row>
    <row r="7814" ht="16.5" customHeight="1" s="17"/>
    <row r="7815">
      <c r="A7815" s="20" t="inlineStr">
        <is>
          <t>[승은 TEST] 스테이포에버</t>
        </is>
      </c>
      <c r="B7815" s="16" t="n">
        <v>44319</v>
      </c>
      <c r="C7815" s="20" t="inlineStr">
        <is>
          <t>월</t>
        </is>
      </c>
      <c r="D7815" s="20" t="inlineStr">
        <is>
          <t>페이스북/인스타그램</t>
        </is>
      </c>
      <c r="E7815" s="20" t="inlineStr">
        <is>
          <t>고체향수</t>
        </is>
      </c>
      <c r="K7815" s="20" t="n">
        <v>58716</v>
      </c>
    </row>
    <row r="7816">
      <c r="A7816" s="20" t="inlineStr">
        <is>
          <t>[비누향 덕후] 스테이포에버_카드뉴스</t>
        </is>
      </c>
      <c r="B7816" s="16" t="n">
        <v>44319</v>
      </c>
      <c r="C7816" s="20" t="inlineStr">
        <is>
          <t>월</t>
        </is>
      </c>
      <c r="D7816" s="20">
        <f>VLOOKUP($A7816,매칭테이블!$B$548:$D$1048576,2,0)</f>
        <v/>
      </c>
      <c r="E7816" s="20" t="inlineStr">
        <is>
          <t>고체향수</t>
        </is>
      </c>
      <c r="K7816" s="20" t="n">
        <v>96464</v>
      </c>
    </row>
    <row r="7817">
      <c r="A7817" s="20" t="inlineStr">
        <is>
          <t>[비누향 인연] 스테이포에버_카드뉴스</t>
        </is>
      </c>
      <c r="B7817" s="16" t="n">
        <v>44319</v>
      </c>
      <c r="C7817" s="20" t="inlineStr">
        <is>
          <t>월</t>
        </is>
      </c>
      <c r="D7817" s="20" t="inlineStr">
        <is>
          <t>페이스북/인스타그램</t>
        </is>
      </c>
      <c r="E7817" s="20" t="inlineStr">
        <is>
          <t>고체향수</t>
        </is>
      </c>
      <c r="K7817" s="20" t="n">
        <v>95941</v>
      </c>
    </row>
    <row r="7818">
      <c r="A7818" s="20" t="inlineStr">
        <is>
          <t>[성민 TEST] 솔리드퍼퓸_이미지</t>
        </is>
      </c>
      <c r="B7818" s="16" t="n">
        <v>44319</v>
      </c>
      <c r="C7818" s="20" t="inlineStr">
        <is>
          <t>월</t>
        </is>
      </c>
      <c r="D7818" s="20" t="inlineStr">
        <is>
          <t>페이스북/인스타그램</t>
        </is>
      </c>
      <c r="E7818" s="20" t="inlineStr">
        <is>
          <t>고체향수</t>
        </is>
      </c>
      <c r="K7818" s="20" t="n">
        <v>57972</v>
      </c>
    </row>
    <row r="7819">
      <c r="A7819" s="20" t="inlineStr">
        <is>
          <t>[승무원]유튜브_스테이포에버_카드뉴스</t>
        </is>
      </c>
      <c r="B7819" s="16" t="n">
        <v>44319</v>
      </c>
      <c r="C7819" s="20" t="inlineStr">
        <is>
          <t>월</t>
        </is>
      </c>
      <c r="D7819" s="20" t="inlineStr">
        <is>
          <t>페이스북/인스타그램</t>
        </is>
      </c>
      <c r="E7819" s="20" t="inlineStr">
        <is>
          <t>고체향수</t>
        </is>
      </c>
      <c r="K7819" s="20" t="n">
        <v>77526</v>
      </c>
    </row>
    <row r="7820">
      <c r="A7820" s="20" t="inlineStr">
        <is>
          <t>[올리브영] 이그나이트_영상</t>
        </is>
      </c>
      <c r="B7820" s="16" t="n">
        <v>44319</v>
      </c>
      <c r="C7820" s="20" t="inlineStr">
        <is>
          <t>월</t>
        </is>
      </c>
      <c r="D7820" s="20" t="inlineStr">
        <is>
          <t>페이스북/인스타그램</t>
        </is>
      </c>
      <c r="E7820" s="20" t="inlineStr">
        <is>
          <t>고체향수</t>
        </is>
      </c>
      <c r="K7820" s="20" t="n">
        <v>28897</v>
      </c>
    </row>
    <row r="7821">
      <c r="A7821" s="20" t="inlineStr">
        <is>
          <t>[승희 TEST] 솔리드퍼퓸_이미지</t>
        </is>
      </c>
      <c r="B7821" s="16" t="n">
        <v>44319</v>
      </c>
      <c r="C7821" s="20" t="inlineStr">
        <is>
          <t>월</t>
        </is>
      </c>
      <c r="D7821" s="20" t="inlineStr">
        <is>
          <t>페이스북/인스타그램</t>
        </is>
      </c>
      <c r="E7821" s="20" t="inlineStr">
        <is>
          <t>고체향수</t>
        </is>
      </c>
      <c r="K7821" s="20" t="n">
        <v>106254</v>
      </c>
    </row>
    <row r="7822">
      <c r="A7822" s="20" t="inlineStr">
        <is>
          <t>[올리브영] 스테이포에버_영상</t>
        </is>
      </c>
      <c r="B7822" s="16" t="n">
        <v>44319</v>
      </c>
      <c r="C7822" s="20" t="inlineStr">
        <is>
          <t>월</t>
        </is>
      </c>
      <c r="D7822" s="20" t="inlineStr">
        <is>
          <t>페이스북/인스타그램</t>
        </is>
      </c>
      <c r="E7822" s="20" t="inlineStr">
        <is>
          <t>고체향수</t>
        </is>
      </c>
      <c r="K7822" s="20" t="n">
        <v>46957</v>
      </c>
    </row>
    <row r="7823">
      <c r="A7823" s="20" t="inlineStr">
        <is>
          <t>[올리브영] 스테이포에버_이미지</t>
        </is>
      </c>
      <c r="B7823" s="16" t="n">
        <v>44319</v>
      </c>
      <c r="C7823" s="20" t="inlineStr">
        <is>
          <t>월</t>
        </is>
      </c>
      <c r="D7823" s="20" t="inlineStr">
        <is>
          <t>페이스북/인스타그램</t>
        </is>
      </c>
      <c r="E7823" s="20" t="inlineStr">
        <is>
          <t>고체향수</t>
        </is>
      </c>
      <c r="K7823" s="20" t="n">
        <v>28218</v>
      </c>
    </row>
    <row r="7824">
      <c r="A7824" s="20" t="inlineStr">
        <is>
          <t>[승무원] 유튜브재편집_스테이포에버_영상</t>
        </is>
      </c>
      <c r="B7824" s="16" t="n">
        <v>44319</v>
      </c>
      <c r="C7824" s="20" t="inlineStr">
        <is>
          <t>월</t>
        </is>
      </c>
      <c r="D7824" s="20" t="inlineStr">
        <is>
          <t>페이스북/인스타그램</t>
        </is>
      </c>
      <c r="E7824" s="20" t="inlineStr">
        <is>
          <t>고체향수</t>
        </is>
      </c>
      <c r="K7824" s="20" t="n">
        <v>870290</v>
      </c>
    </row>
    <row r="7825">
      <c r="A7825" s="20" t="inlineStr">
        <is>
          <t>[승무원 면세점] 스테이포에버_카드뉴스</t>
        </is>
      </c>
      <c r="B7825" s="16" t="n">
        <v>44319</v>
      </c>
      <c r="C7825" s="20" t="inlineStr">
        <is>
          <t>월</t>
        </is>
      </c>
      <c r="D7825" s="20" t="inlineStr">
        <is>
          <t>페이스북/인스타그램</t>
        </is>
      </c>
      <c r="E7825" s="20" t="inlineStr">
        <is>
          <t>고체향수</t>
        </is>
      </c>
      <c r="K7825" s="20" t="n">
        <v>273709</v>
      </c>
    </row>
    <row r="7826">
      <c r="A7826" s="20" t="inlineStr">
        <is>
          <t>[카페알바] 스테이포에버_카드뉴스</t>
        </is>
      </c>
      <c r="B7826" s="16" t="n">
        <v>44319</v>
      </c>
      <c r="C7826" s="20" t="inlineStr">
        <is>
          <t>월</t>
        </is>
      </c>
      <c r="D7826" s="20" t="inlineStr">
        <is>
          <t>페이스북/인스타그램</t>
        </is>
      </c>
      <c r="E7826" s="20" t="inlineStr">
        <is>
          <t>고체향수</t>
        </is>
      </c>
      <c r="K7826" s="20" t="n">
        <v>96540</v>
      </c>
    </row>
    <row r="7827">
      <c r="A7827" s="20" t="inlineStr">
        <is>
          <t>[아줌마]스테이포에버_이미지</t>
        </is>
      </c>
      <c r="B7827" s="16" t="n">
        <v>44319</v>
      </c>
      <c r="C7827" s="20" t="inlineStr">
        <is>
          <t>월</t>
        </is>
      </c>
      <c r="D7827" s="20" t="inlineStr">
        <is>
          <t>페이스북/인스타그램</t>
        </is>
      </c>
      <c r="E7827" s="20" t="inlineStr">
        <is>
          <t>고체향수</t>
        </is>
      </c>
      <c r="K7827" s="20" t="n">
        <v>48388</v>
      </c>
    </row>
    <row r="7828">
      <c r="A7828" s="20" t="inlineStr">
        <is>
          <t>[다양한 키워드] 스테이포에버_이미지</t>
        </is>
      </c>
      <c r="B7828" s="16" t="n">
        <v>44319</v>
      </c>
      <c r="C7828" s="20" t="inlineStr">
        <is>
          <t>월</t>
        </is>
      </c>
      <c r="D7828" s="20" t="inlineStr">
        <is>
          <t>페이스북/인스타그램</t>
        </is>
      </c>
      <c r="E7828" s="20" t="inlineStr">
        <is>
          <t>고체향수</t>
        </is>
      </c>
      <c r="K7828" s="20" t="n">
        <v>169051</v>
      </c>
    </row>
    <row r="7829">
      <c r="A7829" s="20" t="inlineStr">
        <is>
          <t>[재입고]스테이포에버_이미지</t>
        </is>
      </c>
      <c r="B7829" s="16" t="n">
        <v>44319</v>
      </c>
      <c r="C7829" s="20" t="inlineStr">
        <is>
          <t>월</t>
        </is>
      </c>
      <c r="D7829" s="20" t="inlineStr">
        <is>
          <t>페이스북/인스타그램</t>
        </is>
      </c>
      <c r="E7829" s="20" t="inlineStr">
        <is>
          <t>고체향수</t>
        </is>
      </c>
      <c r="K7829" s="20" t="n">
        <v>74040</v>
      </c>
    </row>
    <row r="7830">
      <c r="A7830" s="20" t="inlineStr">
        <is>
          <t>[승무원]숏폼_영상</t>
        </is>
      </c>
      <c r="B7830" s="16" t="n">
        <v>44319</v>
      </c>
      <c r="C7830" s="20" t="inlineStr">
        <is>
          <t>월</t>
        </is>
      </c>
      <c r="D7830" s="20" t="inlineStr">
        <is>
          <t>페이스북/인스타그램</t>
        </is>
      </c>
      <c r="E7830" s="20" t="inlineStr">
        <is>
          <t>고체향수</t>
        </is>
      </c>
      <c r="K7830" s="20" t="n">
        <v>48026</v>
      </c>
    </row>
    <row r="7831">
      <c r="A7831" s="20" t="inlineStr">
        <is>
          <t>[재입고]스테이포에버_영상</t>
        </is>
      </c>
      <c r="B7831" s="16" t="n">
        <v>44319</v>
      </c>
      <c r="C7831" s="20" t="inlineStr">
        <is>
          <t>월</t>
        </is>
      </c>
      <c r="D7831" s="20" t="inlineStr">
        <is>
          <t>페이스북/인스타그램</t>
        </is>
      </c>
      <c r="E7831" s="20" t="inlineStr">
        <is>
          <t>고체향수</t>
        </is>
      </c>
      <c r="K7831" s="20" t="n">
        <v>165862</v>
      </c>
    </row>
    <row r="7832">
      <c r="A7832" s="20" t="inlineStr">
        <is>
          <t>[승무원]2019년썰 카드뉴스+ 향묘사_영상</t>
        </is>
      </c>
      <c r="B7832" s="16" t="n">
        <v>44319</v>
      </c>
      <c r="C7832" s="20" t="inlineStr">
        <is>
          <t>월</t>
        </is>
      </c>
      <c r="D7832" s="20" t="inlineStr">
        <is>
          <t>페이스북/인스타그램</t>
        </is>
      </c>
      <c r="E7832" s="20" t="inlineStr">
        <is>
          <t>고체향수</t>
        </is>
      </c>
      <c r="K7832" s="20" t="n">
        <v>48259</v>
      </c>
    </row>
    <row r="7833">
      <c r="A7833" s="20" t="inlineStr">
        <is>
          <t>[승무원어피]스테이포에버_이미지</t>
        </is>
      </c>
      <c r="B7833" s="16" t="n">
        <v>44319</v>
      </c>
      <c r="C7833" s="20" t="inlineStr">
        <is>
          <t>월</t>
        </is>
      </c>
      <c r="D7833" s="20" t="inlineStr">
        <is>
          <t>페이스북/인스타그램</t>
        </is>
      </c>
      <c r="E7833" s="20" t="inlineStr">
        <is>
          <t>고체향수</t>
        </is>
      </c>
      <c r="K7833" s="20" t="n">
        <v>97162</v>
      </c>
    </row>
    <row r="7834">
      <c r="A7834" s="20" t="inlineStr">
        <is>
          <t>[다현]스테이포에버_이미지</t>
        </is>
      </c>
      <c r="B7834" s="16" t="n">
        <v>44319</v>
      </c>
      <c r="C7834" s="20" t="inlineStr">
        <is>
          <t>월</t>
        </is>
      </c>
      <c r="D7834" s="20" t="inlineStr">
        <is>
          <t>페이스북/인스타그램</t>
        </is>
      </c>
      <c r="E7834" s="20" t="inlineStr">
        <is>
          <t>고체향수</t>
        </is>
      </c>
      <c r="K7834" s="20" t="n">
        <v>144142</v>
      </c>
    </row>
    <row r="7835">
      <c r="A7835" s="20" t="inlineStr">
        <is>
          <t>[승무원]스테이포에버_카드뉴스</t>
        </is>
      </c>
      <c r="B7835" s="16" t="n">
        <v>44319</v>
      </c>
      <c r="C7835" s="20" t="inlineStr">
        <is>
          <t>월</t>
        </is>
      </c>
      <c r="D7835" s="20" t="inlineStr">
        <is>
          <t>페이스북/인스타그램</t>
        </is>
      </c>
      <c r="E7835" s="20" t="inlineStr">
        <is>
          <t>고체향수</t>
        </is>
      </c>
      <c r="K7835" s="20" t="n">
        <v>28798</v>
      </c>
    </row>
    <row r="7836">
      <c r="A7836" s="20" t="inlineStr">
        <is>
          <t>[후기타입]스테이포에버_영상</t>
        </is>
      </c>
      <c r="B7836" s="16" t="n">
        <v>44319</v>
      </c>
      <c r="C7836" s="20" t="inlineStr">
        <is>
          <t>월</t>
        </is>
      </c>
      <c r="D7836" s="20" t="inlineStr">
        <is>
          <t>페이스북/인스타그램</t>
        </is>
      </c>
      <c r="E7836" s="20" t="inlineStr">
        <is>
          <t>고체향수</t>
        </is>
      </c>
      <c r="K7836" s="20" t="n">
        <v>144968</v>
      </c>
    </row>
    <row r="7837">
      <c r="A7837" s="20" t="inlineStr">
        <is>
          <t>전환_스테이포에버</t>
        </is>
      </c>
      <c r="B7837" s="16" t="n">
        <v>44319</v>
      </c>
      <c r="C7837" s="20" t="inlineStr">
        <is>
          <t>월</t>
        </is>
      </c>
      <c r="D7837" s="20" t="inlineStr">
        <is>
          <t>페이스북/인스타그램</t>
        </is>
      </c>
      <c r="E7837" s="20" t="inlineStr">
        <is>
          <t>고체향수</t>
        </is>
      </c>
      <c r="K7837" s="20" t="n">
        <v>95953</v>
      </c>
    </row>
    <row r="7838">
      <c r="A7838" s="20" t="inlineStr">
        <is>
          <t>[권태기커플]스테이포에버_영상</t>
        </is>
      </c>
      <c r="B7838" s="16" t="n">
        <v>44319</v>
      </c>
      <c r="C7838" s="20" t="inlineStr">
        <is>
          <t>월</t>
        </is>
      </c>
      <c r="D7838" s="20" t="inlineStr">
        <is>
          <t>페이스북/인스타그램</t>
        </is>
      </c>
      <c r="E7838" s="20" t="inlineStr">
        <is>
          <t>고체향수</t>
        </is>
      </c>
      <c r="K7838" s="20" t="n">
        <v>29201</v>
      </c>
    </row>
    <row r="7839">
      <c r="A7839" s="20" t="inlineStr">
        <is>
          <t>웹사이트 트래픽 서치</t>
        </is>
      </c>
      <c r="B7839" s="16" t="n">
        <v>44319</v>
      </c>
      <c r="C7839" s="20" t="inlineStr">
        <is>
          <t>월</t>
        </is>
      </c>
      <c r="D7839" s="20" t="inlineStr">
        <is>
          <t>유튜브 광고</t>
        </is>
      </c>
      <c r="E7839" s="20" t="inlineStr">
        <is>
          <t>고체향수</t>
        </is>
      </c>
      <c r="K7839" s="20" t="n">
        <v>37100</v>
      </c>
    </row>
    <row r="7840">
      <c r="A7840" s="20" t="inlineStr">
        <is>
          <t>동영상캠페인_승무원_보이는 라디오(cpa)</t>
        </is>
      </c>
      <c r="B7840" s="16" t="n">
        <v>44319</v>
      </c>
      <c r="C7840" s="20" t="inlineStr">
        <is>
          <t>월</t>
        </is>
      </c>
      <c r="D7840" s="20" t="inlineStr">
        <is>
          <t>유튜브 광고</t>
        </is>
      </c>
      <c r="E7840" s="20" t="inlineStr">
        <is>
          <t>고체향수</t>
        </is>
      </c>
      <c r="K7840" s="20" t="n">
        <v>18749</v>
      </c>
    </row>
    <row r="7841">
      <c r="A7841" s="20" t="inlineStr">
        <is>
          <t>디스커버리 배너_승무원,할인_리마케팅</t>
        </is>
      </c>
      <c r="B7841" s="16" t="n">
        <v>44319</v>
      </c>
      <c r="C7841" s="20" t="inlineStr">
        <is>
          <t>월</t>
        </is>
      </c>
      <c r="D7841" s="20" t="inlineStr">
        <is>
          <t>유튜브 광고</t>
        </is>
      </c>
      <c r="E7841" s="20" t="inlineStr">
        <is>
          <t>고체향수</t>
        </is>
      </c>
      <c r="K7841" s="20" t="n">
        <v>650001</v>
      </c>
    </row>
    <row r="7842">
      <c r="A7842" s="20" t="inlineStr">
        <is>
          <t>동영상캠페인_승무원_써니스카이</t>
        </is>
      </c>
      <c r="B7842" s="16" t="n">
        <v>44319</v>
      </c>
      <c r="C7842" s="20" t="inlineStr">
        <is>
          <t>월</t>
        </is>
      </c>
      <c r="D7842" s="20" t="inlineStr">
        <is>
          <t>유튜브 광고</t>
        </is>
      </c>
      <c r="E7842" s="20" t="inlineStr">
        <is>
          <t>고체향수</t>
        </is>
      </c>
      <c r="K7842" s="20" t="n">
        <v>50008</v>
      </c>
    </row>
    <row r="7843">
      <c r="A7843" s="20" t="inlineStr">
        <is>
          <t>[5화자] 동영상 캠페인_벨라의 비행일기</t>
        </is>
      </c>
      <c r="B7843" s="16" t="n">
        <v>44319</v>
      </c>
      <c r="C7843" s="20" t="inlineStr">
        <is>
          <t>월</t>
        </is>
      </c>
      <c r="D7843" s="20" t="inlineStr">
        <is>
          <t>유튜브 광고</t>
        </is>
      </c>
      <c r="E7843" s="20" t="inlineStr">
        <is>
          <t>고체향수</t>
        </is>
      </c>
      <c r="K7843" s="20" t="n">
        <v>392359</v>
      </c>
    </row>
    <row r="7844">
      <c r="A7844" s="20" t="inlineStr">
        <is>
          <t>[5화자] 동영상 캠페인_비행하고 여행하는 은선씨</t>
        </is>
      </c>
      <c r="B7844" s="16" t="n">
        <v>44319</v>
      </c>
      <c r="C7844" s="20" t="inlineStr">
        <is>
          <t>월</t>
        </is>
      </c>
      <c r="D7844" s="20" t="inlineStr">
        <is>
          <t>유튜브 광고</t>
        </is>
      </c>
      <c r="E7844" s="20" t="inlineStr">
        <is>
          <t>고체향수</t>
        </is>
      </c>
      <c r="K7844" s="20" t="n">
        <v>350029</v>
      </c>
    </row>
    <row r="7845">
      <c r="A7845" s="20" t="inlineStr">
        <is>
          <t>[5화자 재편집] 승무원_벨라_면세점에서 천만원</t>
        </is>
      </c>
      <c r="B7845" s="16" t="n">
        <v>44319</v>
      </c>
      <c r="C7845" s="20" t="inlineStr">
        <is>
          <t>월</t>
        </is>
      </c>
      <c r="D7845" s="20" t="inlineStr">
        <is>
          <t>유튜브 광고</t>
        </is>
      </c>
      <c r="E7845" s="20" t="inlineStr">
        <is>
          <t>고체향수</t>
        </is>
      </c>
      <c r="K7845" s="20" t="n">
        <v>450095</v>
      </c>
    </row>
    <row r="7846">
      <c r="A7846" s="20" t="inlineStr">
        <is>
          <t>동영상캠페인_유즈모먼트_면세점뒤졌는데</t>
        </is>
      </c>
      <c r="B7846" s="16" t="n">
        <v>44319</v>
      </c>
      <c r="C7846" s="20" t="inlineStr">
        <is>
          <t>월</t>
        </is>
      </c>
      <c r="D7846" s="20" t="inlineStr">
        <is>
          <t>유튜브 광고</t>
        </is>
      </c>
      <c r="E7846" s="20" t="inlineStr">
        <is>
          <t>고체향수</t>
        </is>
      </c>
      <c r="K7846" s="20" t="n">
        <v>450225</v>
      </c>
    </row>
    <row r="7847">
      <c r="A7847" s="20" t="inlineStr">
        <is>
          <t>동영상_유즈모먼트_06_비누향인연(cpa)</t>
        </is>
      </c>
      <c r="B7847" s="16" t="n">
        <v>44319</v>
      </c>
      <c r="C7847" s="20" t="inlineStr">
        <is>
          <t>월</t>
        </is>
      </c>
      <c r="D7847" s="20">
        <f>VLOOKUP($A7847,매칭테이블!$B$548:$D$1048576,2,0)</f>
        <v/>
      </c>
      <c r="E7847" s="20" t="inlineStr">
        <is>
          <t>고체향수</t>
        </is>
      </c>
      <c r="K7847" s="20" t="n">
        <v>49057</v>
      </c>
    </row>
    <row r="7848">
      <c r="A7848" s="20" t="inlineStr">
        <is>
          <t>메인키워드</t>
        </is>
      </c>
      <c r="B7848" s="16" t="n">
        <v>44319</v>
      </c>
      <c r="C7848" s="20" t="inlineStr">
        <is>
          <t>월</t>
        </is>
      </c>
      <c r="D7848" s="20" t="inlineStr">
        <is>
          <t>네이버 쇼핑검색</t>
        </is>
      </c>
      <c r="E7848" s="20" t="inlineStr">
        <is>
          <t>고체향수</t>
        </is>
      </c>
      <c r="K7848" s="20" t="n">
        <v>19400</v>
      </c>
    </row>
    <row r="7849">
      <c r="A7849" s="20" t="inlineStr">
        <is>
          <t>세부키워드1</t>
        </is>
      </c>
      <c r="B7849" s="16" t="n">
        <v>44319</v>
      </c>
      <c r="C7849" s="20" t="inlineStr">
        <is>
          <t>월</t>
        </is>
      </c>
      <c r="D7849" s="20" t="inlineStr">
        <is>
          <t>네이버 쇼핑검색</t>
        </is>
      </c>
      <c r="E7849" s="20" t="inlineStr">
        <is>
          <t>고체향수</t>
        </is>
      </c>
      <c r="K7849" s="20" t="n">
        <v>49.99999999999999</v>
      </c>
    </row>
    <row r="7850">
      <c r="A7850" s="20" t="inlineStr">
        <is>
          <t>세부키워드3</t>
        </is>
      </c>
      <c r="B7850" s="16" t="n">
        <v>44319</v>
      </c>
      <c r="C7850" s="20" t="inlineStr">
        <is>
          <t>월</t>
        </is>
      </c>
      <c r="D7850" s="20" t="inlineStr">
        <is>
          <t>네이버 쇼핑검색</t>
        </is>
      </c>
      <c r="E7850" s="20" t="inlineStr">
        <is>
          <t>고체향수</t>
        </is>
      </c>
      <c r="K7850" s="20" t="n">
        <v>117100</v>
      </c>
    </row>
    <row r="7851">
      <c r="A7851" s="20" t="inlineStr">
        <is>
          <t>모바일 브검</t>
        </is>
      </c>
      <c r="B7851" s="16" t="n">
        <v>44319</v>
      </c>
      <c r="C7851" s="20" t="inlineStr">
        <is>
          <t>월</t>
        </is>
      </c>
      <c r="D7851" s="20" t="inlineStr">
        <is>
          <t>네이버 브랜드검색</t>
        </is>
      </c>
      <c r="E7851" s="20" t="inlineStr">
        <is>
          <t>브랜드</t>
        </is>
      </c>
      <c r="K7851" s="20" t="n">
        <v>88000</v>
      </c>
    </row>
    <row r="7852">
      <c r="A7852" s="20" t="inlineStr">
        <is>
          <t>PC 브랜드검색</t>
        </is>
      </c>
      <c r="B7852" s="16" t="n">
        <v>44319</v>
      </c>
      <c r="C7852" s="20" t="inlineStr">
        <is>
          <t>월</t>
        </is>
      </c>
      <c r="D7852" s="20" t="inlineStr">
        <is>
          <t>네이버 브랜드검색</t>
        </is>
      </c>
      <c r="E7852" s="20" t="inlineStr">
        <is>
          <t>브랜드</t>
        </is>
      </c>
      <c r="K7852" s="20" t="n">
        <v>16700</v>
      </c>
    </row>
    <row r="7853">
      <c r="B7853" s="16" t="n">
        <v>44319</v>
      </c>
      <c r="C7853" s="20" t="inlineStr">
        <is>
          <t>월</t>
        </is>
      </c>
      <c r="E7853" s="20" t="inlineStr">
        <is>
          <t>고체향수</t>
        </is>
      </c>
      <c r="F7853" s="20" t="inlineStr">
        <is>
          <t>W컨셉</t>
        </is>
      </c>
      <c r="G7853" s="20" t="inlineStr">
        <is>
          <t>솔리드퍼퓸 이그나이트/스테이포에버 30ml (2종 택1)&lt;옵션1&gt;001 IGNITE</t>
        </is>
      </c>
      <c r="H7853" s="20" t="n">
        <v>1</v>
      </c>
      <c r="I7853" s="20" t="inlineStr">
        <is>
          <t>이그나이트</t>
        </is>
      </c>
      <c r="J7853" s="20" t="inlineStr">
        <is>
          <t>210207</t>
        </is>
      </c>
      <c r="L7853" s="20" t="n">
        <v>34000</v>
      </c>
      <c r="M7853" s="20" t="n">
        <v>23800</v>
      </c>
      <c r="N7853" s="20" t="n">
        <v>2753</v>
      </c>
      <c r="O7853" s="20" t="inlineStr">
        <is>
          <t>W컨셉고체향수솔리드퍼퓸 이그나이트/스테이포에버 30ml (2종 택1)&lt;옵션1&gt;001 IGNITE210207</t>
        </is>
      </c>
    </row>
    <row r="7854">
      <c r="B7854" s="16" t="n">
        <v>44319</v>
      </c>
      <c r="C7854" s="20" t="inlineStr">
        <is>
          <t>월</t>
        </is>
      </c>
      <c r="E7854" s="20" t="inlineStr">
        <is>
          <t>고체향수</t>
        </is>
      </c>
      <c r="F7854" s="20" t="inlineStr">
        <is>
          <t>W컨셉</t>
        </is>
      </c>
      <c r="G7854" s="20" t="inlineStr">
        <is>
          <t>솔리드퍼퓸 이그나이트/스테이포에버 30ml (2종 택1)&lt;옵션1&gt;002 STAY FOREVER</t>
        </is>
      </c>
      <c r="H7854" s="20" t="n">
        <v>7</v>
      </c>
      <c r="I7854" s="20" t="inlineStr">
        <is>
          <t>스테이포에버</t>
        </is>
      </c>
      <c r="J7854" s="20" t="inlineStr">
        <is>
          <t>210207</t>
        </is>
      </c>
      <c r="L7854" s="20" t="n">
        <v>238000</v>
      </c>
      <c r="M7854" s="20" t="n">
        <v>166600</v>
      </c>
      <c r="N7854" s="20" t="n">
        <v>18144</v>
      </c>
      <c r="O7854" s="20" t="inlineStr">
        <is>
          <t>W컨셉고체향수솔리드퍼퓸 이그나이트/스테이포에버 30ml (2종 택1)&lt;옵션1&gt;002 STAY FOREVER210207</t>
        </is>
      </c>
    </row>
    <row r="7855">
      <c r="B7855" s="16" t="n">
        <v>44319</v>
      </c>
      <c r="C7855" s="20" t="inlineStr">
        <is>
          <t>월</t>
        </is>
      </c>
      <c r="E7855" s="20" t="inlineStr">
        <is>
          <t>고체향수</t>
        </is>
      </c>
      <c r="F7855" s="20" t="inlineStr">
        <is>
          <t>스마트스토어</t>
        </is>
      </c>
      <c r="G7855" s="20" t="inlineStr">
        <is>
          <t>유즈 고체향수 세트(유즈 스테이포에버, 유즈 이그나이트)고체향수: 스테이포에버 2개</t>
        </is>
      </c>
      <c r="H7855" s="20" t="n">
        <v>2</v>
      </c>
      <c r="I7855" s="20" t="inlineStr">
        <is>
          <t>스테이포에버 2set</t>
        </is>
      </c>
      <c r="J7855" s="20" t="inlineStr">
        <is>
          <t>210207</t>
        </is>
      </c>
      <c r="L7855" s="20" t="n">
        <v>117600</v>
      </c>
      <c r="M7855" s="20" t="n">
        <v>115248</v>
      </c>
      <c r="N7855" s="20" t="n">
        <v>10368</v>
      </c>
      <c r="O7855" s="20" t="inlineStr">
        <is>
          <t>스마트스토어고체향수유즈 고체향수 세트(유즈 스테이포에버, 유즈 이그나이트)고체향수: 스테이포에버 2개210207</t>
        </is>
      </c>
    </row>
    <row r="7856">
      <c r="B7856" s="16" t="n">
        <v>44319</v>
      </c>
      <c r="C7856" s="20" t="inlineStr">
        <is>
          <t>월</t>
        </is>
      </c>
      <c r="E7856" s="20" t="inlineStr">
        <is>
          <t>고체향수</t>
        </is>
      </c>
      <c r="F7856" s="20" t="inlineStr">
        <is>
          <t>스마트스토어</t>
        </is>
      </c>
      <c r="G7856" s="20" t="inlineStr">
        <is>
          <t>유즈 고체향수 스테이포에버 002고체향수: 스테이포에버 1개</t>
        </is>
      </c>
      <c r="H7856" s="20" t="n">
        <v>18</v>
      </c>
      <c r="I7856" s="20" t="inlineStr">
        <is>
          <t>스테이포에버</t>
        </is>
      </c>
      <c r="J7856" s="20" t="inlineStr">
        <is>
          <t>210207</t>
        </is>
      </c>
      <c r="L7856" s="20" t="n">
        <v>612000</v>
      </c>
      <c r="M7856" s="20" t="n">
        <v>599760</v>
      </c>
      <c r="N7856" s="20" t="n">
        <v>46656</v>
      </c>
      <c r="O7856" s="20" t="inlineStr">
        <is>
          <t>스마트스토어고체향수유즈 고체향수 스테이포에버 002고체향수: 스테이포에버 1개210207</t>
        </is>
      </c>
    </row>
    <row r="7857">
      <c r="B7857" s="16" t="n">
        <v>44319</v>
      </c>
      <c r="C7857" s="20" t="inlineStr">
        <is>
          <t>월</t>
        </is>
      </c>
      <c r="E7857" s="20" t="inlineStr">
        <is>
          <t>쇼핑백</t>
        </is>
      </c>
      <c r="F7857" s="20" t="inlineStr">
        <is>
          <t>카페24</t>
        </is>
      </c>
      <c r="G7857" s="20" t="inlineStr">
        <is>
          <t>선물용 쇼핑백</t>
        </is>
      </c>
      <c r="H7857" s="20" t="n">
        <v>1</v>
      </c>
      <c r="I7857" s="20" t="inlineStr">
        <is>
          <t>쇼핑백</t>
        </is>
      </c>
      <c r="J7857" s="20" t="inlineStr">
        <is>
          <t>210207</t>
        </is>
      </c>
      <c r="L7857" s="20" t="n">
        <v>2000</v>
      </c>
      <c r="M7857" s="20" t="n">
        <v>1883</v>
      </c>
      <c r="N7857" s="20" t="n">
        <v>830</v>
      </c>
      <c r="O7857" s="20" t="inlineStr">
        <is>
          <t>카페24쇼핑백선물용 쇼핑백210207</t>
        </is>
      </c>
    </row>
    <row r="7858">
      <c r="B7858" s="16" t="n">
        <v>44319</v>
      </c>
      <c r="C7858" s="20" t="inlineStr">
        <is>
          <t>월</t>
        </is>
      </c>
      <c r="E7858" s="20" t="inlineStr">
        <is>
          <t>고체향수</t>
        </is>
      </c>
      <c r="F7858" s="20" t="inlineStr">
        <is>
          <t>카페24</t>
        </is>
      </c>
      <c r="G7858" s="20" t="inlineStr">
        <is>
          <t>솔리드퍼퓸 세트향=스테이포에버 002 SOLID PERFUME, 세트 선택=1개</t>
        </is>
      </c>
      <c r="H7858" s="20" t="n">
        <v>4</v>
      </c>
      <c r="I7858" s="20" t="inlineStr">
        <is>
          <t>스테이포에버</t>
        </is>
      </c>
      <c r="J7858" s="20" t="inlineStr">
        <is>
          <t>210207</t>
        </is>
      </c>
      <c r="L7858" s="20" t="n">
        <v>136000</v>
      </c>
      <c r="M7858" s="20" t="n">
        <v>128044</v>
      </c>
      <c r="N7858" s="20" t="n">
        <v>10368</v>
      </c>
      <c r="O7858" s="20" t="inlineStr">
        <is>
          <t>카페24고체향수솔리드퍼퓸 세트향=스테이포에버 002 SOLID PERFUME, 세트 선택=1개210207</t>
        </is>
      </c>
    </row>
    <row r="7859">
      <c r="B7859" s="16" t="n">
        <v>44319</v>
      </c>
      <c r="C7859" s="20" t="inlineStr">
        <is>
          <t>월</t>
        </is>
      </c>
      <c r="E7859" s="20" t="inlineStr">
        <is>
          <t>고체향수</t>
        </is>
      </c>
      <c r="F7859" s="20" t="inlineStr">
        <is>
          <t>카페24</t>
        </is>
      </c>
      <c r="G7859" s="20" t="inlineStr">
        <is>
          <t>솔리드퍼퓸 세트향=스테이포에버 002 SOLID PERFUME, 세트 선택=best 2개 (28% 할인)</t>
        </is>
      </c>
      <c r="H7859" s="20" t="n">
        <v>7</v>
      </c>
      <c r="I7859" s="20" t="inlineStr">
        <is>
          <t>스테이포에버 2set</t>
        </is>
      </c>
      <c r="J7859" s="20" t="inlineStr">
        <is>
          <t>210207</t>
        </is>
      </c>
      <c r="L7859" s="20" t="n">
        <v>411600</v>
      </c>
      <c r="M7859" s="20" t="n">
        <v>387521.4</v>
      </c>
      <c r="N7859" s="20" t="n">
        <v>36288</v>
      </c>
      <c r="O7859" s="20" t="inlineStr">
        <is>
          <t>카페24고체향수솔리드퍼퓸 세트향=스테이포에버 002 SOLID PERFUME, 세트 선택=best 2개 (28% 할인)210207</t>
        </is>
      </c>
    </row>
    <row r="7860">
      <c r="B7860" s="16" t="n">
        <v>44319</v>
      </c>
      <c r="C7860" s="20" t="inlineStr">
        <is>
          <t>월</t>
        </is>
      </c>
      <c r="E7860" s="20" t="inlineStr">
        <is>
          <t>고체향수</t>
        </is>
      </c>
      <c r="F7860" s="20" t="inlineStr">
        <is>
          <t>카페24</t>
        </is>
      </c>
      <c r="G7860" s="20" t="inlineStr">
        <is>
          <t>솔리드퍼퓸 세트향=커플세트(이그나이트 + 스테이포에버), 세트 선택=1 SET</t>
        </is>
      </c>
      <c r="H7860" s="20" t="n">
        <v>14</v>
      </c>
      <c r="I7860" s="20" t="inlineStr">
        <is>
          <t>이그나이트 + 스테이포에버</t>
        </is>
      </c>
      <c r="J7860" s="20" t="inlineStr">
        <is>
          <t>210207</t>
        </is>
      </c>
      <c r="L7860" s="20" t="n">
        <v>823200</v>
      </c>
      <c r="M7860" s="20" t="n">
        <v>775042.7999999999</v>
      </c>
      <c r="N7860" s="20" t="n">
        <v>74830</v>
      </c>
      <c r="O7860" s="20" t="inlineStr">
        <is>
          <t>카페24고체향수솔리드퍼퓸 세트향=커플세트(이그나이트 + 스테이포에버), 세트 선택=1 SET210207</t>
        </is>
      </c>
    </row>
    <row r="7861">
      <c r="B7861" s="16" t="n">
        <v>44319</v>
      </c>
      <c r="C7861" s="20" t="inlineStr">
        <is>
          <t>월</t>
        </is>
      </c>
      <c r="E7861" s="20" t="inlineStr">
        <is>
          <t>고체향수</t>
        </is>
      </c>
      <c r="F7861" s="20" t="inlineStr">
        <is>
          <t>카페24</t>
        </is>
      </c>
      <c r="G7861" s="20" t="inlineStr">
        <is>
          <t>솔리드퍼퓸 세트향=커플세트(이그나이트 + 스테이포에버), 세트 선택=2 SET (42% 할인)</t>
        </is>
      </c>
      <c r="H7861" s="20" t="n">
        <v>2</v>
      </c>
      <c r="I7861" s="20" t="inlineStr">
        <is>
          <t>이그나이트 + 스테이포에버</t>
        </is>
      </c>
      <c r="J7861" s="20" t="inlineStr">
        <is>
          <t>210207</t>
        </is>
      </c>
      <c r="L7861" s="20" t="n">
        <v>117600</v>
      </c>
      <c r="M7861" s="20" t="n">
        <v>110720.4</v>
      </c>
      <c r="N7861" s="20" t="n">
        <v>10690</v>
      </c>
      <c r="O7861" s="20" t="inlineStr">
        <is>
          <t>카페24고체향수솔리드퍼퓸 세트향=커플세트(이그나이트 + 스테이포에버), 세트 선택=2 SET (42% 할인)210207</t>
        </is>
      </c>
    </row>
    <row r="7862">
      <c r="B7862" s="16" t="n">
        <v>44319</v>
      </c>
      <c r="C7862" s="20" t="inlineStr">
        <is>
          <t>월</t>
        </is>
      </c>
      <c r="E7862" s="20" t="inlineStr">
        <is>
          <t>고체향수</t>
        </is>
      </c>
      <c r="F7862" s="20" t="inlineStr">
        <is>
          <t>카페24</t>
        </is>
      </c>
      <c r="G7862" s="20" t="inlineStr">
        <is>
          <t>솔리드퍼퓸 스테이포에버 002제품선택=스테이포에버 1개</t>
        </is>
      </c>
      <c r="H7862" s="20" t="n">
        <v>200</v>
      </c>
      <c r="I7862" s="20" t="inlineStr">
        <is>
          <t>스테이포에버</t>
        </is>
      </c>
      <c r="J7862" s="20" t="inlineStr">
        <is>
          <t>210207</t>
        </is>
      </c>
      <c r="L7862" s="20" t="n">
        <v>6800000</v>
      </c>
      <c r="M7862" s="20" t="n">
        <v>6402200</v>
      </c>
      <c r="N7862" s="20" t="n">
        <v>518400</v>
      </c>
      <c r="O7862" s="20" t="inlineStr">
        <is>
          <t>카페24고체향수솔리드퍼퓸 스테이포에버 002제품선택=스테이포에버 1개210207</t>
        </is>
      </c>
    </row>
    <row r="7863">
      <c r="B7863" s="16" t="n">
        <v>44319</v>
      </c>
      <c r="C7863" s="20" t="inlineStr">
        <is>
          <t>월</t>
        </is>
      </c>
      <c r="E7863" s="20" t="inlineStr">
        <is>
          <t>고체향수</t>
        </is>
      </c>
      <c r="F7863" s="20" t="inlineStr">
        <is>
          <t>카페24</t>
        </is>
      </c>
      <c r="G7863" s="20" t="inlineStr">
        <is>
          <t>솔리드퍼퓸 스테이포에버 002제품선택=best스테이포에버 2개[28% 할인]</t>
        </is>
      </c>
      <c r="H7863" s="20" t="n">
        <v>115</v>
      </c>
      <c r="I7863" s="20" t="inlineStr">
        <is>
          <t>스테이포에버 2set</t>
        </is>
      </c>
      <c r="J7863" s="20" t="inlineStr">
        <is>
          <t>210207</t>
        </is>
      </c>
      <c r="L7863" s="20" t="n">
        <v>6762000</v>
      </c>
      <c r="M7863" s="20" t="n">
        <v>6366423</v>
      </c>
      <c r="N7863" s="20" t="n">
        <v>596160</v>
      </c>
      <c r="O7863" s="20" t="inlineStr">
        <is>
          <t>카페24고체향수솔리드퍼퓸 스테이포에버 002제품선택=best스테이포에버 2개[28% 할인]210207</t>
        </is>
      </c>
    </row>
    <row r="7864">
      <c r="B7864" s="16" t="n">
        <v>44319</v>
      </c>
      <c r="C7864" s="20" t="inlineStr">
        <is>
          <t>월</t>
        </is>
      </c>
      <c r="E7864" s="20" t="inlineStr">
        <is>
          <t>고체향수</t>
        </is>
      </c>
      <c r="F7864" s="20" t="inlineStr">
        <is>
          <t>카페24</t>
        </is>
      </c>
      <c r="G7864" s="20" t="inlineStr">
        <is>
          <t>솔리드퍼퓸 스테이포에버 002제품선택=커플추천스테이포에버 + 이그나이트 세트</t>
        </is>
      </c>
      <c r="H7864" s="20" t="n">
        <v>23</v>
      </c>
      <c r="I7864" s="20" t="inlineStr">
        <is>
          <t>이그나이트 + 스테이포에버</t>
        </is>
      </c>
      <c r="J7864" s="20" t="inlineStr">
        <is>
          <t>210207</t>
        </is>
      </c>
      <c r="L7864" s="20" t="n">
        <v>1352400</v>
      </c>
      <c r="M7864" s="20" t="n">
        <v>1273284.6</v>
      </c>
      <c r="N7864" s="20" t="n">
        <v>122935</v>
      </c>
      <c r="O7864" s="20" t="inlineStr">
        <is>
          <t>카페24고체향수솔리드퍼퓸 스테이포에버 002제품선택=커플추천스테이포에버 + 이그나이트 세트210207</t>
        </is>
      </c>
    </row>
    <row r="7865">
      <c r="B7865" s="16" t="n">
        <v>44319</v>
      </c>
      <c r="C7865" s="20" t="inlineStr">
        <is>
          <t>월</t>
        </is>
      </c>
      <c r="E7865" s="20" t="inlineStr">
        <is>
          <t>쇼핑백</t>
        </is>
      </c>
      <c r="F7865" s="20" t="inlineStr">
        <is>
          <t>카페24</t>
        </is>
      </c>
      <c r="G7865" s="20" t="inlineStr">
        <is>
          <t>솔리드퍼퓸 스테이포에버 002쇼핑백=선물용 쇼핑백</t>
        </is>
      </c>
      <c r="H7865" s="20" t="n">
        <v>15</v>
      </c>
      <c r="I7865" s="20" t="inlineStr">
        <is>
          <t>쇼핑백</t>
        </is>
      </c>
      <c r="J7865" s="20" t="inlineStr">
        <is>
          <t>210207</t>
        </is>
      </c>
      <c r="L7865" s="20" t="n">
        <v>30000</v>
      </c>
      <c r="M7865" s="20" t="n">
        <v>28245</v>
      </c>
      <c r="N7865" s="20" t="n">
        <v>12450</v>
      </c>
      <c r="O7865" s="20" t="inlineStr">
        <is>
          <t>카페24쇼핑백솔리드퍼퓸 스테이포에버 002쇼핑백=선물용 쇼핑백210207</t>
        </is>
      </c>
    </row>
    <row r="7866">
      <c r="B7866" s="16" t="n">
        <v>44319</v>
      </c>
      <c r="C7866" s="20" t="inlineStr">
        <is>
          <t>월</t>
        </is>
      </c>
      <c r="E7866" s="20" t="inlineStr">
        <is>
          <t>고체향수</t>
        </is>
      </c>
      <c r="F7866" s="20" t="inlineStr">
        <is>
          <t>카페24</t>
        </is>
      </c>
      <c r="G7866" s="20" t="inlineStr">
        <is>
          <t>솔리드퍼퓸 이그나이트 001제품선택=이그나이트 솔리드퍼퓸 - 30ml</t>
        </is>
      </c>
      <c r="H7866" s="20" t="n">
        <v>2</v>
      </c>
      <c r="I7866" s="20" t="inlineStr">
        <is>
          <t>이그나이트</t>
        </is>
      </c>
      <c r="J7866" s="20" t="inlineStr">
        <is>
          <t>210207</t>
        </is>
      </c>
      <c r="L7866" s="20" t="n">
        <v>68000</v>
      </c>
      <c r="M7866" s="20" t="n">
        <v>64022</v>
      </c>
      <c r="N7866" s="20" t="n">
        <v>5506</v>
      </c>
      <c r="O7866" s="20" t="inlineStr">
        <is>
          <t>카페24고체향수솔리드퍼퓸 이그나이트 001제품선택=이그나이트 솔리드퍼퓸 - 30ml210207</t>
        </is>
      </c>
    </row>
    <row r="7867">
      <c r="B7867" s="16" t="n">
        <v>44319</v>
      </c>
      <c r="C7867" s="20" t="inlineStr">
        <is>
          <t>월</t>
        </is>
      </c>
      <c r="E7867" s="20" t="inlineStr">
        <is>
          <t>고체향수</t>
        </is>
      </c>
      <c r="F7867" s="20" t="inlineStr">
        <is>
          <t>카페24</t>
        </is>
      </c>
      <c r="G7867" s="20" t="inlineStr">
        <is>
          <t>솔리드퍼퓸 이그나이트 001제품선택=이그나이트 2개 세트</t>
        </is>
      </c>
      <c r="H7867" s="20" t="n">
        <v>1</v>
      </c>
      <c r="I7867" s="20" t="inlineStr">
        <is>
          <t>이그나이트 2set</t>
        </is>
      </c>
      <c r="J7867" s="20" t="inlineStr">
        <is>
          <t>210207</t>
        </is>
      </c>
      <c r="L7867" s="20" t="n">
        <v>58800</v>
      </c>
      <c r="M7867" s="20" t="n">
        <v>55360.2</v>
      </c>
      <c r="N7867" s="20" t="n">
        <v>5506</v>
      </c>
      <c r="O7867" s="20" t="inlineStr">
        <is>
          <t>카페24고체향수솔리드퍼퓸 이그나이트 001제품선택=이그나이트 2개 세트210207</t>
        </is>
      </c>
    </row>
    <row r="7868">
      <c r="A7868" s="20" t="inlineStr">
        <is>
          <t>고체향수</t>
        </is>
      </c>
      <c r="B7868" s="16" t="n">
        <v>44319</v>
      </c>
      <c r="C7868" s="20" t="inlineStr">
        <is>
          <t>월</t>
        </is>
      </c>
      <c r="D7868" s="20" t="inlineStr">
        <is>
          <t>네이버 배너</t>
        </is>
      </c>
      <c r="E7868" s="20" t="inlineStr">
        <is>
          <t>고체향수</t>
        </is>
      </c>
      <c r="K7868" s="20" t="n">
        <v>878633.6363636362</v>
      </c>
    </row>
    <row r="7869">
      <c r="A7869" s="20" t="inlineStr">
        <is>
          <t>고체향수_승무원 어피_Npay 추적</t>
        </is>
      </c>
      <c r="B7869" s="16" t="n">
        <v>44319</v>
      </c>
      <c r="C7869" s="20" t="inlineStr">
        <is>
          <t>월</t>
        </is>
      </c>
      <c r="D7869" s="20" t="inlineStr">
        <is>
          <t>카카오 배너</t>
        </is>
      </c>
      <c r="E7869" s="20" t="inlineStr">
        <is>
          <t>고체향수</t>
        </is>
      </c>
      <c r="K7869" s="20" t="n">
        <v>91289.99999999999</v>
      </c>
    </row>
    <row r="7870">
      <c r="A7870" s="20" t="inlineStr">
        <is>
          <t>고체향수_Npay 추적</t>
        </is>
      </c>
      <c r="B7870" s="16" t="n">
        <v>44319</v>
      </c>
      <c r="C7870" s="20" t="inlineStr">
        <is>
          <t>월</t>
        </is>
      </c>
      <c r="D7870" s="20" t="inlineStr">
        <is>
          <t>카카오 배너</t>
        </is>
      </c>
      <c r="E7870" s="20" t="inlineStr">
        <is>
          <t>고체향수</t>
        </is>
      </c>
      <c r="K7870" s="20" t="n">
        <v>684410</v>
      </c>
    </row>
    <row r="7871">
      <c r="B7871" s="16" t="n">
        <v>44316</v>
      </c>
      <c r="C7871" s="20" t="inlineStr">
        <is>
          <t>금</t>
        </is>
      </c>
      <c r="D7871" s="20" t="inlineStr">
        <is>
          <t>네이버 배너(대행사)</t>
        </is>
      </c>
      <c r="E7871" s="20" t="inlineStr">
        <is>
          <t>고체향수</t>
        </is>
      </c>
      <c r="K7871" s="20">
        <f>943552/1.1</f>
        <v/>
      </c>
    </row>
    <row r="7872">
      <c r="B7872" s="16" t="n">
        <v>44317</v>
      </c>
      <c r="C7872" s="20" t="inlineStr">
        <is>
          <t>토</t>
        </is>
      </c>
      <c r="D7872" s="20" t="inlineStr">
        <is>
          <t>네이버 배너(대행사)</t>
        </is>
      </c>
      <c r="E7872" s="20" t="inlineStr">
        <is>
          <t>고체향수</t>
        </is>
      </c>
      <c r="K7872" s="20">
        <f>1697365/1.1</f>
        <v/>
      </c>
    </row>
    <row r="7873">
      <c r="B7873" s="16" t="n">
        <v>44318</v>
      </c>
      <c r="C7873" s="20" t="inlineStr">
        <is>
          <t>일</t>
        </is>
      </c>
      <c r="D7873" s="20" t="inlineStr">
        <is>
          <t>네이버 배너(대행사)</t>
        </is>
      </c>
      <c r="E7873" s="20" t="inlineStr">
        <is>
          <t>고체향수</t>
        </is>
      </c>
      <c r="K7873" s="20">
        <f>1413313/1.1</f>
        <v/>
      </c>
    </row>
    <row r="7874">
      <c r="B7874" s="16" t="n">
        <v>44319</v>
      </c>
      <c r="C7874" s="20" t="inlineStr">
        <is>
          <t>월</t>
        </is>
      </c>
      <c r="D7874" s="20" t="inlineStr">
        <is>
          <t>네이버 배너(대행사)</t>
        </is>
      </c>
      <c r="E7874" s="20" t="inlineStr">
        <is>
          <t>고체향수</t>
        </is>
      </c>
      <c r="K7874" s="20">
        <f>368563/1.1</f>
        <v/>
      </c>
    </row>
    <row r="7875">
      <c r="B7875" s="16" t="n">
        <v>44319</v>
      </c>
      <c r="C7875" s="20" t="inlineStr">
        <is>
          <t>월</t>
        </is>
      </c>
      <c r="E7875" s="20">
        <f>INDEX(매칭테이블!C:C,MATCH(RD!G7875,매칭테이블!D:D,0))</f>
        <v/>
      </c>
      <c r="F7875" s="20" t="inlineStr">
        <is>
          <t>올리브영</t>
        </is>
      </c>
      <c r="G7875" s="20" t="inlineStr">
        <is>
          <t>유즈 솔리드퍼퓸 001 이그나이트 30ml 30600 온라인</t>
        </is>
      </c>
      <c r="H7875" s="20" t="n">
        <v>5</v>
      </c>
      <c r="I7875" s="20">
        <f>VLOOKUP(G7875,매칭테이블!D:E,2,0)</f>
        <v/>
      </c>
      <c r="J7875" s="20" t="n">
        <v>210501</v>
      </c>
      <c r="L7875" s="20">
        <f>VLOOKUP($O7875,매칭테이블!$G:$J,2,0)*H7875</f>
        <v/>
      </c>
      <c r="M7875" s="20">
        <f>L7875-L7875*VLOOKUP($O7875,매칭테이블!$G:$J,3,0)</f>
        <v/>
      </c>
      <c r="N7875" s="20">
        <f>VLOOKUP($O7875,매칭테이블!$G:$J,4,0)*H7875</f>
        <v/>
      </c>
      <c r="O7875" s="20">
        <f>F7875&amp;E7875&amp;G7875&amp;J7875</f>
        <v/>
      </c>
    </row>
    <row r="7876">
      <c r="B7876" s="16" t="n">
        <v>44319</v>
      </c>
      <c r="C7876" s="20" t="inlineStr">
        <is>
          <t>월</t>
        </is>
      </c>
      <c r="E7876" s="20">
        <f>INDEX(매칭테이블!C:C,MATCH(RD!G7876,매칭테이블!D:D,0))</f>
        <v/>
      </c>
      <c r="F7876" s="20" t="inlineStr">
        <is>
          <t>올리브영</t>
        </is>
      </c>
      <c r="G7876" s="20" t="inlineStr">
        <is>
          <t>유즈 솔리드퍼퓸 002 스테이포에버 30ml 30600 온라인</t>
        </is>
      </c>
      <c r="H7876" s="20" t="n">
        <v>130</v>
      </c>
      <c r="I7876" s="20">
        <f>VLOOKUP(G7876,매칭테이블!D:E,2,0)</f>
        <v/>
      </c>
      <c r="J7876" s="20" t="n">
        <v>210501</v>
      </c>
      <c r="L7876" s="20">
        <f>VLOOKUP($O7876,매칭테이블!$G:$J,2,0)*H7876</f>
        <v/>
      </c>
      <c r="M7876" s="20">
        <f>L7876-L7876*VLOOKUP($O7876,매칭테이블!$G:$J,3,0)</f>
        <v/>
      </c>
      <c r="N7876" s="20">
        <f>VLOOKUP($O7876,매칭테이블!$G:$J,4,0)*H7876</f>
        <v/>
      </c>
      <c r="O7876" s="20">
        <f>F7876&amp;E7876&amp;G7876&amp;J7876</f>
        <v/>
      </c>
    </row>
    <row r="7877">
      <c r="A7877" s="20" t="inlineStr">
        <is>
          <t>[수현 TEST] 솔리드퍼퓸_이미지</t>
        </is>
      </c>
      <c r="B7877" s="16" t="n">
        <v>44320</v>
      </c>
      <c r="C7877" s="20" t="inlineStr">
        <is>
          <t>화</t>
        </is>
      </c>
      <c r="D7877" s="20" t="inlineStr">
        <is>
          <t>페이스북/인스타그램</t>
        </is>
      </c>
      <c r="E7877" s="20" t="inlineStr">
        <is>
          <t>고체향수</t>
        </is>
      </c>
      <c r="K7877" s="20" t="n">
        <v>33917</v>
      </c>
    </row>
    <row r="7878">
      <c r="A7878" s="20" t="inlineStr">
        <is>
          <t>[승은 TEST] 스테이포에버</t>
        </is>
      </c>
      <c r="B7878" s="16" t="n">
        <v>44320</v>
      </c>
      <c r="C7878" s="20" t="inlineStr">
        <is>
          <t>화</t>
        </is>
      </c>
      <c r="D7878" s="20" t="inlineStr">
        <is>
          <t>페이스북/인스타그램</t>
        </is>
      </c>
      <c r="E7878" s="20" t="inlineStr">
        <is>
          <t>고체향수</t>
        </is>
      </c>
      <c r="K7878" s="20" t="n">
        <v>68493</v>
      </c>
    </row>
    <row r="7879">
      <c r="A7879" s="20" t="inlineStr">
        <is>
          <t>[비누향 덕후] 스테이포에버_카드뉴스</t>
        </is>
      </c>
      <c r="B7879" s="16" t="n">
        <v>44320</v>
      </c>
      <c r="C7879" s="20" t="inlineStr">
        <is>
          <t>화</t>
        </is>
      </c>
      <c r="D7879" s="20" t="inlineStr">
        <is>
          <t>페이스북/인스타그램</t>
        </is>
      </c>
      <c r="E7879" s="20" t="inlineStr">
        <is>
          <t>고체향수</t>
        </is>
      </c>
      <c r="K7879" s="20" t="n">
        <v>99545</v>
      </c>
    </row>
    <row r="7880">
      <c r="A7880" s="20" t="inlineStr">
        <is>
          <t>[비누향 인연] 스테이포에버_카드뉴스</t>
        </is>
      </c>
      <c r="B7880" s="16" t="n">
        <v>44320</v>
      </c>
      <c r="C7880" s="20" t="inlineStr">
        <is>
          <t>화</t>
        </is>
      </c>
      <c r="D7880" s="20" t="inlineStr">
        <is>
          <t>페이스북/인스타그램</t>
        </is>
      </c>
      <c r="E7880" s="20" t="inlineStr">
        <is>
          <t>고체향수</t>
        </is>
      </c>
      <c r="K7880" s="20" t="n">
        <v>98190</v>
      </c>
    </row>
    <row r="7881">
      <c r="A7881" s="20" t="inlineStr">
        <is>
          <t>[성민 TEST] 솔리드퍼퓸_이미지</t>
        </is>
      </c>
      <c r="B7881" s="16" t="n">
        <v>44320</v>
      </c>
      <c r="C7881" s="20" t="inlineStr">
        <is>
          <t>화</t>
        </is>
      </c>
      <c r="D7881" s="20" t="inlineStr">
        <is>
          <t>페이스북/인스타그램</t>
        </is>
      </c>
      <c r="E7881" s="20" t="inlineStr">
        <is>
          <t>고체향수</t>
        </is>
      </c>
      <c r="K7881" s="20" t="n">
        <v>60215</v>
      </c>
    </row>
    <row r="7882">
      <c r="A7882" s="20" t="inlineStr">
        <is>
          <t>[승무원]유튜브_스테이포에버_카드뉴스</t>
        </is>
      </c>
      <c r="B7882" s="16" t="n">
        <v>44320</v>
      </c>
      <c r="C7882" s="20" t="inlineStr">
        <is>
          <t>화</t>
        </is>
      </c>
      <c r="D7882" s="20" t="inlineStr">
        <is>
          <t>페이스북/인스타그램</t>
        </is>
      </c>
      <c r="E7882" s="20" t="inlineStr">
        <is>
          <t>고체향수</t>
        </is>
      </c>
      <c r="K7882" s="20" t="n">
        <v>59569</v>
      </c>
    </row>
    <row r="7883">
      <c r="A7883" s="20" t="inlineStr">
        <is>
          <t>[올리브영] 이그나이트_영상</t>
        </is>
      </c>
      <c r="B7883" s="16" t="n">
        <v>44320</v>
      </c>
      <c r="C7883" s="20" t="inlineStr">
        <is>
          <t>화</t>
        </is>
      </c>
      <c r="D7883" s="20" t="inlineStr">
        <is>
          <t>페이스북/인스타그램</t>
        </is>
      </c>
      <c r="E7883" s="20" t="inlineStr">
        <is>
          <t>고체향수</t>
        </is>
      </c>
      <c r="K7883" s="20" t="n">
        <v>29386</v>
      </c>
    </row>
    <row r="7884">
      <c r="A7884" s="20" t="inlineStr">
        <is>
          <t>[승희 TEST] 솔리드퍼퓸_이미지</t>
        </is>
      </c>
      <c r="B7884" s="16" t="n">
        <v>44320</v>
      </c>
      <c r="C7884" s="20" t="inlineStr">
        <is>
          <t>화</t>
        </is>
      </c>
      <c r="D7884" s="20" t="inlineStr">
        <is>
          <t>페이스북/인스타그램</t>
        </is>
      </c>
      <c r="E7884" s="20" t="inlineStr">
        <is>
          <t>고체향수</t>
        </is>
      </c>
      <c r="K7884" s="20" t="n">
        <v>109220</v>
      </c>
    </row>
    <row r="7885">
      <c r="A7885" s="20" t="inlineStr">
        <is>
          <t>[올리브영] 스테이포에버_영상</t>
        </is>
      </c>
      <c r="B7885" s="16" t="n">
        <v>44320</v>
      </c>
      <c r="C7885" s="20" t="inlineStr">
        <is>
          <t>화</t>
        </is>
      </c>
      <c r="D7885" s="20" t="inlineStr">
        <is>
          <t>페이스북/인스타그램</t>
        </is>
      </c>
      <c r="E7885" s="20" t="inlineStr">
        <is>
          <t>고체향수</t>
        </is>
      </c>
      <c r="K7885" s="20" t="n">
        <v>49184</v>
      </c>
    </row>
    <row r="7886">
      <c r="A7886" s="20" t="inlineStr">
        <is>
          <t>[올리브영] 스테이포에버_이미지</t>
        </is>
      </c>
      <c r="B7886" s="16" t="n">
        <v>44320</v>
      </c>
      <c r="C7886" s="20" t="inlineStr">
        <is>
          <t>화</t>
        </is>
      </c>
      <c r="D7886" s="20" t="inlineStr">
        <is>
          <t>페이스북/인스타그램</t>
        </is>
      </c>
      <c r="E7886" s="20" t="inlineStr">
        <is>
          <t>고체향수</t>
        </is>
      </c>
      <c r="K7886" s="20" t="n">
        <v>30467</v>
      </c>
    </row>
    <row r="7887">
      <c r="A7887" s="20" t="inlineStr">
        <is>
          <t>[승무원] 유튜브재편집_스테이포에버_영상</t>
        </is>
      </c>
      <c r="B7887" s="16" t="n">
        <v>44320</v>
      </c>
      <c r="C7887" s="20" t="inlineStr">
        <is>
          <t>화</t>
        </is>
      </c>
      <c r="D7887" s="20" t="inlineStr">
        <is>
          <t>페이스북/인스타그램</t>
        </is>
      </c>
      <c r="E7887" s="20" t="inlineStr">
        <is>
          <t>고체향수</t>
        </is>
      </c>
      <c r="K7887" s="20" t="n">
        <v>926467</v>
      </c>
    </row>
    <row r="7888">
      <c r="A7888" s="20" t="inlineStr">
        <is>
          <t>[승무원 면세점] 스테이포에버_카드뉴스</t>
        </is>
      </c>
      <c r="B7888" s="16" t="n">
        <v>44320</v>
      </c>
      <c r="C7888" s="20" t="inlineStr">
        <is>
          <t>화</t>
        </is>
      </c>
      <c r="D7888" s="20" t="inlineStr">
        <is>
          <t>페이스북/인스타그램</t>
        </is>
      </c>
      <c r="E7888" s="20" t="inlineStr">
        <is>
          <t>고체향수</t>
        </is>
      </c>
      <c r="K7888" s="20" t="n">
        <v>262238</v>
      </c>
    </row>
    <row r="7889">
      <c r="A7889" s="20" t="inlineStr">
        <is>
          <t>[카페알바] 스테이포에버_카드뉴스</t>
        </is>
      </c>
      <c r="B7889" s="16" t="n">
        <v>44320</v>
      </c>
      <c r="C7889" s="20" t="inlineStr">
        <is>
          <t>화</t>
        </is>
      </c>
      <c r="D7889" s="20" t="inlineStr">
        <is>
          <t>페이스북/인스타그램</t>
        </is>
      </c>
      <c r="E7889" s="20" t="inlineStr">
        <is>
          <t>고체향수</t>
        </is>
      </c>
      <c r="K7889" s="20" t="n">
        <v>99028</v>
      </c>
    </row>
    <row r="7890">
      <c r="A7890" s="20" t="inlineStr">
        <is>
          <t>[아줌마]스테이포에버_이미지</t>
        </is>
      </c>
      <c r="B7890" s="16" t="n">
        <v>44320</v>
      </c>
      <c r="C7890" s="20" t="inlineStr">
        <is>
          <t>화</t>
        </is>
      </c>
      <c r="D7890" s="20" t="inlineStr">
        <is>
          <t>페이스북/인스타그램</t>
        </is>
      </c>
      <c r="E7890" s="20" t="inlineStr">
        <is>
          <t>고체향수</t>
        </is>
      </c>
      <c r="K7890" s="20" t="n">
        <v>49727</v>
      </c>
    </row>
    <row r="7891">
      <c r="A7891" s="20" t="inlineStr">
        <is>
          <t>[다양한 키워드] 스테이포에버_이미지</t>
        </is>
      </c>
      <c r="B7891" s="16" t="n">
        <v>44320</v>
      </c>
      <c r="C7891" s="20" t="inlineStr">
        <is>
          <t>화</t>
        </is>
      </c>
      <c r="D7891" s="20" t="inlineStr">
        <is>
          <t>페이스북/인스타그램</t>
        </is>
      </c>
      <c r="E7891" s="20" t="inlineStr">
        <is>
          <t>고체향수</t>
        </is>
      </c>
      <c r="K7891" s="20" t="n">
        <v>176930</v>
      </c>
    </row>
    <row r="7892">
      <c r="A7892" s="20" t="inlineStr">
        <is>
          <t>[재입고]스테이포에버_이미지</t>
        </is>
      </c>
      <c r="B7892" s="16" t="n">
        <v>44320</v>
      </c>
      <c r="C7892" s="20" t="inlineStr">
        <is>
          <t>화</t>
        </is>
      </c>
      <c r="D7892" s="20" t="inlineStr">
        <is>
          <t>페이스북/인스타그램</t>
        </is>
      </c>
      <c r="E7892" s="20" t="inlineStr">
        <is>
          <t>고체향수</t>
        </is>
      </c>
      <c r="K7892" s="20" t="n">
        <v>83192</v>
      </c>
    </row>
    <row r="7893">
      <c r="A7893" s="20" t="inlineStr">
        <is>
          <t>[승무원]숏폼_영상</t>
        </is>
      </c>
      <c r="B7893" s="16" t="n">
        <v>44320</v>
      </c>
      <c r="C7893" s="20" t="inlineStr">
        <is>
          <t>화</t>
        </is>
      </c>
      <c r="D7893" s="20" t="inlineStr">
        <is>
          <t>페이스북/인스타그램</t>
        </is>
      </c>
      <c r="E7893" s="20" t="inlineStr">
        <is>
          <t>고체향수</t>
        </is>
      </c>
      <c r="K7893" s="20" t="n">
        <v>49913</v>
      </c>
    </row>
    <row r="7894">
      <c r="A7894" s="20" t="inlineStr">
        <is>
          <t>[재입고]스테이포에버_영상</t>
        </is>
      </c>
      <c r="B7894" s="16" t="n">
        <v>44320</v>
      </c>
      <c r="C7894" s="20" t="inlineStr">
        <is>
          <t>화</t>
        </is>
      </c>
      <c r="D7894" s="20" t="inlineStr">
        <is>
          <t>페이스북/인스타그램</t>
        </is>
      </c>
      <c r="E7894" s="20" t="inlineStr">
        <is>
          <t>고체향수</t>
        </is>
      </c>
      <c r="K7894" s="20" t="n">
        <v>202931</v>
      </c>
    </row>
    <row r="7895">
      <c r="A7895" s="20" t="inlineStr">
        <is>
          <t>[승무원]2019년썰 카드뉴스+ 향묘사_영상</t>
        </is>
      </c>
      <c r="B7895" s="16" t="n">
        <v>44320</v>
      </c>
      <c r="C7895" s="20" t="inlineStr">
        <is>
          <t>화</t>
        </is>
      </c>
      <c r="D7895" s="20" t="inlineStr">
        <is>
          <t>페이스북/인스타그램</t>
        </is>
      </c>
      <c r="E7895" s="20" t="inlineStr">
        <is>
          <t>고체향수</t>
        </is>
      </c>
      <c r="K7895" s="20" t="n">
        <v>49332</v>
      </c>
    </row>
    <row r="7896">
      <c r="A7896" s="20" t="inlineStr">
        <is>
          <t>[승무원어피]스테이포에버_이미지</t>
        </is>
      </c>
      <c r="B7896" s="16" t="n">
        <v>44320</v>
      </c>
      <c r="C7896" s="20" t="inlineStr">
        <is>
          <t>화</t>
        </is>
      </c>
      <c r="D7896" s="20" t="inlineStr">
        <is>
          <t>페이스북/인스타그램</t>
        </is>
      </c>
      <c r="E7896" s="20" t="inlineStr">
        <is>
          <t>고체향수</t>
        </is>
      </c>
      <c r="K7896" s="20" t="n">
        <v>99414</v>
      </c>
    </row>
    <row r="7897">
      <c r="A7897" s="20" t="inlineStr">
        <is>
          <t>[다현]스테이포에버_이미지</t>
        </is>
      </c>
      <c r="B7897" s="16" t="n">
        <v>44320</v>
      </c>
      <c r="C7897" s="20" t="inlineStr">
        <is>
          <t>화</t>
        </is>
      </c>
      <c r="D7897" s="20" t="inlineStr">
        <is>
          <t>페이스북/인스타그램</t>
        </is>
      </c>
      <c r="E7897" s="20" t="inlineStr">
        <is>
          <t>고체향수</t>
        </is>
      </c>
      <c r="K7897" s="20" t="n">
        <v>146650</v>
      </c>
    </row>
    <row r="7898">
      <c r="A7898" s="20" t="inlineStr">
        <is>
          <t>[승무원]스테이포에버_카드뉴스</t>
        </is>
      </c>
      <c r="B7898" s="16" t="n">
        <v>44320</v>
      </c>
      <c r="C7898" s="20" t="inlineStr">
        <is>
          <t>화</t>
        </is>
      </c>
      <c r="D7898" s="20" t="inlineStr">
        <is>
          <t>페이스북/인스타그램</t>
        </is>
      </c>
      <c r="E7898" s="20" t="inlineStr">
        <is>
          <t>고체향수</t>
        </is>
      </c>
      <c r="K7898" s="20" t="n">
        <v>29972</v>
      </c>
    </row>
    <row r="7899">
      <c r="A7899" s="20" t="inlineStr">
        <is>
          <t>[후기타입]스테이포에버_영상</t>
        </is>
      </c>
      <c r="B7899" s="16" t="n">
        <v>44320</v>
      </c>
      <c r="C7899" s="20" t="inlineStr">
        <is>
          <t>화</t>
        </is>
      </c>
      <c r="D7899" s="20" t="inlineStr">
        <is>
          <t>페이스북/인스타그램</t>
        </is>
      </c>
      <c r="E7899" s="20" t="inlineStr">
        <is>
          <t>고체향수</t>
        </is>
      </c>
      <c r="K7899" s="20" t="n">
        <v>131749</v>
      </c>
    </row>
    <row r="7900">
      <c r="A7900" s="20" t="inlineStr">
        <is>
          <t>전환_스테이포에버</t>
        </is>
      </c>
      <c r="B7900" s="16" t="n">
        <v>44320</v>
      </c>
      <c r="C7900" s="20" t="inlineStr">
        <is>
          <t>화</t>
        </is>
      </c>
      <c r="D7900" s="20" t="inlineStr">
        <is>
          <t>페이스북/인스타그램</t>
        </is>
      </c>
      <c r="E7900" s="20" t="inlineStr">
        <is>
          <t>고체향수</t>
        </is>
      </c>
      <c r="K7900" s="20" t="n">
        <v>101151</v>
      </c>
    </row>
    <row r="7901">
      <c r="A7901" s="20" t="inlineStr">
        <is>
          <t>[권태기커플]스테이포에버_영상</t>
        </is>
      </c>
      <c r="B7901" s="16" t="n">
        <v>44320</v>
      </c>
      <c r="C7901" s="20" t="inlineStr">
        <is>
          <t>화</t>
        </is>
      </c>
      <c r="D7901" s="20" t="inlineStr">
        <is>
          <t>페이스북/인스타그램</t>
        </is>
      </c>
      <c r="E7901" s="20" t="inlineStr">
        <is>
          <t>고체향수</t>
        </is>
      </c>
      <c r="K7901" s="20" t="n">
        <v>30228</v>
      </c>
    </row>
    <row r="7902">
      <c r="A7902" s="20" t="inlineStr">
        <is>
          <t>[수현 TEST] 솔리드퍼퓸_이미지</t>
        </is>
      </c>
      <c r="B7902" s="16" t="n">
        <v>44321</v>
      </c>
      <c r="C7902" s="20" t="inlineStr">
        <is>
          <t>수</t>
        </is>
      </c>
      <c r="D7902" s="20" t="inlineStr">
        <is>
          <t>페이스북/인스타그램</t>
        </is>
      </c>
      <c r="E7902" s="20" t="inlineStr">
        <is>
          <t>고체향수</t>
        </is>
      </c>
      <c r="K7902" s="20" t="n">
        <v>49028</v>
      </c>
    </row>
    <row r="7903">
      <c r="A7903" s="20" t="inlineStr">
        <is>
          <t>[승은 TEST] 스테이포에버</t>
        </is>
      </c>
      <c r="B7903" s="16" t="n">
        <v>44321</v>
      </c>
      <c r="C7903" s="20" t="inlineStr">
        <is>
          <t>수</t>
        </is>
      </c>
      <c r="D7903" s="20" t="inlineStr">
        <is>
          <t>페이스북/인스타그램</t>
        </is>
      </c>
      <c r="E7903" s="20" t="inlineStr">
        <is>
          <t>고체향수</t>
        </is>
      </c>
      <c r="K7903" s="20" t="n">
        <v>88964</v>
      </c>
    </row>
    <row r="7904">
      <c r="A7904" s="20" t="inlineStr">
        <is>
          <t>[비누향 덕후] 스테이포에버_카드뉴스</t>
        </is>
      </c>
      <c r="B7904" s="16" t="n">
        <v>44321</v>
      </c>
      <c r="C7904" s="20" t="inlineStr">
        <is>
          <t>수</t>
        </is>
      </c>
      <c r="D7904" s="20" t="inlineStr">
        <is>
          <t>페이스북/인스타그램</t>
        </is>
      </c>
      <c r="E7904" s="20" t="inlineStr">
        <is>
          <t>고체향수</t>
        </is>
      </c>
      <c r="K7904" s="20" t="n">
        <v>101068</v>
      </c>
    </row>
    <row r="7905">
      <c r="A7905" s="20" t="inlineStr">
        <is>
          <t>[비누향 인연] 스테이포에버_카드뉴스</t>
        </is>
      </c>
      <c r="B7905" s="16" t="n">
        <v>44321</v>
      </c>
      <c r="C7905" s="20" t="inlineStr">
        <is>
          <t>수</t>
        </is>
      </c>
      <c r="D7905" s="20" t="inlineStr">
        <is>
          <t>페이스북/인스타그램</t>
        </is>
      </c>
      <c r="E7905" s="20" t="inlineStr">
        <is>
          <t>고체향수</t>
        </is>
      </c>
      <c r="K7905" s="20" t="n">
        <v>101713</v>
      </c>
    </row>
    <row r="7906">
      <c r="A7906" s="20" t="inlineStr">
        <is>
          <t>[성민 TEST] 솔리드퍼퓸_이미지</t>
        </is>
      </c>
      <c r="B7906" s="16" t="n">
        <v>44321</v>
      </c>
      <c r="C7906" s="20" t="inlineStr">
        <is>
          <t>수</t>
        </is>
      </c>
      <c r="D7906" s="20" t="inlineStr">
        <is>
          <t>페이스북/인스타그램</t>
        </is>
      </c>
      <c r="E7906" s="20" t="inlineStr">
        <is>
          <t>고체향수</t>
        </is>
      </c>
      <c r="K7906" s="20" t="n">
        <v>44261</v>
      </c>
    </row>
    <row r="7907">
      <c r="A7907" s="20" t="inlineStr">
        <is>
          <t>[승무원]유튜브_스테이포에버_카드뉴스</t>
        </is>
      </c>
      <c r="B7907" s="16" t="n">
        <v>44321</v>
      </c>
      <c r="C7907" s="20" t="inlineStr">
        <is>
          <t>수</t>
        </is>
      </c>
      <c r="D7907" s="20" t="inlineStr">
        <is>
          <t>페이스북/인스타그램</t>
        </is>
      </c>
      <c r="E7907" s="20" t="inlineStr">
        <is>
          <t>고체향수</t>
        </is>
      </c>
      <c r="K7907" s="20" t="n">
        <v>51271</v>
      </c>
    </row>
    <row r="7908">
      <c r="A7908" s="20" t="inlineStr">
        <is>
          <t>[올리브영] 이그나이트_영상</t>
        </is>
      </c>
      <c r="B7908" s="16" t="n">
        <v>44321</v>
      </c>
      <c r="C7908" s="20" t="inlineStr">
        <is>
          <t>수</t>
        </is>
      </c>
      <c r="D7908" s="20" t="inlineStr">
        <is>
          <t>페이스북/인스타그램</t>
        </is>
      </c>
      <c r="E7908" s="20" t="inlineStr">
        <is>
          <t>고체향수</t>
        </is>
      </c>
      <c r="K7908" s="20" t="n">
        <v>30595</v>
      </c>
    </row>
    <row r="7909">
      <c r="A7909" s="20" t="inlineStr">
        <is>
          <t>[승희 TEST] 솔리드퍼퓸_이미지</t>
        </is>
      </c>
      <c r="B7909" s="16" t="n">
        <v>44321</v>
      </c>
      <c r="C7909" s="20" t="inlineStr">
        <is>
          <t>수</t>
        </is>
      </c>
      <c r="D7909" s="20" t="inlineStr">
        <is>
          <t>페이스북/인스타그램</t>
        </is>
      </c>
      <c r="E7909" s="20" t="inlineStr">
        <is>
          <t>고체향수</t>
        </is>
      </c>
      <c r="K7909" s="20" t="n">
        <v>112557</v>
      </c>
    </row>
    <row r="7910">
      <c r="A7910" s="20" t="inlineStr">
        <is>
          <t>[올리브영] 스테이포에버_영상</t>
        </is>
      </c>
      <c r="B7910" s="16" t="n">
        <v>44321</v>
      </c>
      <c r="C7910" s="20" t="inlineStr">
        <is>
          <t>수</t>
        </is>
      </c>
      <c r="D7910" s="20" t="inlineStr">
        <is>
          <t>페이스북/인스타그램</t>
        </is>
      </c>
      <c r="E7910" s="20" t="inlineStr">
        <is>
          <t>고체향수</t>
        </is>
      </c>
      <c r="K7910" s="20" t="n">
        <v>51069</v>
      </c>
    </row>
    <row r="7911">
      <c r="A7911" s="20" t="inlineStr">
        <is>
          <t>[올리브영] 스테이포에버_이미지</t>
        </is>
      </c>
      <c r="B7911" s="16" t="n">
        <v>44321</v>
      </c>
      <c r="C7911" s="20" t="inlineStr">
        <is>
          <t>수</t>
        </is>
      </c>
      <c r="D7911" s="20" t="inlineStr">
        <is>
          <t>페이스북/인스타그램</t>
        </is>
      </c>
      <c r="E7911" s="20" t="inlineStr">
        <is>
          <t>고체향수</t>
        </is>
      </c>
      <c r="K7911" s="20" t="n">
        <v>30555</v>
      </c>
    </row>
    <row r="7912">
      <c r="A7912" s="20" t="inlineStr">
        <is>
          <t>[승무원] 유튜브재편집_스테이포에버_영상</t>
        </is>
      </c>
      <c r="B7912" s="16" t="n">
        <v>44321</v>
      </c>
      <c r="C7912" s="20" t="inlineStr">
        <is>
          <t>수</t>
        </is>
      </c>
      <c r="D7912" s="20" t="inlineStr">
        <is>
          <t>페이스북/인스타그램</t>
        </is>
      </c>
      <c r="E7912" s="20" t="inlineStr">
        <is>
          <t>고체향수</t>
        </is>
      </c>
      <c r="K7912" s="20" t="n">
        <v>941413</v>
      </c>
    </row>
    <row r="7913">
      <c r="A7913" s="20" t="inlineStr">
        <is>
          <t>[승무원 면세점] 스테이포에버_카드뉴스</t>
        </is>
      </c>
      <c r="B7913" s="16" t="n">
        <v>44321</v>
      </c>
      <c r="C7913" s="20" t="inlineStr">
        <is>
          <t>수</t>
        </is>
      </c>
      <c r="D7913" s="20" t="inlineStr">
        <is>
          <t>페이스북/인스타그램</t>
        </is>
      </c>
      <c r="E7913" s="20" t="inlineStr">
        <is>
          <t>고체향수</t>
        </is>
      </c>
      <c r="K7913" s="20" t="n">
        <v>183976</v>
      </c>
    </row>
    <row r="7914">
      <c r="A7914" s="20" t="inlineStr">
        <is>
          <t>[카페알바] 스테이포에버_카드뉴스</t>
        </is>
      </c>
      <c r="B7914" s="16" t="n">
        <v>44321</v>
      </c>
      <c r="C7914" s="20" t="inlineStr">
        <is>
          <t>수</t>
        </is>
      </c>
      <c r="D7914" s="20" t="inlineStr">
        <is>
          <t>페이스북/인스타그램</t>
        </is>
      </c>
      <c r="E7914" s="20" t="inlineStr">
        <is>
          <t>고체향수</t>
        </is>
      </c>
      <c r="K7914" s="20" t="n">
        <v>101377</v>
      </c>
    </row>
    <row r="7915">
      <c r="A7915" s="20" t="inlineStr">
        <is>
          <t>[아줌마]스테이포에버_이미지</t>
        </is>
      </c>
      <c r="B7915" s="16" t="n">
        <v>44321</v>
      </c>
      <c r="C7915" s="20" t="inlineStr">
        <is>
          <t>수</t>
        </is>
      </c>
      <c r="D7915" s="20" t="inlineStr">
        <is>
          <t>페이스북/인스타그램</t>
        </is>
      </c>
      <c r="E7915" s="20" t="inlineStr">
        <is>
          <t>고체향수</t>
        </is>
      </c>
      <c r="K7915" s="20" t="n">
        <v>50551</v>
      </c>
    </row>
    <row r="7916">
      <c r="A7916" s="20" t="inlineStr">
        <is>
          <t>[다양한 키워드] 스테이포에버_이미지</t>
        </is>
      </c>
      <c r="B7916" s="16" t="n">
        <v>44321</v>
      </c>
      <c r="C7916" s="20" t="inlineStr">
        <is>
          <t>수</t>
        </is>
      </c>
      <c r="D7916" s="20" t="inlineStr">
        <is>
          <t>페이스북/인스타그램</t>
        </is>
      </c>
      <c r="E7916" s="20" t="inlineStr">
        <is>
          <t>고체향수</t>
        </is>
      </c>
      <c r="K7916" s="20" t="n">
        <v>179337</v>
      </c>
    </row>
    <row r="7917">
      <c r="A7917" s="20" t="inlineStr">
        <is>
          <t>[재입고]스테이포에버_이미지</t>
        </is>
      </c>
      <c r="B7917" s="16" t="n">
        <v>44321</v>
      </c>
      <c r="C7917" s="20" t="inlineStr">
        <is>
          <t>수</t>
        </is>
      </c>
      <c r="D7917" s="20" t="inlineStr">
        <is>
          <t>페이스북/인스타그램</t>
        </is>
      </c>
      <c r="E7917" s="20" t="inlineStr">
        <is>
          <t>고체향수</t>
        </is>
      </c>
      <c r="K7917" s="20" t="n">
        <v>49973</v>
      </c>
    </row>
    <row r="7918">
      <c r="A7918" s="20" t="inlineStr">
        <is>
          <t>[승무원]숏폼_영상</t>
        </is>
      </c>
      <c r="B7918" s="16" t="n">
        <v>44321</v>
      </c>
      <c r="C7918" s="20" t="inlineStr">
        <is>
          <t>수</t>
        </is>
      </c>
      <c r="D7918" s="20" t="inlineStr">
        <is>
          <t>페이스북/인스타그램</t>
        </is>
      </c>
      <c r="E7918" s="20" t="inlineStr">
        <is>
          <t>고체향수</t>
        </is>
      </c>
      <c r="K7918" s="20" t="n">
        <v>50745</v>
      </c>
    </row>
    <row r="7919">
      <c r="A7919" s="20" t="inlineStr">
        <is>
          <t>[재입고]스테이포에버_영상</t>
        </is>
      </c>
      <c r="B7919" s="16" t="n">
        <v>44321</v>
      </c>
      <c r="C7919" s="20" t="inlineStr">
        <is>
          <t>수</t>
        </is>
      </c>
      <c r="D7919" s="20" t="inlineStr">
        <is>
          <t>페이스북/인스타그램</t>
        </is>
      </c>
      <c r="E7919" s="20" t="inlineStr">
        <is>
          <t>고체향수</t>
        </is>
      </c>
      <c r="K7919" s="20" t="n">
        <v>207919</v>
      </c>
    </row>
    <row r="7920">
      <c r="A7920" s="20" t="inlineStr">
        <is>
          <t>[승무원]2019년썰 카드뉴스+ 향묘사_영상</t>
        </is>
      </c>
      <c r="B7920" s="16" t="n">
        <v>44321</v>
      </c>
      <c r="C7920" s="20" t="inlineStr">
        <is>
          <t>수</t>
        </is>
      </c>
      <c r="D7920" s="20" t="inlineStr">
        <is>
          <t>페이스북/인스타그램</t>
        </is>
      </c>
      <c r="E7920" s="20" t="inlineStr">
        <is>
          <t>고체향수</t>
        </is>
      </c>
      <c r="K7920" s="20" t="n">
        <v>50922</v>
      </c>
    </row>
    <row r="7921">
      <c r="A7921" s="20" t="inlineStr">
        <is>
          <t>[승무원어피]스테이포에버_이미지</t>
        </is>
      </c>
      <c r="B7921" s="16" t="n">
        <v>44321</v>
      </c>
      <c r="C7921" s="20" t="inlineStr">
        <is>
          <t>수</t>
        </is>
      </c>
      <c r="D7921" s="20" t="inlineStr">
        <is>
          <t>페이스북/인스타그램</t>
        </is>
      </c>
      <c r="E7921" s="20" t="inlineStr">
        <is>
          <t>고체향수</t>
        </is>
      </c>
      <c r="K7921" s="20" t="n">
        <v>102134</v>
      </c>
    </row>
    <row r="7922">
      <c r="A7922" s="20" t="inlineStr">
        <is>
          <t>[다현]스테이포에버_이미지</t>
        </is>
      </c>
      <c r="B7922" s="16" t="n">
        <v>44321</v>
      </c>
      <c r="C7922" s="20" t="inlineStr">
        <is>
          <t>수</t>
        </is>
      </c>
      <c r="D7922" s="20" t="inlineStr">
        <is>
          <t>페이스북/인스타그램</t>
        </is>
      </c>
      <c r="E7922" s="20" t="inlineStr">
        <is>
          <t>고체향수</t>
        </is>
      </c>
      <c r="K7922" s="20" t="n">
        <v>100470</v>
      </c>
    </row>
    <row r="7923">
      <c r="A7923" s="20" t="inlineStr">
        <is>
          <t>[승무원]스테이포에버_카드뉴스</t>
        </is>
      </c>
      <c r="B7923" s="16" t="n">
        <v>44321</v>
      </c>
      <c r="C7923" s="20" t="inlineStr">
        <is>
          <t>수</t>
        </is>
      </c>
      <c r="D7923" s="20" t="inlineStr">
        <is>
          <t>페이스북/인스타그램</t>
        </is>
      </c>
      <c r="E7923" s="20" t="inlineStr">
        <is>
          <t>고체향수</t>
        </is>
      </c>
      <c r="K7923" s="20" t="n">
        <v>30306</v>
      </c>
    </row>
    <row r="7924">
      <c r="A7924" s="20" t="inlineStr">
        <is>
          <t>[후기타입]스테이포에버_영상</t>
        </is>
      </c>
      <c r="B7924" s="16" t="n">
        <v>44321</v>
      </c>
      <c r="C7924" s="20" t="inlineStr">
        <is>
          <t>수</t>
        </is>
      </c>
      <c r="D7924" s="20" t="inlineStr">
        <is>
          <t>페이스북/인스타그램</t>
        </is>
      </c>
      <c r="E7924" s="20" t="inlineStr">
        <is>
          <t>고체향수</t>
        </is>
      </c>
      <c r="K7924" s="20" t="n">
        <v>100334</v>
      </c>
    </row>
    <row r="7925">
      <c r="A7925" s="20" t="inlineStr">
        <is>
          <t>전환_스테이포에버</t>
        </is>
      </c>
      <c r="B7925" s="16" t="n">
        <v>44321</v>
      </c>
      <c r="C7925" s="20" t="inlineStr">
        <is>
          <t>수</t>
        </is>
      </c>
      <c r="D7925" s="20" t="inlineStr">
        <is>
          <t>페이스북/인스타그램</t>
        </is>
      </c>
      <c r="E7925" s="20" t="inlineStr">
        <is>
          <t>고체향수</t>
        </is>
      </c>
      <c r="K7925" s="20" t="n">
        <v>100991</v>
      </c>
    </row>
    <row r="7926">
      <c r="A7926" s="20" t="inlineStr">
        <is>
          <t>[권태기커플]스테이포에버_영상</t>
        </is>
      </c>
      <c r="B7926" s="16" t="n">
        <v>44321</v>
      </c>
      <c r="C7926" s="20" t="inlineStr">
        <is>
          <t>수</t>
        </is>
      </c>
      <c r="D7926" s="20" t="inlineStr">
        <is>
          <t>페이스북/인스타그램</t>
        </is>
      </c>
      <c r="E7926" s="20" t="inlineStr">
        <is>
          <t>고체향수</t>
        </is>
      </c>
      <c r="K7926" s="20" t="n">
        <v>30308</v>
      </c>
    </row>
    <row r="7927">
      <c r="A7927" s="20" t="inlineStr">
        <is>
          <t>웹사이트 트래픽 서치</t>
        </is>
      </c>
      <c r="B7927" s="16" t="n">
        <v>44320</v>
      </c>
      <c r="C7927" s="20" t="inlineStr">
        <is>
          <t>화</t>
        </is>
      </c>
      <c r="D7927" s="20" t="inlineStr">
        <is>
          <t>유튜브 광고</t>
        </is>
      </c>
      <c r="E7927" s="20" t="inlineStr">
        <is>
          <t>고체향수</t>
        </is>
      </c>
      <c r="K7927" s="20" t="n">
        <v>39110</v>
      </c>
    </row>
    <row r="7928">
      <c r="A7928" s="20" t="inlineStr">
        <is>
          <t>동영상캠페인_승무원_보이는 라디오(cpa)</t>
        </is>
      </c>
      <c r="B7928" s="16" t="n">
        <v>44320</v>
      </c>
      <c r="C7928" s="20" t="inlineStr">
        <is>
          <t>화</t>
        </is>
      </c>
      <c r="D7928" s="20" t="inlineStr">
        <is>
          <t>유튜브 광고</t>
        </is>
      </c>
      <c r="E7928" s="20" t="inlineStr">
        <is>
          <t>고체향수</t>
        </is>
      </c>
      <c r="K7928" s="20" t="n">
        <v>15497</v>
      </c>
    </row>
    <row r="7929">
      <c r="A7929" s="20" t="inlineStr">
        <is>
          <t>디스커버리 배너_승무원,할인_리마케팅</t>
        </is>
      </c>
      <c r="B7929" s="16" t="n">
        <v>44320</v>
      </c>
      <c r="C7929" s="20" t="inlineStr">
        <is>
          <t>화</t>
        </is>
      </c>
      <c r="D7929" s="20" t="inlineStr">
        <is>
          <t>유튜브 광고</t>
        </is>
      </c>
      <c r="E7929" s="20" t="inlineStr">
        <is>
          <t>고체향수</t>
        </is>
      </c>
      <c r="K7929" s="20" t="n">
        <v>598250</v>
      </c>
    </row>
    <row r="7930">
      <c r="A7930" s="20" t="inlineStr">
        <is>
          <t>동영상캠페인_승무원_써니스카이</t>
        </is>
      </c>
      <c r="B7930" s="16" t="n">
        <v>44320</v>
      </c>
      <c r="C7930" s="20" t="inlineStr">
        <is>
          <t>화</t>
        </is>
      </c>
      <c r="D7930" s="20" t="inlineStr">
        <is>
          <t>유튜브 광고</t>
        </is>
      </c>
      <c r="E7930" s="20" t="inlineStr">
        <is>
          <t>고체향수</t>
        </is>
      </c>
      <c r="K7930" s="20" t="n">
        <v>49976</v>
      </c>
    </row>
    <row r="7931">
      <c r="A7931" s="20" t="inlineStr">
        <is>
          <t>[5화자] 동영상 캠페인_벨라의 비행일기</t>
        </is>
      </c>
      <c r="B7931" s="16" t="n">
        <v>44320</v>
      </c>
      <c r="C7931" s="20" t="inlineStr">
        <is>
          <t>화</t>
        </is>
      </c>
      <c r="D7931" s="20" t="inlineStr">
        <is>
          <t>유튜브 광고</t>
        </is>
      </c>
      <c r="E7931" s="20" t="inlineStr">
        <is>
          <t>고체향수</t>
        </is>
      </c>
      <c r="K7931" s="20" t="n">
        <v>392515</v>
      </c>
    </row>
    <row r="7932">
      <c r="A7932" s="20" t="inlineStr">
        <is>
          <t>[5화자] 동영상 캠페인_비행하고 여행하는 은선씨</t>
        </is>
      </c>
      <c r="B7932" s="16" t="n">
        <v>44320</v>
      </c>
      <c r="C7932" s="20" t="inlineStr">
        <is>
          <t>화</t>
        </is>
      </c>
      <c r="D7932" s="20" t="inlineStr">
        <is>
          <t>유튜브 광고</t>
        </is>
      </c>
      <c r="E7932" s="20" t="inlineStr">
        <is>
          <t>고체향수</t>
        </is>
      </c>
      <c r="K7932" s="20" t="n">
        <v>349935</v>
      </c>
    </row>
    <row r="7933">
      <c r="A7933" s="20" t="inlineStr">
        <is>
          <t>[5화자 재편집] 승무원_벨라_면세점에서 천만원</t>
        </is>
      </c>
      <c r="B7933" s="16" t="n">
        <v>44320</v>
      </c>
      <c r="C7933" s="20" t="inlineStr">
        <is>
          <t>화</t>
        </is>
      </c>
      <c r="D7933" s="20" t="inlineStr">
        <is>
          <t>유튜브 광고</t>
        </is>
      </c>
      <c r="E7933" s="20" t="inlineStr">
        <is>
          <t>고체향수</t>
        </is>
      </c>
      <c r="K7933" s="20" t="n">
        <v>399790</v>
      </c>
    </row>
    <row r="7934">
      <c r="A7934" s="20" t="inlineStr">
        <is>
          <t>동영상캠페인_유즈모먼트_면세점뒤졌는데</t>
        </is>
      </c>
      <c r="B7934" s="16" t="n">
        <v>44320</v>
      </c>
      <c r="C7934" s="20" t="inlineStr">
        <is>
          <t>화</t>
        </is>
      </c>
      <c r="D7934" s="20" t="inlineStr">
        <is>
          <t>유튜브 광고</t>
        </is>
      </c>
      <c r="E7934" s="20" t="inlineStr">
        <is>
          <t>고체향수</t>
        </is>
      </c>
      <c r="K7934" s="20" t="n">
        <v>399734</v>
      </c>
    </row>
    <row r="7935">
      <c r="A7935" s="20" t="inlineStr">
        <is>
          <t>동영상_유즈모먼트_06_비누향인연(cpa)</t>
        </is>
      </c>
      <c r="B7935" s="16" t="n">
        <v>44320</v>
      </c>
      <c r="C7935" s="20" t="inlineStr">
        <is>
          <t>화</t>
        </is>
      </c>
      <c r="D7935" s="20" t="inlineStr">
        <is>
          <t>유튜브 광고</t>
        </is>
      </c>
      <c r="E7935" s="20" t="inlineStr">
        <is>
          <t>고체향수</t>
        </is>
      </c>
      <c r="K7935" s="20" t="n">
        <v>49034</v>
      </c>
    </row>
    <row r="7936">
      <c r="A7936" s="20" t="inlineStr">
        <is>
          <t>웹사이트 트래픽 서치</t>
        </is>
      </c>
      <c r="B7936" s="16" t="n">
        <v>44321</v>
      </c>
      <c r="C7936" s="20" t="inlineStr">
        <is>
          <t>수</t>
        </is>
      </c>
      <c r="D7936" s="20" t="inlineStr">
        <is>
          <t>유튜브 광고</t>
        </is>
      </c>
      <c r="E7936" s="20" t="inlineStr">
        <is>
          <t>고체향수</t>
        </is>
      </c>
      <c r="K7936" s="20" t="n">
        <v>44877</v>
      </c>
    </row>
    <row r="7937">
      <c r="A7937" s="20" t="inlineStr">
        <is>
          <t>동영상캠페인_승무원_보이는 라디오(cpa)</t>
        </is>
      </c>
      <c r="B7937" s="16" t="n">
        <v>44321</v>
      </c>
      <c r="C7937" s="20" t="inlineStr">
        <is>
          <t>수</t>
        </is>
      </c>
      <c r="D7937" s="20" t="inlineStr">
        <is>
          <t>유튜브 광고</t>
        </is>
      </c>
      <c r="E7937" s="20" t="inlineStr">
        <is>
          <t>고체향수</t>
        </is>
      </c>
      <c r="K7937" s="20" t="n">
        <v>28638</v>
      </c>
    </row>
    <row r="7938">
      <c r="A7938" s="20" t="inlineStr">
        <is>
          <t>디스커버리 배너_승무원,할인_리마케팅</t>
        </is>
      </c>
      <c r="B7938" s="16" t="n">
        <v>44321</v>
      </c>
      <c r="C7938" s="20" t="inlineStr">
        <is>
          <t>수</t>
        </is>
      </c>
      <c r="D7938" s="20" t="inlineStr">
        <is>
          <t>유튜브 광고</t>
        </is>
      </c>
      <c r="E7938" s="20" t="inlineStr">
        <is>
          <t>고체향수</t>
        </is>
      </c>
      <c r="K7938" s="20" t="n">
        <v>603382</v>
      </c>
    </row>
    <row r="7939">
      <c r="A7939" s="20" t="inlineStr">
        <is>
          <t>동영상캠페인_승무원_써니스카이</t>
        </is>
      </c>
      <c r="B7939" s="16" t="n">
        <v>44321</v>
      </c>
      <c r="C7939" s="20" t="inlineStr">
        <is>
          <t>수</t>
        </is>
      </c>
      <c r="D7939" s="20" t="inlineStr">
        <is>
          <t>유튜브 광고</t>
        </is>
      </c>
      <c r="E7939" s="20" t="inlineStr">
        <is>
          <t>고체향수</t>
        </is>
      </c>
      <c r="K7939" s="20" t="n">
        <v>50391</v>
      </c>
    </row>
    <row r="7940">
      <c r="A7940" s="20" t="inlineStr">
        <is>
          <t>[5화자] 동영상 캠페인_벨라의 비행일기</t>
        </is>
      </c>
      <c r="B7940" s="16" t="n">
        <v>44321</v>
      </c>
      <c r="C7940" s="20" t="inlineStr">
        <is>
          <t>수</t>
        </is>
      </c>
      <c r="D7940" s="20" t="inlineStr">
        <is>
          <t>유튜브 광고</t>
        </is>
      </c>
      <c r="E7940" s="20" t="inlineStr">
        <is>
          <t>고체향수</t>
        </is>
      </c>
      <c r="K7940" s="20" t="n">
        <v>392556</v>
      </c>
    </row>
    <row r="7941">
      <c r="A7941" s="20" t="inlineStr">
        <is>
          <t>[5화자] 동영상 캠페인_비행하고 여행하는 은선씨</t>
        </is>
      </c>
      <c r="B7941" s="16" t="n">
        <v>44321</v>
      </c>
      <c r="C7941" s="20" t="inlineStr">
        <is>
          <t>수</t>
        </is>
      </c>
      <c r="D7941" s="20" t="inlineStr">
        <is>
          <t>유튜브 광고</t>
        </is>
      </c>
      <c r="E7941" s="20" t="inlineStr">
        <is>
          <t>고체향수</t>
        </is>
      </c>
      <c r="K7941" s="20" t="n">
        <v>350300</v>
      </c>
    </row>
    <row r="7942">
      <c r="A7942" s="20" t="inlineStr">
        <is>
          <t>[5화자 재편집] 승무원_벨라_면세점에서 천만원</t>
        </is>
      </c>
      <c r="B7942" s="16" t="n">
        <v>44321</v>
      </c>
      <c r="C7942" s="20" t="inlineStr">
        <is>
          <t>수</t>
        </is>
      </c>
      <c r="D7942" s="20" t="inlineStr">
        <is>
          <t>유튜브 광고</t>
        </is>
      </c>
      <c r="E7942" s="20" t="inlineStr">
        <is>
          <t>고체향수</t>
        </is>
      </c>
      <c r="K7942" s="20" t="n">
        <v>400004</v>
      </c>
    </row>
    <row r="7943">
      <c r="A7943" s="20" t="inlineStr">
        <is>
          <t>동영상캠페인_유즈모먼트_면세점뒤졌는데</t>
        </is>
      </c>
      <c r="B7943" s="16" t="n">
        <v>44321</v>
      </c>
      <c r="C7943" s="20" t="inlineStr">
        <is>
          <t>수</t>
        </is>
      </c>
      <c r="D7943" s="20" t="inlineStr">
        <is>
          <t>유튜브 광고</t>
        </is>
      </c>
      <c r="E7943" s="20" t="inlineStr">
        <is>
          <t>고체향수</t>
        </is>
      </c>
      <c r="K7943" s="20" t="n">
        <v>400035</v>
      </c>
    </row>
    <row r="7944">
      <c r="A7944" s="20" t="inlineStr">
        <is>
          <t>동영상_유즈모먼트_06_비누향인연(cpa)</t>
        </is>
      </c>
      <c r="B7944" s="16" t="n">
        <v>44321</v>
      </c>
      <c r="C7944" s="20" t="inlineStr">
        <is>
          <t>수</t>
        </is>
      </c>
      <c r="D7944" s="20" t="inlineStr">
        <is>
          <t>유튜브 광고</t>
        </is>
      </c>
      <c r="E7944" s="20" t="inlineStr">
        <is>
          <t>고체향수</t>
        </is>
      </c>
      <c r="K7944" s="20" t="n">
        <v>49313</v>
      </c>
    </row>
    <row r="7945">
      <c r="A7945" s="20" t="inlineStr">
        <is>
          <t>메인키워드</t>
        </is>
      </c>
      <c r="B7945" s="16" t="n">
        <v>44321</v>
      </c>
      <c r="C7945" s="20" t="inlineStr">
        <is>
          <t>수</t>
        </is>
      </c>
      <c r="D7945" s="20" t="inlineStr">
        <is>
          <t>네이버 쇼핑검색</t>
        </is>
      </c>
      <c r="E7945" s="20" t="inlineStr">
        <is>
          <t>고체향수</t>
        </is>
      </c>
      <c r="K7945" s="20" t="n">
        <v>23250</v>
      </c>
    </row>
    <row r="7946">
      <c r="A7946" s="20" t="inlineStr">
        <is>
          <t>세부키워드1</t>
        </is>
      </c>
      <c r="B7946" s="16" t="n">
        <v>44321</v>
      </c>
      <c r="C7946" s="20" t="inlineStr">
        <is>
          <t>수</t>
        </is>
      </c>
      <c r="D7946" s="20" t="inlineStr">
        <is>
          <t>네이버 쇼핑검색</t>
        </is>
      </c>
      <c r="E7946" s="20" t="inlineStr">
        <is>
          <t>고체향수</t>
        </is>
      </c>
      <c r="K7946" s="20" t="n">
        <v>0</v>
      </c>
    </row>
    <row r="7947">
      <c r="A7947" s="20" t="inlineStr">
        <is>
          <t>세부키워드3</t>
        </is>
      </c>
      <c r="B7947" s="16" t="n">
        <v>44321</v>
      </c>
      <c r="C7947" s="20" t="inlineStr">
        <is>
          <t>수</t>
        </is>
      </c>
      <c r="D7947" s="20" t="inlineStr">
        <is>
          <t>네이버 쇼핑검색</t>
        </is>
      </c>
      <c r="E7947" s="20" t="inlineStr">
        <is>
          <t>고체향수</t>
        </is>
      </c>
      <c r="K7947" s="20" t="n">
        <v>113110</v>
      </c>
    </row>
    <row r="7948">
      <c r="A7948" s="20" t="inlineStr">
        <is>
          <t>모바일 브검</t>
        </is>
      </c>
      <c r="B7948" s="16" t="n">
        <v>44321</v>
      </c>
      <c r="C7948" s="20" t="inlineStr">
        <is>
          <t>수</t>
        </is>
      </c>
      <c r="D7948" s="20" t="inlineStr">
        <is>
          <t>네이버 브랜드검색</t>
        </is>
      </c>
      <c r="E7948" s="20" t="inlineStr">
        <is>
          <t>브랜드</t>
        </is>
      </c>
      <c r="K7948" s="20" t="n">
        <v>88000</v>
      </c>
    </row>
    <row r="7949">
      <c r="A7949" s="20" t="inlineStr">
        <is>
          <t>PC 브랜드검색</t>
        </is>
      </c>
      <c r="B7949" s="16" t="n">
        <v>44321</v>
      </c>
      <c r="C7949" s="20" t="inlineStr">
        <is>
          <t>수</t>
        </is>
      </c>
      <c r="D7949" s="20" t="inlineStr">
        <is>
          <t>네이버 브랜드검색</t>
        </is>
      </c>
      <c r="E7949" s="20" t="inlineStr">
        <is>
          <t>브랜드</t>
        </is>
      </c>
      <c r="K7949" s="20" t="n">
        <v>16700</v>
      </c>
    </row>
    <row r="7950">
      <c r="A7950" s="20" t="inlineStr">
        <is>
          <t>메인키워드</t>
        </is>
      </c>
      <c r="B7950" s="16" t="n">
        <v>44320</v>
      </c>
      <c r="C7950" s="20" t="inlineStr">
        <is>
          <t>화</t>
        </is>
      </c>
      <c r="D7950" s="20" t="inlineStr">
        <is>
          <t>네이버 쇼핑검색</t>
        </is>
      </c>
      <c r="E7950" s="20" t="inlineStr">
        <is>
          <t>고체향수</t>
        </is>
      </c>
      <c r="K7950" s="20" t="n">
        <v>37590</v>
      </c>
    </row>
    <row r="7951">
      <c r="A7951" s="20" t="inlineStr">
        <is>
          <t>세부키워드1</t>
        </is>
      </c>
      <c r="B7951" s="16" t="n">
        <v>44320</v>
      </c>
      <c r="C7951" s="20" t="inlineStr">
        <is>
          <t>화</t>
        </is>
      </c>
      <c r="D7951" s="20" t="inlineStr">
        <is>
          <t>네이버 쇼핑검색</t>
        </is>
      </c>
      <c r="E7951" s="20" t="inlineStr">
        <is>
          <t>고체향수</t>
        </is>
      </c>
      <c r="K7951" s="20" t="n">
        <v>0</v>
      </c>
    </row>
    <row r="7952">
      <c r="A7952" s="20" t="inlineStr">
        <is>
          <t>세부키워드3</t>
        </is>
      </c>
      <c r="B7952" s="16" t="n">
        <v>44320</v>
      </c>
      <c r="C7952" s="20" t="inlineStr">
        <is>
          <t>화</t>
        </is>
      </c>
      <c r="D7952" s="20" t="inlineStr">
        <is>
          <t>네이버 쇼핑검색</t>
        </is>
      </c>
      <c r="E7952" s="20" t="inlineStr">
        <is>
          <t>고체향수</t>
        </is>
      </c>
      <c r="K7952" s="20" t="n">
        <v>105700</v>
      </c>
    </row>
    <row r="7953">
      <c r="A7953" s="20" t="inlineStr">
        <is>
          <t>모바일 브검</t>
        </is>
      </c>
      <c r="B7953" s="16" t="n">
        <v>44320</v>
      </c>
      <c r="C7953" s="20" t="inlineStr">
        <is>
          <t>화</t>
        </is>
      </c>
      <c r="D7953" s="20" t="inlineStr">
        <is>
          <t>네이버 브랜드검색</t>
        </is>
      </c>
      <c r="E7953" s="20" t="inlineStr">
        <is>
          <t>브랜드</t>
        </is>
      </c>
      <c r="K7953" s="20" t="n">
        <v>88000</v>
      </c>
    </row>
    <row r="7954">
      <c r="A7954" s="20" t="inlineStr">
        <is>
          <t>PC 브랜드검색</t>
        </is>
      </c>
      <c r="B7954" s="16" t="n">
        <v>44320</v>
      </c>
      <c r="C7954" s="20" t="inlineStr">
        <is>
          <t>화</t>
        </is>
      </c>
      <c r="D7954" s="20" t="inlineStr">
        <is>
          <t>네이버 브랜드검색</t>
        </is>
      </c>
      <c r="E7954" s="20" t="inlineStr">
        <is>
          <t>브랜드</t>
        </is>
      </c>
      <c r="K7954" s="20" t="n">
        <v>16700</v>
      </c>
    </row>
    <row r="7955">
      <c r="B7955" s="16" t="n">
        <v>44320</v>
      </c>
      <c r="C7955" s="20" t="inlineStr">
        <is>
          <t>화</t>
        </is>
      </c>
      <c r="E7955" s="20" t="inlineStr">
        <is>
          <t>고체향수</t>
        </is>
      </c>
      <c r="F7955" s="20" t="inlineStr">
        <is>
          <t>W컨셉</t>
        </is>
      </c>
      <c r="G7955" s="20" t="inlineStr">
        <is>
          <t>솔리드퍼퓸 이그나이트/스테이포에버 30ml (2종 택1)&lt;옵션1&gt;002 STAY FOREVER</t>
        </is>
      </c>
      <c r="H7955" s="20" t="n">
        <v>1</v>
      </c>
      <c r="I7955" s="20" t="inlineStr">
        <is>
          <t>스테이포에버</t>
        </is>
      </c>
      <c r="J7955" s="20" t="inlineStr">
        <is>
          <t>210501</t>
        </is>
      </c>
      <c r="L7955" s="20" t="n">
        <v>34000</v>
      </c>
      <c r="M7955" s="20" t="n">
        <v>23800</v>
      </c>
      <c r="N7955" s="20" t="n">
        <v>2554</v>
      </c>
      <c r="O7955" s="20" t="inlineStr">
        <is>
          <t>W컨셉고체향수솔리드퍼퓸 이그나이트/스테이포에버 30ml (2종 택1)&lt;옵션1&gt;002 STAY FOREVER210501</t>
        </is>
      </c>
    </row>
    <row r="7956">
      <c r="B7956" s="16" t="n">
        <v>44320</v>
      </c>
      <c r="C7956" s="20" t="inlineStr">
        <is>
          <t>화</t>
        </is>
      </c>
      <c r="E7956" s="20" t="inlineStr">
        <is>
          <t>고체향수</t>
        </is>
      </c>
      <c r="F7956" s="20" t="inlineStr">
        <is>
          <t>스마트스토어</t>
        </is>
      </c>
      <c r="G7956" s="20" t="inlineStr">
        <is>
          <t>유즈 고체향수 스테이포에버 002고체향수: 스테이포에버 1개</t>
        </is>
      </c>
      <c r="H7956" s="20" t="n">
        <v>21</v>
      </c>
      <c r="I7956" s="20" t="inlineStr">
        <is>
          <t>스테이포에버</t>
        </is>
      </c>
      <c r="J7956" s="20" t="inlineStr">
        <is>
          <t>210501</t>
        </is>
      </c>
      <c r="L7956" s="20" t="n">
        <v>408000</v>
      </c>
      <c r="M7956" s="20" t="n">
        <v>399840</v>
      </c>
      <c r="N7956" s="20" t="n">
        <v>30648</v>
      </c>
      <c r="O7956" s="20" t="inlineStr">
        <is>
          <t>스마트스토어고체향수유즈 고체향수 스테이포에버 002고체향수: 스테이포에버 1개210501</t>
        </is>
      </c>
    </row>
    <row r="7957">
      <c r="B7957" s="16" t="n">
        <v>44320</v>
      </c>
      <c r="C7957" s="20" t="inlineStr">
        <is>
          <t>화</t>
        </is>
      </c>
      <c r="E7957" s="20" t="inlineStr">
        <is>
          <t>0</t>
        </is>
      </c>
      <c r="F7957" s="20" t="inlineStr">
        <is>
          <t>유즈 CS</t>
        </is>
      </c>
      <c r="G7957" s="20" t="inlineStr">
        <is>
          <t>특수요청 건</t>
        </is>
      </c>
      <c r="H7957" s="20" t="n">
        <v>1</v>
      </c>
      <c r="I7957" s="20" t="inlineStr">
        <is>
          <t>0</t>
        </is>
      </c>
      <c r="J7957" s="20" t="inlineStr">
        <is>
          <t>210501</t>
        </is>
      </c>
      <c r="L7957" s="20" t="n">
        <v>0</v>
      </c>
      <c r="M7957" s="20" t="n">
        <v>0</v>
      </c>
      <c r="N7957" s="20" t="n">
        <v>0</v>
      </c>
      <c r="O7957" s="20" t="inlineStr">
        <is>
          <t>유즈 CS0특수요청 건210501</t>
        </is>
      </c>
    </row>
    <row r="7958">
      <c r="B7958" s="16" t="n">
        <v>44320</v>
      </c>
      <c r="C7958" s="20" t="inlineStr">
        <is>
          <t>화</t>
        </is>
      </c>
      <c r="E7958" s="20" t="inlineStr">
        <is>
          <t>고체향수</t>
        </is>
      </c>
      <c r="F7958" s="20" t="inlineStr">
        <is>
          <t>카페24</t>
        </is>
      </c>
      <c r="G7958" s="20" t="inlineStr">
        <is>
          <t>솔리드퍼퓸 세트향=이그나이트 001 SOLID PERFUME, 세트 선택=1개</t>
        </is>
      </c>
      <c r="H7958" s="20" t="n">
        <v>1</v>
      </c>
      <c r="I7958" s="20" t="inlineStr">
        <is>
          <t>이그나이트</t>
        </is>
      </c>
      <c r="J7958" s="20" t="inlineStr">
        <is>
          <t>210501</t>
        </is>
      </c>
      <c r="L7958" s="20" t="n">
        <v>34000</v>
      </c>
      <c r="M7958" s="20" t="n">
        <v>32011</v>
      </c>
      <c r="N7958" s="20" t="n">
        <v>2625</v>
      </c>
      <c r="O7958" s="20" t="inlineStr">
        <is>
          <t>카페24고체향수솔리드퍼퓸 세트향=이그나이트 001 SOLID PERFUME, 세트 선택=1개210501</t>
        </is>
      </c>
    </row>
    <row r="7959">
      <c r="B7959" s="16" t="n">
        <v>44320</v>
      </c>
      <c r="C7959" s="20" t="inlineStr">
        <is>
          <t>화</t>
        </is>
      </c>
      <c r="E7959" s="20" t="inlineStr">
        <is>
          <t>고체향수</t>
        </is>
      </c>
      <c r="F7959" s="20" t="inlineStr">
        <is>
          <t>카페24</t>
        </is>
      </c>
      <c r="G7959" s="20" t="inlineStr">
        <is>
          <t>솔리드퍼퓸 세트향=이그나이트 001 SOLID PERFUME, 세트 선택=best 2개 (28% 할인)</t>
        </is>
      </c>
      <c r="H7959" s="20" t="n">
        <v>1</v>
      </c>
      <c r="I7959" s="20" t="inlineStr">
        <is>
          <t>이그나이트 2set</t>
        </is>
      </c>
      <c r="J7959" s="20" t="inlineStr">
        <is>
          <t>210501</t>
        </is>
      </c>
      <c r="L7959" s="20" t="n">
        <v>58800</v>
      </c>
      <c r="M7959" s="20" t="n">
        <v>55360.2</v>
      </c>
      <c r="N7959" s="20" t="n">
        <v>5250</v>
      </c>
      <c r="O7959" s="20" t="inlineStr">
        <is>
          <t>카페24고체향수솔리드퍼퓸 세트향=이그나이트 001 SOLID PERFUME, 세트 선택=best 2개 (28% 할인)210501</t>
        </is>
      </c>
    </row>
    <row r="7960">
      <c r="B7960" s="16" t="n">
        <v>44320</v>
      </c>
      <c r="C7960" s="20" t="inlineStr">
        <is>
          <t>화</t>
        </is>
      </c>
      <c r="E7960" s="20" t="inlineStr">
        <is>
          <t>고체향수</t>
        </is>
      </c>
      <c r="F7960" s="20" t="inlineStr">
        <is>
          <t>카페24</t>
        </is>
      </c>
      <c r="G7960" s="20" t="inlineStr">
        <is>
          <t>솔리드퍼퓸 세트향=스테이포에버 002 SOLID PERFUME, 세트 선택=1개</t>
        </is>
      </c>
      <c r="H7960" s="20" t="n">
        <v>2</v>
      </c>
      <c r="I7960" s="20" t="inlineStr">
        <is>
          <t>스테이포에버</t>
        </is>
      </c>
      <c r="J7960" s="20" t="inlineStr">
        <is>
          <t>210501</t>
        </is>
      </c>
      <c r="L7960" s="20" t="n">
        <v>68000</v>
      </c>
      <c r="M7960" s="20" t="n">
        <v>64022</v>
      </c>
      <c r="N7960" s="20" t="n">
        <v>5108</v>
      </c>
      <c r="O7960" s="20" t="inlineStr">
        <is>
          <t>카페24고체향수솔리드퍼퓸 세트향=스테이포에버 002 SOLID PERFUME, 세트 선택=1개210501</t>
        </is>
      </c>
    </row>
    <row r="7961">
      <c r="B7961" s="16" t="n">
        <v>44320</v>
      </c>
      <c r="C7961" s="20" t="inlineStr">
        <is>
          <t>화</t>
        </is>
      </c>
      <c r="E7961" s="20" t="inlineStr">
        <is>
          <t>고체향수</t>
        </is>
      </c>
      <c r="F7961" s="20" t="inlineStr">
        <is>
          <t>카페24</t>
        </is>
      </c>
      <c r="G7961" s="20" t="inlineStr">
        <is>
          <t>솔리드퍼퓸 세트향=스테이포에버 002 SOLID PERFUME, 세트 선택=best 2개 (28% 할인)</t>
        </is>
      </c>
      <c r="H7961" s="20" t="n">
        <v>11</v>
      </c>
      <c r="I7961" s="20" t="inlineStr">
        <is>
          <t>스테이포에버 2set</t>
        </is>
      </c>
      <c r="J7961" s="20" t="inlineStr">
        <is>
          <t>210501</t>
        </is>
      </c>
      <c r="L7961" s="20" t="n">
        <v>646800</v>
      </c>
      <c r="M7961" s="20" t="n">
        <v>608962.2</v>
      </c>
      <c r="N7961" s="20" t="n">
        <v>56188</v>
      </c>
      <c r="O7961" s="20" t="inlineStr">
        <is>
          <t>카페24고체향수솔리드퍼퓸 세트향=스테이포에버 002 SOLID PERFUME, 세트 선택=best 2개 (28% 할인)210501</t>
        </is>
      </c>
    </row>
    <row r="7962">
      <c r="B7962" s="16" t="n">
        <v>44320</v>
      </c>
      <c r="C7962" s="20" t="inlineStr">
        <is>
          <t>화</t>
        </is>
      </c>
      <c r="E7962" s="20" t="inlineStr">
        <is>
          <t>고체향수</t>
        </is>
      </c>
      <c r="F7962" s="20" t="inlineStr">
        <is>
          <t>카페24</t>
        </is>
      </c>
      <c r="G7962" s="20" t="inlineStr">
        <is>
          <t>솔리드퍼퓸 세트향=커플세트(이그나이트 + 스테이포에버), 세트 선택=1 SET</t>
        </is>
      </c>
      <c r="H7962" s="20" t="n">
        <v>9</v>
      </c>
      <c r="I7962" s="20" t="inlineStr">
        <is>
          <t>이그나이트 + 스테이포에버</t>
        </is>
      </c>
      <c r="J7962" s="20" t="inlineStr">
        <is>
          <t>210501</t>
        </is>
      </c>
      <c r="L7962" s="20" t="n">
        <v>529200</v>
      </c>
      <c r="M7962" s="20" t="n">
        <v>498241.8</v>
      </c>
      <c r="N7962" s="20" t="n">
        <v>46611</v>
      </c>
      <c r="O7962" s="20" t="inlineStr">
        <is>
          <t>카페24고체향수솔리드퍼퓸 세트향=커플세트(이그나이트 + 스테이포에버), 세트 선택=1 SET210501</t>
        </is>
      </c>
    </row>
    <row r="7963">
      <c r="B7963" s="16" t="n">
        <v>44320</v>
      </c>
      <c r="C7963" s="20" t="inlineStr">
        <is>
          <t>화</t>
        </is>
      </c>
      <c r="E7963" s="20" t="inlineStr">
        <is>
          <t>고체향수</t>
        </is>
      </c>
      <c r="F7963" s="20" t="inlineStr">
        <is>
          <t>카페24</t>
        </is>
      </c>
      <c r="G7963" s="20" t="inlineStr">
        <is>
          <t>솔리드퍼퓸 세트향=커플세트(이그나이트 + 스테이포에버), 세트 선택=2 SET (42% 할인)</t>
        </is>
      </c>
      <c r="H7963" s="20" t="n">
        <v>3</v>
      </c>
      <c r="I7963" s="20" t="inlineStr">
        <is>
          <t>이그나이트 + 스테이포에버</t>
        </is>
      </c>
      <c r="J7963" s="20" t="inlineStr">
        <is>
          <t>210501</t>
        </is>
      </c>
      <c r="L7963" s="20" t="n">
        <v>176400</v>
      </c>
      <c r="M7963" s="20" t="n">
        <v>166080.6</v>
      </c>
      <c r="N7963" s="20" t="n">
        <v>15537</v>
      </c>
      <c r="O7963" s="20" t="inlineStr">
        <is>
          <t>카페24고체향수솔리드퍼퓸 세트향=커플세트(이그나이트 + 스테이포에버), 세트 선택=2 SET (42% 할인)210501</t>
        </is>
      </c>
    </row>
    <row r="7964">
      <c r="B7964" s="16" t="n">
        <v>44320</v>
      </c>
      <c r="C7964" s="20" t="inlineStr">
        <is>
          <t>화</t>
        </is>
      </c>
      <c r="E7964" s="20" t="inlineStr">
        <is>
          <t>고체향수</t>
        </is>
      </c>
      <c r="F7964" s="20" t="inlineStr">
        <is>
          <t>카페24</t>
        </is>
      </c>
      <c r="G7964" s="20" t="inlineStr">
        <is>
          <t>솔리드퍼퓸 스테이포에버 002제품선택=스테이포에버 1개</t>
        </is>
      </c>
      <c r="H7964" s="20" t="n">
        <v>172</v>
      </c>
      <c r="I7964" s="20" t="inlineStr">
        <is>
          <t>스테이포에버</t>
        </is>
      </c>
      <c r="J7964" s="20" t="inlineStr">
        <is>
          <t>210501</t>
        </is>
      </c>
      <c r="L7964" s="20" t="n">
        <v>5848000</v>
      </c>
      <c r="M7964" s="20" t="n">
        <v>5505892</v>
      </c>
      <c r="N7964" s="20" t="n">
        <v>439288</v>
      </c>
      <c r="O7964" s="20" t="inlineStr">
        <is>
          <t>카페24고체향수솔리드퍼퓸 스테이포에버 002제품선택=스테이포에버 1개210501</t>
        </is>
      </c>
    </row>
    <row r="7965">
      <c r="B7965" s="16" t="n">
        <v>44320</v>
      </c>
      <c r="C7965" s="20" t="inlineStr">
        <is>
          <t>화</t>
        </is>
      </c>
      <c r="E7965" s="20" t="inlineStr">
        <is>
          <t>고체향수</t>
        </is>
      </c>
      <c r="F7965" s="20" t="inlineStr">
        <is>
          <t>카페24</t>
        </is>
      </c>
      <c r="G7965" s="20" t="inlineStr">
        <is>
          <t>솔리드퍼퓸 스테이포에버 002제품선택=best스테이포에버 2개[28% 할인]</t>
        </is>
      </c>
      <c r="H7965" s="20" t="n">
        <v>131</v>
      </c>
      <c r="I7965" s="20" t="inlineStr">
        <is>
          <t>스테이포에버 2set</t>
        </is>
      </c>
      <c r="J7965" s="20" t="inlineStr">
        <is>
          <t>210501</t>
        </is>
      </c>
      <c r="L7965" s="20" t="n">
        <v>7702800</v>
      </c>
      <c r="M7965" s="20" t="n">
        <v>7252186.199999999</v>
      </c>
      <c r="N7965" s="20" t="n">
        <v>669148</v>
      </c>
      <c r="O7965" s="20" t="inlineStr">
        <is>
          <t>카페24고체향수솔리드퍼퓸 스테이포에버 002제품선택=best스테이포에버 2개[28% 할인]210501</t>
        </is>
      </c>
    </row>
    <row r="7966">
      <c r="B7966" s="16" t="n">
        <v>44320</v>
      </c>
      <c r="C7966" s="20" t="inlineStr">
        <is>
          <t>화</t>
        </is>
      </c>
      <c r="E7966" s="20" t="inlineStr">
        <is>
          <t>고체향수</t>
        </is>
      </c>
      <c r="F7966" s="20" t="inlineStr">
        <is>
          <t>카페24</t>
        </is>
      </c>
      <c r="G7966" s="20" t="inlineStr">
        <is>
          <t>솔리드퍼퓸 스테이포에버 002제품선택=커플추천스테이포에버 + 이그나이트 세트</t>
        </is>
      </c>
      <c r="H7966" s="20" t="n">
        <v>14</v>
      </c>
      <c r="I7966" s="20" t="inlineStr">
        <is>
          <t>이그나이트 + 스테이포에버</t>
        </is>
      </c>
      <c r="J7966" s="20" t="inlineStr">
        <is>
          <t>210501</t>
        </is>
      </c>
      <c r="L7966" s="20" t="n">
        <v>823200</v>
      </c>
      <c r="M7966" s="20" t="n">
        <v>775042.7999999999</v>
      </c>
      <c r="N7966" s="20" t="n">
        <v>72506</v>
      </c>
      <c r="O7966" s="20" t="inlineStr">
        <is>
          <t>카페24고체향수솔리드퍼퓸 스테이포에버 002제품선택=커플추천스테이포에버 + 이그나이트 세트210501</t>
        </is>
      </c>
    </row>
    <row r="7967">
      <c r="B7967" s="16" t="n">
        <v>44320</v>
      </c>
      <c r="C7967" s="20" t="inlineStr">
        <is>
          <t>화</t>
        </is>
      </c>
      <c r="E7967" s="20" t="inlineStr">
        <is>
          <t>쇼핑백</t>
        </is>
      </c>
      <c r="F7967" s="20" t="inlineStr">
        <is>
          <t>카페24</t>
        </is>
      </c>
      <c r="G7967" s="20" t="inlineStr">
        <is>
          <t>솔리드퍼퓸 스테이포에버 002쇼핑백=선물용 쇼핑백</t>
        </is>
      </c>
      <c r="H7967" s="20" t="n">
        <v>12</v>
      </c>
      <c r="I7967" s="20" t="inlineStr">
        <is>
          <t>쇼핑백</t>
        </is>
      </c>
      <c r="J7967" s="20" t="inlineStr">
        <is>
          <t>210501</t>
        </is>
      </c>
      <c r="L7967" s="20" t="n">
        <v>24000</v>
      </c>
      <c r="M7967" s="20" t="n">
        <v>22596</v>
      </c>
      <c r="N7967" s="20" t="n">
        <v>9960</v>
      </c>
      <c r="O7967" s="20" t="inlineStr">
        <is>
          <t>카페24쇼핑백솔리드퍼퓸 스테이포에버 002쇼핑백=선물용 쇼핑백210501</t>
        </is>
      </c>
    </row>
    <row r="7968">
      <c r="B7968" s="16" t="n">
        <v>44320</v>
      </c>
      <c r="C7968" s="20" t="inlineStr">
        <is>
          <t>화</t>
        </is>
      </c>
      <c r="E7968" s="20" t="inlineStr">
        <is>
          <t>고체향수</t>
        </is>
      </c>
      <c r="F7968" s="20" t="inlineStr">
        <is>
          <t>카페24</t>
        </is>
      </c>
      <c r="G7968" s="20" t="inlineStr">
        <is>
          <t>솔리드퍼퓸 이그나이트 001제품선택=이그나이트 솔리드퍼퓸 - 30ml</t>
        </is>
      </c>
      <c r="H7968" s="20" t="n">
        <v>5</v>
      </c>
      <c r="I7968" s="20" t="inlineStr">
        <is>
          <t>이그나이트</t>
        </is>
      </c>
      <c r="J7968" s="20" t="inlineStr">
        <is>
          <t>210501</t>
        </is>
      </c>
      <c r="L7968" s="20" t="n">
        <v>170000</v>
      </c>
      <c r="M7968" s="20" t="n">
        <v>160055</v>
      </c>
      <c r="N7968" s="20" t="n">
        <v>13125</v>
      </c>
      <c r="O7968" s="20" t="inlineStr">
        <is>
          <t>카페24고체향수솔리드퍼퓸 이그나이트 001제품선택=이그나이트 솔리드퍼퓸 - 30ml210501</t>
        </is>
      </c>
    </row>
    <row r="7969">
      <c r="B7969" s="16" t="n">
        <v>44321</v>
      </c>
      <c r="C7969" s="20" t="inlineStr">
        <is>
          <t>수</t>
        </is>
      </c>
      <c r="E7969" s="20" t="inlineStr">
        <is>
          <t>고체향수</t>
        </is>
      </c>
      <c r="F7969" s="20" t="inlineStr">
        <is>
          <t>카페24</t>
        </is>
      </c>
      <c r="G7969" s="20" t="inlineStr">
        <is>
          <t>솔리드퍼퓸 세트향=이그나이트 001 SOLID PERFUME, 세트 선택=1개</t>
        </is>
      </c>
      <c r="H7969" s="20" t="n">
        <v>1</v>
      </c>
      <c r="I7969" s="20" t="inlineStr">
        <is>
          <t>이그나이트</t>
        </is>
      </c>
      <c r="J7969" s="20" t="inlineStr">
        <is>
          <t>210501</t>
        </is>
      </c>
      <c r="L7969" s="20" t="n">
        <v>34000</v>
      </c>
      <c r="M7969" s="20" t="n">
        <v>32011</v>
      </c>
      <c r="N7969" s="20" t="n">
        <v>2625</v>
      </c>
      <c r="O7969" s="20" t="inlineStr">
        <is>
          <t>카페24고체향수솔리드퍼퓸 세트향=이그나이트 001 SOLID PERFUME, 세트 선택=1개210501</t>
        </is>
      </c>
    </row>
    <row r="7970">
      <c r="B7970" s="16" t="n">
        <v>44321</v>
      </c>
      <c r="C7970" s="20" t="inlineStr">
        <is>
          <t>수</t>
        </is>
      </c>
      <c r="E7970" s="20" t="inlineStr">
        <is>
          <t>고체향수</t>
        </is>
      </c>
      <c r="F7970" s="20" t="inlineStr">
        <is>
          <t>카페24</t>
        </is>
      </c>
      <c r="G7970" s="20" t="inlineStr">
        <is>
          <t>솔리드퍼퓸 세트향=스테이포에버 002 SOLID PERFUME, 세트 선택=1개</t>
        </is>
      </c>
      <c r="H7970" s="20" t="n">
        <v>3</v>
      </c>
      <c r="I7970" s="20" t="inlineStr">
        <is>
          <t>스테이포에버</t>
        </is>
      </c>
      <c r="J7970" s="20" t="inlineStr">
        <is>
          <t>210501</t>
        </is>
      </c>
      <c r="L7970" s="20" t="n">
        <v>102000</v>
      </c>
      <c r="M7970" s="20" t="n">
        <v>96033</v>
      </c>
      <c r="N7970" s="20" t="n">
        <v>7662</v>
      </c>
      <c r="O7970" s="20" t="inlineStr">
        <is>
          <t>카페24고체향수솔리드퍼퓸 세트향=스테이포에버 002 SOLID PERFUME, 세트 선택=1개210501</t>
        </is>
      </c>
    </row>
    <row r="7971">
      <c r="B7971" s="16" t="n">
        <v>44321</v>
      </c>
      <c r="C7971" s="20" t="inlineStr">
        <is>
          <t>수</t>
        </is>
      </c>
      <c r="E7971" s="20" t="inlineStr">
        <is>
          <t>고체향수</t>
        </is>
      </c>
      <c r="F7971" s="20" t="inlineStr">
        <is>
          <t>카페24</t>
        </is>
      </c>
      <c r="G7971" s="20" t="inlineStr">
        <is>
          <t>솔리드퍼퓸 세트향=스테이포에버 002 SOLID PERFUME, 세트 선택=best 2개 (28% 할인)</t>
        </is>
      </c>
      <c r="H7971" s="20" t="n">
        <v>12</v>
      </c>
      <c r="I7971" s="20" t="inlineStr">
        <is>
          <t>스테이포에버 2set</t>
        </is>
      </c>
      <c r="J7971" s="20" t="inlineStr">
        <is>
          <t>210501</t>
        </is>
      </c>
      <c r="L7971" s="20" t="n">
        <v>705600</v>
      </c>
      <c r="M7971" s="20" t="n">
        <v>664322.3999999999</v>
      </c>
      <c r="N7971" s="20" t="n">
        <v>61296</v>
      </c>
      <c r="O7971" s="20" t="inlineStr">
        <is>
          <t>카페24고체향수솔리드퍼퓸 세트향=스테이포에버 002 SOLID PERFUME, 세트 선택=best 2개 (28% 할인)210501</t>
        </is>
      </c>
    </row>
    <row r="7972">
      <c r="B7972" s="16" t="n">
        <v>44321</v>
      </c>
      <c r="C7972" s="20" t="inlineStr">
        <is>
          <t>수</t>
        </is>
      </c>
      <c r="E7972" s="20" t="inlineStr">
        <is>
          <t>고체향수</t>
        </is>
      </c>
      <c r="F7972" s="20" t="inlineStr">
        <is>
          <t>카페24</t>
        </is>
      </c>
      <c r="G7972" s="20" t="inlineStr">
        <is>
          <t>솔리드퍼퓸 세트향=커플세트(이그나이트 + 스테이포에버), 세트 선택=1 SET</t>
        </is>
      </c>
      <c r="H7972" s="20" t="n">
        <v>11</v>
      </c>
      <c r="I7972" s="20" t="inlineStr">
        <is>
          <t>이그나이트 + 스테이포에버</t>
        </is>
      </c>
      <c r="J7972" s="20" t="inlineStr">
        <is>
          <t>210501</t>
        </is>
      </c>
      <c r="L7972" s="20" t="n">
        <v>646800</v>
      </c>
      <c r="M7972" s="20" t="n">
        <v>608962.2</v>
      </c>
      <c r="N7972" s="20" t="n">
        <v>56969</v>
      </c>
      <c r="O7972" s="20" t="inlineStr">
        <is>
          <t>카페24고체향수솔리드퍼퓸 세트향=커플세트(이그나이트 + 스테이포에버), 세트 선택=1 SET210501</t>
        </is>
      </c>
    </row>
    <row r="7973">
      <c r="B7973" s="16" t="n">
        <v>44321</v>
      </c>
      <c r="C7973" s="20" t="inlineStr">
        <is>
          <t>수</t>
        </is>
      </c>
      <c r="E7973" s="20" t="inlineStr">
        <is>
          <t>고체향수</t>
        </is>
      </c>
      <c r="F7973" s="20" t="inlineStr">
        <is>
          <t>카페24</t>
        </is>
      </c>
      <c r="G7973" s="20" t="inlineStr">
        <is>
          <t>솔리드퍼퓸 세트향=커플세트(이그나이트 + 스테이포에버), 세트 선택=2 SET (42% 할인)</t>
        </is>
      </c>
      <c r="H7973" s="20" t="n">
        <v>2</v>
      </c>
      <c r="I7973" s="20" t="inlineStr">
        <is>
          <t>이그나이트 + 스테이포에버</t>
        </is>
      </c>
      <c r="J7973" s="20" t="inlineStr">
        <is>
          <t>210501</t>
        </is>
      </c>
      <c r="L7973" s="20" t="n">
        <v>117600</v>
      </c>
      <c r="M7973" s="20" t="n">
        <v>110720.4</v>
      </c>
      <c r="N7973" s="20" t="n">
        <v>10358</v>
      </c>
      <c r="O7973" s="20" t="inlineStr">
        <is>
          <t>카페24고체향수솔리드퍼퓸 세트향=커플세트(이그나이트 + 스테이포에버), 세트 선택=2 SET (42% 할인)210501</t>
        </is>
      </c>
    </row>
    <row r="7974">
      <c r="B7974" s="16" t="n">
        <v>44321</v>
      </c>
      <c r="C7974" s="20" t="inlineStr">
        <is>
          <t>수</t>
        </is>
      </c>
      <c r="E7974" s="20" t="inlineStr">
        <is>
          <t>고체향수</t>
        </is>
      </c>
      <c r="F7974" s="20" t="inlineStr">
        <is>
          <t>카페24</t>
        </is>
      </c>
      <c r="G7974" s="20" t="inlineStr">
        <is>
          <t>솔리드퍼퓸 스테이포에버 002제품선택=스테이포에버 1개</t>
        </is>
      </c>
      <c r="H7974" s="20" t="n">
        <v>199</v>
      </c>
      <c r="I7974" s="20" t="inlineStr">
        <is>
          <t>스테이포에버</t>
        </is>
      </c>
      <c r="J7974" s="20" t="inlineStr">
        <is>
          <t>210501</t>
        </is>
      </c>
      <c r="L7974" s="20" t="n">
        <v>6766000</v>
      </c>
      <c r="M7974" s="20" t="n">
        <v>6370189</v>
      </c>
      <c r="N7974" s="20" t="n">
        <v>508246</v>
      </c>
      <c r="O7974" s="20" t="inlineStr">
        <is>
          <t>카페24고체향수솔리드퍼퓸 스테이포에버 002제품선택=스테이포에버 1개210501</t>
        </is>
      </c>
    </row>
    <row r="7975">
      <c r="B7975" s="16" t="n">
        <v>44321</v>
      </c>
      <c r="C7975" s="20" t="inlineStr">
        <is>
          <t>수</t>
        </is>
      </c>
      <c r="E7975" s="20" t="inlineStr">
        <is>
          <t>고체향수</t>
        </is>
      </c>
      <c r="F7975" s="20" t="inlineStr">
        <is>
          <t>카페24</t>
        </is>
      </c>
      <c r="G7975" s="20" t="inlineStr">
        <is>
          <t>솔리드퍼퓸 스테이포에버 002제품선택=best스테이포에버 2개[28% 할인]</t>
        </is>
      </c>
      <c r="H7975" s="20" t="n">
        <v>148</v>
      </c>
      <c r="I7975" s="20" t="inlineStr">
        <is>
          <t>스테이포에버 2set</t>
        </is>
      </c>
      <c r="J7975" s="20" t="inlineStr">
        <is>
          <t>210501</t>
        </is>
      </c>
      <c r="L7975" s="20" t="n">
        <v>8702400</v>
      </c>
      <c r="M7975" s="20" t="n">
        <v>8193309.6</v>
      </c>
      <c r="N7975" s="20" t="n">
        <v>755984</v>
      </c>
      <c r="O7975" s="20" t="inlineStr">
        <is>
          <t>카페24고체향수솔리드퍼퓸 스테이포에버 002제품선택=best스테이포에버 2개[28% 할인]210501</t>
        </is>
      </c>
    </row>
    <row r="7976">
      <c r="B7976" s="16" t="n">
        <v>44321</v>
      </c>
      <c r="C7976" s="20" t="inlineStr">
        <is>
          <t>수</t>
        </is>
      </c>
      <c r="E7976" s="20" t="inlineStr">
        <is>
          <t>고체향수</t>
        </is>
      </c>
      <c r="F7976" s="20" t="inlineStr">
        <is>
          <t>카페24</t>
        </is>
      </c>
      <c r="G7976" s="20" t="inlineStr">
        <is>
          <t>솔리드퍼퓸 스테이포에버 002제품선택=커플추천스테이포에버 + 이그나이트 세트</t>
        </is>
      </c>
      <c r="H7976" s="20" t="n">
        <v>14</v>
      </c>
      <c r="I7976" s="20" t="inlineStr">
        <is>
          <t>이그나이트 + 스테이포에버</t>
        </is>
      </c>
      <c r="J7976" s="20" t="inlineStr">
        <is>
          <t>210501</t>
        </is>
      </c>
      <c r="L7976" s="20" t="n">
        <v>823200</v>
      </c>
      <c r="M7976" s="20" t="n">
        <v>775042.7999999999</v>
      </c>
      <c r="N7976" s="20" t="n">
        <v>72506</v>
      </c>
      <c r="O7976" s="20" t="inlineStr">
        <is>
          <t>카페24고체향수솔리드퍼퓸 스테이포에버 002제품선택=커플추천스테이포에버 + 이그나이트 세트210501</t>
        </is>
      </c>
    </row>
    <row r="7977">
      <c r="B7977" s="16" t="n">
        <v>44321</v>
      </c>
      <c r="C7977" s="20" t="inlineStr">
        <is>
          <t>수</t>
        </is>
      </c>
      <c r="E7977" s="20" t="inlineStr">
        <is>
          <t>쇼핑백</t>
        </is>
      </c>
      <c r="F7977" s="20" t="inlineStr">
        <is>
          <t>카페24</t>
        </is>
      </c>
      <c r="G7977" s="20" t="inlineStr">
        <is>
          <t>솔리드퍼퓸 스테이포에버 002쇼핑백=선물용 쇼핑백</t>
        </is>
      </c>
      <c r="H7977" s="20" t="n">
        <v>4</v>
      </c>
      <c r="I7977" s="20" t="inlineStr">
        <is>
          <t>쇼핑백</t>
        </is>
      </c>
      <c r="J7977" s="20" t="inlineStr">
        <is>
          <t>210501</t>
        </is>
      </c>
      <c r="L7977" s="20" t="n">
        <v>8000</v>
      </c>
      <c r="M7977" s="20" t="n">
        <v>7532</v>
      </c>
      <c r="N7977" s="20" t="n">
        <v>3320</v>
      </c>
      <c r="O7977" s="20" t="inlineStr">
        <is>
          <t>카페24쇼핑백솔리드퍼퓸 스테이포에버 002쇼핑백=선물용 쇼핑백210501</t>
        </is>
      </c>
    </row>
    <row r="7978">
      <c r="B7978" s="16" t="n">
        <v>44321</v>
      </c>
      <c r="C7978" s="20" t="inlineStr">
        <is>
          <t>수</t>
        </is>
      </c>
      <c r="E7978" s="20" t="inlineStr">
        <is>
          <t>고체향수</t>
        </is>
      </c>
      <c r="F7978" s="20" t="inlineStr">
        <is>
          <t>카페24</t>
        </is>
      </c>
      <c r="G7978" s="20" t="inlineStr">
        <is>
          <t>솔리드퍼퓸 이그나이트 001제품선택=이그나이트 솔리드퍼퓸 - 30ml</t>
        </is>
      </c>
      <c r="H7978" s="20" t="n">
        <v>2</v>
      </c>
      <c r="I7978" s="20" t="inlineStr">
        <is>
          <t>이그나이트</t>
        </is>
      </c>
      <c r="J7978" s="20" t="inlineStr">
        <is>
          <t>210501</t>
        </is>
      </c>
      <c r="L7978" s="20" t="n">
        <v>68000</v>
      </c>
      <c r="M7978" s="20" t="n">
        <v>64022</v>
      </c>
      <c r="N7978" s="20" t="n">
        <v>5250</v>
      </c>
      <c r="O7978" s="20" t="inlineStr">
        <is>
          <t>카페24고체향수솔리드퍼퓸 이그나이트 001제품선택=이그나이트 솔리드퍼퓸 - 30ml210501</t>
        </is>
      </c>
    </row>
    <row r="7979">
      <c r="A7979" s="20" t="inlineStr">
        <is>
          <t>고체향수</t>
        </is>
      </c>
      <c r="B7979" s="16" t="n">
        <v>44320</v>
      </c>
      <c r="C7979" s="20" t="inlineStr">
        <is>
          <t>화</t>
        </is>
      </c>
      <c r="D7979" s="20" t="inlineStr">
        <is>
          <t>네이버 배너</t>
        </is>
      </c>
      <c r="E7979" s="20" t="inlineStr">
        <is>
          <t>고체향수</t>
        </is>
      </c>
      <c r="K7979" s="20" t="n">
        <v>748109.9999999999</v>
      </c>
    </row>
    <row r="7980">
      <c r="A7980" s="20" t="inlineStr">
        <is>
          <t>고체향수</t>
        </is>
      </c>
      <c r="B7980" s="16" t="n">
        <v>44321</v>
      </c>
      <c r="C7980" s="20" t="inlineStr">
        <is>
          <t>수</t>
        </is>
      </c>
      <c r="D7980" s="20" t="inlineStr">
        <is>
          <t>네이버 배너</t>
        </is>
      </c>
      <c r="E7980" s="20" t="inlineStr">
        <is>
          <t>고체향수</t>
        </is>
      </c>
      <c r="K7980" s="20" t="n">
        <v>834742.7272727272</v>
      </c>
    </row>
    <row r="7981">
      <c r="B7981" s="16" t="n">
        <v>44320</v>
      </c>
      <c r="C7981" s="20" t="inlineStr">
        <is>
          <t>화</t>
        </is>
      </c>
      <c r="D7981" s="20" t="inlineStr">
        <is>
          <t>카카오 배너</t>
        </is>
      </c>
      <c r="E7981" s="20" t="inlineStr">
        <is>
          <t>고체향수</t>
        </is>
      </c>
      <c r="K7981" s="20">
        <f>1225697/1.1</f>
        <v/>
      </c>
    </row>
    <row r="7982">
      <c r="B7982" s="16" t="n">
        <v>44321</v>
      </c>
      <c r="C7982" s="20" t="inlineStr">
        <is>
          <t>수</t>
        </is>
      </c>
      <c r="D7982" s="20" t="inlineStr">
        <is>
          <t>카카오 배너</t>
        </is>
      </c>
      <c r="E7982" s="20" t="inlineStr">
        <is>
          <t>고체향수</t>
        </is>
      </c>
      <c r="K7982" s="20">
        <f>1215566/1.1</f>
        <v/>
      </c>
    </row>
    <row r="7983">
      <c r="B7983" s="16" t="n">
        <v>44320</v>
      </c>
      <c r="E7983" s="20">
        <f>INDEX(매칭테이블!C:C,MATCH(RD!G7983,매칭테이블!D:D,0))</f>
        <v/>
      </c>
      <c r="F7983" s="20" t="inlineStr">
        <is>
          <t>올리브영</t>
        </is>
      </c>
      <c r="G7983" s="20" t="inlineStr">
        <is>
          <t>유즈 솔리드퍼퓸 001 이그나이트 30ml 30600 온라인</t>
        </is>
      </c>
      <c r="H7983" s="20" t="n">
        <v>3</v>
      </c>
      <c r="I7983" s="20">
        <f>VLOOKUP(G7983,매칭테이블!D:E,2,0)</f>
        <v/>
      </c>
      <c r="J7983" s="20" t="inlineStr">
        <is>
          <t>210501</t>
        </is>
      </c>
      <c r="L7983" s="20">
        <f>VLOOKUP($O7983,매칭테이블!$G:$J,2,0)*H7983</f>
        <v/>
      </c>
      <c r="M7983" s="20">
        <f>L7983-L7983*VLOOKUP($O7983,매칭테이블!$G:$J,3,0)</f>
        <v/>
      </c>
      <c r="N7983" s="20">
        <f>VLOOKUP($O7983,매칭테이블!$G:$J,4,0)*H7983</f>
        <v/>
      </c>
      <c r="O7983" s="20">
        <f>F7983&amp;E7983&amp;G7983&amp;J7983</f>
        <v/>
      </c>
    </row>
    <row r="7984">
      <c r="B7984" s="16" t="n">
        <v>44320</v>
      </c>
      <c r="E7984" s="20">
        <f>INDEX(매칭테이블!C:C,MATCH(RD!G7984,매칭테이블!D:D,0))</f>
        <v/>
      </c>
      <c r="F7984" s="20" t="inlineStr">
        <is>
          <t>올리브영</t>
        </is>
      </c>
      <c r="G7984" s="20" t="inlineStr">
        <is>
          <t>유즈 솔리드퍼퓸 002 스테이포에버 30ml 30600 온라인</t>
        </is>
      </c>
      <c r="H7984" s="20" t="n">
        <v>99</v>
      </c>
      <c r="I7984" s="20">
        <f>VLOOKUP(G7984,매칭테이블!D:E,2,0)</f>
        <v/>
      </c>
      <c r="J7984" s="20" t="inlineStr">
        <is>
          <t>210501</t>
        </is>
      </c>
      <c r="L7984" s="20">
        <f>VLOOKUP($O7984,매칭테이블!$G:$J,2,0)*H7984</f>
        <v/>
      </c>
      <c r="M7984" s="20">
        <f>L7984-L7984*VLOOKUP($O7984,매칭테이블!$G:$J,3,0)</f>
        <v/>
      </c>
      <c r="N7984" s="20">
        <f>VLOOKUP($O7984,매칭테이블!$G:$J,4,0)*H7984</f>
        <v/>
      </c>
      <c r="O7984" s="20">
        <f>F7984&amp;E7984&amp;G7984&amp;J7984</f>
        <v/>
      </c>
    </row>
    <row r="7985">
      <c r="B7985" s="16" t="n">
        <v>44320</v>
      </c>
      <c r="C7985" s="20" t="inlineStr">
        <is>
          <t>화</t>
        </is>
      </c>
      <c r="D7985" s="20" t="inlineStr">
        <is>
          <t>네이버 배너(대행사)</t>
        </is>
      </c>
      <c r="E7985" s="20" t="inlineStr">
        <is>
          <t>고체향수</t>
        </is>
      </c>
      <c r="K7985" s="20">
        <f>288561/1.1</f>
        <v/>
      </c>
    </row>
    <row r="7986">
      <c r="B7986" s="16" t="n">
        <v>44321</v>
      </c>
      <c r="C7986" s="20" t="inlineStr">
        <is>
          <t>수</t>
        </is>
      </c>
      <c r="D7986" s="20" t="inlineStr">
        <is>
          <t>네이버 배너(대행사)</t>
        </is>
      </c>
      <c r="E7986" s="20" t="inlineStr">
        <is>
          <t>고체향수</t>
        </is>
      </c>
      <c r="K7986" s="20">
        <f>437466/1.1</f>
        <v/>
      </c>
    </row>
    <row r="7987">
      <c r="A7987" s="20" t="inlineStr">
        <is>
          <t>웹사이트 트래픽 서치</t>
        </is>
      </c>
      <c r="B7987" s="16" t="n">
        <v>44322</v>
      </c>
      <c r="C7987" s="20" t="inlineStr">
        <is>
          <t>목</t>
        </is>
      </c>
      <c r="D7987" s="20" t="inlineStr">
        <is>
          <t>유튜브 광고</t>
        </is>
      </c>
      <c r="E7987" s="20" t="inlineStr">
        <is>
          <t>고체향수</t>
        </is>
      </c>
      <c r="K7987" s="20" t="n">
        <v>41181</v>
      </c>
    </row>
    <row r="7988">
      <c r="A7988" s="20" t="inlineStr">
        <is>
          <t>동영상캠페인_승무원_보이는 라디오(cpa)</t>
        </is>
      </c>
      <c r="B7988" s="16" t="n">
        <v>44322</v>
      </c>
      <c r="C7988" s="20" t="inlineStr">
        <is>
          <t>목</t>
        </is>
      </c>
      <c r="D7988" s="20" t="inlineStr">
        <is>
          <t>유튜브 광고</t>
        </is>
      </c>
      <c r="E7988" s="20" t="inlineStr">
        <is>
          <t>고체향수</t>
        </is>
      </c>
      <c r="K7988" s="20" t="n">
        <v>8948</v>
      </c>
    </row>
    <row r="7989">
      <c r="A7989" s="20" t="inlineStr">
        <is>
          <t>디스커버리 배너_승무원,할인_리마케팅</t>
        </is>
      </c>
      <c r="B7989" s="16" t="n">
        <v>44322</v>
      </c>
      <c r="C7989" s="20" t="inlineStr">
        <is>
          <t>목</t>
        </is>
      </c>
      <c r="D7989" s="20" t="inlineStr">
        <is>
          <t>유튜브 광고</t>
        </is>
      </c>
      <c r="E7989" s="20" t="inlineStr">
        <is>
          <t>고체향수</t>
        </is>
      </c>
      <c r="K7989" s="20" t="n">
        <v>599533</v>
      </c>
    </row>
    <row r="7990">
      <c r="A7990" s="20" t="inlineStr">
        <is>
          <t>동영상캠페인_승무원_써니스카이</t>
        </is>
      </c>
      <c r="B7990" s="16" t="n">
        <v>44322</v>
      </c>
      <c r="C7990" s="20" t="inlineStr">
        <is>
          <t>목</t>
        </is>
      </c>
      <c r="D7990" s="20" t="inlineStr">
        <is>
          <t>유튜브 광고</t>
        </is>
      </c>
      <c r="E7990" s="20" t="inlineStr">
        <is>
          <t>고체향수</t>
        </is>
      </c>
      <c r="K7990" s="20" t="n">
        <v>44902</v>
      </c>
    </row>
    <row r="7991">
      <c r="A7991" s="20" t="inlineStr">
        <is>
          <t>[5화자] 동영상 캠페인_벨라의 비행일기</t>
        </is>
      </c>
      <c r="B7991" s="16" t="n">
        <v>44322</v>
      </c>
      <c r="C7991" s="20" t="inlineStr">
        <is>
          <t>목</t>
        </is>
      </c>
      <c r="D7991" s="20" t="inlineStr">
        <is>
          <t>유튜브 광고</t>
        </is>
      </c>
      <c r="E7991" s="20" t="inlineStr">
        <is>
          <t>고체향수</t>
        </is>
      </c>
      <c r="K7991" s="20" t="n">
        <v>393053</v>
      </c>
    </row>
    <row r="7992">
      <c r="A7992" s="20" t="inlineStr">
        <is>
          <t>[5화자] 동영상 캠페인_비행하고 여행하는 은선씨</t>
        </is>
      </c>
      <c r="B7992" s="16" t="n">
        <v>44322</v>
      </c>
      <c r="C7992" s="20" t="inlineStr">
        <is>
          <t>목</t>
        </is>
      </c>
      <c r="D7992" s="20" t="inlineStr">
        <is>
          <t>유튜브 광고</t>
        </is>
      </c>
      <c r="E7992" s="20" t="inlineStr">
        <is>
          <t>고체향수</t>
        </is>
      </c>
      <c r="K7992" s="20" t="n">
        <v>350753</v>
      </c>
    </row>
    <row r="7993">
      <c r="A7993" s="20" t="inlineStr">
        <is>
          <t>[5화자 재편집] 승무원_벨라_면세점에서 천만원</t>
        </is>
      </c>
      <c r="B7993" s="16" t="n">
        <v>44322</v>
      </c>
      <c r="C7993" s="20" t="inlineStr">
        <is>
          <t>목</t>
        </is>
      </c>
      <c r="D7993" s="20" t="inlineStr">
        <is>
          <t>유튜브 광고</t>
        </is>
      </c>
      <c r="E7993" s="20" t="inlineStr">
        <is>
          <t>고체향수</t>
        </is>
      </c>
      <c r="K7993" s="20" t="n">
        <v>400296</v>
      </c>
    </row>
    <row r="7994">
      <c r="A7994" s="20" t="inlineStr">
        <is>
          <t>동영상캠페인_유즈모먼트_면세점뒤졌는데</t>
        </is>
      </c>
      <c r="B7994" s="16" t="n">
        <v>44322</v>
      </c>
      <c r="C7994" s="20" t="inlineStr">
        <is>
          <t>목</t>
        </is>
      </c>
      <c r="D7994" s="20" t="inlineStr">
        <is>
          <t>유튜브 광고</t>
        </is>
      </c>
      <c r="E7994" s="20" t="inlineStr">
        <is>
          <t>고체향수</t>
        </is>
      </c>
      <c r="K7994" s="20" t="n">
        <v>400433</v>
      </c>
    </row>
    <row r="7995">
      <c r="A7995" s="20" t="inlineStr">
        <is>
          <t>동영상_유즈모먼트_06_비누향인연(cpa)</t>
        </is>
      </c>
      <c r="B7995" s="16" t="n">
        <v>44322</v>
      </c>
      <c r="C7995" s="20" t="inlineStr">
        <is>
          <t>목</t>
        </is>
      </c>
      <c r="D7995" s="20" t="inlineStr">
        <is>
          <t>유튜브 광고</t>
        </is>
      </c>
      <c r="E7995" s="20" t="inlineStr">
        <is>
          <t>고체향수</t>
        </is>
      </c>
      <c r="K7995" s="20" t="n">
        <v>46575</v>
      </c>
    </row>
    <row r="7996">
      <c r="A7996" s="20" t="inlineStr">
        <is>
          <t>메인키워드</t>
        </is>
      </c>
      <c r="B7996" s="16" t="n">
        <v>44322</v>
      </c>
      <c r="C7996" s="20" t="inlineStr">
        <is>
          <t>목</t>
        </is>
      </c>
      <c r="D7996" s="20" t="inlineStr">
        <is>
          <t>네이버 쇼핑검색</t>
        </is>
      </c>
      <c r="E7996" s="20" t="inlineStr">
        <is>
          <t>고체향수</t>
        </is>
      </c>
      <c r="K7996" s="20" t="n">
        <v>33790</v>
      </c>
    </row>
    <row r="7997">
      <c r="A7997" s="20" t="inlineStr">
        <is>
          <t>세부키워드1</t>
        </is>
      </c>
      <c r="B7997" s="16" t="n">
        <v>44322</v>
      </c>
      <c r="C7997" s="20" t="inlineStr">
        <is>
          <t>목</t>
        </is>
      </c>
      <c r="D7997" s="20" t="inlineStr">
        <is>
          <t>네이버 쇼핑검색</t>
        </is>
      </c>
      <c r="E7997" s="20" t="inlineStr">
        <is>
          <t>고체향수</t>
        </is>
      </c>
      <c r="K7997" s="20" t="n">
        <v>250</v>
      </c>
    </row>
    <row r="7998">
      <c r="A7998" s="20" t="inlineStr">
        <is>
          <t>세부키워드3</t>
        </is>
      </c>
      <c r="B7998" s="16" t="n">
        <v>44322</v>
      </c>
      <c r="C7998" s="20" t="inlineStr">
        <is>
          <t>목</t>
        </is>
      </c>
      <c r="D7998" s="20" t="inlineStr">
        <is>
          <t>네이버 쇼핑검색</t>
        </is>
      </c>
      <c r="E7998" s="20" t="inlineStr">
        <is>
          <t>고체향수</t>
        </is>
      </c>
      <c r="K7998" s="20" t="n">
        <v>101940</v>
      </c>
    </row>
    <row r="7999">
      <c r="A7999" s="20" t="inlineStr">
        <is>
          <t>모바일 브검</t>
        </is>
      </c>
      <c r="B7999" s="16" t="n">
        <v>44322</v>
      </c>
      <c r="C7999" s="20" t="inlineStr">
        <is>
          <t>목</t>
        </is>
      </c>
      <c r="D7999" s="20" t="inlineStr">
        <is>
          <t>네이버 브랜드검색</t>
        </is>
      </c>
      <c r="E7999" s="20" t="inlineStr">
        <is>
          <t>브랜드</t>
        </is>
      </c>
      <c r="K7999" s="20" t="n">
        <v>88000</v>
      </c>
    </row>
    <row r="8000">
      <c r="A8000" s="20" t="inlineStr">
        <is>
          <t>PC 브랜드검색</t>
        </is>
      </c>
      <c r="B8000" s="16" t="n">
        <v>44322</v>
      </c>
      <c r="C8000" s="20" t="inlineStr">
        <is>
          <t>목</t>
        </is>
      </c>
      <c r="D8000" s="20" t="inlineStr">
        <is>
          <t>네이버 브랜드검색</t>
        </is>
      </c>
      <c r="E8000" s="20" t="inlineStr">
        <is>
          <t>브랜드</t>
        </is>
      </c>
      <c r="K8000" s="20" t="n">
        <v>16700</v>
      </c>
    </row>
    <row r="8001">
      <c r="B8001" s="16" t="n">
        <v>44322</v>
      </c>
      <c r="C8001" s="20" t="inlineStr">
        <is>
          <t>목</t>
        </is>
      </c>
      <c r="E8001" s="20" t="inlineStr">
        <is>
          <t>고체향수</t>
        </is>
      </c>
      <c r="F8001" s="20" t="inlineStr">
        <is>
          <t>W컨셉</t>
        </is>
      </c>
      <c r="G8001" s="20" t="inlineStr">
        <is>
          <t>솔리드퍼퓸 이그나이트/스테이포에버 30ml (2종 택1)&lt;옵션1&gt;002 STAY FOREVER</t>
        </is>
      </c>
      <c r="H8001" s="20" t="n">
        <v>16</v>
      </c>
      <c r="I8001" s="20" t="inlineStr">
        <is>
          <t>스테이포에버</t>
        </is>
      </c>
      <c r="J8001" s="20" t="inlineStr">
        <is>
          <t>210501</t>
        </is>
      </c>
      <c r="L8001" s="20" t="n">
        <v>544000</v>
      </c>
      <c r="M8001" s="20" t="n">
        <v>380800</v>
      </c>
      <c r="N8001" s="20" t="n">
        <v>40864</v>
      </c>
      <c r="O8001" s="20" t="inlineStr">
        <is>
          <t>W컨셉고체향수솔리드퍼퓸 이그나이트/스테이포에버 30ml (2종 택1)&lt;옵션1&gt;002 STAY FOREVER210501</t>
        </is>
      </c>
    </row>
    <row r="8002">
      <c r="B8002" s="16" t="n">
        <v>44322</v>
      </c>
      <c r="C8002" s="20" t="inlineStr">
        <is>
          <t>목</t>
        </is>
      </c>
      <c r="E8002" s="20" t="inlineStr">
        <is>
          <t>고체향수</t>
        </is>
      </c>
      <c r="F8002" s="20" t="inlineStr">
        <is>
          <t>W컨셉</t>
        </is>
      </c>
      <c r="G8002" s="20" t="inlineStr">
        <is>
          <t>솔리드퍼퓸 이그나이트/스테이포에버 30ml (2종 택1)&lt;옵션1&gt;IGNITE + STAY FOREVER</t>
        </is>
      </c>
      <c r="H8002" s="20" t="n">
        <v>2</v>
      </c>
      <c r="I8002" s="20" t="inlineStr">
        <is>
          <t>이그나이트 + 스테이포에버</t>
        </is>
      </c>
      <c r="J8002" s="20" t="inlineStr">
        <is>
          <t>210501</t>
        </is>
      </c>
      <c r="L8002" s="20" t="n">
        <v>117600</v>
      </c>
      <c r="M8002" s="20" t="n">
        <v>94080</v>
      </c>
      <c r="N8002" s="20" t="n">
        <v>10358</v>
      </c>
      <c r="O8002" s="20" t="inlineStr">
        <is>
          <t>W컨셉고체향수솔리드퍼퓸 이그나이트/스테이포에버 30ml (2종 택1)&lt;옵션1&gt;IGNITE + STAY FOREVER210501</t>
        </is>
      </c>
    </row>
    <row r="8003">
      <c r="B8003" s="16" t="n">
        <v>44322</v>
      </c>
      <c r="C8003" s="20" t="inlineStr">
        <is>
          <t>목</t>
        </is>
      </c>
      <c r="E8003" s="20" t="inlineStr">
        <is>
          <t>쇼핑백</t>
        </is>
      </c>
      <c r="F8003" s="20" t="inlineStr">
        <is>
          <t>카페24</t>
        </is>
      </c>
      <c r="G8003" s="20" t="inlineStr">
        <is>
          <t>선물용 쇼핑백</t>
        </is>
      </c>
      <c r="H8003" s="20" t="n">
        <v>3</v>
      </c>
      <c r="I8003" s="20" t="inlineStr">
        <is>
          <t>쇼핑백</t>
        </is>
      </c>
      <c r="J8003" s="20" t="inlineStr">
        <is>
          <t>210501</t>
        </is>
      </c>
      <c r="L8003" s="20" t="n">
        <v>6000</v>
      </c>
      <c r="M8003" s="20" t="n">
        <v>5649</v>
      </c>
      <c r="N8003" s="20" t="n">
        <v>2490</v>
      </c>
      <c r="O8003" s="20" t="inlineStr">
        <is>
          <t>카페24쇼핑백선물용 쇼핑백210501</t>
        </is>
      </c>
    </row>
    <row r="8004">
      <c r="B8004" s="16" t="n">
        <v>44322</v>
      </c>
      <c r="C8004" s="20" t="inlineStr">
        <is>
          <t>목</t>
        </is>
      </c>
      <c r="E8004" s="20" t="inlineStr">
        <is>
          <t>고체향수</t>
        </is>
      </c>
      <c r="F8004" s="20" t="inlineStr">
        <is>
          <t>카페24</t>
        </is>
      </c>
      <c r="G8004" s="20" t="inlineStr">
        <is>
          <t>솔리드퍼퓸 세트향=스테이포에버 002 SOLID PERFUME, 세트 선택=1개</t>
        </is>
      </c>
      <c r="H8004" s="20" t="n">
        <v>1</v>
      </c>
      <c r="I8004" s="20" t="inlineStr">
        <is>
          <t>스테이포에버</t>
        </is>
      </c>
      <c r="J8004" s="20" t="inlineStr">
        <is>
          <t>210501</t>
        </is>
      </c>
      <c r="L8004" s="20" t="n">
        <v>34000</v>
      </c>
      <c r="M8004" s="20" t="n">
        <v>32011</v>
      </c>
      <c r="N8004" s="20" t="n">
        <v>2554</v>
      </c>
      <c r="O8004" s="20" t="inlineStr">
        <is>
          <t>카페24고체향수솔리드퍼퓸 세트향=스테이포에버 002 SOLID PERFUME, 세트 선택=1개210501</t>
        </is>
      </c>
    </row>
    <row r="8005">
      <c r="B8005" s="16" t="n">
        <v>44322</v>
      </c>
      <c r="C8005" s="20" t="inlineStr">
        <is>
          <t>목</t>
        </is>
      </c>
      <c r="E8005" s="20" t="inlineStr">
        <is>
          <t>고체향수</t>
        </is>
      </c>
      <c r="F8005" s="20" t="inlineStr">
        <is>
          <t>카페24</t>
        </is>
      </c>
      <c r="G8005" s="20" t="inlineStr">
        <is>
          <t>솔리드퍼퓸 세트향=스테이포에버 002 SOLID PERFUME, 세트 선택=best 2개 (28% 할인)</t>
        </is>
      </c>
      <c r="H8005" s="20" t="n">
        <v>7</v>
      </c>
      <c r="I8005" s="20" t="inlineStr">
        <is>
          <t>스테이포에버 2set</t>
        </is>
      </c>
      <c r="J8005" s="20" t="inlineStr">
        <is>
          <t>210501</t>
        </is>
      </c>
      <c r="L8005" s="20" t="n">
        <v>411600</v>
      </c>
      <c r="M8005" s="20" t="n">
        <v>387521.4</v>
      </c>
      <c r="N8005" s="20" t="n">
        <v>35756</v>
      </c>
      <c r="O8005" s="20" t="inlineStr">
        <is>
          <t>카페24고체향수솔리드퍼퓸 세트향=스테이포에버 002 SOLID PERFUME, 세트 선택=best 2개 (28% 할인)210501</t>
        </is>
      </c>
    </row>
    <row r="8006">
      <c r="B8006" s="16" t="n">
        <v>44322</v>
      </c>
      <c r="C8006" s="20" t="inlineStr">
        <is>
          <t>목</t>
        </is>
      </c>
      <c r="E8006" s="20" t="inlineStr">
        <is>
          <t>고체향수</t>
        </is>
      </c>
      <c r="F8006" s="20" t="inlineStr">
        <is>
          <t>카페24</t>
        </is>
      </c>
      <c r="G8006" s="20" t="inlineStr">
        <is>
          <t>솔리드퍼퓸 세트향=커플세트(이그나이트 + 스테이포에버), 세트 선택=1 SET</t>
        </is>
      </c>
      <c r="H8006" s="20" t="n">
        <v>16</v>
      </c>
      <c r="I8006" s="20" t="inlineStr">
        <is>
          <t>이그나이트 + 스테이포에버</t>
        </is>
      </c>
      <c r="J8006" s="20" t="inlineStr">
        <is>
          <t>210501</t>
        </is>
      </c>
      <c r="L8006" s="20" t="n">
        <v>940800</v>
      </c>
      <c r="M8006" s="20" t="n">
        <v>885763.2</v>
      </c>
      <c r="N8006" s="20" t="n">
        <v>82864</v>
      </c>
      <c r="O8006" s="20" t="inlineStr">
        <is>
          <t>카페24고체향수솔리드퍼퓸 세트향=커플세트(이그나이트 + 스테이포에버), 세트 선택=1 SET210501</t>
        </is>
      </c>
    </row>
    <row r="8007">
      <c r="B8007" s="16" t="n">
        <v>44322</v>
      </c>
      <c r="C8007" s="20" t="inlineStr">
        <is>
          <t>목</t>
        </is>
      </c>
      <c r="E8007" s="20" t="inlineStr">
        <is>
          <t>고체향수</t>
        </is>
      </c>
      <c r="F8007" s="20" t="inlineStr">
        <is>
          <t>카페24</t>
        </is>
      </c>
      <c r="G8007" s="20" t="inlineStr">
        <is>
          <t>솔리드퍼퓸 세트향=커플세트(이그나이트 + 스테이포에버), 세트 선택=2 SET (42% 할인)</t>
        </is>
      </c>
      <c r="H8007" s="20" t="n">
        <v>3</v>
      </c>
      <c r="I8007" s="20" t="inlineStr">
        <is>
          <t>이그나이트 + 스테이포에버</t>
        </is>
      </c>
      <c r="J8007" s="20" t="inlineStr">
        <is>
          <t>210501</t>
        </is>
      </c>
      <c r="L8007" s="20" t="n">
        <v>176400</v>
      </c>
      <c r="M8007" s="20" t="n">
        <v>166080.6</v>
      </c>
      <c r="N8007" s="20" t="n">
        <v>15537</v>
      </c>
      <c r="O8007" s="20" t="inlineStr">
        <is>
          <t>카페24고체향수솔리드퍼퓸 세트향=커플세트(이그나이트 + 스테이포에버), 세트 선택=2 SET (42% 할인)210501</t>
        </is>
      </c>
    </row>
    <row r="8008">
      <c r="B8008" s="16" t="n">
        <v>44322</v>
      </c>
      <c r="C8008" s="20" t="inlineStr">
        <is>
          <t>목</t>
        </is>
      </c>
      <c r="E8008" s="20" t="inlineStr">
        <is>
          <t>고체향수</t>
        </is>
      </c>
      <c r="F8008" s="20" t="inlineStr">
        <is>
          <t>카페24</t>
        </is>
      </c>
      <c r="G8008" s="20" t="inlineStr">
        <is>
          <t>솔리드퍼퓸 스테이포에버 002제품선택=스테이포에버 1개</t>
        </is>
      </c>
      <c r="H8008" s="20" t="n">
        <v>204</v>
      </c>
      <c r="I8008" s="20" t="inlineStr">
        <is>
          <t>스테이포에버</t>
        </is>
      </c>
      <c r="J8008" s="20" t="inlineStr">
        <is>
          <t>210501</t>
        </is>
      </c>
      <c r="L8008" s="20" t="n">
        <v>6936000</v>
      </c>
      <c r="M8008" s="20" t="n">
        <v>6530244</v>
      </c>
      <c r="N8008" s="20" t="n">
        <v>521016</v>
      </c>
      <c r="O8008" s="20" t="inlineStr">
        <is>
          <t>카페24고체향수솔리드퍼퓸 스테이포에버 002제품선택=스테이포에버 1개210501</t>
        </is>
      </c>
    </row>
    <row r="8009">
      <c r="B8009" s="16" t="n">
        <v>44322</v>
      </c>
      <c r="C8009" s="20" t="inlineStr">
        <is>
          <t>목</t>
        </is>
      </c>
      <c r="E8009" s="20" t="inlineStr">
        <is>
          <t>고체향수</t>
        </is>
      </c>
      <c r="F8009" s="20" t="inlineStr">
        <is>
          <t>카페24</t>
        </is>
      </c>
      <c r="G8009" s="20" t="inlineStr">
        <is>
          <t>솔리드퍼퓸 스테이포에버 002제품선택=best스테이포에버 2개[28% 할인]</t>
        </is>
      </c>
      <c r="H8009" s="20" t="n">
        <v>124</v>
      </c>
      <c r="I8009" s="20" t="inlineStr">
        <is>
          <t>스테이포에버 2set</t>
        </is>
      </c>
      <c r="J8009" s="20" t="inlineStr">
        <is>
          <t>210501</t>
        </is>
      </c>
      <c r="L8009" s="20" t="n">
        <v>7291200</v>
      </c>
      <c r="M8009" s="20" t="n">
        <v>6864664.8</v>
      </c>
      <c r="N8009" s="20" t="n">
        <v>633392</v>
      </c>
      <c r="O8009" s="20" t="inlineStr">
        <is>
          <t>카페24고체향수솔리드퍼퓸 스테이포에버 002제품선택=best스테이포에버 2개[28% 할인]210501</t>
        </is>
      </c>
    </row>
    <row r="8010">
      <c r="B8010" s="16" t="n">
        <v>44322</v>
      </c>
      <c r="C8010" s="20" t="inlineStr">
        <is>
          <t>목</t>
        </is>
      </c>
      <c r="E8010" s="20" t="inlineStr">
        <is>
          <t>고체향수</t>
        </is>
      </c>
      <c r="F8010" s="20" t="inlineStr">
        <is>
          <t>카페24</t>
        </is>
      </c>
      <c r="G8010" s="20" t="inlineStr">
        <is>
          <t>솔리드퍼퓸 스테이포에버 002제품선택=커플추천스테이포에버 + 이그나이트 세트</t>
        </is>
      </c>
      <c r="H8010" s="20" t="n">
        <v>15</v>
      </c>
      <c r="I8010" s="20" t="inlineStr">
        <is>
          <t>이그나이트 + 스테이포에버</t>
        </is>
      </c>
      <c r="J8010" s="20" t="inlineStr">
        <is>
          <t>210501</t>
        </is>
      </c>
      <c r="L8010" s="20" t="n">
        <v>882000</v>
      </c>
      <c r="M8010" s="20" t="n">
        <v>830403</v>
      </c>
      <c r="N8010" s="20" t="n">
        <v>77685</v>
      </c>
      <c r="O8010" s="20" t="inlineStr">
        <is>
          <t>카페24고체향수솔리드퍼퓸 스테이포에버 002제품선택=커플추천스테이포에버 + 이그나이트 세트210501</t>
        </is>
      </c>
    </row>
    <row r="8011">
      <c r="B8011" s="16" t="n">
        <v>44322</v>
      </c>
      <c r="C8011" s="20" t="inlineStr">
        <is>
          <t>목</t>
        </is>
      </c>
      <c r="E8011" s="20" t="inlineStr">
        <is>
          <t>쇼핑백</t>
        </is>
      </c>
      <c r="F8011" s="20" t="inlineStr">
        <is>
          <t>카페24</t>
        </is>
      </c>
      <c r="G8011" s="20" t="inlineStr">
        <is>
          <t>솔리드퍼퓸 스테이포에버 002쇼핑백=선물용 쇼핑백</t>
        </is>
      </c>
      <c r="H8011" s="20" t="n">
        <v>13</v>
      </c>
      <c r="I8011" s="20" t="inlineStr">
        <is>
          <t>쇼핑백</t>
        </is>
      </c>
      <c r="J8011" s="20" t="inlineStr">
        <is>
          <t>210501</t>
        </is>
      </c>
      <c r="L8011" s="20" t="n">
        <v>26000</v>
      </c>
      <c r="M8011" s="20" t="n">
        <v>24479</v>
      </c>
      <c r="N8011" s="20" t="n">
        <v>10790</v>
      </c>
      <c r="O8011" s="20" t="inlineStr">
        <is>
          <t>카페24쇼핑백솔리드퍼퓸 스테이포에버 002쇼핑백=선물용 쇼핑백210501</t>
        </is>
      </c>
    </row>
    <row r="8012">
      <c r="B8012" s="16" t="n">
        <v>44322</v>
      </c>
      <c r="C8012" s="20" t="inlineStr">
        <is>
          <t>목</t>
        </is>
      </c>
      <c r="E8012" s="20" t="inlineStr">
        <is>
          <t>고체향수</t>
        </is>
      </c>
      <c r="F8012" s="20" t="inlineStr">
        <is>
          <t>카페24</t>
        </is>
      </c>
      <c r="G8012" s="20" t="inlineStr">
        <is>
          <t>솔리드퍼퓸 이그나이트 001제품선택=이그나이트 솔리드퍼퓸 - 30ml</t>
        </is>
      </c>
      <c r="H8012" s="20" t="n">
        <v>2</v>
      </c>
      <c r="I8012" s="20" t="inlineStr">
        <is>
          <t>이그나이트</t>
        </is>
      </c>
      <c r="J8012" s="20" t="inlineStr">
        <is>
          <t>210501</t>
        </is>
      </c>
      <c r="L8012" s="20" t="n">
        <v>68000</v>
      </c>
      <c r="M8012" s="20" t="n">
        <v>64022</v>
      </c>
      <c r="N8012" s="20" t="n">
        <v>5250</v>
      </c>
      <c r="O8012" s="20" t="inlineStr">
        <is>
          <t>카페24고체향수솔리드퍼퓸 이그나이트 001제품선택=이그나이트 솔리드퍼퓸 - 30ml210501</t>
        </is>
      </c>
    </row>
    <row r="8013">
      <c r="A8013" s="20" t="inlineStr">
        <is>
          <t>고체향수</t>
        </is>
      </c>
      <c r="B8013" s="16" t="n">
        <v>44322</v>
      </c>
      <c r="C8013" s="20" t="inlineStr">
        <is>
          <t>목</t>
        </is>
      </c>
      <c r="D8013" s="20" t="inlineStr">
        <is>
          <t>네이버 배너</t>
        </is>
      </c>
      <c r="E8013" s="20" t="inlineStr">
        <is>
          <t>고체향수</t>
        </is>
      </c>
      <c r="K8013" s="20" t="n">
        <v>752869.9999999999</v>
      </c>
    </row>
    <row r="8014">
      <c r="A8014" s="20" t="inlineStr">
        <is>
          <t>고체향수_승무원 어피_Npay 추적</t>
        </is>
      </c>
      <c r="B8014" s="16" t="n">
        <v>44322</v>
      </c>
      <c r="C8014" s="20" t="inlineStr">
        <is>
          <t>목</t>
        </is>
      </c>
      <c r="D8014" s="20" t="inlineStr">
        <is>
          <t>카카오 배너</t>
        </is>
      </c>
      <c r="E8014" s="20" t="inlineStr">
        <is>
          <t>고체향수</t>
        </is>
      </c>
      <c r="K8014" s="20" t="n">
        <v>91469.99999999999</v>
      </c>
    </row>
    <row r="8015">
      <c r="A8015" s="20" t="inlineStr">
        <is>
          <t>고체향수_Npay 추적</t>
        </is>
      </c>
      <c r="B8015" s="16" t="n">
        <v>44322</v>
      </c>
      <c r="C8015" s="20" t="inlineStr">
        <is>
          <t>목</t>
        </is>
      </c>
      <c r="D8015" s="20" t="inlineStr">
        <is>
          <t>카카오 배너</t>
        </is>
      </c>
      <c r="E8015" s="20" t="inlineStr">
        <is>
          <t>고체향수</t>
        </is>
      </c>
      <c r="K8015" s="20" t="n">
        <v>839529.9999999999</v>
      </c>
    </row>
    <row r="8016">
      <c r="B8016" s="16" t="n">
        <v>44322</v>
      </c>
      <c r="C8016" s="20" t="inlineStr">
        <is>
          <t>목</t>
        </is>
      </c>
      <c r="D8016" s="20" t="inlineStr">
        <is>
          <t>페이스북/인스타그램</t>
        </is>
      </c>
      <c r="E8016" s="20" t="inlineStr">
        <is>
          <t>고체향수</t>
        </is>
      </c>
      <c r="K8016" s="20" t="n">
        <v>2883347</v>
      </c>
    </row>
    <row r="8017">
      <c r="B8017" s="16" t="n">
        <v>44322</v>
      </c>
      <c r="C8017" s="20" t="inlineStr">
        <is>
          <t>목</t>
        </is>
      </c>
      <c r="D8017" s="20" t="inlineStr">
        <is>
          <t>네이버 배너(대행사)</t>
        </is>
      </c>
      <c r="E8017" s="20" t="inlineStr">
        <is>
          <t>고체향수</t>
        </is>
      </c>
      <c r="K8017" s="20">
        <f>371320/1.1</f>
        <v/>
      </c>
    </row>
    <row r="8018">
      <c r="B8018" s="16" t="n">
        <v>44322</v>
      </c>
      <c r="C8018" s="20" t="inlineStr">
        <is>
          <t>목</t>
        </is>
      </c>
      <c r="E8018" s="20">
        <f>INDEX(매칭테이블!C:C,MATCH(RD!G8018,매칭테이블!D:D,0))</f>
        <v/>
      </c>
      <c r="F8018" s="20" t="inlineStr">
        <is>
          <t>올리브영</t>
        </is>
      </c>
      <c r="G8018" s="20" t="inlineStr">
        <is>
          <t>유즈 솔리드퍼퓸 001 이그나이트 30ml 30600 온라인</t>
        </is>
      </c>
      <c r="H8018" s="20" t="n">
        <v>1</v>
      </c>
      <c r="I8018" s="20">
        <f>VLOOKUP(G8018,매칭테이블!D:E,2,0)</f>
        <v/>
      </c>
      <c r="J8018" s="20" t="inlineStr">
        <is>
          <t>210501</t>
        </is>
      </c>
      <c r="L8018" s="20">
        <f>VLOOKUP($O8018,매칭테이블!$G:$J,2,0)*H8018</f>
        <v/>
      </c>
      <c r="M8018" s="20">
        <f>L8018-L8018*VLOOKUP($O8018,매칭테이블!$G:$J,3,0)</f>
        <v/>
      </c>
      <c r="N8018" s="20">
        <f>VLOOKUP($O8018,매칭테이블!$G:$J,4,0)*H8018</f>
        <v/>
      </c>
      <c r="O8018" s="20">
        <f>F8018&amp;E8018&amp;G8018&amp;J8018</f>
        <v/>
      </c>
    </row>
    <row r="8019">
      <c r="B8019" s="16" t="n">
        <v>44322</v>
      </c>
      <c r="C8019" s="20" t="inlineStr">
        <is>
          <t>목</t>
        </is>
      </c>
      <c r="E8019" s="20">
        <f>INDEX(매칭테이블!C:C,MATCH(RD!G8019,매칭테이블!D:D,0))</f>
        <v/>
      </c>
      <c r="F8019" s="20" t="inlineStr">
        <is>
          <t>올리브영</t>
        </is>
      </c>
      <c r="G8019" s="20" t="inlineStr">
        <is>
          <t>유즈 솔리드퍼퓸 002 스테이포에버 30ml 30600 온라인</t>
        </is>
      </c>
      <c r="H8019" s="20" t="n">
        <v>132</v>
      </c>
      <c r="I8019" s="20">
        <f>VLOOKUP(G8019,매칭테이블!D:E,2,0)</f>
        <v/>
      </c>
      <c r="J8019" s="20" t="inlineStr">
        <is>
          <t>210501</t>
        </is>
      </c>
      <c r="L8019" s="20">
        <f>VLOOKUP($O8019,매칭테이블!$G:$J,2,0)*H8019</f>
        <v/>
      </c>
      <c r="M8019" s="20">
        <f>L8019-L8019*VLOOKUP($O8019,매칭테이블!$G:$J,3,0)</f>
        <v/>
      </c>
      <c r="N8019" s="20">
        <f>VLOOKUP($O8019,매칭테이블!$G:$J,4,0)*H8019</f>
        <v/>
      </c>
      <c r="O8019" s="20">
        <f>F8019&amp;E8019&amp;G8019&amp;J8019</f>
        <v/>
      </c>
    </row>
    <row r="8020">
      <c r="A8020" s="20" t="inlineStr">
        <is>
          <t>[수현 TEST] 스테이포에버_카드뉴스</t>
        </is>
      </c>
      <c r="B8020" s="16" t="n">
        <v>44323</v>
      </c>
      <c r="C8020" s="20" t="inlineStr">
        <is>
          <t>금</t>
        </is>
      </c>
      <c r="K8020" s="20" t="n">
        <v>31027</v>
      </c>
    </row>
    <row r="8021">
      <c r="A8021" s="20" t="inlineStr">
        <is>
          <t>[수현 TEST] 솔리드퍼퓸_이미지</t>
        </is>
      </c>
      <c r="B8021" s="16" t="n">
        <v>44323</v>
      </c>
      <c r="C8021" s="20" t="inlineStr">
        <is>
          <t>금</t>
        </is>
      </c>
      <c r="D8021" s="20" t="inlineStr">
        <is>
          <t>페이스북/인스타그램</t>
        </is>
      </c>
      <c r="E8021" s="20" t="inlineStr">
        <is>
          <t>고체향수</t>
        </is>
      </c>
      <c r="K8021" s="20" t="n">
        <v>47463</v>
      </c>
    </row>
    <row r="8022">
      <c r="A8022" s="20" t="inlineStr">
        <is>
          <t>[승은 TEST] 스테이포에버</t>
        </is>
      </c>
      <c r="B8022" s="16" t="n">
        <v>44323</v>
      </c>
      <c r="C8022" s="20" t="inlineStr">
        <is>
          <t>금</t>
        </is>
      </c>
      <c r="D8022" s="20" t="inlineStr">
        <is>
          <t>페이스북/인스타그램</t>
        </is>
      </c>
      <c r="E8022" s="20" t="inlineStr">
        <is>
          <t>고체향수</t>
        </is>
      </c>
      <c r="K8022" s="20" t="n">
        <v>95346</v>
      </c>
    </row>
    <row r="8023">
      <c r="A8023" s="20" t="inlineStr">
        <is>
          <t>[비누향 덕후] 스테이포에버_카드뉴스</t>
        </is>
      </c>
      <c r="B8023" s="16" t="n">
        <v>44323</v>
      </c>
      <c r="C8023" s="20" t="inlineStr">
        <is>
          <t>금</t>
        </is>
      </c>
      <c r="D8023" s="20" t="inlineStr">
        <is>
          <t>페이스북/인스타그램</t>
        </is>
      </c>
      <c r="E8023" s="20" t="inlineStr">
        <is>
          <t>고체향수</t>
        </is>
      </c>
      <c r="K8023" s="20" t="n">
        <v>140140</v>
      </c>
    </row>
    <row r="8024">
      <c r="A8024" s="20" t="inlineStr">
        <is>
          <t>[비누향 인연] 스테이포에버_카드뉴스</t>
        </is>
      </c>
      <c r="B8024" s="16" t="n">
        <v>44323</v>
      </c>
      <c r="C8024" s="20" t="inlineStr">
        <is>
          <t>금</t>
        </is>
      </c>
      <c r="D8024" s="20" t="inlineStr">
        <is>
          <t>페이스북/인스타그램</t>
        </is>
      </c>
      <c r="E8024" s="20" t="inlineStr">
        <is>
          <t>고체향수</t>
        </is>
      </c>
      <c r="K8024" s="20" t="n">
        <v>65087</v>
      </c>
    </row>
    <row r="8025">
      <c r="A8025" s="20" t="inlineStr">
        <is>
          <t>[성민 TEST] 솔리드퍼퓸_이미지</t>
        </is>
      </c>
      <c r="B8025" s="16" t="n">
        <v>44323</v>
      </c>
      <c r="C8025" s="20" t="inlineStr">
        <is>
          <t>금</t>
        </is>
      </c>
      <c r="D8025" s="20" t="inlineStr">
        <is>
          <t>페이스북/인스타그램</t>
        </is>
      </c>
      <c r="E8025" s="20" t="inlineStr">
        <is>
          <t>고체향수</t>
        </is>
      </c>
      <c r="K8025" s="20" t="n">
        <v>29170</v>
      </c>
    </row>
    <row r="8026">
      <c r="A8026" s="20" t="inlineStr">
        <is>
          <t>[승무원]유튜브_스테이포에버_카드뉴스</t>
        </is>
      </c>
      <c r="B8026" s="16" t="n">
        <v>44323</v>
      </c>
      <c r="C8026" s="20" t="inlineStr">
        <is>
          <t>금</t>
        </is>
      </c>
      <c r="D8026" s="20" t="inlineStr">
        <is>
          <t>페이스북/인스타그램</t>
        </is>
      </c>
      <c r="E8026" s="20" t="inlineStr">
        <is>
          <t>고체향수</t>
        </is>
      </c>
      <c r="K8026" s="20" t="n">
        <v>56691</v>
      </c>
    </row>
    <row r="8027">
      <c r="A8027" s="20" t="inlineStr">
        <is>
          <t>[올리브영] 이그나이트_영상</t>
        </is>
      </c>
      <c r="B8027" s="16" t="n">
        <v>44323</v>
      </c>
      <c r="C8027" s="20" t="inlineStr">
        <is>
          <t>금</t>
        </is>
      </c>
      <c r="D8027" s="20" t="inlineStr">
        <is>
          <t>페이스북/인스타그램</t>
        </is>
      </c>
      <c r="E8027" s="20" t="inlineStr">
        <is>
          <t>고체향수</t>
        </is>
      </c>
      <c r="K8027" s="20" t="n">
        <v>29476</v>
      </c>
    </row>
    <row r="8028">
      <c r="A8028" s="20" t="inlineStr">
        <is>
          <t>[승희 TEST] 솔리드퍼퓸_이미지</t>
        </is>
      </c>
      <c r="B8028" s="16" t="n">
        <v>44323</v>
      </c>
      <c r="C8028" s="20" t="inlineStr">
        <is>
          <t>금</t>
        </is>
      </c>
      <c r="D8028" s="20" t="inlineStr">
        <is>
          <t>페이스북/인스타그램</t>
        </is>
      </c>
      <c r="E8028" s="20" t="inlineStr">
        <is>
          <t>고체향수</t>
        </is>
      </c>
      <c r="K8028" s="20" t="n">
        <v>106905</v>
      </c>
    </row>
    <row r="8029">
      <c r="A8029" s="20" t="inlineStr">
        <is>
          <t>[올리브영] 스테이포에버_영상</t>
        </is>
      </c>
      <c r="B8029" s="16" t="n">
        <v>44323</v>
      </c>
      <c r="C8029" s="20" t="inlineStr">
        <is>
          <t>금</t>
        </is>
      </c>
      <c r="D8029" s="20" t="inlineStr">
        <is>
          <t>페이스북/인스타그램</t>
        </is>
      </c>
      <c r="E8029" s="20" t="inlineStr">
        <is>
          <t>고체향수</t>
        </is>
      </c>
      <c r="K8029" s="20" t="n">
        <v>49368</v>
      </c>
    </row>
    <row r="8030">
      <c r="A8030" s="20" t="inlineStr">
        <is>
          <t>[올리브영] 스테이포에버_이미지</t>
        </is>
      </c>
      <c r="B8030" s="16" t="n">
        <v>44323</v>
      </c>
      <c r="C8030" s="20" t="inlineStr">
        <is>
          <t>금</t>
        </is>
      </c>
      <c r="D8030" s="20" t="inlineStr">
        <is>
          <t>페이스북/인스타그램</t>
        </is>
      </c>
      <c r="E8030" s="20" t="inlineStr">
        <is>
          <t>고체향수</t>
        </is>
      </c>
      <c r="K8030" s="20" t="n">
        <v>28930</v>
      </c>
    </row>
    <row r="8031">
      <c r="A8031" s="20" t="inlineStr">
        <is>
          <t>[승무원] 유튜브재편집_스테이포에버_영상</t>
        </is>
      </c>
      <c r="B8031" s="16" t="n">
        <v>44323</v>
      </c>
      <c r="C8031" s="20" t="inlineStr">
        <is>
          <t>금</t>
        </is>
      </c>
      <c r="D8031" s="20" t="inlineStr">
        <is>
          <t>페이스북/인스타그램</t>
        </is>
      </c>
      <c r="E8031" s="20" t="inlineStr">
        <is>
          <t>고체향수</t>
        </is>
      </c>
      <c r="K8031" s="20" t="n">
        <v>931712</v>
      </c>
    </row>
    <row r="8032">
      <c r="A8032" s="20" t="inlineStr">
        <is>
          <t>[승무원 면세점] 스테이포에버_카드뉴스</t>
        </is>
      </c>
      <c r="B8032" s="16" t="n">
        <v>44323</v>
      </c>
      <c r="C8032" s="20" t="inlineStr">
        <is>
          <t>금</t>
        </is>
      </c>
      <c r="D8032" s="20" t="inlineStr">
        <is>
          <t>페이스북/인스타그램</t>
        </is>
      </c>
      <c r="E8032" s="20" t="inlineStr">
        <is>
          <t>고체향수</t>
        </is>
      </c>
      <c r="K8032" s="20" t="n">
        <v>192964</v>
      </c>
    </row>
    <row r="8033">
      <c r="A8033" s="20" t="inlineStr">
        <is>
          <t>[카페알바] 스테이포에버_카드뉴스</t>
        </is>
      </c>
      <c r="B8033" s="16" t="n">
        <v>44323</v>
      </c>
      <c r="C8033" s="20" t="inlineStr">
        <is>
          <t>금</t>
        </is>
      </c>
      <c r="D8033" s="20" t="inlineStr">
        <is>
          <t>페이스북/인스타그램</t>
        </is>
      </c>
      <c r="E8033" s="20" t="inlineStr">
        <is>
          <t>고체향수</t>
        </is>
      </c>
      <c r="K8033" s="20" t="n">
        <v>99003</v>
      </c>
    </row>
    <row r="8034">
      <c r="A8034" s="20" t="inlineStr">
        <is>
          <t>[아줌마]스테이포에버_이미지</t>
        </is>
      </c>
      <c r="B8034" s="16" t="n">
        <v>44323</v>
      </c>
      <c r="C8034" s="20" t="inlineStr">
        <is>
          <t>금</t>
        </is>
      </c>
      <c r="D8034" s="20" t="inlineStr">
        <is>
          <t>페이스북/인스타그램</t>
        </is>
      </c>
      <c r="E8034" s="20" t="inlineStr">
        <is>
          <t>고체향수</t>
        </is>
      </c>
      <c r="K8034" s="20" t="n">
        <v>50228</v>
      </c>
    </row>
    <row r="8035">
      <c r="A8035" s="20" t="inlineStr">
        <is>
          <t>[다양한 키워드] 스테이포에버_이미지</t>
        </is>
      </c>
      <c r="B8035" s="16" t="n">
        <v>44323</v>
      </c>
      <c r="C8035" s="20" t="inlineStr">
        <is>
          <t>금</t>
        </is>
      </c>
      <c r="D8035" s="20" t="inlineStr">
        <is>
          <t>페이스북/인스타그램</t>
        </is>
      </c>
      <c r="E8035" s="20" t="inlineStr">
        <is>
          <t>고체향수</t>
        </is>
      </c>
      <c r="K8035" s="20" t="n">
        <v>212081</v>
      </c>
    </row>
    <row r="8036">
      <c r="A8036" s="20" t="inlineStr">
        <is>
          <t>[재입고]스테이포에버_이미지</t>
        </is>
      </c>
      <c r="B8036" s="16" t="n">
        <v>44323</v>
      </c>
      <c r="C8036" s="20" t="inlineStr">
        <is>
          <t>금</t>
        </is>
      </c>
      <c r="D8036" s="20" t="inlineStr">
        <is>
          <t>페이스북/인스타그램</t>
        </is>
      </c>
      <c r="E8036" s="20" t="inlineStr">
        <is>
          <t>고체향수</t>
        </is>
      </c>
      <c r="K8036" s="20" t="n">
        <v>48550</v>
      </c>
    </row>
    <row r="8037">
      <c r="A8037" s="20" t="inlineStr">
        <is>
          <t>[승무원]숏폼_영상</t>
        </is>
      </c>
      <c r="B8037" s="16" t="n">
        <v>44323</v>
      </c>
      <c r="C8037" s="20" t="inlineStr">
        <is>
          <t>금</t>
        </is>
      </c>
      <c r="D8037" s="20" t="inlineStr">
        <is>
          <t>페이스북/인스타그램</t>
        </is>
      </c>
      <c r="E8037" s="20" t="inlineStr">
        <is>
          <t>고체향수</t>
        </is>
      </c>
      <c r="K8037" s="20" t="n">
        <v>49198</v>
      </c>
    </row>
    <row r="8038">
      <c r="A8038" s="20" t="inlineStr">
        <is>
          <t>[재입고]스테이포에버_영상</t>
        </is>
      </c>
      <c r="B8038" s="16" t="n">
        <v>44323</v>
      </c>
      <c r="C8038" s="20" t="inlineStr">
        <is>
          <t>금</t>
        </is>
      </c>
      <c r="D8038" s="20" t="inlineStr">
        <is>
          <t>페이스북/인스타그램</t>
        </is>
      </c>
      <c r="E8038" s="20" t="inlineStr">
        <is>
          <t>고체향수</t>
        </is>
      </c>
      <c r="K8038" s="20" t="n">
        <v>203132</v>
      </c>
    </row>
    <row r="8039">
      <c r="A8039" s="20" t="inlineStr">
        <is>
          <t>[승무원]2019년썰 카드뉴스+ 향묘사_영상</t>
        </is>
      </c>
      <c r="B8039" s="16" t="n">
        <v>44323</v>
      </c>
      <c r="C8039" s="20" t="inlineStr">
        <is>
          <t>금</t>
        </is>
      </c>
      <c r="D8039" s="20" t="inlineStr">
        <is>
          <t>페이스북/인스타그램</t>
        </is>
      </c>
      <c r="E8039" s="20" t="inlineStr">
        <is>
          <t>고체향수</t>
        </is>
      </c>
      <c r="K8039" s="20" t="n">
        <v>49444</v>
      </c>
    </row>
    <row r="8040">
      <c r="A8040" s="20" t="inlineStr">
        <is>
          <t>[승무원어피]스테이포에버_이미지</t>
        </is>
      </c>
      <c r="B8040" s="16" t="n">
        <v>44323</v>
      </c>
      <c r="C8040" s="20" t="inlineStr">
        <is>
          <t>금</t>
        </is>
      </c>
      <c r="D8040" s="20" t="inlineStr">
        <is>
          <t>페이스북/인스타그램</t>
        </is>
      </c>
      <c r="E8040" s="20" t="inlineStr">
        <is>
          <t>고체향수</t>
        </is>
      </c>
      <c r="K8040" s="20" t="n">
        <v>98820</v>
      </c>
    </row>
    <row r="8041">
      <c r="A8041" s="20" t="inlineStr">
        <is>
          <t>[다현]스테이포에버_이미지</t>
        </is>
      </c>
      <c r="B8041" s="16" t="n">
        <v>44323</v>
      </c>
      <c r="C8041" s="20" t="inlineStr">
        <is>
          <t>금</t>
        </is>
      </c>
      <c r="D8041" s="20" t="inlineStr">
        <is>
          <t>페이스북/인스타그램</t>
        </is>
      </c>
      <c r="E8041" s="20" t="inlineStr">
        <is>
          <t>고체향수</t>
        </is>
      </c>
      <c r="K8041" s="20" t="n">
        <v>98690</v>
      </c>
    </row>
    <row r="8042">
      <c r="A8042" s="20" t="inlineStr">
        <is>
          <t>[승무원]스테이포에버_카드뉴스</t>
        </is>
      </c>
      <c r="B8042" s="16" t="n">
        <v>44323</v>
      </c>
      <c r="C8042" s="20" t="inlineStr">
        <is>
          <t>금</t>
        </is>
      </c>
      <c r="D8042" s="20" t="inlineStr">
        <is>
          <t>페이스북/인스타그램</t>
        </is>
      </c>
      <c r="E8042" s="20" t="inlineStr">
        <is>
          <t>고체향수</t>
        </is>
      </c>
      <c r="K8042" s="20" t="n">
        <v>4407</v>
      </c>
    </row>
    <row r="8043">
      <c r="A8043" s="20" t="inlineStr">
        <is>
          <t>[후기타입]스테이포에버_영상</t>
        </is>
      </c>
      <c r="B8043" s="16" t="n">
        <v>44323</v>
      </c>
      <c r="C8043" s="20" t="inlineStr">
        <is>
          <t>금</t>
        </is>
      </c>
      <c r="D8043" s="20" t="inlineStr">
        <is>
          <t>페이스북/인스타그램</t>
        </is>
      </c>
      <c r="E8043" s="20" t="inlineStr">
        <is>
          <t>고체향수</t>
        </is>
      </c>
      <c r="K8043" s="20" t="n">
        <v>97212</v>
      </c>
    </row>
    <row r="8044">
      <c r="A8044" s="20" t="inlineStr">
        <is>
          <t>전환_스테이포에버</t>
        </is>
      </c>
      <c r="B8044" s="16" t="n">
        <v>44323</v>
      </c>
      <c r="C8044" s="20" t="inlineStr">
        <is>
          <t>금</t>
        </is>
      </c>
      <c r="D8044" s="20" t="inlineStr">
        <is>
          <t>페이스북/인스타그램</t>
        </is>
      </c>
      <c r="E8044" s="20" t="inlineStr">
        <is>
          <t>고체향수</t>
        </is>
      </c>
      <c r="K8044" s="20" t="n">
        <v>99980</v>
      </c>
    </row>
    <row r="8045">
      <c r="A8045" s="20" t="inlineStr">
        <is>
          <t>[권태기커플]스테이포에버_영상</t>
        </is>
      </c>
      <c r="B8045" s="16" t="n">
        <v>44323</v>
      </c>
      <c r="C8045" s="20" t="inlineStr">
        <is>
          <t>금</t>
        </is>
      </c>
      <c r="D8045" s="20" t="inlineStr">
        <is>
          <t>페이스북/인스타그램</t>
        </is>
      </c>
      <c r="E8045" s="20" t="inlineStr">
        <is>
          <t>고체향수</t>
        </is>
      </c>
      <c r="K8045" s="20" t="n">
        <v>30170</v>
      </c>
    </row>
    <row r="8046">
      <c r="A8046" s="20" t="inlineStr">
        <is>
          <t>[수현 TEST] 스테이포에버_카드뉴스</t>
        </is>
      </c>
      <c r="B8046" s="16" t="n">
        <v>44324</v>
      </c>
      <c r="C8046" s="20" t="inlineStr">
        <is>
          <t>토</t>
        </is>
      </c>
      <c r="K8046" s="20" t="n">
        <v>45642</v>
      </c>
    </row>
    <row r="8047">
      <c r="A8047" s="20" t="inlineStr">
        <is>
          <t>[수현 TEST] 솔리드퍼퓸_이미지</t>
        </is>
      </c>
      <c r="B8047" s="16" t="n">
        <v>44324</v>
      </c>
      <c r="C8047" s="20" t="inlineStr">
        <is>
          <t>토</t>
        </is>
      </c>
      <c r="D8047" s="20" t="inlineStr">
        <is>
          <t>페이스북/인스타그램</t>
        </is>
      </c>
      <c r="E8047" s="20" t="inlineStr">
        <is>
          <t>고체향수</t>
        </is>
      </c>
      <c r="K8047" s="20" t="n">
        <v>50506</v>
      </c>
    </row>
    <row r="8048">
      <c r="A8048" s="20" t="inlineStr">
        <is>
          <t>[승은 TEST] 스테이포에버</t>
        </is>
      </c>
      <c r="B8048" s="16" t="n">
        <v>44324</v>
      </c>
      <c r="C8048" s="20" t="inlineStr">
        <is>
          <t>토</t>
        </is>
      </c>
      <c r="D8048" s="20" t="inlineStr">
        <is>
          <t>페이스북/인스타그램</t>
        </is>
      </c>
      <c r="E8048" s="20" t="inlineStr">
        <is>
          <t>고체향수</t>
        </is>
      </c>
      <c r="K8048" s="20" t="n">
        <v>101064</v>
      </c>
    </row>
    <row r="8049">
      <c r="A8049" s="20" t="inlineStr">
        <is>
          <t>[비누향 덕후] 스테이포에버_카드뉴스</t>
        </is>
      </c>
      <c r="B8049" s="16" t="n">
        <v>44324</v>
      </c>
      <c r="C8049" s="20" t="inlineStr">
        <is>
          <t>토</t>
        </is>
      </c>
      <c r="D8049" s="20" t="inlineStr">
        <is>
          <t>페이스북/인스타그램</t>
        </is>
      </c>
      <c r="E8049" s="20" t="inlineStr">
        <is>
          <t>고체향수</t>
        </is>
      </c>
      <c r="K8049" s="20" t="n">
        <v>147106</v>
      </c>
    </row>
    <row r="8050">
      <c r="A8050" s="20" t="inlineStr">
        <is>
          <t>[비누향 인연] 스테이포에버_카드뉴스</t>
        </is>
      </c>
      <c r="B8050" s="16" t="n">
        <v>44324</v>
      </c>
      <c r="C8050" s="20" t="inlineStr">
        <is>
          <t>토</t>
        </is>
      </c>
      <c r="D8050" s="20" t="inlineStr">
        <is>
          <t>페이스북/인스타그램</t>
        </is>
      </c>
      <c r="E8050" s="20" t="inlineStr">
        <is>
          <t>고체향수</t>
        </is>
      </c>
      <c r="K8050" s="20" t="n">
        <v>69441</v>
      </c>
    </row>
    <row r="8051">
      <c r="A8051" s="20" t="inlineStr">
        <is>
          <t>[성민 TEST] 솔리드퍼퓸_이미지</t>
        </is>
      </c>
      <c r="B8051" s="16" t="n">
        <v>44324</v>
      </c>
      <c r="C8051" s="20" t="inlineStr">
        <is>
          <t>토</t>
        </is>
      </c>
      <c r="D8051" s="20" t="inlineStr">
        <is>
          <t>페이스북/인스타그램</t>
        </is>
      </c>
      <c r="E8051" s="20" t="inlineStr">
        <is>
          <t>고체향수</t>
        </is>
      </c>
      <c r="K8051" s="20" t="n">
        <v>31526</v>
      </c>
    </row>
    <row r="8052">
      <c r="A8052" s="20" t="inlineStr">
        <is>
          <t>[승무원]유튜브_스테이포에버_카드뉴스</t>
        </is>
      </c>
      <c r="B8052" s="16" t="n">
        <v>44324</v>
      </c>
      <c r="C8052" s="20" t="inlineStr">
        <is>
          <t>토</t>
        </is>
      </c>
      <c r="D8052" s="20" t="inlineStr">
        <is>
          <t>페이스북/인스타그램</t>
        </is>
      </c>
      <c r="E8052" s="20" t="inlineStr">
        <is>
          <t>고체향수</t>
        </is>
      </c>
      <c r="K8052" s="20" t="n">
        <v>97159</v>
      </c>
    </row>
    <row r="8053">
      <c r="A8053" s="20" t="inlineStr">
        <is>
          <t>[올리브영] 이그나이트_영상</t>
        </is>
      </c>
      <c r="B8053" s="16" t="n">
        <v>44324</v>
      </c>
      <c r="C8053" s="20" t="inlineStr">
        <is>
          <t>토</t>
        </is>
      </c>
      <c r="D8053" s="20" t="inlineStr">
        <is>
          <t>페이스북/인스타그램</t>
        </is>
      </c>
      <c r="E8053" s="20" t="inlineStr">
        <is>
          <t>고체향수</t>
        </is>
      </c>
      <c r="K8053" s="20" t="n">
        <v>32131</v>
      </c>
    </row>
    <row r="8054">
      <c r="A8054" s="20" t="inlineStr">
        <is>
          <t>[승희 TEST] 솔리드퍼퓸_이미지</t>
        </is>
      </c>
      <c r="B8054" s="16" t="n">
        <v>44324</v>
      </c>
      <c r="C8054" s="20" t="inlineStr">
        <is>
          <t>토</t>
        </is>
      </c>
      <c r="D8054" s="20" t="inlineStr">
        <is>
          <t>페이스북/인스타그램</t>
        </is>
      </c>
      <c r="E8054" s="20" t="inlineStr">
        <is>
          <t>고체향수</t>
        </is>
      </c>
      <c r="K8054" s="20" t="n">
        <v>111116</v>
      </c>
    </row>
    <row r="8055">
      <c r="A8055" s="20" t="inlineStr">
        <is>
          <t>[올리브영] 스테이포에버_영상</t>
        </is>
      </c>
      <c r="B8055" s="16" t="n">
        <v>44324</v>
      </c>
      <c r="C8055" s="20" t="inlineStr">
        <is>
          <t>토</t>
        </is>
      </c>
      <c r="D8055" s="20" t="inlineStr">
        <is>
          <t>페이스북/인스타그램</t>
        </is>
      </c>
      <c r="E8055" s="20" t="inlineStr">
        <is>
          <t>고체향수</t>
        </is>
      </c>
      <c r="K8055" s="20" t="n">
        <v>54419</v>
      </c>
    </row>
    <row r="8056">
      <c r="A8056" s="20" t="inlineStr">
        <is>
          <t>[올리브영] 스테이포에버_이미지</t>
        </is>
      </c>
      <c r="B8056" s="16" t="n">
        <v>44324</v>
      </c>
      <c r="C8056" s="20" t="inlineStr">
        <is>
          <t>토</t>
        </is>
      </c>
      <c r="D8056" s="20" t="inlineStr">
        <is>
          <t>페이스북/인스타그램</t>
        </is>
      </c>
      <c r="E8056" s="20" t="inlineStr">
        <is>
          <t>고체향수</t>
        </is>
      </c>
      <c r="K8056" s="20" t="n">
        <v>32516</v>
      </c>
    </row>
    <row r="8057">
      <c r="A8057" s="20" t="inlineStr">
        <is>
          <t>[승무원] 유튜브재편집_스테이포에버_영상</t>
        </is>
      </c>
      <c r="B8057" s="16" t="n">
        <v>44324</v>
      </c>
      <c r="C8057" s="20" t="inlineStr">
        <is>
          <t>토</t>
        </is>
      </c>
      <c r="D8057" s="20" t="inlineStr">
        <is>
          <t>페이스북/인스타그램</t>
        </is>
      </c>
      <c r="E8057" s="20" t="inlineStr">
        <is>
          <t>고체향수</t>
        </is>
      </c>
      <c r="K8057" s="20" t="n">
        <v>889146</v>
      </c>
    </row>
    <row r="8058">
      <c r="A8058" s="20" t="inlineStr">
        <is>
          <t>[승무원 면세점] 스테이포에버_카드뉴스</t>
        </is>
      </c>
      <c r="B8058" s="16" t="n">
        <v>44324</v>
      </c>
      <c r="C8058" s="20" t="inlineStr">
        <is>
          <t>토</t>
        </is>
      </c>
      <c r="D8058" s="20" t="inlineStr">
        <is>
          <t>페이스북/인스타그램</t>
        </is>
      </c>
      <c r="E8058" s="20" t="inlineStr">
        <is>
          <t>고체향수</t>
        </is>
      </c>
      <c r="K8058" s="20" t="n">
        <v>200394</v>
      </c>
    </row>
    <row r="8059">
      <c r="A8059" s="20" t="inlineStr">
        <is>
          <t>[카페알바] 스테이포에버_카드뉴스</t>
        </is>
      </c>
      <c r="B8059" s="16" t="n">
        <v>44324</v>
      </c>
      <c r="C8059" s="20" t="inlineStr">
        <is>
          <t>토</t>
        </is>
      </c>
      <c r="D8059" s="20" t="inlineStr">
        <is>
          <t>페이스북/인스타그램</t>
        </is>
      </c>
      <c r="E8059" s="20" t="inlineStr">
        <is>
          <t>고체향수</t>
        </is>
      </c>
      <c r="K8059" s="20" t="n">
        <v>104146</v>
      </c>
    </row>
    <row r="8060">
      <c r="A8060" s="20" t="inlineStr">
        <is>
          <t>[아줌마]스테이포에버_이미지</t>
        </is>
      </c>
      <c r="B8060" s="16" t="n">
        <v>44324</v>
      </c>
      <c r="C8060" s="20" t="inlineStr">
        <is>
          <t>토</t>
        </is>
      </c>
      <c r="D8060" s="20" t="inlineStr">
        <is>
          <t>페이스북/인스타그램</t>
        </is>
      </c>
      <c r="E8060" s="20" t="inlineStr">
        <is>
          <t>고체향수</t>
        </is>
      </c>
      <c r="K8060" s="20" t="n">
        <v>50697</v>
      </c>
    </row>
    <row r="8061">
      <c r="A8061" s="20" t="inlineStr">
        <is>
          <t>[다양한 키워드] 스테이포에버_이미지</t>
        </is>
      </c>
      <c r="B8061" s="16" t="n">
        <v>44324</v>
      </c>
      <c r="C8061" s="20" t="inlineStr">
        <is>
          <t>토</t>
        </is>
      </c>
      <c r="D8061" s="20" t="inlineStr">
        <is>
          <t>페이스북/인스타그램</t>
        </is>
      </c>
      <c r="E8061" s="20" t="inlineStr">
        <is>
          <t>고체향수</t>
        </is>
      </c>
      <c r="K8061" s="20" t="n">
        <v>232565</v>
      </c>
    </row>
    <row r="8062">
      <c r="A8062" s="20" t="inlineStr">
        <is>
          <t>[재입고]스테이포에버_이미지</t>
        </is>
      </c>
      <c r="B8062" s="16" t="n">
        <v>44324</v>
      </c>
      <c r="C8062" s="20" t="inlineStr">
        <is>
          <t>토</t>
        </is>
      </c>
      <c r="D8062" s="20" t="inlineStr">
        <is>
          <t>페이스북/인스타그램</t>
        </is>
      </c>
      <c r="E8062" s="20" t="inlineStr">
        <is>
          <t>고체향수</t>
        </is>
      </c>
      <c r="K8062" s="20" t="n">
        <v>50567</v>
      </c>
    </row>
    <row r="8063">
      <c r="A8063" s="20" t="inlineStr">
        <is>
          <t>[승무원]숏폼_영상</t>
        </is>
      </c>
      <c r="B8063" s="16" t="n">
        <v>44324</v>
      </c>
      <c r="C8063" s="20" t="inlineStr">
        <is>
          <t>토</t>
        </is>
      </c>
      <c r="D8063" s="20" t="inlineStr">
        <is>
          <t>페이스북/인스타그램</t>
        </is>
      </c>
      <c r="E8063" s="20" t="inlineStr">
        <is>
          <t>고체향수</t>
        </is>
      </c>
      <c r="K8063" s="20" t="n">
        <v>52158</v>
      </c>
    </row>
    <row r="8064">
      <c r="A8064" s="20" t="inlineStr">
        <is>
          <t>[재입고]스테이포에버_영상</t>
        </is>
      </c>
      <c r="B8064" s="16" t="n">
        <v>44324</v>
      </c>
      <c r="C8064" s="20" t="inlineStr">
        <is>
          <t>토</t>
        </is>
      </c>
      <c r="D8064" s="20" t="inlineStr">
        <is>
          <t>페이스북/인스타그램</t>
        </is>
      </c>
      <c r="E8064" s="20" t="inlineStr">
        <is>
          <t>고체향수</t>
        </is>
      </c>
      <c r="K8064" s="20" t="n">
        <v>214533</v>
      </c>
    </row>
    <row r="8065">
      <c r="A8065" s="20" t="inlineStr">
        <is>
          <t>[승무원]2019년썰 카드뉴스+ 향묘사_영상</t>
        </is>
      </c>
      <c r="B8065" s="16" t="n">
        <v>44324</v>
      </c>
      <c r="C8065" s="20" t="inlineStr">
        <is>
          <t>토</t>
        </is>
      </c>
      <c r="D8065" s="20" t="inlineStr">
        <is>
          <t>페이스북/인스타그램</t>
        </is>
      </c>
      <c r="E8065" s="20" t="inlineStr">
        <is>
          <t>고체향수</t>
        </is>
      </c>
      <c r="K8065" s="20" t="n">
        <v>52692</v>
      </c>
    </row>
    <row r="8066">
      <c r="A8066" s="20" t="inlineStr">
        <is>
          <t>[승무원어피]스테이포에버_이미지</t>
        </is>
      </c>
      <c r="B8066" s="16" t="n">
        <v>44324</v>
      </c>
      <c r="C8066" s="20" t="inlineStr">
        <is>
          <t>토</t>
        </is>
      </c>
      <c r="D8066" s="20" t="inlineStr">
        <is>
          <t>페이스북/인스타그램</t>
        </is>
      </c>
      <c r="E8066" s="20" t="inlineStr">
        <is>
          <t>고체향수</t>
        </is>
      </c>
      <c r="K8066" s="20" t="n">
        <v>102512</v>
      </c>
    </row>
    <row r="8067">
      <c r="A8067" s="20" t="inlineStr">
        <is>
          <t>[다현]스테이포에버_이미지</t>
        </is>
      </c>
      <c r="B8067" s="16" t="n">
        <v>44324</v>
      </c>
      <c r="C8067" s="20" t="inlineStr">
        <is>
          <t>토</t>
        </is>
      </c>
      <c r="D8067" s="20" t="inlineStr">
        <is>
          <t>페이스북/인스타그램</t>
        </is>
      </c>
      <c r="E8067" s="20" t="inlineStr">
        <is>
          <t>고체향수</t>
        </is>
      </c>
      <c r="K8067" s="20" t="n">
        <v>103732</v>
      </c>
    </row>
    <row r="8068">
      <c r="A8068" s="20" t="inlineStr">
        <is>
          <t>[후기타입]스테이포에버_영상</t>
        </is>
      </c>
      <c r="B8068" s="16" t="n">
        <v>44324</v>
      </c>
      <c r="C8068" s="20" t="inlineStr">
        <is>
          <t>토</t>
        </is>
      </c>
      <c r="D8068" s="20" t="inlineStr">
        <is>
          <t>페이스북/인스타그램</t>
        </is>
      </c>
      <c r="E8068" s="20" t="inlineStr">
        <is>
          <t>고체향수</t>
        </is>
      </c>
      <c r="K8068" s="20" t="n">
        <v>102644</v>
      </c>
    </row>
    <row r="8069">
      <c r="A8069" s="20" t="inlineStr">
        <is>
          <t>전환_스테이포에버</t>
        </is>
      </c>
      <c r="B8069" s="16" t="n">
        <v>44324</v>
      </c>
      <c r="C8069" s="20" t="inlineStr">
        <is>
          <t>토</t>
        </is>
      </c>
      <c r="D8069" s="20" t="inlineStr">
        <is>
          <t>페이스북/인스타그램</t>
        </is>
      </c>
      <c r="E8069" s="20" t="inlineStr">
        <is>
          <t>고체향수</t>
        </is>
      </c>
      <c r="K8069" s="20" t="n">
        <v>103216</v>
      </c>
    </row>
    <row r="8070">
      <c r="A8070" s="20" t="inlineStr">
        <is>
          <t>[권태기커플]스테이포에버_영상</t>
        </is>
      </c>
      <c r="B8070" s="16" t="n">
        <v>44324</v>
      </c>
      <c r="C8070" s="20" t="inlineStr">
        <is>
          <t>토</t>
        </is>
      </c>
      <c r="D8070" s="20" t="inlineStr">
        <is>
          <t>페이스북/인스타그램</t>
        </is>
      </c>
      <c r="E8070" s="20" t="inlineStr">
        <is>
          <t>고체향수</t>
        </is>
      </c>
      <c r="K8070" s="20" t="n">
        <v>30586</v>
      </c>
    </row>
    <row r="8071">
      <c r="A8071" s="20" t="inlineStr">
        <is>
          <t>[수현 TEST] 스테이포에버_카드뉴스</t>
        </is>
      </c>
      <c r="B8071" s="16" t="n">
        <v>44325</v>
      </c>
      <c r="C8071" s="20" t="inlineStr">
        <is>
          <t>일</t>
        </is>
      </c>
      <c r="K8071" s="20" t="n">
        <v>50213</v>
      </c>
    </row>
    <row r="8072">
      <c r="A8072" s="20" t="inlineStr">
        <is>
          <t>[수현 TEST] 솔리드퍼퓸_이미지</t>
        </is>
      </c>
      <c r="B8072" s="16" t="n">
        <v>44325</v>
      </c>
      <c r="C8072" s="20" t="inlineStr">
        <is>
          <t>일</t>
        </is>
      </c>
      <c r="D8072" s="20" t="inlineStr">
        <is>
          <t>페이스북/인스타그램</t>
        </is>
      </c>
      <c r="E8072" s="20" t="inlineStr">
        <is>
          <t>고체향수</t>
        </is>
      </c>
      <c r="K8072" s="20" t="n">
        <v>50322</v>
      </c>
    </row>
    <row r="8073">
      <c r="A8073" s="20" t="inlineStr">
        <is>
          <t>[승은 TEST] 스테이포에버</t>
        </is>
      </c>
      <c r="B8073" s="16" t="n">
        <v>44325</v>
      </c>
      <c r="C8073" s="20" t="inlineStr">
        <is>
          <t>일</t>
        </is>
      </c>
      <c r="D8073" s="20" t="inlineStr">
        <is>
          <t>페이스북/인스타그램</t>
        </is>
      </c>
      <c r="E8073" s="20" t="inlineStr">
        <is>
          <t>고체향수</t>
        </is>
      </c>
      <c r="K8073" s="20" t="n">
        <v>100752</v>
      </c>
    </row>
    <row r="8074">
      <c r="A8074" s="20" t="inlineStr">
        <is>
          <t>[비누향 덕후] 스테이포에버_카드뉴스</t>
        </is>
      </c>
      <c r="B8074" s="16" t="n">
        <v>44325</v>
      </c>
      <c r="C8074" s="20" t="inlineStr">
        <is>
          <t>일</t>
        </is>
      </c>
      <c r="D8074" s="20" t="inlineStr">
        <is>
          <t>페이스북/인스타그램</t>
        </is>
      </c>
      <c r="E8074" s="20" t="inlineStr">
        <is>
          <t>고체향수</t>
        </is>
      </c>
      <c r="K8074" s="20" t="n">
        <v>150327</v>
      </c>
    </row>
    <row r="8075">
      <c r="A8075" s="20" t="inlineStr">
        <is>
          <t>[비누향 인연] 스테이포에버_카드뉴스</t>
        </is>
      </c>
      <c r="B8075" s="16" t="n">
        <v>44325</v>
      </c>
      <c r="C8075" s="20" t="inlineStr">
        <is>
          <t>일</t>
        </is>
      </c>
      <c r="D8075" s="20" t="inlineStr">
        <is>
          <t>페이스북/인스타그램</t>
        </is>
      </c>
      <c r="E8075" s="20" t="inlineStr">
        <is>
          <t>고체향수</t>
        </is>
      </c>
      <c r="K8075" s="20" t="n">
        <v>71034</v>
      </c>
    </row>
    <row r="8076">
      <c r="A8076" s="20" t="inlineStr">
        <is>
          <t>[성민 TEST] 솔리드퍼퓸_이미지</t>
        </is>
      </c>
      <c r="B8076" s="16" t="n">
        <v>44325</v>
      </c>
      <c r="C8076" s="20" t="inlineStr">
        <is>
          <t>일</t>
        </is>
      </c>
      <c r="D8076" s="20" t="inlineStr">
        <is>
          <t>페이스북/인스타그램</t>
        </is>
      </c>
      <c r="E8076" s="20" t="inlineStr">
        <is>
          <t>고체향수</t>
        </is>
      </c>
      <c r="K8076" s="20" t="n">
        <v>30334</v>
      </c>
    </row>
    <row r="8077">
      <c r="A8077" s="20" t="inlineStr">
        <is>
          <t>[승무원]유튜브_스테이포에버_카드뉴스</t>
        </is>
      </c>
      <c r="B8077" s="16" t="n">
        <v>44325</v>
      </c>
      <c r="C8077" s="20" t="inlineStr">
        <is>
          <t>일</t>
        </is>
      </c>
      <c r="D8077" s="20" t="inlineStr">
        <is>
          <t>페이스북/인스타그램</t>
        </is>
      </c>
      <c r="E8077" s="20" t="inlineStr">
        <is>
          <t>고체향수</t>
        </is>
      </c>
      <c r="K8077" s="20" t="n">
        <v>100365</v>
      </c>
    </row>
    <row r="8078">
      <c r="A8078" s="20" t="inlineStr">
        <is>
          <t>[올리브영] 이그나이트_영상</t>
        </is>
      </c>
      <c r="B8078" s="16" t="n">
        <v>44325</v>
      </c>
      <c r="C8078" s="20" t="inlineStr">
        <is>
          <t>일</t>
        </is>
      </c>
      <c r="D8078" s="20" t="inlineStr">
        <is>
          <t>페이스북/인스타그램</t>
        </is>
      </c>
      <c r="E8078" s="20" t="inlineStr">
        <is>
          <t>고체향수</t>
        </is>
      </c>
      <c r="K8078" s="20" t="n">
        <v>30241</v>
      </c>
    </row>
    <row r="8079">
      <c r="A8079" s="20" t="inlineStr">
        <is>
          <t>[승희 TEST] 솔리드퍼퓸_이미지</t>
        </is>
      </c>
      <c r="B8079" s="16" t="n">
        <v>44325</v>
      </c>
      <c r="C8079" s="20" t="inlineStr">
        <is>
          <t>일</t>
        </is>
      </c>
      <c r="D8079" s="20" t="inlineStr">
        <is>
          <t>페이스북/인스타그램</t>
        </is>
      </c>
      <c r="E8079" s="20" t="inlineStr">
        <is>
          <t>고체향수</t>
        </is>
      </c>
      <c r="K8079" s="20" t="n">
        <v>110200</v>
      </c>
    </row>
    <row r="8080">
      <c r="A8080" s="20" t="inlineStr">
        <is>
          <t>[올리브영] 스테이포에버_영상</t>
        </is>
      </c>
      <c r="B8080" s="16" t="n">
        <v>44325</v>
      </c>
      <c r="C8080" s="20" t="inlineStr">
        <is>
          <t>일</t>
        </is>
      </c>
      <c r="D8080" s="20" t="inlineStr">
        <is>
          <t>페이스북/인스타그램</t>
        </is>
      </c>
      <c r="E8080" s="20" t="inlineStr">
        <is>
          <t>고체향수</t>
        </is>
      </c>
      <c r="K8080" s="20" t="n">
        <v>50501</v>
      </c>
    </row>
    <row r="8081">
      <c r="A8081" s="20" t="inlineStr">
        <is>
          <t>[올리브영] 스테이포에버_이미지</t>
        </is>
      </c>
      <c r="B8081" s="16" t="n">
        <v>44325</v>
      </c>
      <c r="C8081" s="20" t="inlineStr">
        <is>
          <t>일</t>
        </is>
      </c>
      <c r="D8081" s="20" t="inlineStr">
        <is>
          <t>페이스북/인스타그램</t>
        </is>
      </c>
      <c r="E8081" s="20" t="inlineStr">
        <is>
          <t>고체향수</t>
        </is>
      </c>
      <c r="K8081" s="20" t="n">
        <v>30467</v>
      </c>
    </row>
    <row r="8082">
      <c r="A8082" s="20" t="inlineStr">
        <is>
          <t>[승무원] 유튜브재편집_스테이포에버_영상</t>
        </is>
      </c>
      <c r="B8082" s="16" t="n">
        <v>44325</v>
      </c>
      <c r="C8082" s="20" t="inlineStr">
        <is>
          <t>일</t>
        </is>
      </c>
      <c r="D8082" s="20" t="inlineStr">
        <is>
          <t>페이스북/인스타그램</t>
        </is>
      </c>
      <c r="E8082" s="20" t="inlineStr">
        <is>
          <t>고체향수</t>
        </is>
      </c>
      <c r="K8082" s="20" t="n">
        <v>850626</v>
      </c>
    </row>
    <row r="8083">
      <c r="A8083" s="20" t="inlineStr">
        <is>
          <t>[승무원 면세점] 스테이포에버_카드뉴스</t>
        </is>
      </c>
      <c r="B8083" s="16" t="n">
        <v>44325</v>
      </c>
      <c r="C8083" s="20" t="inlineStr">
        <is>
          <t>일</t>
        </is>
      </c>
      <c r="D8083" s="20" t="inlineStr">
        <is>
          <t>페이스북/인스타그램</t>
        </is>
      </c>
      <c r="E8083" s="20" t="inlineStr">
        <is>
          <t>고체향수</t>
        </is>
      </c>
      <c r="K8083" s="20" t="n">
        <v>200353</v>
      </c>
    </row>
    <row r="8084">
      <c r="A8084" s="20" t="inlineStr">
        <is>
          <t>[카페알바] 스테이포에버_카드뉴스</t>
        </is>
      </c>
      <c r="B8084" s="16" t="n">
        <v>44325</v>
      </c>
      <c r="C8084" s="20" t="inlineStr">
        <is>
          <t>일</t>
        </is>
      </c>
      <c r="D8084" s="20" t="inlineStr">
        <is>
          <t>페이스북/인스타그램</t>
        </is>
      </c>
      <c r="E8084" s="20" t="inlineStr">
        <is>
          <t>고체향수</t>
        </is>
      </c>
      <c r="K8084" s="20" t="n">
        <v>100298</v>
      </c>
    </row>
    <row r="8085">
      <c r="A8085" s="20" t="inlineStr">
        <is>
          <t>[아줌마]스테이포에버_이미지</t>
        </is>
      </c>
      <c r="B8085" s="16" t="n">
        <v>44325</v>
      </c>
      <c r="C8085" s="20" t="inlineStr">
        <is>
          <t>일</t>
        </is>
      </c>
      <c r="D8085" s="20" t="inlineStr">
        <is>
          <t>페이스북/인스타그램</t>
        </is>
      </c>
      <c r="E8085" s="20" t="inlineStr">
        <is>
          <t>고체향수</t>
        </is>
      </c>
      <c r="K8085" s="20" t="n">
        <v>50427</v>
      </c>
    </row>
    <row r="8086">
      <c r="A8086" s="20" t="inlineStr">
        <is>
          <t>[다양한 키워드] 스테이포에버_이미지</t>
        </is>
      </c>
      <c r="B8086" s="16" t="n">
        <v>44325</v>
      </c>
      <c r="C8086" s="20" t="inlineStr">
        <is>
          <t>일</t>
        </is>
      </c>
      <c r="D8086" s="20" t="inlineStr">
        <is>
          <t>페이스북/인스타그램</t>
        </is>
      </c>
      <c r="E8086" s="20" t="inlineStr">
        <is>
          <t>고체향수</t>
        </is>
      </c>
      <c r="K8086" s="20" t="n">
        <v>241262</v>
      </c>
    </row>
    <row r="8087">
      <c r="A8087" s="20" t="inlineStr">
        <is>
          <t>[재입고]스테이포에버_이미지</t>
        </is>
      </c>
      <c r="B8087" s="16" t="n">
        <v>44325</v>
      </c>
      <c r="C8087" s="20" t="inlineStr">
        <is>
          <t>일</t>
        </is>
      </c>
      <c r="D8087" s="20" t="inlineStr">
        <is>
          <t>페이스북/인스타그램</t>
        </is>
      </c>
      <c r="E8087" s="20" t="inlineStr">
        <is>
          <t>고체향수</t>
        </is>
      </c>
      <c r="K8087" s="20" t="n">
        <v>50321</v>
      </c>
    </row>
    <row r="8088">
      <c r="A8088" s="20" t="inlineStr">
        <is>
          <t>[승무원]숏폼_영상</t>
        </is>
      </c>
      <c r="B8088" s="16" t="n">
        <v>44325</v>
      </c>
      <c r="C8088" s="20" t="inlineStr">
        <is>
          <t>일</t>
        </is>
      </c>
      <c r="D8088" s="20" t="inlineStr">
        <is>
          <t>페이스북/인스타그램</t>
        </is>
      </c>
      <c r="E8088" s="20" t="inlineStr">
        <is>
          <t>고체향수</t>
        </is>
      </c>
      <c r="K8088" s="20" t="n">
        <v>50786</v>
      </c>
    </row>
    <row r="8089">
      <c r="A8089" s="20" t="inlineStr">
        <is>
          <t>[재입고]스테이포에버_영상</t>
        </is>
      </c>
      <c r="B8089" s="16" t="n">
        <v>44325</v>
      </c>
      <c r="C8089" s="20" t="inlineStr">
        <is>
          <t>일</t>
        </is>
      </c>
      <c r="D8089" s="20" t="inlineStr">
        <is>
          <t>페이스북/인스타그램</t>
        </is>
      </c>
      <c r="E8089" s="20" t="inlineStr">
        <is>
          <t>고체향수</t>
        </is>
      </c>
      <c r="K8089" s="20" t="n">
        <v>202031</v>
      </c>
    </row>
    <row r="8090">
      <c r="A8090" s="20" t="inlineStr">
        <is>
          <t>[승무원]2019년썰 카드뉴스+ 향묘사_영상</t>
        </is>
      </c>
      <c r="B8090" s="16" t="n">
        <v>44325</v>
      </c>
      <c r="C8090" s="20" t="inlineStr">
        <is>
          <t>일</t>
        </is>
      </c>
      <c r="D8090" s="20" t="inlineStr">
        <is>
          <t>페이스북/인스타그램</t>
        </is>
      </c>
      <c r="E8090" s="20" t="inlineStr">
        <is>
          <t>고체향수</t>
        </is>
      </c>
      <c r="K8090" s="20" t="n">
        <v>50585</v>
      </c>
    </row>
    <row r="8091">
      <c r="A8091" s="20" t="inlineStr">
        <is>
          <t>[승무원어피]스테이포에버_이미지</t>
        </is>
      </c>
      <c r="B8091" s="16" t="n">
        <v>44325</v>
      </c>
      <c r="C8091" s="20" t="inlineStr">
        <is>
          <t>일</t>
        </is>
      </c>
      <c r="D8091" s="20" t="inlineStr">
        <is>
          <t>페이스북/인스타그램</t>
        </is>
      </c>
      <c r="E8091" s="20" t="inlineStr">
        <is>
          <t>고체향수</t>
        </is>
      </c>
      <c r="K8091" s="20" t="n">
        <v>100400</v>
      </c>
    </row>
    <row r="8092">
      <c r="A8092" s="20" t="inlineStr">
        <is>
          <t>[다현]스테이포에버_이미지</t>
        </is>
      </c>
      <c r="B8092" s="16" t="n">
        <v>44325</v>
      </c>
      <c r="C8092" s="20" t="inlineStr">
        <is>
          <t>일</t>
        </is>
      </c>
      <c r="D8092" s="20" t="inlineStr">
        <is>
          <t>페이스북/인스타그램</t>
        </is>
      </c>
      <c r="E8092" s="20" t="inlineStr">
        <is>
          <t>고체향수</t>
        </is>
      </c>
      <c r="K8092" s="20" t="n">
        <v>100843</v>
      </c>
    </row>
    <row r="8093">
      <c r="A8093" s="20" t="inlineStr">
        <is>
          <t>[후기타입]스테이포에버_영상</t>
        </is>
      </c>
      <c r="B8093" s="16" t="n">
        <v>44325</v>
      </c>
      <c r="C8093" s="20" t="inlineStr">
        <is>
          <t>일</t>
        </is>
      </c>
      <c r="D8093" s="20" t="inlineStr">
        <is>
          <t>페이스북/인스타그램</t>
        </is>
      </c>
      <c r="E8093" s="20" t="inlineStr">
        <is>
          <t>고체향수</t>
        </is>
      </c>
      <c r="K8093" s="20" t="n">
        <v>100453</v>
      </c>
    </row>
    <row r="8094">
      <c r="A8094" s="20" t="inlineStr">
        <is>
          <t>전환_스테이포에버</t>
        </is>
      </c>
      <c r="B8094" s="16" t="n">
        <v>44325</v>
      </c>
      <c r="C8094" s="20" t="inlineStr">
        <is>
          <t>일</t>
        </is>
      </c>
      <c r="D8094" s="20" t="inlineStr">
        <is>
          <t>페이스북/인스타그램</t>
        </is>
      </c>
      <c r="E8094" s="20" t="inlineStr">
        <is>
          <t>고체향수</t>
        </is>
      </c>
      <c r="K8094" s="20" t="n">
        <v>100341</v>
      </c>
    </row>
    <row r="8095">
      <c r="A8095" s="20" t="inlineStr">
        <is>
          <t>[권태기커플]스테이포에버_영상</t>
        </is>
      </c>
      <c r="B8095" s="16" t="n">
        <v>44325</v>
      </c>
      <c r="C8095" s="20" t="inlineStr">
        <is>
          <t>일</t>
        </is>
      </c>
      <c r="D8095" s="20" t="inlineStr">
        <is>
          <t>페이스북/인스타그램</t>
        </is>
      </c>
      <c r="E8095" s="20" t="inlineStr">
        <is>
          <t>고체향수</t>
        </is>
      </c>
      <c r="K8095" s="20" t="n">
        <v>30115</v>
      </c>
    </row>
    <row r="8096">
      <c r="A8096" s="20" t="inlineStr">
        <is>
          <t>웹사이트 트래픽 서치</t>
        </is>
      </c>
      <c r="B8096" s="16" t="n">
        <v>44323</v>
      </c>
      <c r="C8096" s="20" t="inlineStr">
        <is>
          <t>금</t>
        </is>
      </c>
      <c r="D8096" s="20" t="inlineStr">
        <is>
          <t>유튜브 광고</t>
        </is>
      </c>
      <c r="E8096" s="20" t="inlineStr">
        <is>
          <t>고체향수</t>
        </is>
      </c>
      <c r="K8096" s="20" t="n">
        <v>23492</v>
      </c>
    </row>
    <row r="8097">
      <c r="A8097" s="20" t="inlineStr">
        <is>
          <t>동영상캠페인_승무원_보이는 라디오(cpa)</t>
        </is>
      </c>
      <c r="B8097" s="16" t="n">
        <v>44323</v>
      </c>
      <c r="C8097" s="20" t="inlineStr">
        <is>
          <t>금</t>
        </is>
      </c>
      <c r="D8097" s="20" t="inlineStr">
        <is>
          <t>유튜브 광고</t>
        </is>
      </c>
      <c r="E8097" s="20" t="inlineStr">
        <is>
          <t>고체향수</t>
        </is>
      </c>
      <c r="K8097" s="20" t="n">
        <v>4128</v>
      </c>
    </row>
    <row r="8098">
      <c r="A8098" s="20" t="inlineStr">
        <is>
          <t>디스커버리 배너_승무원,할인_리마케팅</t>
        </is>
      </c>
      <c r="B8098" s="16" t="n">
        <v>44323</v>
      </c>
      <c r="C8098" s="20" t="inlineStr">
        <is>
          <t>금</t>
        </is>
      </c>
      <c r="D8098" s="20" t="inlineStr">
        <is>
          <t>유튜브 광고</t>
        </is>
      </c>
      <c r="E8098" s="20" t="inlineStr">
        <is>
          <t>고체향수</t>
        </is>
      </c>
      <c r="K8098" s="20" t="n">
        <v>599221</v>
      </c>
    </row>
    <row r="8099">
      <c r="A8099" s="20" t="inlineStr">
        <is>
          <t>동영상캠페인_승무원_써니스카이</t>
        </is>
      </c>
      <c r="B8099" s="16" t="n">
        <v>44323</v>
      </c>
      <c r="C8099" s="20" t="inlineStr">
        <is>
          <t>금</t>
        </is>
      </c>
      <c r="D8099" s="20" t="inlineStr">
        <is>
          <t>유튜브 광고</t>
        </is>
      </c>
      <c r="E8099" s="20" t="inlineStr">
        <is>
          <t>고체향수</t>
        </is>
      </c>
      <c r="K8099" s="20" t="n">
        <v>54429</v>
      </c>
    </row>
    <row r="8100">
      <c r="A8100" s="20" t="inlineStr">
        <is>
          <t>[5화자] 동영상 캠페인_벨라의 비행일기</t>
        </is>
      </c>
      <c r="B8100" s="16" t="n">
        <v>44323</v>
      </c>
      <c r="C8100" s="20" t="inlineStr">
        <is>
          <t>금</t>
        </is>
      </c>
      <c r="D8100" s="20" t="inlineStr">
        <is>
          <t>유튜브 광고</t>
        </is>
      </c>
      <c r="E8100" s="20" t="inlineStr">
        <is>
          <t>고체향수</t>
        </is>
      </c>
      <c r="K8100" s="20" t="n">
        <v>393160</v>
      </c>
    </row>
    <row r="8101">
      <c r="A8101" s="20" t="inlineStr">
        <is>
          <t>[5화자] 동영상 캠페인_비행하고 여행하는 은선씨</t>
        </is>
      </c>
      <c r="B8101" s="16" t="n">
        <v>44323</v>
      </c>
      <c r="C8101" s="20" t="inlineStr">
        <is>
          <t>금</t>
        </is>
      </c>
      <c r="D8101" s="20" t="inlineStr">
        <is>
          <t>유튜브 광고</t>
        </is>
      </c>
      <c r="E8101" s="20" t="inlineStr">
        <is>
          <t>고체향수</t>
        </is>
      </c>
      <c r="K8101" s="20" t="n">
        <v>351395</v>
      </c>
    </row>
    <row r="8102">
      <c r="A8102" s="20" t="inlineStr">
        <is>
          <t>[5화자 재편집] 승무원_벨라_면세점에서 천만원</t>
        </is>
      </c>
      <c r="B8102" s="16" t="n">
        <v>44323</v>
      </c>
      <c r="C8102" s="20" t="inlineStr">
        <is>
          <t>금</t>
        </is>
      </c>
      <c r="D8102" s="20" t="inlineStr">
        <is>
          <t>유튜브 광고</t>
        </is>
      </c>
      <c r="E8102" s="20" t="inlineStr">
        <is>
          <t>고체향수</t>
        </is>
      </c>
      <c r="K8102" s="20" t="n">
        <v>401519</v>
      </c>
    </row>
    <row r="8103">
      <c r="A8103" s="20" t="inlineStr">
        <is>
          <t>동영상캠페인_유즈모먼트_면세점뒤졌는데</t>
        </is>
      </c>
      <c r="B8103" s="16" t="n">
        <v>44323</v>
      </c>
      <c r="C8103" s="20" t="inlineStr">
        <is>
          <t>금</t>
        </is>
      </c>
      <c r="D8103" s="20" t="inlineStr">
        <is>
          <t>유튜브 광고</t>
        </is>
      </c>
      <c r="E8103" s="20" t="inlineStr">
        <is>
          <t>고체향수</t>
        </is>
      </c>
      <c r="K8103" s="20" t="n">
        <v>401173</v>
      </c>
    </row>
    <row r="8104">
      <c r="A8104" s="20" t="inlineStr">
        <is>
          <t>동영상_유즈모먼트_06_비누향인연(cpa)</t>
        </is>
      </c>
      <c r="B8104" s="16" t="n">
        <v>44323</v>
      </c>
      <c r="C8104" s="20" t="inlineStr">
        <is>
          <t>금</t>
        </is>
      </c>
      <c r="D8104" s="20" t="inlineStr">
        <is>
          <t>유튜브 광고</t>
        </is>
      </c>
      <c r="E8104" s="20" t="inlineStr">
        <is>
          <t>고체향수</t>
        </is>
      </c>
      <c r="K8104" s="20" t="n">
        <v>39152</v>
      </c>
    </row>
    <row r="8105">
      <c r="A8105" s="20" t="inlineStr">
        <is>
          <t>웹사이트 트래픽 서치</t>
        </is>
      </c>
      <c r="B8105" s="16" t="n">
        <v>44324</v>
      </c>
      <c r="C8105" s="20" t="inlineStr">
        <is>
          <t>토</t>
        </is>
      </c>
      <c r="D8105" s="20" t="inlineStr">
        <is>
          <t>유튜브 광고</t>
        </is>
      </c>
      <c r="E8105" s="20" t="inlineStr">
        <is>
          <t>고체향수</t>
        </is>
      </c>
      <c r="K8105" s="20" t="n">
        <v>26886</v>
      </c>
    </row>
    <row r="8106">
      <c r="A8106" s="20" t="inlineStr">
        <is>
          <t>동영상캠페인_승무원_보이는 라디오(cpa)</t>
        </is>
      </c>
      <c r="B8106" s="16" t="n">
        <v>44324</v>
      </c>
      <c r="C8106" s="20" t="inlineStr">
        <is>
          <t>토</t>
        </is>
      </c>
      <c r="D8106" s="20" t="inlineStr">
        <is>
          <t>유튜브 광고</t>
        </is>
      </c>
      <c r="E8106" s="20" t="inlineStr">
        <is>
          <t>고체향수</t>
        </is>
      </c>
      <c r="K8106" s="20" t="n">
        <v>23176</v>
      </c>
    </row>
    <row r="8107">
      <c r="A8107" s="20" t="inlineStr">
        <is>
          <t>디스커버리 배너_승무원,할인_리마케팅</t>
        </is>
      </c>
      <c r="B8107" s="16" t="n">
        <v>44324</v>
      </c>
      <c r="C8107" s="20" t="inlineStr">
        <is>
          <t>토</t>
        </is>
      </c>
      <c r="D8107" s="20" t="inlineStr">
        <is>
          <t>유튜브 광고</t>
        </is>
      </c>
      <c r="E8107" s="20" t="inlineStr">
        <is>
          <t>고체향수</t>
        </is>
      </c>
      <c r="K8107" s="20" t="n">
        <v>595529</v>
      </c>
    </row>
    <row r="8108">
      <c r="A8108" s="20" t="inlineStr">
        <is>
          <t>동영상캠페인_승무원_써니스카이</t>
        </is>
      </c>
      <c r="B8108" s="16" t="n">
        <v>44324</v>
      </c>
      <c r="C8108" s="20" t="inlineStr">
        <is>
          <t>토</t>
        </is>
      </c>
      <c r="D8108" s="20" t="inlineStr">
        <is>
          <t>유튜브 광고</t>
        </is>
      </c>
      <c r="E8108" s="20" t="inlineStr">
        <is>
          <t>고체향수</t>
        </is>
      </c>
      <c r="K8108" s="20" t="n">
        <v>51528</v>
      </c>
    </row>
    <row r="8109">
      <c r="A8109" s="20" t="inlineStr">
        <is>
          <t>[5화자] 동영상 캠페인_벨라의 비행일기</t>
        </is>
      </c>
      <c r="B8109" s="16" t="n">
        <v>44324</v>
      </c>
      <c r="C8109" s="20" t="inlineStr">
        <is>
          <t>토</t>
        </is>
      </c>
      <c r="D8109" s="20" t="inlineStr">
        <is>
          <t>유튜브 광고</t>
        </is>
      </c>
      <c r="E8109" s="20" t="inlineStr">
        <is>
          <t>고체향수</t>
        </is>
      </c>
      <c r="K8109" s="20" t="n">
        <v>392102</v>
      </c>
    </row>
    <row r="8110">
      <c r="A8110" s="20" t="inlineStr">
        <is>
          <t>[5화자] 동영상 캠페인_비행하고 여행하는 은선씨</t>
        </is>
      </c>
      <c r="B8110" s="16" t="n">
        <v>44324</v>
      </c>
      <c r="C8110" s="20" t="inlineStr">
        <is>
          <t>토</t>
        </is>
      </c>
      <c r="D8110" s="20" t="inlineStr">
        <is>
          <t>유튜브 광고</t>
        </is>
      </c>
      <c r="E8110" s="20" t="inlineStr">
        <is>
          <t>고체향수</t>
        </is>
      </c>
      <c r="K8110" s="20" t="n">
        <v>349612</v>
      </c>
    </row>
    <row r="8111">
      <c r="A8111" s="20" t="inlineStr">
        <is>
          <t>[5화자 재편집] 승무원_벨라_면세점에서 천만원</t>
        </is>
      </c>
      <c r="B8111" s="16" t="n">
        <v>44324</v>
      </c>
      <c r="C8111" s="20" t="inlineStr">
        <is>
          <t>토</t>
        </is>
      </c>
      <c r="D8111" s="20" t="inlineStr">
        <is>
          <t>유튜브 광고</t>
        </is>
      </c>
      <c r="E8111" s="20" t="inlineStr">
        <is>
          <t>고체향수</t>
        </is>
      </c>
      <c r="K8111" s="20" t="n">
        <v>399986</v>
      </c>
    </row>
    <row r="8112">
      <c r="A8112" s="20" t="inlineStr">
        <is>
          <t>동영상캠페인_유즈모먼트_면세점뒤졌는데</t>
        </is>
      </c>
      <c r="B8112" s="16" t="n">
        <v>44324</v>
      </c>
      <c r="C8112" s="20" t="inlineStr">
        <is>
          <t>토</t>
        </is>
      </c>
      <c r="D8112" s="20" t="inlineStr">
        <is>
          <t>유튜브 광고</t>
        </is>
      </c>
      <c r="E8112" s="20" t="inlineStr">
        <is>
          <t>고체향수</t>
        </is>
      </c>
      <c r="K8112" s="20" t="n">
        <v>400591</v>
      </c>
    </row>
    <row r="8113">
      <c r="A8113" s="20" t="inlineStr">
        <is>
          <t>동영상_유즈모먼트_06_비누향인연(cpa)</t>
        </is>
      </c>
      <c r="B8113" s="16" t="n">
        <v>44324</v>
      </c>
      <c r="C8113" s="20" t="inlineStr">
        <is>
          <t>토</t>
        </is>
      </c>
      <c r="D8113" s="20" t="inlineStr">
        <is>
          <t>유튜브 광고</t>
        </is>
      </c>
      <c r="E8113" s="20" t="inlineStr">
        <is>
          <t>고체향수</t>
        </is>
      </c>
      <c r="K8113" s="20" t="n">
        <v>25523</v>
      </c>
    </row>
    <row r="8114">
      <c r="A8114" s="20" t="inlineStr">
        <is>
          <t>웹사이트 트래픽 서치</t>
        </is>
      </c>
      <c r="B8114" s="16" t="n">
        <v>44325</v>
      </c>
      <c r="C8114" s="20" t="inlineStr">
        <is>
          <t>일</t>
        </is>
      </c>
      <c r="D8114" s="20" t="inlineStr">
        <is>
          <t>유튜브 광고</t>
        </is>
      </c>
      <c r="E8114" s="20" t="inlineStr">
        <is>
          <t>고체향수</t>
        </is>
      </c>
      <c r="K8114" s="20" t="n">
        <v>19790</v>
      </c>
    </row>
    <row r="8115">
      <c r="A8115" s="20" t="inlineStr">
        <is>
          <t>동영상캠페인_승무원_보이는 라디오(cpa)</t>
        </is>
      </c>
      <c r="B8115" s="16" t="n">
        <v>44325</v>
      </c>
      <c r="C8115" s="20" t="inlineStr">
        <is>
          <t>일</t>
        </is>
      </c>
      <c r="D8115" s="20" t="inlineStr">
        <is>
          <t>유튜브 광고</t>
        </is>
      </c>
      <c r="E8115" s="20" t="inlineStr">
        <is>
          <t>고체향수</t>
        </is>
      </c>
      <c r="K8115" s="20" t="n">
        <v>51939</v>
      </c>
    </row>
    <row r="8116">
      <c r="A8116" s="20" t="inlineStr">
        <is>
          <t>디스커버리 배너_승무원,할인_리마케팅</t>
        </is>
      </c>
      <c r="B8116" s="16" t="n">
        <v>44325</v>
      </c>
      <c r="C8116" s="20" t="inlineStr">
        <is>
          <t>일</t>
        </is>
      </c>
      <c r="D8116" s="20" t="inlineStr">
        <is>
          <t>유튜브 광고</t>
        </is>
      </c>
      <c r="E8116" s="20" t="inlineStr">
        <is>
          <t>고체향수</t>
        </is>
      </c>
      <c r="K8116" s="20" t="n">
        <v>564909</v>
      </c>
    </row>
    <row r="8117">
      <c r="A8117" s="20" t="inlineStr">
        <is>
          <t>동영상캠페인_승무원_써니스카이</t>
        </is>
      </c>
      <c r="B8117" s="16" t="n">
        <v>44325</v>
      </c>
      <c r="C8117" s="20" t="inlineStr">
        <is>
          <t>일</t>
        </is>
      </c>
      <c r="D8117" s="20" t="inlineStr">
        <is>
          <t>유튜브 광고</t>
        </is>
      </c>
      <c r="E8117" s="20" t="inlineStr">
        <is>
          <t>고체향수</t>
        </is>
      </c>
      <c r="K8117" s="20" t="n">
        <v>51393</v>
      </c>
    </row>
    <row r="8118">
      <c r="A8118" s="20" t="inlineStr">
        <is>
          <t>[5화자] 동영상 캠페인_벨라의 비행일기</t>
        </is>
      </c>
      <c r="B8118" s="16" t="n">
        <v>44325</v>
      </c>
      <c r="C8118" s="20" t="inlineStr">
        <is>
          <t>일</t>
        </is>
      </c>
      <c r="D8118" s="20" t="inlineStr">
        <is>
          <t>유튜브 광고</t>
        </is>
      </c>
      <c r="E8118" s="20" t="inlineStr">
        <is>
          <t>고체향수</t>
        </is>
      </c>
      <c r="K8118" s="20" t="n">
        <v>392926</v>
      </c>
    </row>
    <row r="8119">
      <c r="A8119" s="20" t="inlineStr">
        <is>
          <t>[5화자] 동영상 캠페인_비행하고 여행하는 은선씨</t>
        </is>
      </c>
      <c r="B8119" s="16" t="n">
        <v>44325</v>
      </c>
      <c r="C8119" s="20" t="inlineStr">
        <is>
          <t>일</t>
        </is>
      </c>
      <c r="D8119" s="20" t="inlineStr">
        <is>
          <t>유튜브 광고</t>
        </is>
      </c>
      <c r="E8119" s="20" t="inlineStr">
        <is>
          <t>고체향수</t>
        </is>
      </c>
      <c r="K8119" s="20" t="n">
        <v>350038</v>
      </c>
    </row>
    <row r="8120">
      <c r="A8120" s="20" t="inlineStr">
        <is>
          <t>[5화자 재편집] 승무원_벨라_면세점에서 천만원</t>
        </is>
      </c>
      <c r="B8120" s="16" t="n">
        <v>44325</v>
      </c>
      <c r="C8120" s="20" t="inlineStr">
        <is>
          <t>일</t>
        </is>
      </c>
      <c r="D8120" s="20" t="inlineStr">
        <is>
          <t>유튜브 광고</t>
        </is>
      </c>
      <c r="E8120" s="20" t="inlineStr">
        <is>
          <t>고체향수</t>
        </is>
      </c>
      <c r="K8120" s="20" t="n">
        <v>400698</v>
      </c>
    </row>
    <row r="8121">
      <c r="A8121" s="20" t="inlineStr">
        <is>
          <t>동영상캠페인_유즈모먼트_면세점뒤졌는데</t>
        </is>
      </c>
      <c r="B8121" s="16" t="n">
        <v>44325</v>
      </c>
      <c r="C8121" s="20" t="inlineStr">
        <is>
          <t>일</t>
        </is>
      </c>
      <c r="D8121" s="20" t="inlineStr">
        <is>
          <t>유튜브 광고</t>
        </is>
      </c>
      <c r="E8121" s="20" t="inlineStr">
        <is>
          <t>고체향수</t>
        </is>
      </c>
      <c r="K8121" s="20" t="n">
        <v>400256</v>
      </c>
    </row>
    <row r="8122">
      <c r="A8122" s="20" t="inlineStr">
        <is>
          <t>동영상_유즈모먼트_06_비누향인연(cpa)</t>
        </is>
      </c>
      <c r="B8122" s="16" t="n">
        <v>44325</v>
      </c>
      <c r="C8122" s="20" t="inlineStr">
        <is>
          <t>일</t>
        </is>
      </c>
      <c r="D8122" s="20" t="inlineStr">
        <is>
          <t>유튜브 광고</t>
        </is>
      </c>
      <c r="E8122" s="20" t="inlineStr">
        <is>
          <t>고체향수</t>
        </is>
      </c>
      <c r="K8122" s="20" t="n">
        <v>12670</v>
      </c>
    </row>
    <row r="8123">
      <c r="A8123" s="20" t="inlineStr">
        <is>
          <t>메인키워드</t>
        </is>
      </c>
      <c r="B8123" s="16" t="n">
        <v>44325</v>
      </c>
      <c r="C8123" s="20" t="inlineStr">
        <is>
          <t>일</t>
        </is>
      </c>
      <c r="D8123" s="20" t="inlineStr">
        <is>
          <t>네이버 쇼핑검색</t>
        </is>
      </c>
      <c r="E8123" s="20" t="inlineStr">
        <is>
          <t>고체향수</t>
        </is>
      </c>
      <c r="K8123" s="20" t="n">
        <v>20860</v>
      </c>
    </row>
    <row r="8124">
      <c r="A8124" s="20" t="inlineStr">
        <is>
          <t>세부키워드1</t>
        </is>
      </c>
      <c r="B8124" s="16" t="n">
        <v>44325</v>
      </c>
      <c r="C8124" s="20" t="inlineStr">
        <is>
          <t>일</t>
        </is>
      </c>
      <c r="D8124" s="20" t="inlineStr">
        <is>
          <t>네이버 쇼핑검색</t>
        </is>
      </c>
      <c r="E8124" s="20" t="inlineStr">
        <is>
          <t>고체향수</t>
        </is>
      </c>
      <c r="K8124" s="20" t="n">
        <v>0</v>
      </c>
    </row>
    <row r="8125">
      <c r="A8125" s="20" t="inlineStr">
        <is>
          <t>세부키워드3</t>
        </is>
      </c>
      <c r="B8125" s="16" t="n">
        <v>44325</v>
      </c>
      <c r="C8125" s="20" t="inlineStr">
        <is>
          <t>일</t>
        </is>
      </c>
      <c r="D8125" s="20" t="inlineStr">
        <is>
          <t>네이버 쇼핑검색</t>
        </is>
      </c>
      <c r="E8125" s="20" t="inlineStr">
        <is>
          <t>고체향수</t>
        </is>
      </c>
      <c r="K8125" s="20" t="n">
        <v>115680</v>
      </c>
    </row>
    <row r="8126">
      <c r="A8126" s="20" t="inlineStr">
        <is>
          <t>모바일 브검</t>
        </is>
      </c>
      <c r="B8126" s="16" t="n">
        <v>44325</v>
      </c>
      <c r="C8126" s="20" t="inlineStr">
        <is>
          <t>일</t>
        </is>
      </c>
      <c r="D8126" s="20" t="inlineStr">
        <is>
          <t>네이버 브랜드검색</t>
        </is>
      </c>
      <c r="E8126" s="20" t="inlineStr">
        <is>
          <t>브랜드</t>
        </is>
      </c>
      <c r="K8126" s="20" t="n">
        <v>0</v>
      </c>
    </row>
    <row r="8127">
      <c r="A8127" s="20" t="inlineStr">
        <is>
          <t>PC 브랜드검색</t>
        </is>
      </c>
      <c r="B8127" s="16" t="n">
        <v>44325</v>
      </c>
      <c r="C8127" s="20" t="inlineStr">
        <is>
          <t>일</t>
        </is>
      </c>
      <c r="D8127" s="20" t="inlineStr">
        <is>
          <t>네이버 브랜드검색</t>
        </is>
      </c>
      <c r="E8127" s="20" t="inlineStr">
        <is>
          <t>브랜드</t>
        </is>
      </c>
      <c r="K8127" s="20" t="n">
        <v>0</v>
      </c>
    </row>
    <row r="8128">
      <c r="A8128" s="20" t="inlineStr">
        <is>
          <t>메인키워드</t>
        </is>
      </c>
      <c r="B8128" s="16" t="n">
        <v>44324</v>
      </c>
      <c r="C8128" s="20" t="inlineStr">
        <is>
          <t>토</t>
        </is>
      </c>
      <c r="D8128" s="20" t="inlineStr">
        <is>
          <t>네이버 쇼핑검색</t>
        </is>
      </c>
      <c r="E8128" s="20" t="inlineStr">
        <is>
          <t>고체향수</t>
        </is>
      </c>
      <c r="K8128" s="20" t="n">
        <v>17430</v>
      </c>
    </row>
    <row r="8129">
      <c r="A8129" s="20" t="inlineStr">
        <is>
          <t>세부키워드1</t>
        </is>
      </c>
      <c r="B8129" s="16" t="n">
        <v>44324</v>
      </c>
      <c r="C8129" s="20" t="inlineStr">
        <is>
          <t>토</t>
        </is>
      </c>
      <c r="D8129" s="20" t="inlineStr">
        <is>
          <t>네이버 쇼핑검색</t>
        </is>
      </c>
      <c r="E8129" s="20" t="inlineStr">
        <is>
          <t>고체향수</t>
        </is>
      </c>
      <c r="K8129" s="20" t="n">
        <v>0</v>
      </c>
    </row>
    <row r="8130">
      <c r="A8130" s="20" t="inlineStr">
        <is>
          <t>세부키워드3</t>
        </is>
      </c>
      <c r="B8130" s="16" t="n">
        <v>44324</v>
      </c>
      <c r="C8130" s="20" t="inlineStr">
        <is>
          <t>토</t>
        </is>
      </c>
      <c r="D8130" s="20" t="inlineStr">
        <is>
          <t>네이버 쇼핑검색</t>
        </is>
      </c>
      <c r="E8130" s="20" t="inlineStr">
        <is>
          <t>고체향수</t>
        </is>
      </c>
      <c r="K8130" s="20" t="n">
        <v>118440</v>
      </c>
    </row>
    <row r="8131">
      <c r="A8131" s="20" t="inlineStr">
        <is>
          <t>모바일 브검</t>
        </is>
      </c>
      <c r="B8131" s="16" t="n">
        <v>44324</v>
      </c>
      <c r="C8131" s="20" t="inlineStr">
        <is>
          <t>토</t>
        </is>
      </c>
      <c r="D8131" s="20" t="inlineStr">
        <is>
          <t>네이버 브랜드검색</t>
        </is>
      </c>
      <c r="E8131" s="20" t="inlineStr">
        <is>
          <t>브랜드</t>
        </is>
      </c>
      <c r="K8131" s="20" t="n">
        <v>0</v>
      </c>
    </row>
    <row r="8132">
      <c r="A8132" s="20" t="inlineStr">
        <is>
          <t>PC 브랜드검색</t>
        </is>
      </c>
      <c r="B8132" s="16" t="n">
        <v>44324</v>
      </c>
      <c r="C8132" s="20" t="inlineStr">
        <is>
          <t>토</t>
        </is>
      </c>
      <c r="D8132" s="20" t="inlineStr">
        <is>
          <t>네이버 브랜드검색</t>
        </is>
      </c>
      <c r="E8132" s="20" t="inlineStr">
        <is>
          <t>브랜드</t>
        </is>
      </c>
      <c r="K8132" s="20" t="n">
        <v>0</v>
      </c>
    </row>
    <row r="8133">
      <c r="A8133" s="20" t="inlineStr">
        <is>
          <t>메인키워드</t>
        </is>
      </c>
      <c r="B8133" s="16" t="n">
        <v>44323</v>
      </c>
      <c r="C8133" s="20" t="inlineStr">
        <is>
          <t>금</t>
        </is>
      </c>
      <c r="D8133" s="20" t="inlineStr">
        <is>
          <t>네이버 쇼핑검색</t>
        </is>
      </c>
      <c r="E8133" s="20" t="inlineStr">
        <is>
          <t>고체향수</t>
        </is>
      </c>
      <c r="K8133" s="20" t="n">
        <v>19930</v>
      </c>
    </row>
    <row r="8134">
      <c r="A8134" s="20" t="inlineStr">
        <is>
          <t>세부키워드1</t>
        </is>
      </c>
      <c r="B8134" s="16" t="n">
        <v>44323</v>
      </c>
      <c r="C8134" s="20" t="inlineStr">
        <is>
          <t>금</t>
        </is>
      </c>
      <c r="D8134" s="20" t="inlineStr">
        <is>
          <t>네이버 쇼핑검색</t>
        </is>
      </c>
      <c r="E8134" s="20" t="inlineStr">
        <is>
          <t>고체향수</t>
        </is>
      </c>
      <c r="K8134" s="20" t="n">
        <v>0</v>
      </c>
    </row>
    <row r="8135">
      <c r="A8135" s="20" t="inlineStr">
        <is>
          <t>세부키워드3</t>
        </is>
      </c>
      <c r="B8135" s="16" t="n">
        <v>44323</v>
      </c>
      <c r="C8135" s="20" t="inlineStr">
        <is>
          <t>금</t>
        </is>
      </c>
      <c r="D8135" s="20" t="inlineStr">
        <is>
          <t>네이버 쇼핑검색</t>
        </is>
      </c>
      <c r="E8135" s="20" t="inlineStr">
        <is>
          <t>고체향수</t>
        </is>
      </c>
      <c r="K8135" s="20" t="n">
        <v>116200</v>
      </c>
    </row>
    <row r="8136">
      <c r="A8136" s="20" t="inlineStr">
        <is>
          <t>모바일 브검</t>
        </is>
      </c>
      <c r="B8136" s="16" t="n">
        <v>44323</v>
      </c>
      <c r="C8136" s="20" t="inlineStr">
        <is>
          <t>금</t>
        </is>
      </c>
      <c r="D8136" s="20" t="inlineStr">
        <is>
          <t>네이버 브랜드검색</t>
        </is>
      </c>
      <c r="E8136" s="20" t="inlineStr">
        <is>
          <t>브랜드</t>
        </is>
      </c>
      <c r="K8136" s="20" t="n">
        <v>0</v>
      </c>
    </row>
    <row r="8137">
      <c r="A8137" s="20" t="inlineStr">
        <is>
          <t>PC 브랜드검색</t>
        </is>
      </c>
      <c r="B8137" s="16" t="n">
        <v>44323</v>
      </c>
      <c r="C8137" s="20" t="inlineStr">
        <is>
          <t>금</t>
        </is>
      </c>
      <c r="D8137" s="20" t="inlineStr">
        <is>
          <t>네이버 브랜드검색</t>
        </is>
      </c>
      <c r="E8137" s="20" t="inlineStr">
        <is>
          <t>브랜드</t>
        </is>
      </c>
      <c r="K8137" s="20" t="n">
        <v>0</v>
      </c>
    </row>
    <row r="8138">
      <c r="B8138" s="16" t="n">
        <v>44323</v>
      </c>
      <c r="C8138" s="20" t="inlineStr">
        <is>
          <t>금</t>
        </is>
      </c>
      <c r="E8138" s="20" t="inlineStr">
        <is>
          <t>고체향수</t>
        </is>
      </c>
      <c r="F8138" s="20" t="inlineStr">
        <is>
          <t>W컨셉</t>
        </is>
      </c>
      <c r="G8138" s="20" t="inlineStr">
        <is>
          <t>솔리드퍼퓸 이그나이트/스테이포에버 30ml (2종 택1)&lt;옵션1&gt;002 STAY FOREVER</t>
        </is>
      </c>
      <c r="H8138" s="20" t="n">
        <v>4</v>
      </c>
      <c r="I8138" s="20" t="inlineStr">
        <is>
          <t>스테이포에버</t>
        </is>
      </c>
      <c r="J8138" s="20" t="inlineStr">
        <is>
          <t>210501</t>
        </is>
      </c>
      <c r="L8138" s="20" t="n">
        <v>136000</v>
      </c>
      <c r="M8138" s="20" t="n">
        <v>95200</v>
      </c>
      <c r="N8138" s="20" t="n">
        <v>10216</v>
      </c>
      <c r="O8138" s="20" t="inlineStr">
        <is>
          <t>W컨셉고체향수솔리드퍼퓸 이그나이트/스테이포에버 30ml (2종 택1)&lt;옵션1&gt;002 STAY FOREVER210501</t>
        </is>
      </c>
    </row>
    <row r="8139">
      <c r="B8139" s="16" t="n">
        <v>44323</v>
      </c>
      <c r="C8139" s="20" t="inlineStr">
        <is>
          <t>금</t>
        </is>
      </c>
      <c r="E8139" s="20" t="inlineStr">
        <is>
          <t>고체향수</t>
        </is>
      </c>
      <c r="F8139" s="20" t="inlineStr">
        <is>
          <t>스마트스토어</t>
        </is>
      </c>
      <c r="G8139" s="20" t="inlineStr">
        <is>
          <t>유즈 고체향수 스테이포에버 002고체향수: 스테이포에버 1개</t>
        </is>
      </c>
      <c r="H8139" s="20" t="n">
        <v>23</v>
      </c>
      <c r="I8139" s="20" t="inlineStr">
        <is>
          <t>스테이포에버</t>
        </is>
      </c>
      <c r="J8139" s="20" t="inlineStr">
        <is>
          <t>210501</t>
        </is>
      </c>
      <c r="L8139" s="20" t="n">
        <v>782000</v>
      </c>
      <c r="M8139" s="20" t="n">
        <v>766360</v>
      </c>
      <c r="N8139" s="20" t="n">
        <v>58742</v>
      </c>
      <c r="O8139" s="20" t="inlineStr">
        <is>
          <t>스마트스토어고체향수유즈 고체향수 스테이포에버 002고체향수: 스테이포에버 1개210501</t>
        </is>
      </c>
    </row>
    <row r="8140">
      <c r="B8140" s="16" t="n">
        <v>44323</v>
      </c>
      <c r="C8140" s="20" t="inlineStr">
        <is>
          <t>금</t>
        </is>
      </c>
      <c r="E8140" s="20" t="inlineStr">
        <is>
          <t>고체향수</t>
        </is>
      </c>
      <c r="F8140" s="20" t="inlineStr">
        <is>
          <t>카페24</t>
        </is>
      </c>
      <c r="G8140" s="20" t="inlineStr">
        <is>
          <t>솔리드퍼퓸 세트향=스테이포에버 002 SOLID PERFUME, 세트 선택=1개</t>
        </is>
      </c>
      <c r="H8140" s="20" t="n">
        <v>3</v>
      </c>
      <c r="I8140" s="20" t="inlineStr">
        <is>
          <t>스테이포에버</t>
        </is>
      </c>
      <c r="J8140" s="20" t="inlineStr">
        <is>
          <t>210501</t>
        </is>
      </c>
      <c r="L8140" s="20" t="n">
        <v>102000</v>
      </c>
      <c r="M8140" s="20" t="n">
        <v>96033</v>
      </c>
      <c r="N8140" s="20" t="n">
        <v>7662</v>
      </c>
      <c r="O8140" s="20" t="inlineStr">
        <is>
          <t>카페24고체향수솔리드퍼퓸 세트향=스테이포에버 002 SOLID PERFUME, 세트 선택=1개210501</t>
        </is>
      </c>
    </row>
    <row r="8141">
      <c r="B8141" s="16" t="n">
        <v>44323</v>
      </c>
      <c r="C8141" s="20" t="inlineStr">
        <is>
          <t>금</t>
        </is>
      </c>
      <c r="E8141" s="20" t="inlineStr">
        <is>
          <t>고체향수</t>
        </is>
      </c>
      <c r="F8141" s="20" t="inlineStr">
        <is>
          <t>카페24</t>
        </is>
      </c>
      <c r="G8141" s="20" t="inlineStr">
        <is>
          <t>솔리드퍼퓸 세트향=스테이포에버 002 SOLID PERFUME, 세트 선택=best 2개 (28% 할인)</t>
        </is>
      </c>
      <c r="H8141" s="20" t="n">
        <v>6</v>
      </c>
      <c r="I8141" s="20" t="inlineStr">
        <is>
          <t>스테이포에버 2set</t>
        </is>
      </c>
      <c r="J8141" s="20" t="inlineStr">
        <is>
          <t>210501</t>
        </is>
      </c>
      <c r="L8141" s="20" t="n">
        <v>352800</v>
      </c>
      <c r="M8141" s="20" t="n">
        <v>332161.2</v>
      </c>
      <c r="N8141" s="20" t="n">
        <v>30648</v>
      </c>
      <c r="O8141" s="20" t="inlineStr">
        <is>
          <t>카페24고체향수솔리드퍼퓸 세트향=스테이포에버 002 SOLID PERFUME, 세트 선택=best 2개 (28% 할인)210501</t>
        </is>
      </c>
    </row>
    <row r="8142">
      <c r="B8142" s="16" t="n">
        <v>44323</v>
      </c>
      <c r="C8142" s="20" t="inlineStr">
        <is>
          <t>금</t>
        </is>
      </c>
      <c r="E8142" s="20" t="inlineStr">
        <is>
          <t>고체향수</t>
        </is>
      </c>
      <c r="F8142" s="20" t="inlineStr">
        <is>
          <t>카페24</t>
        </is>
      </c>
      <c r="G8142" s="20" t="inlineStr">
        <is>
          <t>솔리드퍼퓸 세트향=커플세트(이그나이트 + 스테이포에버), 세트 선택=1 SET</t>
        </is>
      </c>
      <c r="H8142" s="20" t="n">
        <v>13</v>
      </c>
      <c r="I8142" s="20" t="inlineStr">
        <is>
          <t>이그나이트 + 스테이포에버</t>
        </is>
      </c>
      <c r="J8142" s="20" t="inlineStr">
        <is>
          <t>210501</t>
        </is>
      </c>
      <c r="L8142" s="20" t="n">
        <v>764400</v>
      </c>
      <c r="M8142" s="20" t="n">
        <v>719682.6</v>
      </c>
      <c r="N8142" s="20" t="n">
        <v>67327</v>
      </c>
      <c r="O8142" s="20" t="inlineStr">
        <is>
          <t>카페24고체향수솔리드퍼퓸 세트향=커플세트(이그나이트 + 스테이포에버), 세트 선택=1 SET210501</t>
        </is>
      </c>
    </row>
    <row r="8143">
      <c r="B8143" s="16" t="n">
        <v>44323</v>
      </c>
      <c r="C8143" s="20" t="inlineStr">
        <is>
          <t>금</t>
        </is>
      </c>
      <c r="E8143" s="20" t="inlineStr">
        <is>
          <t>고체향수</t>
        </is>
      </c>
      <c r="F8143" s="20" t="inlineStr">
        <is>
          <t>카페24</t>
        </is>
      </c>
      <c r="G8143" s="20" t="inlineStr">
        <is>
          <t>솔리드퍼퓸 세트향=커플세트(이그나이트 + 스테이포에버), 세트 선택=2 SET (42% 할인)</t>
        </is>
      </c>
      <c r="H8143" s="20" t="n">
        <v>1</v>
      </c>
      <c r="I8143" s="20" t="inlineStr">
        <is>
          <t>이그나이트 + 스테이포에버</t>
        </is>
      </c>
      <c r="J8143" s="20" t="inlineStr">
        <is>
          <t>210501</t>
        </is>
      </c>
      <c r="L8143" s="20" t="n">
        <v>58800</v>
      </c>
      <c r="M8143" s="20" t="n">
        <v>55360.2</v>
      </c>
      <c r="N8143" s="20" t="n">
        <v>5179</v>
      </c>
      <c r="O8143" s="20" t="inlineStr">
        <is>
          <t>카페24고체향수솔리드퍼퓸 세트향=커플세트(이그나이트 + 스테이포에버), 세트 선택=2 SET (42% 할인)210501</t>
        </is>
      </c>
    </row>
    <row r="8144">
      <c r="B8144" s="16" t="n">
        <v>44323</v>
      </c>
      <c r="C8144" s="20" t="inlineStr">
        <is>
          <t>금</t>
        </is>
      </c>
      <c r="E8144" s="20" t="inlineStr">
        <is>
          <t>고체향수</t>
        </is>
      </c>
      <c r="F8144" s="20" t="inlineStr">
        <is>
          <t>카페24</t>
        </is>
      </c>
      <c r="G8144" s="20" t="inlineStr">
        <is>
          <t>솔리드퍼퓸 스테이포에버 002제품선택=스테이포에버 1개</t>
        </is>
      </c>
      <c r="H8144" s="20" t="n">
        <v>177</v>
      </c>
      <c r="I8144" s="20" t="inlineStr">
        <is>
          <t>스테이포에버</t>
        </is>
      </c>
      <c r="J8144" s="20" t="inlineStr">
        <is>
          <t>210501</t>
        </is>
      </c>
      <c r="L8144" s="20" t="n">
        <v>6018000</v>
      </c>
      <c r="M8144" s="20" t="n">
        <v>5665947</v>
      </c>
      <c r="N8144" s="20" t="n">
        <v>452058</v>
      </c>
      <c r="O8144" s="20" t="inlineStr">
        <is>
          <t>카페24고체향수솔리드퍼퓸 스테이포에버 002제품선택=스테이포에버 1개210501</t>
        </is>
      </c>
    </row>
    <row r="8145">
      <c r="B8145" s="16" t="n">
        <v>44323</v>
      </c>
      <c r="C8145" s="20" t="inlineStr">
        <is>
          <t>금</t>
        </is>
      </c>
      <c r="E8145" s="20" t="inlineStr">
        <is>
          <t>고체향수</t>
        </is>
      </c>
      <c r="F8145" s="20" t="inlineStr">
        <is>
          <t>카페24</t>
        </is>
      </c>
      <c r="G8145" s="20" t="inlineStr">
        <is>
          <t>솔리드퍼퓸 스테이포에버 002제품선택=best스테이포에버 2개[28% 할인]</t>
        </is>
      </c>
      <c r="H8145" s="20" t="n">
        <v>101</v>
      </c>
      <c r="I8145" s="20" t="inlineStr">
        <is>
          <t>스테이포에버 2set</t>
        </is>
      </c>
      <c r="J8145" s="20" t="inlineStr">
        <is>
          <t>210501</t>
        </is>
      </c>
      <c r="L8145" s="20" t="n">
        <v>5938800</v>
      </c>
      <c r="M8145" s="20" t="n">
        <v>5591380.199999999</v>
      </c>
      <c r="N8145" s="20" t="n">
        <v>515908</v>
      </c>
      <c r="O8145" s="20" t="inlineStr">
        <is>
          <t>카페24고체향수솔리드퍼퓸 스테이포에버 002제품선택=best스테이포에버 2개[28% 할인]210501</t>
        </is>
      </c>
    </row>
    <row r="8146">
      <c r="B8146" s="16" t="n">
        <v>44323</v>
      </c>
      <c r="C8146" s="20" t="inlineStr">
        <is>
          <t>금</t>
        </is>
      </c>
      <c r="E8146" s="20" t="inlineStr">
        <is>
          <t>고체향수</t>
        </is>
      </c>
      <c r="F8146" s="20" t="inlineStr">
        <is>
          <t>카페24</t>
        </is>
      </c>
      <c r="G8146" s="20" t="inlineStr">
        <is>
          <t>솔리드퍼퓸 스테이포에버 002제품선택=커플추천스테이포에버 + 이그나이트 세트</t>
        </is>
      </c>
      <c r="H8146" s="20" t="n">
        <v>17</v>
      </c>
      <c r="I8146" s="20" t="inlineStr">
        <is>
          <t>이그나이트 + 스테이포에버</t>
        </is>
      </c>
      <c r="J8146" s="20" t="inlineStr">
        <is>
          <t>210501</t>
        </is>
      </c>
      <c r="L8146" s="20" t="n">
        <v>999600</v>
      </c>
      <c r="M8146" s="20" t="n">
        <v>941123.3999999999</v>
      </c>
      <c r="N8146" s="20" t="n">
        <v>88043</v>
      </c>
      <c r="O8146" s="20" t="inlineStr">
        <is>
          <t>카페24고체향수솔리드퍼퓸 스테이포에버 002제품선택=커플추천스테이포에버 + 이그나이트 세트210501</t>
        </is>
      </c>
    </row>
    <row r="8147">
      <c r="B8147" s="16" t="n">
        <v>44323</v>
      </c>
      <c r="C8147" s="20" t="inlineStr">
        <is>
          <t>금</t>
        </is>
      </c>
      <c r="E8147" s="20" t="inlineStr">
        <is>
          <t>쇼핑백</t>
        </is>
      </c>
      <c r="F8147" s="20" t="inlineStr">
        <is>
          <t>카페24</t>
        </is>
      </c>
      <c r="G8147" s="20" t="inlineStr">
        <is>
          <t>솔리드퍼퓸 스테이포에버 002쇼핑백=선물용 쇼핑백</t>
        </is>
      </c>
      <c r="H8147" s="20" t="n">
        <v>10</v>
      </c>
      <c r="I8147" s="20" t="inlineStr">
        <is>
          <t>쇼핑백</t>
        </is>
      </c>
      <c r="J8147" s="20" t="inlineStr">
        <is>
          <t>210501</t>
        </is>
      </c>
      <c r="L8147" s="20" t="n">
        <v>20000</v>
      </c>
      <c r="M8147" s="20" t="n">
        <v>18830</v>
      </c>
      <c r="N8147" s="20" t="n">
        <v>8300</v>
      </c>
      <c r="O8147" s="20" t="inlineStr">
        <is>
          <t>카페24쇼핑백솔리드퍼퓸 스테이포에버 002쇼핑백=선물용 쇼핑백210501</t>
        </is>
      </c>
    </row>
    <row r="8148">
      <c r="B8148" s="16" t="n">
        <v>44323</v>
      </c>
      <c r="C8148" s="20" t="inlineStr">
        <is>
          <t>금</t>
        </is>
      </c>
      <c r="E8148" s="20" t="inlineStr">
        <is>
          <t>고체향수</t>
        </is>
      </c>
      <c r="F8148" s="20" t="inlineStr">
        <is>
          <t>카페24</t>
        </is>
      </c>
      <c r="G8148" s="20" t="inlineStr">
        <is>
          <t>솔리드퍼퓸 이그나이트 001제품선택=이그나이트 솔리드퍼퓸 - 30ml</t>
        </is>
      </c>
      <c r="H8148" s="20" t="n">
        <v>2</v>
      </c>
      <c r="I8148" s="20" t="inlineStr">
        <is>
          <t>이그나이트</t>
        </is>
      </c>
      <c r="J8148" s="20" t="inlineStr">
        <is>
          <t>210501</t>
        </is>
      </c>
      <c r="L8148" s="20" t="n">
        <v>68000</v>
      </c>
      <c r="M8148" s="20" t="n">
        <v>64022</v>
      </c>
      <c r="N8148" s="20" t="n">
        <v>5250</v>
      </c>
      <c r="O8148" s="20" t="inlineStr">
        <is>
          <t>카페24고체향수솔리드퍼퓸 이그나이트 001제품선택=이그나이트 솔리드퍼퓸 - 30ml210501</t>
        </is>
      </c>
    </row>
    <row r="8149">
      <c r="B8149" s="16" t="n">
        <v>44323</v>
      </c>
      <c r="C8149" s="20" t="inlineStr">
        <is>
          <t>금</t>
        </is>
      </c>
      <c r="E8149" s="20" t="inlineStr">
        <is>
          <t>고체향수</t>
        </is>
      </c>
      <c r="F8149" s="20" t="inlineStr">
        <is>
          <t>카페24</t>
        </is>
      </c>
      <c r="G8149" s="20" t="inlineStr">
        <is>
          <t>솔리드퍼퓸 이그나이트 001제품선택=이그나이트 2개 세트</t>
        </is>
      </c>
      <c r="H8149" s="20" t="n">
        <v>1</v>
      </c>
      <c r="I8149" s="20" t="inlineStr">
        <is>
          <t>이그나이트 2set</t>
        </is>
      </c>
      <c r="J8149" s="20" t="inlineStr">
        <is>
          <t>210501</t>
        </is>
      </c>
      <c r="L8149" s="20" t="n">
        <v>58800</v>
      </c>
      <c r="M8149" s="20" t="n">
        <v>55360.2</v>
      </c>
      <c r="N8149" s="20" t="n">
        <v>5250</v>
      </c>
      <c r="O8149" s="20" t="inlineStr">
        <is>
          <t>카페24고체향수솔리드퍼퓸 이그나이트 001제품선택=이그나이트 2개 세트210501</t>
        </is>
      </c>
    </row>
    <row r="8150">
      <c r="B8150" s="16" t="n">
        <v>44323</v>
      </c>
      <c r="C8150" s="20" t="inlineStr">
        <is>
          <t>금</t>
        </is>
      </c>
      <c r="E8150" s="20" t="inlineStr">
        <is>
          <t>고체향수</t>
        </is>
      </c>
      <c r="F8150" s="20" t="inlineStr">
        <is>
          <t>카페24</t>
        </is>
      </c>
      <c r="G8150" s="20" t="inlineStr">
        <is>
          <t>유즈 솔리드퍼퓸 세트향=커플세트(이그나이트 + 스테이포에버), 세트 선택=2 SET (42% 할인)</t>
        </is>
      </c>
      <c r="H8150" s="20" t="n">
        <v>1</v>
      </c>
      <c r="I8150" s="20" t="inlineStr">
        <is>
          <t>이그나이트 + 스테이포에버 2set</t>
        </is>
      </c>
      <c r="J8150" s="20" t="inlineStr">
        <is>
          <t>210501</t>
        </is>
      </c>
      <c r="L8150" s="20" t="n">
        <v>94800</v>
      </c>
      <c r="M8150" s="20" t="n">
        <v>89254.2</v>
      </c>
      <c r="N8150" s="20" t="n">
        <v>10358</v>
      </c>
      <c r="O8150" s="20" t="inlineStr">
        <is>
          <t>카페24고체향수유즈 솔리드퍼퓸 세트향=커플세트(이그나이트 + 스테이포에버), 세트 선택=2 SET (42% 할인)210501</t>
        </is>
      </c>
    </row>
    <row r="8151">
      <c r="B8151" s="16" t="n">
        <v>44324</v>
      </c>
      <c r="C8151" s="20" t="inlineStr">
        <is>
          <t>토</t>
        </is>
      </c>
      <c r="E8151" s="20" t="inlineStr">
        <is>
          <t>고체향수</t>
        </is>
      </c>
      <c r="F8151" s="20" t="inlineStr">
        <is>
          <t>스마트스토어</t>
        </is>
      </c>
      <c r="G8151" s="20" t="inlineStr">
        <is>
          <t>유즈 고체향수 세트(유즈 스테이포에버, 유즈 이그나이트)고체향수: 스테이포에버 2개</t>
        </is>
      </c>
      <c r="H8151" s="20" t="n">
        <v>1</v>
      </c>
      <c r="I8151" s="20" t="inlineStr">
        <is>
          <t>스테이포에버 2set</t>
        </is>
      </c>
      <c r="J8151" s="20" t="inlineStr">
        <is>
          <t>210501</t>
        </is>
      </c>
      <c r="L8151" s="20" t="n">
        <v>58800</v>
      </c>
      <c r="M8151" s="20" t="n">
        <v>57624</v>
      </c>
      <c r="N8151" s="20" t="n">
        <v>5108</v>
      </c>
      <c r="O8151" s="20" t="inlineStr">
        <is>
          <t>스마트스토어고체향수유즈 고체향수 세트(유즈 스테이포에버, 유즈 이그나이트)고체향수: 스테이포에버 2개210501</t>
        </is>
      </c>
    </row>
    <row r="8152">
      <c r="B8152" s="16" t="n">
        <v>44324</v>
      </c>
      <c r="C8152" s="20" t="inlineStr">
        <is>
          <t>토</t>
        </is>
      </c>
      <c r="E8152" s="20" t="inlineStr">
        <is>
          <t>고체향수</t>
        </is>
      </c>
      <c r="F8152" s="20" t="inlineStr">
        <is>
          <t>스마트스토어</t>
        </is>
      </c>
      <c r="G8152" s="20" t="inlineStr">
        <is>
          <t>유즈 고체향수 스테이포에버 002고체향수: 스테이포에버 1개</t>
        </is>
      </c>
      <c r="H8152" s="20" t="n">
        <v>18</v>
      </c>
      <c r="I8152" s="20" t="inlineStr">
        <is>
          <t>스테이포에버</t>
        </is>
      </c>
      <c r="J8152" s="20" t="inlineStr">
        <is>
          <t>210501</t>
        </is>
      </c>
      <c r="L8152" s="20" t="n">
        <v>612000</v>
      </c>
      <c r="M8152" s="20" t="n">
        <v>599760</v>
      </c>
      <c r="N8152" s="20" t="n">
        <v>45972</v>
      </c>
      <c r="O8152" s="20" t="inlineStr">
        <is>
          <t>스마트스토어고체향수유즈 고체향수 스테이포에버 002고체향수: 스테이포에버 1개210501</t>
        </is>
      </c>
    </row>
    <row r="8153">
      <c r="B8153" s="16" t="n">
        <v>44324</v>
      </c>
      <c r="C8153" s="20" t="inlineStr">
        <is>
          <t>토</t>
        </is>
      </c>
      <c r="E8153" s="20" t="inlineStr">
        <is>
          <t>고체향수</t>
        </is>
      </c>
      <c r="F8153" s="20" t="inlineStr">
        <is>
          <t>카페24</t>
        </is>
      </c>
      <c r="G8153" s="20" t="inlineStr">
        <is>
          <t>솔리드퍼퓸 세트향=이그나이트 001 SOLID PERFUME, 세트 선택=best 2개 (28% 할인)</t>
        </is>
      </c>
      <c r="H8153" s="20" t="n">
        <v>1</v>
      </c>
      <c r="I8153" s="20" t="inlineStr">
        <is>
          <t>이그나이트 2set</t>
        </is>
      </c>
      <c r="J8153" s="20" t="inlineStr">
        <is>
          <t>210501</t>
        </is>
      </c>
      <c r="L8153" s="20" t="n">
        <v>58800</v>
      </c>
      <c r="M8153" s="20" t="n">
        <v>55360.2</v>
      </c>
      <c r="N8153" s="20" t="n">
        <v>5250</v>
      </c>
      <c r="O8153" s="20" t="inlineStr">
        <is>
          <t>카페24고체향수솔리드퍼퓸 세트향=이그나이트 001 SOLID PERFUME, 세트 선택=best 2개 (28% 할인)210501</t>
        </is>
      </c>
    </row>
    <row r="8154">
      <c r="B8154" s="16" t="n">
        <v>44324</v>
      </c>
      <c r="C8154" s="20" t="inlineStr">
        <is>
          <t>토</t>
        </is>
      </c>
      <c r="E8154" s="20" t="inlineStr">
        <is>
          <t>고체향수</t>
        </is>
      </c>
      <c r="F8154" s="20" t="inlineStr">
        <is>
          <t>카페24</t>
        </is>
      </c>
      <c r="G8154" s="20" t="inlineStr">
        <is>
          <t>솔리드퍼퓸 세트향=스테이포에버 002 SOLID PERFUME, 세트 선택=1개</t>
        </is>
      </c>
      <c r="H8154" s="20" t="n">
        <v>2</v>
      </c>
      <c r="I8154" s="20" t="inlineStr">
        <is>
          <t>스테이포에버</t>
        </is>
      </c>
      <c r="J8154" s="20" t="inlineStr">
        <is>
          <t>210501</t>
        </is>
      </c>
      <c r="L8154" s="20" t="n">
        <v>68000</v>
      </c>
      <c r="M8154" s="20" t="n">
        <v>64022</v>
      </c>
      <c r="N8154" s="20" t="n">
        <v>5108</v>
      </c>
      <c r="O8154" s="20" t="inlineStr">
        <is>
          <t>카페24고체향수솔리드퍼퓸 세트향=스테이포에버 002 SOLID PERFUME, 세트 선택=1개210501</t>
        </is>
      </c>
    </row>
    <row r="8155">
      <c r="B8155" s="16" t="n">
        <v>44324</v>
      </c>
      <c r="C8155" s="20" t="inlineStr">
        <is>
          <t>토</t>
        </is>
      </c>
      <c r="E8155" s="20" t="inlineStr">
        <is>
          <t>고체향수</t>
        </is>
      </c>
      <c r="F8155" s="20" t="inlineStr">
        <is>
          <t>카페24</t>
        </is>
      </c>
      <c r="G8155" s="20" t="inlineStr">
        <is>
          <t>솔리드퍼퓸 세트향=스테이포에버 002 SOLID PERFUME, 세트 선택=best 2개 (28% 할인)</t>
        </is>
      </c>
      <c r="H8155" s="20" t="n">
        <v>4</v>
      </c>
      <c r="I8155" s="20" t="inlineStr">
        <is>
          <t>스테이포에버 2set</t>
        </is>
      </c>
      <c r="J8155" s="20" t="inlineStr">
        <is>
          <t>210501</t>
        </is>
      </c>
      <c r="L8155" s="20" t="n">
        <v>235200</v>
      </c>
      <c r="M8155" s="20" t="n">
        <v>221440.8</v>
      </c>
      <c r="N8155" s="20" t="n">
        <v>20432</v>
      </c>
      <c r="O8155" s="20" t="inlineStr">
        <is>
          <t>카페24고체향수솔리드퍼퓸 세트향=스테이포에버 002 SOLID PERFUME, 세트 선택=best 2개 (28% 할인)210501</t>
        </is>
      </c>
    </row>
    <row r="8156">
      <c r="B8156" s="16" t="n">
        <v>44324</v>
      </c>
      <c r="C8156" s="20" t="inlineStr">
        <is>
          <t>토</t>
        </is>
      </c>
      <c r="E8156" s="20" t="inlineStr">
        <is>
          <t>고체향수</t>
        </is>
      </c>
      <c r="F8156" s="20" t="inlineStr">
        <is>
          <t>카페24</t>
        </is>
      </c>
      <c r="G8156" s="20" t="inlineStr">
        <is>
          <t>솔리드퍼퓸 세트향=커플세트(이그나이트 + 스테이포에버), 세트 선택=1 SET</t>
        </is>
      </c>
      <c r="H8156" s="20" t="n">
        <v>20</v>
      </c>
      <c r="I8156" s="20" t="inlineStr">
        <is>
          <t>이그나이트 + 스테이포에버</t>
        </is>
      </c>
      <c r="J8156" s="20" t="inlineStr">
        <is>
          <t>210501</t>
        </is>
      </c>
      <c r="L8156" s="20" t="n">
        <v>1176000</v>
      </c>
      <c r="M8156" s="20" t="n">
        <v>1107204</v>
      </c>
      <c r="N8156" s="20" t="n">
        <v>103580</v>
      </c>
      <c r="O8156" s="20" t="inlineStr">
        <is>
          <t>카페24고체향수솔리드퍼퓸 세트향=커플세트(이그나이트 + 스테이포에버), 세트 선택=1 SET210501</t>
        </is>
      </c>
    </row>
    <row r="8157">
      <c r="B8157" s="16" t="n">
        <v>44324</v>
      </c>
      <c r="C8157" s="20" t="inlineStr">
        <is>
          <t>토</t>
        </is>
      </c>
      <c r="E8157" s="20" t="inlineStr">
        <is>
          <t>고체향수</t>
        </is>
      </c>
      <c r="F8157" s="20" t="inlineStr">
        <is>
          <t>카페24</t>
        </is>
      </c>
      <c r="G8157" s="20" t="inlineStr">
        <is>
          <t>솔리드퍼퓸 세트향=커플세트(이그나이트 + 스테이포에버), 세트 선택=2 SET (42% 할인)</t>
        </is>
      </c>
      <c r="H8157" s="20" t="n">
        <v>3</v>
      </c>
      <c r="I8157" s="20" t="inlineStr">
        <is>
          <t>이그나이트 + 스테이포에버</t>
        </is>
      </c>
      <c r="J8157" s="20" t="inlineStr">
        <is>
          <t>210501</t>
        </is>
      </c>
      <c r="L8157" s="20" t="n">
        <v>176400</v>
      </c>
      <c r="M8157" s="20" t="n">
        <v>166080.6</v>
      </c>
      <c r="N8157" s="20" t="n">
        <v>15537</v>
      </c>
      <c r="O8157" s="20" t="inlineStr">
        <is>
          <t>카페24고체향수솔리드퍼퓸 세트향=커플세트(이그나이트 + 스테이포에버), 세트 선택=2 SET (42% 할인)210501</t>
        </is>
      </c>
    </row>
    <row r="8158">
      <c r="B8158" s="16" t="n">
        <v>44324</v>
      </c>
      <c r="C8158" s="20" t="inlineStr">
        <is>
          <t>토</t>
        </is>
      </c>
      <c r="E8158" s="20" t="inlineStr">
        <is>
          <t>고체향수</t>
        </is>
      </c>
      <c r="F8158" s="20" t="inlineStr">
        <is>
          <t>카페24</t>
        </is>
      </c>
      <c r="G8158" s="20" t="inlineStr">
        <is>
          <t>솔리드퍼퓸 스테이포에버 002제품선택=스테이포에버 1개</t>
        </is>
      </c>
      <c r="H8158" s="20" t="n">
        <v>208</v>
      </c>
      <c r="I8158" s="20" t="inlineStr">
        <is>
          <t>스테이포에버</t>
        </is>
      </c>
      <c r="J8158" s="20" t="inlineStr">
        <is>
          <t>210501</t>
        </is>
      </c>
      <c r="L8158" s="20" t="n">
        <v>7072000</v>
      </c>
      <c r="M8158" s="20" t="n">
        <v>6658288</v>
      </c>
      <c r="N8158" s="20" t="n">
        <v>531232</v>
      </c>
      <c r="O8158" s="20" t="inlineStr">
        <is>
          <t>카페24고체향수솔리드퍼퓸 스테이포에버 002제품선택=스테이포에버 1개210501</t>
        </is>
      </c>
    </row>
    <row r="8159">
      <c r="B8159" s="16" t="n">
        <v>44324</v>
      </c>
      <c r="C8159" s="20" t="inlineStr">
        <is>
          <t>토</t>
        </is>
      </c>
      <c r="E8159" s="20" t="inlineStr">
        <is>
          <t>고체향수</t>
        </is>
      </c>
      <c r="F8159" s="20" t="inlineStr">
        <is>
          <t>카페24</t>
        </is>
      </c>
      <c r="G8159" s="20" t="inlineStr">
        <is>
          <t>솔리드퍼퓸 스테이포에버 002제품선택=best스테이포에버 2개[28% 할인]</t>
        </is>
      </c>
      <c r="H8159" s="20" t="n">
        <v>131</v>
      </c>
      <c r="I8159" s="20" t="inlineStr">
        <is>
          <t>스테이포에버 2set</t>
        </is>
      </c>
      <c r="J8159" s="20" t="inlineStr">
        <is>
          <t>210501</t>
        </is>
      </c>
      <c r="L8159" s="20" t="n">
        <v>7702800</v>
      </c>
      <c r="M8159" s="20" t="n">
        <v>7252186.199999999</v>
      </c>
      <c r="N8159" s="20" t="n">
        <v>669148</v>
      </c>
      <c r="O8159" s="20" t="inlineStr">
        <is>
          <t>카페24고체향수솔리드퍼퓸 스테이포에버 002제품선택=best스테이포에버 2개[28% 할인]210501</t>
        </is>
      </c>
    </row>
    <row r="8160">
      <c r="B8160" s="16" t="n">
        <v>44324</v>
      </c>
      <c r="C8160" s="20" t="inlineStr">
        <is>
          <t>토</t>
        </is>
      </c>
      <c r="E8160" s="20" t="inlineStr">
        <is>
          <t>고체향수</t>
        </is>
      </c>
      <c r="F8160" s="20" t="inlineStr">
        <is>
          <t>카페24</t>
        </is>
      </c>
      <c r="G8160" s="20" t="inlineStr">
        <is>
          <t>솔리드퍼퓸 스테이포에버 002제품선택=커플추천스테이포에버 + 이그나이트 세트</t>
        </is>
      </c>
      <c r="H8160" s="20" t="n">
        <v>13</v>
      </c>
      <c r="I8160" s="20" t="inlineStr">
        <is>
          <t>이그나이트 + 스테이포에버</t>
        </is>
      </c>
      <c r="J8160" s="20" t="inlineStr">
        <is>
          <t>210501</t>
        </is>
      </c>
      <c r="L8160" s="20" t="n">
        <v>764400</v>
      </c>
      <c r="M8160" s="20" t="n">
        <v>719682.6</v>
      </c>
      <c r="N8160" s="20" t="n">
        <v>67327</v>
      </c>
      <c r="O8160" s="20" t="inlineStr">
        <is>
          <t>카페24고체향수솔리드퍼퓸 스테이포에버 002제품선택=커플추천스테이포에버 + 이그나이트 세트210501</t>
        </is>
      </c>
    </row>
    <row r="8161">
      <c r="B8161" s="16" t="n">
        <v>44324</v>
      </c>
      <c r="C8161" s="20" t="inlineStr">
        <is>
          <t>토</t>
        </is>
      </c>
      <c r="E8161" s="20" t="inlineStr">
        <is>
          <t>쇼핑백</t>
        </is>
      </c>
      <c r="F8161" s="20" t="inlineStr">
        <is>
          <t>카페24</t>
        </is>
      </c>
      <c r="G8161" s="20" t="inlineStr">
        <is>
          <t>솔리드퍼퓸 스테이포에버 002쇼핑백=선물용 쇼핑백</t>
        </is>
      </c>
      <c r="H8161" s="20" t="n">
        <v>9</v>
      </c>
      <c r="I8161" s="20" t="inlineStr">
        <is>
          <t>쇼핑백</t>
        </is>
      </c>
      <c r="J8161" s="20" t="inlineStr">
        <is>
          <t>210501</t>
        </is>
      </c>
      <c r="L8161" s="20" t="n">
        <v>18000</v>
      </c>
      <c r="M8161" s="20" t="n">
        <v>16947</v>
      </c>
      <c r="N8161" s="20" t="n">
        <v>7470</v>
      </c>
      <c r="O8161" s="20" t="inlineStr">
        <is>
          <t>카페24쇼핑백솔리드퍼퓸 스테이포에버 002쇼핑백=선물용 쇼핑백210501</t>
        </is>
      </c>
    </row>
    <row r="8162">
      <c r="B8162" s="16" t="n">
        <v>44324</v>
      </c>
      <c r="C8162" s="20" t="inlineStr">
        <is>
          <t>토</t>
        </is>
      </c>
      <c r="E8162" s="20" t="inlineStr">
        <is>
          <t>고체향수</t>
        </is>
      </c>
      <c r="F8162" s="20" t="inlineStr">
        <is>
          <t>카페24</t>
        </is>
      </c>
      <c r="G8162" s="20" t="inlineStr">
        <is>
          <t>솔리드퍼퓸 이그나이트 001제품선택=이그나이트 솔리드퍼퓸 - 30ml</t>
        </is>
      </c>
      <c r="H8162" s="20" t="n">
        <v>2</v>
      </c>
      <c r="I8162" s="20" t="inlineStr">
        <is>
          <t>이그나이트</t>
        </is>
      </c>
      <c r="J8162" s="20" t="inlineStr">
        <is>
          <t>210501</t>
        </is>
      </c>
      <c r="L8162" s="20" t="n">
        <v>68000</v>
      </c>
      <c r="M8162" s="20" t="n">
        <v>64022</v>
      </c>
      <c r="N8162" s="20" t="n">
        <v>5250</v>
      </c>
      <c r="O8162" s="20" t="inlineStr">
        <is>
          <t>카페24고체향수솔리드퍼퓸 이그나이트 001제품선택=이그나이트 솔리드퍼퓸 - 30ml210501</t>
        </is>
      </c>
    </row>
    <row r="8163">
      <c r="B8163" s="16" t="n">
        <v>44324</v>
      </c>
      <c r="C8163" s="20" t="inlineStr">
        <is>
          <t>토</t>
        </is>
      </c>
      <c r="E8163" s="20" t="inlineStr">
        <is>
          <t>고체향수</t>
        </is>
      </c>
      <c r="F8163" s="20" t="inlineStr">
        <is>
          <t>카페24</t>
        </is>
      </c>
      <c r="G8163" s="20" t="inlineStr">
        <is>
          <t>솔리드퍼퓸 이그나이트 001제품선택=이그나이트 2개 세트</t>
        </is>
      </c>
      <c r="H8163" s="20" t="n">
        <v>2</v>
      </c>
      <c r="I8163" s="20" t="inlineStr">
        <is>
          <t>이그나이트 2set</t>
        </is>
      </c>
      <c r="J8163" s="20" t="inlineStr">
        <is>
          <t>210501</t>
        </is>
      </c>
      <c r="L8163" s="20" t="n">
        <v>117600</v>
      </c>
      <c r="M8163" s="20" t="n">
        <v>110720.4</v>
      </c>
      <c r="N8163" s="20" t="n">
        <v>10500</v>
      </c>
      <c r="O8163" s="20" t="inlineStr">
        <is>
          <t>카페24고체향수솔리드퍼퓸 이그나이트 001제품선택=이그나이트 2개 세트210501</t>
        </is>
      </c>
    </row>
    <row r="8164">
      <c r="B8164" s="16" t="n">
        <v>44324</v>
      </c>
      <c r="C8164" s="20" t="inlineStr">
        <is>
          <t>토</t>
        </is>
      </c>
      <c r="E8164" s="20" t="inlineStr">
        <is>
          <t>고체향수</t>
        </is>
      </c>
      <c r="F8164" s="20" t="inlineStr">
        <is>
          <t>카페24</t>
        </is>
      </c>
      <c r="G8164" s="20" t="inlineStr">
        <is>
          <t>유즈 솔리드퍼퓸 세트향=스테이포에버 002 SOLID PERFUME, 세트 선택=1개</t>
        </is>
      </c>
      <c r="H8164" s="20" t="n">
        <v>1</v>
      </c>
      <c r="I8164" s="20" t="inlineStr">
        <is>
          <t>스테이포에버</t>
        </is>
      </c>
      <c r="J8164" s="20" t="inlineStr">
        <is>
          <t>210501</t>
        </is>
      </c>
      <c r="L8164" s="20" t="n">
        <v>34000</v>
      </c>
      <c r="M8164" s="20" t="n">
        <v>32011</v>
      </c>
      <c r="N8164" s="20" t="n">
        <v>2554</v>
      </c>
      <c r="O8164" s="20" t="inlineStr">
        <is>
          <t>카페24고체향수유즈 솔리드퍼퓸 세트향=스테이포에버 002 SOLID PERFUME, 세트 선택=1개210501</t>
        </is>
      </c>
    </row>
    <row r="8165">
      <c r="B8165" s="16" t="n">
        <v>44325</v>
      </c>
      <c r="C8165" s="20" t="inlineStr">
        <is>
          <t>일</t>
        </is>
      </c>
      <c r="E8165" s="20" t="inlineStr">
        <is>
          <t>고체향수</t>
        </is>
      </c>
      <c r="F8165" s="20" t="inlineStr">
        <is>
          <t>스마트스토어</t>
        </is>
      </c>
      <c r="G8165" s="20" t="inlineStr">
        <is>
          <t>유즈 고체향수 세트(유즈 스테이포에버, 유즈 이그나이트)고체향수: 스테이포에버 1개 + 이그나이트 1개</t>
        </is>
      </c>
      <c r="H8165" s="20" t="n">
        <v>1</v>
      </c>
      <c r="I8165" s="20" t="inlineStr">
        <is>
          <t>이그나이트 + 스테이포에버</t>
        </is>
      </c>
      <c r="J8165" s="20" t="inlineStr">
        <is>
          <t>210501</t>
        </is>
      </c>
      <c r="L8165" s="20" t="n">
        <v>58800</v>
      </c>
      <c r="M8165" s="20" t="n">
        <v>55360.2</v>
      </c>
      <c r="N8165" s="20" t="n">
        <v>5179</v>
      </c>
      <c r="O8165" s="20" t="inlineStr">
        <is>
          <t>스마트스토어고체향수유즈 고체향수 세트(유즈 스테이포에버, 유즈 이그나이트)고체향수: 스테이포에버 1개 + 이그나이트 1개210501</t>
        </is>
      </c>
    </row>
    <row r="8166">
      <c r="B8166" s="16" t="n">
        <v>44325</v>
      </c>
      <c r="C8166" s="20" t="inlineStr">
        <is>
          <t>일</t>
        </is>
      </c>
      <c r="E8166" s="20" t="inlineStr">
        <is>
          <t>고체향수</t>
        </is>
      </c>
      <c r="F8166" s="20" t="inlineStr">
        <is>
          <t>스마트스토어</t>
        </is>
      </c>
      <c r="G8166" s="20" t="inlineStr">
        <is>
          <t>유즈 고체향수 세트(유즈 스테이포에버, 유즈 이그나이트)고체향수: 스테이포에버 2개</t>
        </is>
      </c>
      <c r="H8166" s="20" t="n">
        <v>2</v>
      </c>
      <c r="I8166" s="20" t="inlineStr">
        <is>
          <t>스테이포에버 2set</t>
        </is>
      </c>
      <c r="J8166" s="20" t="inlineStr">
        <is>
          <t>210501</t>
        </is>
      </c>
      <c r="L8166" s="20" t="n">
        <v>117600</v>
      </c>
      <c r="M8166" s="20" t="n">
        <v>115248</v>
      </c>
      <c r="N8166" s="20" t="n">
        <v>10216</v>
      </c>
      <c r="O8166" s="20" t="inlineStr">
        <is>
          <t>스마트스토어고체향수유즈 고체향수 세트(유즈 스테이포에버, 유즈 이그나이트)고체향수: 스테이포에버 2개210501</t>
        </is>
      </c>
    </row>
    <row r="8167">
      <c r="B8167" s="16" t="n">
        <v>44325</v>
      </c>
      <c r="C8167" s="20" t="inlineStr">
        <is>
          <t>일</t>
        </is>
      </c>
      <c r="E8167" s="20" t="inlineStr">
        <is>
          <t>고체향수</t>
        </is>
      </c>
      <c r="F8167" s="20" t="inlineStr">
        <is>
          <t>스마트스토어</t>
        </is>
      </c>
      <c r="G8167" s="20" t="inlineStr">
        <is>
          <t>유즈 고체향수 스테이포에버 002고체향수: 스테이포에버 1개</t>
        </is>
      </c>
      <c r="H8167" s="20" t="n">
        <v>12</v>
      </c>
      <c r="I8167" s="20" t="inlineStr">
        <is>
          <t>스테이포에버</t>
        </is>
      </c>
      <c r="J8167" s="20" t="inlineStr">
        <is>
          <t>210501</t>
        </is>
      </c>
      <c r="L8167" s="20" t="n">
        <v>408000</v>
      </c>
      <c r="M8167" s="20" t="n">
        <v>399840</v>
      </c>
      <c r="N8167" s="20" t="n">
        <v>30648</v>
      </c>
      <c r="O8167" s="20" t="inlineStr">
        <is>
          <t>스마트스토어고체향수유즈 고체향수 스테이포에버 002고체향수: 스테이포에버 1개210501</t>
        </is>
      </c>
    </row>
    <row r="8168">
      <c r="B8168" s="16" t="n">
        <v>44325</v>
      </c>
      <c r="C8168" s="20" t="inlineStr">
        <is>
          <t>일</t>
        </is>
      </c>
      <c r="E8168" s="20" t="inlineStr">
        <is>
          <t>고체향수</t>
        </is>
      </c>
      <c r="F8168" s="20" t="inlineStr">
        <is>
          <t>카페24</t>
        </is>
      </c>
      <c r="G8168" s="20" t="inlineStr">
        <is>
          <t>솔리드퍼퓸 세트향=이그나이트 001 SOLID PERFUME, 세트 선택=1개</t>
        </is>
      </c>
      <c r="H8168" s="20" t="n">
        <v>2</v>
      </c>
      <c r="I8168" s="20" t="inlineStr">
        <is>
          <t>이그나이트</t>
        </is>
      </c>
      <c r="J8168" s="20" t="inlineStr">
        <is>
          <t>210501</t>
        </is>
      </c>
      <c r="L8168" s="20" t="n">
        <v>68000</v>
      </c>
      <c r="M8168" s="20" t="n">
        <v>64022</v>
      </c>
      <c r="N8168" s="20" t="n">
        <v>5250</v>
      </c>
      <c r="O8168" s="20" t="inlineStr">
        <is>
          <t>카페24고체향수솔리드퍼퓸 세트향=이그나이트 001 SOLID PERFUME, 세트 선택=1개210501</t>
        </is>
      </c>
    </row>
    <row r="8169">
      <c r="B8169" s="16" t="n">
        <v>44325</v>
      </c>
      <c r="C8169" s="20" t="inlineStr">
        <is>
          <t>일</t>
        </is>
      </c>
      <c r="E8169" s="20" t="inlineStr">
        <is>
          <t>고체향수</t>
        </is>
      </c>
      <c r="F8169" s="20" t="inlineStr">
        <is>
          <t>카페24</t>
        </is>
      </c>
      <c r="G8169" s="20" t="inlineStr">
        <is>
          <t>솔리드퍼퓸 세트향=스테이포에버 002 SOLID PERFUME, 세트 선택=1개</t>
        </is>
      </c>
      <c r="H8169" s="20" t="n">
        <v>3</v>
      </c>
      <c r="I8169" s="20" t="inlineStr">
        <is>
          <t>스테이포에버</t>
        </is>
      </c>
      <c r="J8169" s="20" t="inlineStr">
        <is>
          <t>210501</t>
        </is>
      </c>
      <c r="L8169" s="20" t="n">
        <v>102000</v>
      </c>
      <c r="M8169" s="20" t="n">
        <v>96033</v>
      </c>
      <c r="N8169" s="20" t="n">
        <v>7662</v>
      </c>
      <c r="O8169" s="20" t="inlineStr">
        <is>
          <t>카페24고체향수솔리드퍼퓸 세트향=스테이포에버 002 SOLID PERFUME, 세트 선택=1개210501</t>
        </is>
      </c>
    </row>
    <row r="8170">
      <c r="B8170" s="16" t="n">
        <v>44325</v>
      </c>
      <c r="C8170" s="20" t="inlineStr">
        <is>
          <t>일</t>
        </is>
      </c>
      <c r="E8170" s="20" t="inlineStr">
        <is>
          <t>고체향수</t>
        </is>
      </c>
      <c r="F8170" s="20" t="inlineStr">
        <is>
          <t>카페24</t>
        </is>
      </c>
      <c r="G8170" s="20" t="inlineStr">
        <is>
          <t>솔리드퍼퓸 세트향=스테이포에버 002 SOLID PERFUME, 세트 선택=best 2개 (28% 할인)</t>
        </is>
      </c>
      <c r="H8170" s="20" t="n">
        <v>6</v>
      </c>
      <c r="I8170" s="20" t="inlineStr">
        <is>
          <t>스테이포에버 2set</t>
        </is>
      </c>
      <c r="J8170" s="20" t="inlineStr">
        <is>
          <t>210501</t>
        </is>
      </c>
      <c r="L8170" s="20" t="n">
        <v>352800</v>
      </c>
      <c r="M8170" s="20" t="n">
        <v>332161.2</v>
      </c>
      <c r="N8170" s="20" t="n">
        <v>30648</v>
      </c>
      <c r="O8170" s="20" t="inlineStr">
        <is>
          <t>카페24고체향수솔리드퍼퓸 세트향=스테이포에버 002 SOLID PERFUME, 세트 선택=best 2개 (28% 할인)210501</t>
        </is>
      </c>
    </row>
    <row r="8171">
      <c r="B8171" s="16" t="n">
        <v>44325</v>
      </c>
      <c r="C8171" s="20" t="inlineStr">
        <is>
          <t>일</t>
        </is>
      </c>
      <c r="E8171" s="20" t="inlineStr">
        <is>
          <t>고체향수</t>
        </is>
      </c>
      <c r="F8171" s="20" t="inlineStr">
        <is>
          <t>카페24</t>
        </is>
      </c>
      <c r="G8171" s="20" t="inlineStr">
        <is>
          <t>솔리드퍼퓸 세트향=커플세트(이그나이트 + 스테이포에버), 세트 선택=1 SET</t>
        </is>
      </c>
      <c r="H8171" s="20" t="n">
        <v>8</v>
      </c>
      <c r="I8171" s="20" t="inlineStr">
        <is>
          <t>이그나이트 + 스테이포에버</t>
        </is>
      </c>
      <c r="J8171" s="20" t="inlineStr">
        <is>
          <t>210501</t>
        </is>
      </c>
      <c r="L8171" s="20" t="n">
        <v>470400</v>
      </c>
      <c r="M8171" s="20" t="n">
        <v>442881.6</v>
      </c>
      <c r="N8171" s="20" t="n">
        <v>41432</v>
      </c>
      <c r="O8171" s="20" t="inlineStr">
        <is>
          <t>카페24고체향수솔리드퍼퓸 세트향=커플세트(이그나이트 + 스테이포에버), 세트 선택=1 SET210501</t>
        </is>
      </c>
    </row>
    <row r="8172">
      <c r="B8172" s="16" t="n">
        <v>44325</v>
      </c>
      <c r="C8172" s="20" t="inlineStr">
        <is>
          <t>일</t>
        </is>
      </c>
      <c r="E8172" s="20" t="inlineStr">
        <is>
          <t>고체향수</t>
        </is>
      </c>
      <c r="F8172" s="20" t="inlineStr">
        <is>
          <t>카페24</t>
        </is>
      </c>
      <c r="G8172" s="20" t="inlineStr">
        <is>
          <t>솔리드퍼퓸 세트향=커플세트(이그나이트 + 스테이포에버), 세트 선택=2 SET (42% 할인)</t>
        </is>
      </c>
      <c r="H8172" s="20" t="n">
        <v>2</v>
      </c>
      <c r="I8172" s="20" t="inlineStr">
        <is>
          <t>이그나이트 + 스테이포에버</t>
        </is>
      </c>
      <c r="J8172" s="20" t="inlineStr">
        <is>
          <t>210501</t>
        </is>
      </c>
      <c r="L8172" s="20" t="n">
        <v>117600</v>
      </c>
      <c r="M8172" s="20" t="n">
        <v>110720.4</v>
      </c>
      <c r="N8172" s="20" t="n">
        <v>10358</v>
      </c>
      <c r="O8172" s="20" t="inlineStr">
        <is>
          <t>카페24고체향수솔리드퍼퓸 세트향=커플세트(이그나이트 + 스테이포에버), 세트 선택=2 SET (42% 할인)210501</t>
        </is>
      </c>
    </row>
    <row r="8173">
      <c r="B8173" s="16" t="n">
        <v>44325</v>
      </c>
      <c r="C8173" s="20" t="inlineStr">
        <is>
          <t>일</t>
        </is>
      </c>
      <c r="E8173" s="20" t="inlineStr">
        <is>
          <t>고체향수</t>
        </is>
      </c>
      <c r="F8173" s="20" t="inlineStr">
        <is>
          <t>카페24</t>
        </is>
      </c>
      <c r="G8173" s="20" t="inlineStr">
        <is>
          <t>솔리드퍼퓸 스테이포에버 002제품선택=스테이포에버 1개</t>
        </is>
      </c>
      <c r="H8173" s="20" t="n">
        <v>232</v>
      </c>
      <c r="I8173" s="20" t="inlineStr">
        <is>
          <t>스테이포에버</t>
        </is>
      </c>
      <c r="J8173" s="20" t="inlineStr">
        <is>
          <t>210501</t>
        </is>
      </c>
      <c r="L8173" s="20" t="n">
        <v>7888000</v>
      </c>
      <c r="M8173" s="20" t="n">
        <v>7426552</v>
      </c>
      <c r="N8173" s="20" t="n">
        <v>592528</v>
      </c>
      <c r="O8173" s="20" t="inlineStr">
        <is>
          <t>카페24고체향수솔리드퍼퓸 스테이포에버 002제품선택=스테이포에버 1개210501</t>
        </is>
      </c>
    </row>
    <row r="8174">
      <c r="B8174" s="16" t="n">
        <v>44325</v>
      </c>
      <c r="C8174" s="20" t="inlineStr">
        <is>
          <t>일</t>
        </is>
      </c>
      <c r="E8174" s="20" t="inlineStr">
        <is>
          <t>고체향수</t>
        </is>
      </c>
      <c r="F8174" s="20" t="inlineStr">
        <is>
          <t>카페24</t>
        </is>
      </c>
      <c r="G8174" s="20" t="inlineStr">
        <is>
          <t>솔리드퍼퓸 스테이포에버 002제품선택=best스테이포에버 2개[28% 할인]</t>
        </is>
      </c>
      <c r="H8174" s="20" t="n">
        <v>139</v>
      </c>
      <c r="I8174" s="20" t="inlineStr">
        <is>
          <t>스테이포에버 2set</t>
        </is>
      </c>
      <c r="J8174" s="20" t="inlineStr">
        <is>
          <t>210501</t>
        </is>
      </c>
      <c r="L8174" s="20" t="n">
        <v>8173200</v>
      </c>
      <c r="M8174" s="20" t="n">
        <v>7695067.8</v>
      </c>
      <c r="N8174" s="20" t="n">
        <v>710012</v>
      </c>
      <c r="O8174" s="20" t="inlineStr">
        <is>
          <t>카페24고체향수솔리드퍼퓸 스테이포에버 002제품선택=best스테이포에버 2개[28% 할인]210501</t>
        </is>
      </c>
    </row>
    <row r="8175">
      <c r="B8175" s="16" t="n">
        <v>44325</v>
      </c>
      <c r="C8175" s="20" t="inlineStr">
        <is>
          <t>일</t>
        </is>
      </c>
      <c r="E8175" s="20" t="inlineStr">
        <is>
          <t>고체향수</t>
        </is>
      </c>
      <c r="F8175" s="20" t="inlineStr">
        <is>
          <t>카페24</t>
        </is>
      </c>
      <c r="G8175" s="20" t="inlineStr">
        <is>
          <t>솔리드퍼퓸 스테이포에버 002제품선택=커플추천스테이포에버 + 이그나이트 세트</t>
        </is>
      </c>
      <c r="H8175" s="20" t="n">
        <v>24</v>
      </c>
      <c r="I8175" s="20" t="inlineStr">
        <is>
          <t>이그나이트 + 스테이포에버</t>
        </is>
      </c>
      <c r="J8175" s="20" t="inlineStr">
        <is>
          <t>210501</t>
        </is>
      </c>
      <c r="L8175" s="20" t="n">
        <v>1411200</v>
      </c>
      <c r="M8175" s="20" t="n">
        <v>1328644.8</v>
      </c>
      <c r="N8175" s="20" t="n">
        <v>124296</v>
      </c>
      <c r="O8175" s="20" t="inlineStr">
        <is>
          <t>카페24고체향수솔리드퍼퓸 스테이포에버 002제품선택=커플추천스테이포에버 + 이그나이트 세트210501</t>
        </is>
      </c>
    </row>
    <row r="8176">
      <c r="B8176" s="16" t="n">
        <v>44325</v>
      </c>
      <c r="C8176" s="20" t="inlineStr">
        <is>
          <t>일</t>
        </is>
      </c>
      <c r="E8176" s="20" t="inlineStr">
        <is>
          <t>쇼핑백</t>
        </is>
      </c>
      <c r="F8176" s="20" t="inlineStr">
        <is>
          <t>카페24</t>
        </is>
      </c>
      <c r="G8176" s="20" t="inlineStr">
        <is>
          <t>솔리드퍼퓸 스테이포에버 002쇼핑백=선물용 쇼핑백</t>
        </is>
      </c>
      <c r="H8176" s="20" t="n">
        <v>13</v>
      </c>
      <c r="I8176" s="20" t="inlineStr">
        <is>
          <t>쇼핑백</t>
        </is>
      </c>
      <c r="J8176" s="20" t="inlineStr">
        <is>
          <t>210501</t>
        </is>
      </c>
      <c r="L8176" s="20" t="n">
        <v>26000</v>
      </c>
      <c r="M8176" s="20" t="n">
        <v>24479</v>
      </c>
      <c r="N8176" s="20" t="n">
        <v>10790</v>
      </c>
      <c r="O8176" s="20" t="inlineStr">
        <is>
          <t>카페24쇼핑백솔리드퍼퓸 스테이포에버 002쇼핑백=선물용 쇼핑백210501</t>
        </is>
      </c>
    </row>
    <row r="8177">
      <c r="B8177" s="16" t="n">
        <v>44325</v>
      </c>
      <c r="C8177" s="20" t="inlineStr">
        <is>
          <t>일</t>
        </is>
      </c>
      <c r="E8177" s="20" t="inlineStr">
        <is>
          <t>고체향수</t>
        </is>
      </c>
      <c r="F8177" s="20" t="inlineStr">
        <is>
          <t>카페24</t>
        </is>
      </c>
      <c r="G8177" s="20" t="inlineStr">
        <is>
          <t>솔리드퍼퓸 이그나이트 001제품선택=이그나이트 솔리드퍼퓸 - 30ml</t>
        </is>
      </c>
      <c r="H8177" s="20" t="n">
        <v>3</v>
      </c>
      <c r="I8177" s="20" t="inlineStr">
        <is>
          <t>이그나이트</t>
        </is>
      </c>
      <c r="J8177" s="20" t="inlineStr">
        <is>
          <t>210501</t>
        </is>
      </c>
      <c r="L8177" s="20" t="n">
        <v>102000</v>
      </c>
      <c r="M8177" s="20" t="n">
        <v>96033</v>
      </c>
      <c r="N8177" s="20" t="n">
        <v>7875</v>
      </c>
      <c r="O8177" s="20" t="inlineStr">
        <is>
          <t>카페24고체향수솔리드퍼퓸 이그나이트 001제품선택=이그나이트 솔리드퍼퓸 - 30ml210501</t>
        </is>
      </c>
    </row>
    <row r="8178">
      <c r="B8178" s="16" t="n">
        <v>44325</v>
      </c>
      <c r="C8178" s="20" t="inlineStr">
        <is>
          <t>일</t>
        </is>
      </c>
      <c r="E8178" s="20" t="inlineStr">
        <is>
          <t>고체향수</t>
        </is>
      </c>
      <c r="F8178" s="20" t="inlineStr">
        <is>
          <t>카페24</t>
        </is>
      </c>
      <c r="G8178" s="20" t="inlineStr">
        <is>
          <t>솔리드퍼퓸 이그나이트 001제품선택=이그나이트 2개 세트</t>
        </is>
      </c>
      <c r="H8178" s="20" t="n">
        <v>1</v>
      </c>
      <c r="I8178" s="20" t="inlineStr">
        <is>
          <t>이그나이트 2set</t>
        </is>
      </c>
      <c r="J8178" s="20" t="inlineStr">
        <is>
          <t>210501</t>
        </is>
      </c>
      <c r="L8178" s="20" t="n">
        <v>58800</v>
      </c>
      <c r="M8178" s="20" t="n">
        <v>55360.2</v>
      </c>
      <c r="N8178" s="20" t="n">
        <v>5250</v>
      </c>
      <c r="O8178" s="20" t="inlineStr">
        <is>
          <t>카페24고체향수솔리드퍼퓸 이그나이트 001제품선택=이그나이트 2개 세트210501</t>
        </is>
      </c>
    </row>
    <row r="8179">
      <c r="A8179" s="20" t="inlineStr">
        <is>
          <t>고체향수</t>
        </is>
      </c>
      <c r="B8179" s="16" t="n">
        <v>44323</v>
      </c>
      <c r="C8179" s="20" t="inlineStr">
        <is>
          <t>금</t>
        </is>
      </c>
      <c r="D8179" s="20" t="inlineStr">
        <is>
          <t>네이버 배너</t>
        </is>
      </c>
      <c r="E8179" s="20" t="inlineStr">
        <is>
          <t>고체향수</t>
        </is>
      </c>
      <c r="K8179" s="20" t="n">
        <v>781200.9090909091</v>
      </c>
    </row>
    <row r="8180">
      <c r="A8180" s="20" t="inlineStr">
        <is>
          <t>고체향수</t>
        </is>
      </c>
      <c r="B8180" s="16" t="n">
        <v>44324</v>
      </c>
      <c r="C8180" s="20" t="inlineStr">
        <is>
          <t>토</t>
        </is>
      </c>
      <c r="D8180" s="20" t="inlineStr">
        <is>
          <t>네이버 배너</t>
        </is>
      </c>
      <c r="E8180" s="20" t="inlineStr">
        <is>
          <t>고체향수</t>
        </is>
      </c>
      <c r="K8180" s="20" t="n">
        <v>724004.5454545454</v>
      </c>
    </row>
    <row r="8181">
      <c r="A8181" s="20" t="inlineStr">
        <is>
          <t>고체향수</t>
        </is>
      </c>
      <c r="B8181" s="16" t="n">
        <v>44325</v>
      </c>
      <c r="C8181" s="20" t="inlineStr">
        <is>
          <t>일</t>
        </is>
      </c>
      <c r="D8181" s="20" t="inlineStr">
        <is>
          <t>네이버 배너</t>
        </is>
      </c>
      <c r="E8181" s="20" t="inlineStr">
        <is>
          <t>고체향수</t>
        </is>
      </c>
      <c r="K8181" s="20" t="n">
        <v>674950.9090909091</v>
      </c>
    </row>
    <row r="8182">
      <c r="A8182" s="20" t="inlineStr">
        <is>
          <t>고체향수_승무원 어피_Npay 추적</t>
        </is>
      </c>
      <c r="B8182" s="16" t="n">
        <v>44323</v>
      </c>
      <c r="C8182" s="20" t="inlineStr">
        <is>
          <t>금</t>
        </is>
      </c>
      <c r="D8182" s="20" t="inlineStr">
        <is>
          <t>카카오 배너</t>
        </is>
      </c>
      <c r="E8182" s="20" t="inlineStr">
        <is>
          <t>고체향수</t>
        </is>
      </c>
      <c r="K8182" s="20" t="n">
        <v>91259.99999999999</v>
      </c>
    </row>
    <row r="8183">
      <c r="A8183" s="20" t="inlineStr">
        <is>
          <t>고체향수_Npay 추적</t>
        </is>
      </c>
      <c r="B8183" s="16" t="n">
        <v>44323</v>
      </c>
      <c r="C8183" s="20" t="inlineStr">
        <is>
          <t>금</t>
        </is>
      </c>
      <c r="D8183" s="20" t="inlineStr">
        <is>
          <t>카카오 배너</t>
        </is>
      </c>
      <c r="E8183" s="20" t="inlineStr">
        <is>
          <t>고체향수</t>
        </is>
      </c>
      <c r="K8183" s="20" t="n">
        <v>827889.9999999999</v>
      </c>
    </row>
    <row r="8184">
      <c r="A8184" s="20" t="inlineStr">
        <is>
          <t>고체향수_승무원 어피_Npay 추적</t>
        </is>
      </c>
      <c r="B8184" s="16" t="n">
        <v>44324</v>
      </c>
      <c r="C8184" s="20" t="inlineStr">
        <is>
          <t>토</t>
        </is>
      </c>
      <c r="D8184" s="20" t="inlineStr">
        <is>
          <t>카카오 배너</t>
        </is>
      </c>
      <c r="E8184" s="20" t="inlineStr">
        <is>
          <t>고체향수</t>
        </is>
      </c>
      <c r="K8184" s="20" t="n">
        <v>91069.99999999999</v>
      </c>
    </row>
    <row r="8185">
      <c r="A8185" s="20" t="inlineStr">
        <is>
          <t>고체향수_Npay 추적</t>
        </is>
      </c>
      <c r="B8185" s="16" t="n">
        <v>44324</v>
      </c>
      <c r="C8185" s="20" t="inlineStr">
        <is>
          <t>토</t>
        </is>
      </c>
      <c r="D8185" s="20" t="inlineStr">
        <is>
          <t>카카오 배너</t>
        </is>
      </c>
      <c r="E8185" s="20" t="inlineStr">
        <is>
          <t>고체향수</t>
        </is>
      </c>
      <c r="K8185" s="20" t="n">
        <v>975479.9999999999</v>
      </c>
    </row>
    <row r="8186">
      <c r="A8186" s="20" t="inlineStr">
        <is>
          <t>고체향수_승무원 어피_Npay 추적</t>
        </is>
      </c>
      <c r="B8186" s="16" t="n">
        <v>44325</v>
      </c>
      <c r="C8186" s="20" t="inlineStr">
        <is>
          <t>일</t>
        </is>
      </c>
      <c r="D8186" s="20" t="inlineStr">
        <is>
          <t>카카오 배너</t>
        </is>
      </c>
      <c r="E8186" s="20" t="inlineStr">
        <is>
          <t>고체향수</t>
        </is>
      </c>
      <c r="K8186" s="20" t="n">
        <v>91209.99999999999</v>
      </c>
    </row>
    <row r="8187">
      <c r="A8187" s="20" t="inlineStr">
        <is>
          <t>고체향수_Npay 추적</t>
        </is>
      </c>
      <c r="B8187" s="16" t="n">
        <v>44325</v>
      </c>
      <c r="C8187" s="20" t="inlineStr">
        <is>
          <t>일</t>
        </is>
      </c>
      <c r="D8187" s="20" t="inlineStr">
        <is>
          <t>카카오 배너</t>
        </is>
      </c>
      <c r="E8187" s="20" t="inlineStr">
        <is>
          <t>고체향수</t>
        </is>
      </c>
      <c r="K8187" s="20" t="n">
        <v>956659.9999999999</v>
      </c>
    </row>
    <row r="8188">
      <c r="A8188" s="20" t="inlineStr">
        <is>
          <t>[수현 TEST] 스테이포에버_카드뉴스</t>
        </is>
      </c>
      <c r="B8188" s="16" t="n">
        <v>44326</v>
      </c>
      <c r="C8188" s="20" t="inlineStr">
        <is>
          <t>월</t>
        </is>
      </c>
      <c r="K8188" s="20" t="n">
        <v>40213</v>
      </c>
    </row>
    <row r="8189">
      <c r="A8189" s="20" t="inlineStr">
        <is>
          <t>[수현 TEST] 솔리드퍼퓸_이미지</t>
        </is>
      </c>
      <c r="B8189" s="16" t="n">
        <v>44326</v>
      </c>
      <c r="C8189" s="20" t="inlineStr">
        <is>
          <t>월</t>
        </is>
      </c>
      <c r="D8189" s="20" t="inlineStr">
        <is>
          <t>페이스북/인스타그램</t>
        </is>
      </c>
      <c r="E8189" s="20" t="inlineStr">
        <is>
          <t>고체향수</t>
        </is>
      </c>
      <c r="K8189" s="20" t="n">
        <v>48306</v>
      </c>
    </row>
    <row r="8190">
      <c r="A8190" s="20" t="inlineStr">
        <is>
          <t>[승은 TEST] 스테이포에버</t>
        </is>
      </c>
      <c r="B8190" s="16" t="n">
        <v>44326</v>
      </c>
      <c r="C8190" s="20" t="inlineStr">
        <is>
          <t>월</t>
        </is>
      </c>
      <c r="D8190" s="20" t="inlineStr">
        <is>
          <t>페이스북/인스타그램</t>
        </is>
      </c>
      <c r="E8190" s="20" t="inlineStr">
        <is>
          <t>고체향수</t>
        </is>
      </c>
      <c r="K8190" s="20" t="n">
        <v>97931</v>
      </c>
    </row>
    <row r="8191">
      <c r="A8191" s="20" t="inlineStr">
        <is>
          <t>[비누향 덕후] 스테이포에버_카드뉴스</t>
        </is>
      </c>
      <c r="B8191" s="16" t="n">
        <v>44326</v>
      </c>
      <c r="C8191" s="20" t="inlineStr">
        <is>
          <t>월</t>
        </is>
      </c>
      <c r="D8191" s="20" t="inlineStr">
        <is>
          <t>페이스북/인스타그램</t>
        </is>
      </c>
      <c r="E8191" s="20" t="inlineStr">
        <is>
          <t>고체향수</t>
        </is>
      </c>
      <c r="K8191" s="20" t="n">
        <v>149335</v>
      </c>
    </row>
    <row r="8192">
      <c r="A8192" s="20" t="inlineStr">
        <is>
          <t>[비누향 인연] 스테이포에버_카드뉴스</t>
        </is>
      </c>
      <c r="B8192" s="16" t="n">
        <v>44326</v>
      </c>
      <c r="C8192" s="20" t="inlineStr">
        <is>
          <t>월</t>
        </is>
      </c>
      <c r="D8192" s="20" t="inlineStr">
        <is>
          <t>페이스북/인스타그램</t>
        </is>
      </c>
      <c r="E8192" s="20" t="inlineStr">
        <is>
          <t>고체향수</t>
        </is>
      </c>
      <c r="K8192" s="20" t="n">
        <v>56786</v>
      </c>
    </row>
    <row r="8193">
      <c r="A8193" s="20" t="inlineStr">
        <is>
          <t>[성민 TEST] 솔리드퍼퓸_이미지</t>
        </is>
      </c>
      <c r="B8193" s="16" t="n">
        <v>44326</v>
      </c>
      <c r="C8193" s="20" t="inlineStr">
        <is>
          <t>월</t>
        </is>
      </c>
      <c r="D8193" s="20" t="inlineStr">
        <is>
          <t>페이스북/인스타그램</t>
        </is>
      </c>
      <c r="E8193" s="20" t="inlineStr">
        <is>
          <t>고체향수</t>
        </is>
      </c>
      <c r="K8193" s="20" t="n">
        <v>29042</v>
      </c>
    </row>
    <row r="8194">
      <c r="A8194" s="20" t="inlineStr">
        <is>
          <t>[승무원]유튜브_스테이포에버_카드뉴스</t>
        </is>
      </c>
      <c r="B8194" s="16" t="n">
        <v>44326</v>
      </c>
      <c r="C8194" s="20" t="inlineStr">
        <is>
          <t>월</t>
        </is>
      </c>
      <c r="D8194" s="20" t="inlineStr">
        <is>
          <t>페이스북/인스타그램</t>
        </is>
      </c>
      <c r="E8194" s="20" t="inlineStr">
        <is>
          <t>고체향수</t>
        </is>
      </c>
      <c r="K8194" s="20" t="n">
        <v>98276</v>
      </c>
    </row>
    <row r="8195">
      <c r="A8195" s="20" t="inlineStr">
        <is>
          <t>[올리브영] 이그나이트_영상</t>
        </is>
      </c>
      <c r="B8195" s="16" t="n">
        <v>44326</v>
      </c>
      <c r="C8195" s="20" t="inlineStr">
        <is>
          <t>월</t>
        </is>
      </c>
      <c r="D8195" s="20" t="inlineStr">
        <is>
          <t>페이스북/인스타그램</t>
        </is>
      </c>
      <c r="E8195" s="20" t="inlineStr">
        <is>
          <t>고체향수</t>
        </is>
      </c>
      <c r="K8195" s="20" t="n">
        <v>28760</v>
      </c>
    </row>
    <row r="8196">
      <c r="A8196" s="20" t="inlineStr">
        <is>
          <t>[승희 TEST] 솔리드퍼퓸_이미지</t>
        </is>
      </c>
      <c r="B8196" s="16" t="n">
        <v>44326</v>
      </c>
      <c r="C8196" s="20" t="inlineStr">
        <is>
          <t>월</t>
        </is>
      </c>
      <c r="D8196" s="20" t="inlineStr">
        <is>
          <t>페이스북/인스타그램</t>
        </is>
      </c>
      <c r="E8196" s="20" t="inlineStr">
        <is>
          <t>고체향수</t>
        </is>
      </c>
      <c r="K8196" s="20" t="n">
        <v>111466</v>
      </c>
    </row>
    <row r="8197">
      <c r="A8197" s="20" t="inlineStr">
        <is>
          <t>[올리브영] 스테이포에버_영상</t>
        </is>
      </c>
      <c r="B8197" s="16" t="n">
        <v>44326</v>
      </c>
      <c r="C8197" s="20" t="inlineStr">
        <is>
          <t>월</t>
        </is>
      </c>
      <c r="D8197" s="20" t="inlineStr">
        <is>
          <t>페이스북/인스타그램</t>
        </is>
      </c>
      <c r="E8197" s="20" t="inlineStr">
        <is>
          <t>고체향수</t>
        </is>
      </c>
      <c r="K8197" s="20" t="n">
        <v>47354</v>
      </c>
    </row>
    <row r="8198">
      <c r="A8198" s="20" t="inlineStr">
        <is>
          <t>[올리브영] 스테이포에버_이미지</t>
        </is>
      </c>
      <c r="B8198" s="16" t="n">
        <v>44326</v>
      </c>
      <c r="C8198" s="20" t="inlineStr">
        <is>
          <t>월</t>
        </is>
      </c>
      <c r="D8198" s="20" t="inlineStr">
        <is>
          <t>페이스북/인스타그램</t>
        </is>
      </c>
      <c r="E8198" s="20" t="inlineStr">
        <is>
          <t>고체향수</t>
        </is>
      </c>
      <c r="K8198" s="20" t="n">
        <v>28241</v>
      </c>
    </row>
    <row r="8199">
      <c r="A8199" s="20" t="inlineStr">
        <is>
          <t>[승무원] 유튜브재편집_스테이포에버_영상</t>
        </is>
      </c>
      <c r="B8199" s="16" t="n">
        <v>44326</v>
      </c>
      <c r="C8199" s="20" t="inlineStr">
        <is>
          <t>월</t>
        </is>
      </c>
      <c r="D8199" s="20" t="inlineStr">
        <is>
          <t>페이스북/인스타그램</t>
        </is>
      </c>
      <c r="E8199" s="20" t="inlineStr">
        <is>
          <t>고체향수</t>
        </is>
      </c>
      <c r="K8199" s="20" t="n">
        <v>846523</v>
      </c>
    </row>
    <row r="8200">
      <c r="A8200" s="20" t="inlineStr">
        <is>
          <t>[승무원 면세점] 스테이포에버_카드뉴스</t>
        </is>
      </c>
      <c r="B8200" s="16" t="n">
        <v>44326</v>
      </c>
      <c r="C8200" s="20" t="inlineStr">
        <is>
          <t>월</t>
        </is>
      </c>
      <c r="D8200" s="20" t="inlineStr">
        <is>
          <t>페이스북/인스타그램</t>
        </is>
      </c>
      <c r="E8200" s="20" t="inlineStr">
        <is>
          <t>고체향수</t>
        </is>
      </c>
      <c r="K8200" s="20" t="n">
        <v>167968</v>
      </c>
    </row>
    <row r="8201">
      <c r="A8201" s="20" t="inlineStr">
        <is>
          <t>[카페알바] 스테이포에버_카드뉴스</t>
        </is>
      </c>
      <c r="B8201" s="16" t="n">
        <v>44326</v>
      </c>
      <c r="C8201" s="20" t="inlineStr">
        <is>
          <t>월</t>
        </is>
      </c>
      <c r="D8201" s="20" t="inlineStr">
        <is>
          <t>페이스북/인스타그램</t>
        </is>
      </c>
      <c r="E8201" s="20" t="inlineStr">
        <is>
          <t>고체향수</t>
        </is>
      </c>
      <c r="K8201" s="20" t="n">
        <v>98269</v>
      </c>
    </row>
    <row r="8202">
      <c r="A8202" s="20" t="inlineStr">
        <is>
          <t>[아줌마]스테이포에버_이미지</t>
        </is>
      </c>
      <c r="B8202" s="16" t="n">
        <v>44326</v>
      </c>
      <c r="C8202" s="20" t="inlineStr">
        <is>
          <t>월</t>
        </is>
      </c>
      <c r="D8202" s="20" t="inlineStr">
        <is>
          <t>페이스북/인스타그램</t>
        </is>
      </c>
      <c r="E8202" s="20" t="inlineStr">
        <is>
          <t>고체향수</t>
        </is>
      </c>
      <c r="K8202" s="20" t="n">
        <v>48824</v>
      </c>
    </row>
    <row r="8203">
      <c r="A8203" s="20" t="inlineStr">
        <is>
          <t>[다양한 키워드] 스테이포에버_이미지</t>
        </is>
      </c>
      <c r="B8203" s="16" t="n">
        <v>44326</v>
      </c>
      <c r="C8203" s="20" t="inlineStr">
        <is>
          <t>월</t>
        </is>
      </c>
      <c r="D8203" s="20" t="inlineStr">
        <is>
          <t>페이스북/인스타그램</t>
        </is>
      </c>
      <c r="E8203" s="20" t="inlineStr">
        <is>
          <t>고체향수</t>
        </is>
      </c>
      <c r="K8203" s="20" t="n">
        <v>214840</v>
      </c>
    </row>
    <row r="8204">
      <c r="A8204" s="20" t="inlineStr">
        <is>
          <t>[재입고]스테이포에버_이미지</t>
        </is>
      </c>
      <c r="B8204" s="16" t="n">
        <v>44326</v>
      </c>
      <c r="C8204" s="20" t="inlineStr">
        <is>
          <t>월</t>
        </is>
      </c>
      <c r="D8204" s="20" t="inlineStr">
        <is>
          <t>페이스북/인스타그램</t>
        </is>
      </c>
      <c r="E8204" s="20" t="inlineStr">
        <is>
          <t>고체향수</t>
        </is>
      </c>
      <c r="K8204" s="20" t="n">
        <v>48804</v>
      </c>
    </row>
    <row r="8205">
      <c r="A8205" s="20" t="inlineStr">
        <is>
          <t>[승무원]숏폼_영상</t>
        </is>
      </c>
      <c r="B8205" s="16" t="n">
        <v>44326</v>
      </c>
      <c r="C8205" s="20" t="inlineStr">
        <is>
          <t>월</t>
        </is>
      </c>
      <c r="D8205" s="20" t="inlineStr">
        <is>
          <t>페이스북/인스타그램</t>
        </is>
      </c>
      <c r="E8205" s="20" t="inlineStr">
        <is>
          <t>고체향수</t>
        </is>
      </c>
      <c r="K8205" s="20" t="n">
        <v>48919</v>
      </c>
    </row>
    <row r="8206">
      <c r="A8206" s="20" t="inlineStr">
        <is>
          <t>[재입고]스테이포에버_영상</t>
        </is>
      </c>
      <c r="B8206" s="16" t="n">
        <v>44326</v>
      </c>
      <c r="C8206" s="20" t="inlineStr">
        <is>
          <t>월</t>
        </is>
      </c>
      <c r="D8206" s="20" t="inlineStr">
        <is>
          <t>페이스북/인스타그램</t>
        </is>
      </c>
      <c r="E8206" s="20" t="inlineStr">
        <is>
          <t>고체향수</t>
        </is>
      </c>
      <c r="K8206" s="20" t="n">
        <v>195496</v>
      </c>
    </row>
    <row r="8207">
      <c r="A8207" s="20" t="inlineStr">
        <is>
          <t>[승무원]2019년썰 카드뉴스+ 향묘사_영상</t>
        </is>
      </c>
      <c r="B8207" s="16" t="n">
        <v>44326</v>
      </c>
      <c r="C8207" s="20" t="inlineStr">
        <is>
          <t>월</t>
        </is>
      </c>
      <c r="D8207" s="20" t="inlineStr">
        <is>
          <t>페이스북/인스타그램</t>
        </is>
      </c>
      <c r="E8207" s="20" t="inlineStr">
        <is>
          <t>고체향수</t>
        </is>
      </c>
      <c r="K8207" s="20" t="n">
        <v>39232</v>
      </c>
    </row>
    <row r="8208">
      <c r="A8208" s="20" t="inlineStr">
        <is>
          <t>[승무원어피]스테이포에버_이미지</t>
        </is>
      </c>
      <c r="B8208" s="16" t="n">
        <v>44326</v>
      </c>
      <c r="C8208" s="20" t="inlineStr">
        <is>
          <t>월</t>
        </is>
      </c>
      <c r="D8208" s="20" t="inlineStr">
        <is>
          <t>페이스북/인스타그램</t>
        </is>
      </c>
      <c r="E8208" s="20" t="inlineStr">
        <is>
          <t>고체향수</t>
        </is>
      </c>
      <c r="K8208" s="20" t="n">
        <v>97422</v>
      </c>
    </row>
    <row r="8209">
      <c r="A8209" s="20" t="inlineStr">
        <is>
          <t>[다현]스테이포에버_이미지</t>
        </is>
      </c>
      <c r="B8209" s="16" t="n">
        <v>44326</v>
      </c>
      <c r="C8209" s="20" t="inlineStr">
        <is>
          <t>월</t>
        </is>
      </c>
      <c r="D8209" s="20" t="inlineStr">
        <is>
          <t>페이스북/인스타그램</t>
        </is>
      </c>
      <c r="E8209" s="20" t="inlineStr">
        <is>
          <t>고체향수</t>
        </is>
      </c>
      <c r="K8209" s="20" t="n">
        <v>98457</v>
      </c>
    </row>
    <row r="8210">
      <c r="A8210" s="20" t="inlineStr">
        <is>
          <t>[후기타입]스테이포에버_영상</t>
        </is>
      </c>
      <c r="B8210" s="16" t="n">
        <v>44326</v>
      </c>
      <c r="C8210" s="20" t="inlineStr">
        <is>
          <t>월</t>
        </is>
      </c>
      <c r="D8210" s="20" t="inlineStr">
        <is>
          <t>페이스북/인스타그램</t>
        </is>
      </c>
      <c r="E8210" s="20" t="inlineStr">
        <is>
          <t>고체향수</t>
        </is>
      </c>
      <c r="K8210" s="20" t="n">
        <v>98233</v>
      </c>
    </row>
    <row r="8211">
      <c r="A8211" s="20" t="inlineStr">
        <is>
          <t>전환_스테이포에버</t>
        </is>
      </c>
      <c r="B8211" s="16" t="n">
        <v>44326</v>
      </c>
      <c r="C8211" s="20" t="inlineStr">
        <is>
          <t>월</t>
        </is>
      </c>
      <c r="D8211" s="20" t="inlineStr">
        <is>
          <t>페이스북/인스타그램</t>
        </is>
      </c>
      <c r="E8211" s="20" t="inlineStr">
        <is>
          <t>고체향수</t>
        </is>
      </c>
      <c r="K8211" s="20" t="n">
        <v>98503</v>
      </c>
    </row>
    <row r="8212">
      <c r="A8212" s="20" t="inlineStr">
        <is>
          <t>[권태기커플]스테이포에버_영상</t>
        </is>
      </c>
      <c r="B8212" s="16" t="n">
        <v>44326</v>
      </c>
      <c r="C8212" s="20" t="inlineStr">
        <is>
          <t>월</t>
        </is>
      </c>
      <c r="D8212" s="20" t="inlineStr">
        <is>
          <t>페이스북/인스타그램</t>
        </is>
      </c>
      <c r="E8212" s="20" t="inlineStr">
        <is>
          <t>고체향수</t>
        </is>
      </c>
      <c r="K8212" s="20" t="n">
        <v>29591</v>
      </c>
    </row>
    <row r="8213">
      <c r="A8213" s="20" t="inlineStr">
        <is>
          <t>웹사이트 트래픽 서치</t>
        </is>
      </c>
      <c r="B8213" s="16" t="n">
        <v>44326</v>
      </c>
      <c r="C8213" s="20" t="inlineStr">
        <is>
          <t>월</t>
        </is>
      </c>
      <c r="D8213" s="20" t="inlineStr">
        <is>
          <t>유튜브 광고</t>
        </is>
      </c>
      <c r="E8213" s="20" t="inlineStr">
        <is>
          <t>고체향수</t>
        </is>
      </c>
      <c r="K8213" s="20" t="n">
        <v>24504</v>
      </c>
    </row>
    <row r="8214">
      <c r="A8214" s="20" t="inlineStr">
        <is>
          <t>동영상캠페인_승무원_보이는 라디오(cpa)</t>
        </is>
      </c>
      <c r="B8214" s="16" t="n">
        <v>44326</v>
      </c>
      <c r="C8214" s="20" t="inlineStr">
        <is>
          <t>월</t>
        </is>
      </c>
      <c r="D8214" s="20" t="inlineStr">
        <is>
          <t>유튜브 광고</t>
        </is>
      </c>
      <c r="E8214" s="20" t="inlineStr">
        <is>
          <t>고체향수</t>
        </is>
      </c>
      <c r="K8214" s="20" t="n">
        <v>17723</v>
      </c>
    </row>
    <row r="8215">
      <c r="A8215" s="20" t="inlineStr">
        <is>
          <t>디스커버리 배너_승무원,할인_리마케팅</t>
        </is>
      </c>
      <c r="B8215" s="16" t="n">
        <v>44326</v>
      </c>
      <c r="C8215" s="20" t="inlineStr">
        <is>
          <t>월</t>
        </is>
      </c>
      <c r="D8215" s="20" t="inlineStr">
        <is>
          <t>유튜브 광고</t>
        </is>
      </c>
      <c r="E8215" s="20" t="inlineStr">
        <is>
          <t>고체향수</t>
        </is>
      </c>
      <c r="K8215" s="20" t="n">
        <v>1129967</v>
      </c>
    </row>
    <row r="8216">
      <c r="A8216" s="20" t="inlineStr">
        <is>
          <t>동영상캠페인_승무원_써니스카이</t>
        </is>
      </c>
      <c r="B8216" s="16" t="n">
        <v>44326</v>
      </c>
      <c r="C8216" s="20" t="inlineStr">
        <is>
          <t>월</t>
        </is>
      </c>
      <c r="D8216" s="20" t="inlineStr">
        <is>
          <t>유튜브 광고</t>
        </is>
      </c>
      <c r="E8216" s="20" t="inlineStr">
        <is>
          <t>고체향수</t>
        </is>
      </c>
      <c r="K8216" s="20" t="n">
        <v>33847</v>
      </c>
    </row>
    <row r="8217">
      <c r="A8217" s="20" t="inlineStr">
        <is>
          <t>[5화자] 동영상 캠페인_벨라의 비행일기</t>
        </is>
      </c>
      <c r="B8217" s="16" t="n">
        <v>44326</v>
      </c>
      <c r="C8217" s="20" t="inlineStr">
        <is>
          <t>월</t>
        </is>
      </c>
      <c r="D8217" s="20" t="inlineStr">
        <is>
          <t>유튜브 광고</t>
        </is>
      </c>
      <c r="E8217" s="20" t="inlineStr">
        <is>
          <t>고체향수</t>
        </is>
      </c>
      <c r="K8217" s="20" t="n">
        <v>394838</v>
      </c>
    </row>
    <row r="8218">
      <c r="A8218" s="20" t="inlineStr">
        <is>
          <t>[5화자] 동영상 캠페인_비행하고 여행하는 은선씨</t>
        </is>
      </c>
      <c r="B8218" s="16" t="n">
        <v>44326</v>
      </c>
      <c r="C8218" s="20" t="inlineStr">
        <is>
          <t>월</t>
        </is>
      </c>
      <c r="D8218" s="20" t="inlineStr">
        <is>
          <t>유튜브 광고</t>
        </is>
      </c>
      <c r="E8218" s="20" t="inlineStr">
        <is>
          <t>고체향수</t>
        </is>
      </c>
      <c r="K8218" s="20" t="n">
        <v>299903</v>
      </c>
    </row>
    <row r="8219">
      <c r="A8219" s="20" t="inlineStr">
        <is>
          <t>[5화자 재편집] 승무원_벨라_면세점에서 천만원</t>
        </is>
      </c>
      <c r="B8219" s="16" t="n">
        <v>44326</v>
      </c>
      <c r="C8219" s="20" t="inlineStr">
        <is>
          <t>월</t>
        </is>
      </c>
      <c r="D8219" s="20" t="inlineStr">
        <is>
          <t>유튜브 광고</t>
        </is>
      </c>
      <c r="E8219" s="20" t="inlineStr">
        <is>
          <t>고체향수</t>
        </is>
      </c>
      <c r="K8219" s="20" t="n">
        <v>349537</v>
      </c>
    </row>
    <row r="8220">
      <c r="A8220" s="20" t="inlineStr">
        <is>
          <t>동영상캠페인_유즈모먼트_면세점뒤졌는데</t>
        </is>
      </c>
      <c r="B8220" s="16" t="n">
        <v>44326</v>
      </c>
      <c r="C8220" s="20" t="inlineStr">
        <is>
          <t>월</t>
        </is>
      </c>
      <c r="D8220" s="20" t="inlineStr">
        <is>
          <t>유튜브 광고</t>
        </is>
      </c>
      <c r="E8220" s="20" t="inlineStr">
        <is>
          <t>고체향수</t>
        </is>
      </c>
      <c r="K8220" s="20" t="n">
        <v>349963</v>
      </c>
    </row>
    <row r="8221">
      <c r="A8221" s="20" t="inlineStr">
        <is>
          <t>동영상_유즈모먼트_06_비누향인연(cpa)</t>
        </is>
      </c>
      <c r="B8221" s="16" t="n">
        <v>44326</v>
      </c>
      <c r="C8221" s="20" t="inlineStr">
        <is>
          <t>월</t>
        </is>
      </c>
      <c r="D8221" s="20" t="inlineStr">
        <is>
          <t>유튜브 광고</t>
        </is>
      </c>
      <c r="E8221" s="20" t="inlineStr">
        <is>
          <t>고체향수</t>
        </is>
      </c>
      <c r="K8221" s="20" t="n">
        <v>2825</v>
      </c>
    </row>
    <row r="8222">
      <c r="A8222" s="20" t="inlineStr">
        <is>
          <t>메인키워드</t>
        </is>
      </c>
      <c r="B8222" s="16" t="n">
        <v>44326</v>
      </c>
      <c r="C8222" s="20" t="inlineStr">
        <is>
          <t>월</t>
        </is>
      </c>
      <c r="D8222" s="20" t="inlineStr">
        <is>
          <t>네이버 쇼핑검색</t>
        </is>
      </c>
      <c r="E8222" s="20" t="inlineStr">
        <is>
          <t>고체향수</t>
        </is>
      </c>
      <c r="K8222" s="20" t="n">
        <v>28790</v>
      </c>
    </row>
    <row r="8223">
      <c r="A8223" s="20" t="inlineStr">
        <is>
          <t>세부키워드1</t>
        </is>
      </c>
      <c r="B8223" s="16" t="n">
        <v>44326</v>
      </c>
      <c r="C8223" s="20" t="inlineStr">
        <is>
          <t>월</t>
        </is>
      </c>
      <c r="D8223" s="20" t="inlineStr">
        <is>
          <t>네이버 쇼핑검색</t>
        </is>
      </c>
      <c r="E8223" s="20" t="inlineStr">
        <is>
          <t>고체향수</t>
        </is>
      </c>
      <c r="K8223" s="20" t="n">
        <v>0</v>
      </c>
    </row>
    <row r="8224">
      <c r="A8224" s="20" t="inlineStr">
        <is>
          <t>세부키워드3</t>
        </is>
      </c>
      <c r="B8224" s="16" t="n">
        <v>44326</v>
      </c>
      <c r="C8224" s="20" t="inlineStr">
        <is>
          <t>월</t>
        </is>
      </c>
      <c r="D8224" s="20" t="inlineStr">
        <is>
          <t>네이버 쇼핑검색</t>
        </is>
      </c>
      <c r="E8224" s="20" t="inlineStr">
        <is>
          <t>고체향수</t>
        </is>
      </c>
      <c r="K8224" s="20" t="n">
        <v>106970</v>
      </c>
    </row>
    <row r="8225">
      <c r="A8225" s="20" t="inlineStr">
        <is>
          <t>모바일 브검</t>
        </is>
      </c>
      <c r="B8225" s="16" t="n">
        <v>44326</v>
      </c>
      <c r="C8225" s="20" t="inlineStr">
        <is>
          <t>월</t>
        </is>
      </c>
      <c r="D8225" s="20" t="inlineStr">
        <is>
          <t>네이버 브랜드검색</t>
        </is>
      </c>
      <c r="E8225" s="20" t="inlineStr">
        <is>
          <t>브랜드</t>
        </is>
      </c>
      <c r="K8225" s="20" t="n">
        <v>0</v>
      </c>
    </row>
    <row r="8226">
      <c r="A8226" s="20" t="inlineStr">
        <is>
          <t>PC 브랜드검색</t>
        </is>
      </c>
      <c r="B8226" s="16" t="n">
        <v>44326</v>
      </c>
      <c r="C8226" s="20" t="inlineStr">
        <is>
          <t>월</t>
        </is>
      </c>
      <c r="D8226" s="20" t="inlineStr">
        <is>
          <t>네이버 브랜드검색</t>
        </is>
      </c>
      <c r="E8226" s="20" t="inlineStr">
        <is>
          <t>브랜드</t>
        </is>
      </c>
      <c r="K8226" s="20" t="n">
        <v>0</v>
      </c>
    </row>
    <row r="8227">
      <c r="B8227" s="16" t="n">
        <v>44326</v>
      </c>
      <c r="C8227" s="20" t="inlineStr">
        <is>
          <t>월</t>
        </is>
      </c>
      <c r="E8227" s="20" t="inlineStr">
        <is>
          <t>고체향수</t>
        </is>
      </c>
      <c r="F8227" s="20" t="inlineStr">
        <is>
          <t>W컨셉</t>
        </is>
      </c>
      <c r="G8227" s="20" t="inlineStr">
        <is>
          <t>솔리드퍼퓸 이그나이트/스테이포에버 30ml (2종 택1)&lt;옵션1&gt;002 STAY FOREVER</t>
        </is>
      </c>
      <c r="H8227" s="20" t="n">
        <v>17</v>
      </c>
      <c r="I8227" s="20" t="inlineStr">
        <is>
          <t>스테이포에버</t>
        </is>
      </c>
      <c r="J8227" s="20" t="inlineStr">
        <is>
          <t>210501</t>
        </is>
      </c>
      <c r="L8227" s="20" t="n">
        <v>578000</v>
      </c>
      <c r="M8227" s="20" t="n">
        <v>404600</v>
      </c>
      <c r="N8227" s="20" t="n">
        <v>43418</v>
      </c>
      <c r="O8227" s="20" t="inlineStr">
        <is>
          <t>W컨셉고체향수솔리드퍼퓸 이그나이트/스테이포에버 30ml (2종 택1)&lt;옵션1&gt;002 STAY FOREVER210501</t>
        </is>
      </c>
    </row>
    <row r="8228">
      <c r="B8228" s="16" t="n">
        <v>44326</v>
      </c>
      <c r="C8228" s="20" t="inlineStr">
        <is>
          <t>월</t>
        </is>
      </c>
      <c r="E8228" s="20" t="inlineStr">
        <is>
          <t>고체향수</t>
        </is>
      </c>
      <c r="F8228" s="20" t="inlineStr">
        <is>
          <t>W컨셉</t>
        </is>
      </c>
      <c r="G8228" s="20" t="inlineStr">
        <is>
          <t>솔리드퍼퓸 이그나이트/스테이포에버 30ml (2종 택1)&lt;옵션1&gt;IGNITE + STAY FOREVER</t>
        </is>
      </c>
      <c r="H8228" s="20" t="n">
        <v>1</v>
      </c>
      <c r="I8228" s="20" t="inlineStr">
        <is>
          <t>이그나이트 + 스테이포에버</t>
        </is>
      </c>
      <c r="J8228" s="20" t="inlineStr">
        <is>
          <t>210501</t>
        </is>
      </c>
      <c r="L8228" s="20" t="n">
        <v>58800</v>
      </c>
      <c r="M8228" s="20" t="n">
        <v>47040</v>
      </c>
      <c r="N8228" s="20" t="n">
        <v>5179</v>
      </c>
      <c r="O8228" s="20" t="inlineStr">
        <is>
          <t>W컨셉고체향수솔리드퍼퓸 이그나이트/스테이포에버 30ml (2종 택1)&lt;옵션1&gt;IGNITE + STAY FOREVER210501</t>
        </is>
      </c>
    </row>
    <row r="8229">
      <c r="B8229" s="16" t="n">
        <v>44326</v>
      </c>
      <c r="C8229" s="20" t="inlineStr">
        <is>
          <t>월</t>
        </is>
      </c>
      <c r="E8229" s="20" t="inlineStr">
        <is>
          <t>고체향수</t>
        </is>
      </c>
      <c r="F8229" s="20" t="inlineStr">
        <is>
          <t>스마트스토어</t>
        </is>
      </c>
      <c r="G8229" s="20" t="inlineStr">
        <is>
          <t>유즈 고체향수 세트(유즈 스테이포에버, 유즈 이그나이트)고체향수: 스테이포에버 2개</t>
        </is>
      </c>
      <c r="H8229" s="20" t="n">
        <v>1</v>
      </c>
      <c r="I8229" s="20" t="inlineStr">
        <is>
          <t>스테이포에버 2set</t>
        </is>
      </c>
      <c r="J8229" s="20" t="inlineStr">
        <is>
          <t>210501</t>
        </is>
      </c>
      <c r="L8229" s="20" t="n">
        <v>58800</v>
      </c>
      <c r="M8229" s="20" t="n">
        <v>57624</v>
      </c>
      <c r="N8229" s="20" t="n">
        <v>5108</v>
      </c>
      <c r="O8229" s="20" t="inlineStr">
        <is>
          <t>스마트스토어고체향수유즈 고체향수 세트(유즈 스테이포에버, 유즈 이그나이트)고체향수: 스테이포에버 2개210501</t>
        </is>
      </c>
    </row>
    <row r="8230">
      <c r="B8230" s="16" t="n">
        <v>44326</v>
      </c>
      <c r="C8230" s="20" t="inlineStr">
        <is>
          <t>월</t>
        </is>
      </c>
      <c r="E8230" s="20" t="inlineStr">
        <is>
          <t>고체향수</t>
        </is>
      </c>
      <c r="F8230" s="20" t="inlineStr">
        <is>
          <t>스마트스토어</t>
        </is>
      </c>
      <c r="G8230" s="20" t="inlineStr">
        <is>
          <t>유즈 고체향수 스테이포에버 002고체향수: 스테이포에버 1개</t>
        </is>
      </c>
      <c r="H8230" s="20" t="n">
        <v>20</v>
      </c>
      <c r="I8230" s="20" t="inlineStr">
        <is>
          <t>스테이포에버</t>
        </is>
      </c>
      <c r="J8230" s="20" t="inlineStr">
        <is>
          <t>210501</t>
        </is>
      </c>
      <c r="L8230" s="20" t="n">
        <v>680000</v>
      </c>
      <c r="M8230" s="20" t="n">
        <v>666400</v>
      </c>
      <c r="N8230" s="20" t="n">
        <v>51080</v>
      </c>
      <c r="O8230" s="20" t="inlineStr">
        <is>
          <t>스마트스토어고체향수유즈 고체향수 스테이포에버 002고체향수: 스테이포에버 1개210501</t>
        </is>
      </c>
    </row>
    <row r="8231">
      <c r="B8231" s="16" t="n">
        <v>44326</v>
      </c>
      <c r="C8231" s="20" t="inlineStr">
        <is>
          <t>월</t>
        </is>
      </c>
      <c r="E8231" s="20" t="inlineStr">
        <is>
          <t>고체향수</t>
        </is>
      </c>
      <c r="F8231" s="20" t="inlineStr">
        <is>
          <t>카페24</t>
        </is>
      </c>
      <c r="G8231" s="20" t="inlineStr">
        <is>
          <t>솔리드퍼퓸 세트향=스테이포에버 002 SOLID PERFUME, 세트 선택=1개</t>
        </is>
      </c>
      <c r="H8231" s="20" t="n">
        <v>3</v>
      </c>
      <c r="I8231" s="20" t="inlineStr">
        <is>
          <t>스테이포에버</t>
        </is>
      </c>
      <c r="J8231" s="20" t="inlineStr">
        <is>
          <t>210501</t>
        </is>
      </c>
      <c r="L8231" s="20" t="n">
        <v>102000</v>
      </c>
      <c r="M8231" s="20" t="n">
        <v>96033</v>
      </c>
      <c r="N8231" s="20" t="n">
        <v>7662</v>
      </c>
      <c r="O8231" s="20" t="inlineStr">
        <is>
          <t>카페24고체향수솔리드퍼퓸 세트향=스테이포에버 002 SOLID PERFUME, 세트 선택=1개210501</t>
        </is>
      </c>
    </row>
    <row r="8232">
      <c r="B8232" s="16" t="n">
        <v>44326</v>
      </c>
      <c r="C8232" s="20" t="inlineStr">
        <is>
          <t>월</t>
        </is>
      </c>
      <c r="E8232" s="20" t="inlineStr">
        <is>
          <t>고체향수</t>
        </is>
      </c>
      <c r="F8232" s="20" t="inlineStr">
        <is>
          <t>카페24</t>
        </is>
      </c>
      <c r="G8232" s="20" t="inlineStr">
        <is>
          <t>솔리드퍼퓸 세트향=스테이포에버 002 SOLID PERFUME, 세트 선택=best 2개 (28% 할인)</t>
        </is>
      </c>
      <c r="H8232" s="20" t="n">
        <v>11</v>
      </c>
      <c r="I8232" s="20" t="inlineStr">
        <is>
          <t>스테이포에버 2set</t>
        </is>
      </c>
      <c r="J8232" s="20" t="inlineStr">
        <is>
          <t>210501</t>
        </is>
      </c>
      <c r="L8232" s="20" t="n">
        <v>646800</v>
      </c>
      <c r="M8232" s="20" t="n">
        <v>608962.2</v>
      </c>
      <c r="N8232" s="20" t="n">
        <v>56188</v>
      </c>
      <c r="O8232" s="20" t="inlineStr">
        <is>
          <t>카페24고체향수솔리드퍼퓸 세트향=스테이포에버 002 SOLID PERFUME, 세트 선택=best 2개 (28% 할인)210501</t>
        </is>
      </c>
    </row>
    <row r="8233">
      <c r="B8233" s="16" t="n">
        <v>44326</v>
      </c>
      <c r="C8233" s="20" t="inlineStr">
        <is>
          <t>월</t>
        </is>
      </c>
      <c r="E8233" s="20" t="inlineStr">
        <is>
          <t>고체향수</t>
        </is>
      </c>
      <c r="F8233" s="20" t="inlineStr">
        <is>
          <t>카페24</t>
        </is>
      </c>
      <c r="G8233" s="20" t="inlineStr">
        <is>
          <t>솔리드퍼퓸 세트향=커플세트(이그나이트 + 스테이포에버), 세트 선택=1 SET</t>
        </is>
      </c>
      <c r="H8233" s="20" t="n">
        <v>5</v>
      </c>
      <c r="I8233" s="20" t="inlineStr">
        <is>
          <t>이그나이트 + 스테이포에버</t>
        </is>
      </c>
      <c r="J8233" s="20" t="inlineStr">
        <is>
          <t>210501</t>
        </is>
      </c>
      <c r="L8233" s="20" t="n">
        <v>294000</v>
      </c>
      <c r="M8233" s="20" t="n">
        <v>276801</v>
      </c>
      <c r="N8233" s="20" t="n">
        <v>25895</v>
      </c>
      <c r="O8233" s="20" t="inlineStr">
        <is>
          <t>카페24고체향수솔리드퍼퓸 세트향=커플세트(이그나이트 + 스테이포에버), 세트 선택=1 SET210501</t>
        </is>
      </c>
    </row>
    <row r="8234">
      <c r="B8234" s="16" t="n">
        <v>44326</v>
      </c>
      <c r="C8234" s="20" t="inlineStr">
        <is>
          <t>월</t>
        </is>
      </c>
      <c r="E8234" s="20" t="inlineStr">
        <is>
          <t>고체향수</t>
        </is>
      </c>
      <c r="F8234" s="20" t="inlineStr">
        <is>
          <t>카페24</t>
        </is>
      </c>
      <c r="G8234" s="20" t="inlineStr">
        <is>
          <t>솔리드퍼퓸 세트향=커플세트(이그나이트 + 스테이포에버), 세트 선택=2 SET (42% 할인)</t>
        </is>
      </c>
      <c r="H8234" s="20" t="n">
        <v>1</v>
      </c>
      <c r="I8234" s="20" t="inlineStr">
        <is>
          <t>이그나이트 + 스테이포에버</t>
        </is>
      </c>
      <c r="J8234" s="20" t="inlineStr">
        <is>
          <t>210501</t>
        </is>
      </c>
      <c r="L8234" s="20" t="n">
        <v>58800</v>
      </c>
      <c r="M8234" s="20" t="n">
        <v>55360.2</v>
      </c>
      <c r="N8234" s="20" t="n">
        <v>5179</v>
      </c>
      <c r="O8234" s="20" t="inlineStr">
        <is>
          <t>카페24고체향수솔리드퍼퓸 세트향=커플세트(이그나이트 + 스테이포에버), 세트 선택=2 SET (42% 할인)210501</t>
        </is>
      </c>
    </row>
    <row r="8235">
      <c r="B8235" s="16" t="n">
        <v>44326</v>
      </c>
      <c r="C8235" s="20" t="inlineStr">
        <is>
          <t>월</t>
        </is>
      </c>
      <c r="E8235" s="20" t="inlineStr">
        <is>
          <t>고체향수</t>
        </is>
      </c>
      <c r="F8235" s="20" t="inlineStr">
        <is>
          <t>카페24</t>
        </is>
      </c>
      <c r="G8235" s="20" t="inlineStr">
        <is>
          <t>솔리드퍼퓸 스테이포에버 002제품선택=스테이포에버 1개</t>
        </is>
      </c>
      <c r="H8235" s="20" t="n">
        <v>202</v>
      </c>
      <c r="I8235" s="20" t="inlineStr">
        <is>
          <t>스테이포에버</t>
        </is>
      </c>
      <c r="J8235" s="20" t="inlineStr">
        <is>
          <t>210501</t>
        </is>
      </c>
      <c r="L8235" s="20" t="n">
        <v>6868000</v>
      </c>
      <c r="M8235" s="20" t="n">
        <v>6466222</v>
      </c>
      <c r="N8235" s="20" t="n">
        <v>515908</v>
      </c>
      <c r="O8235" s="20" t="inlineStr">
        <is>
          <t>카페24고체향수솔리드퍼퓸 스테이포에버 002제품선택=스테이포에버 1개210501</t>
        </is>
      </c>
    </row>
    <row r="8236">
      <c r="B8236" s="16" t="n">
        <v>44326</v>
      </c>
      <c r="C8236" s="20" t="inlineStr">
        <is>
          <t>월</t>
        </is>
      </c>
      <c r="E8236" s="20" t="inlineStr">
        <is>
          <t>고체향수</t>
        </is>
      </c>
      <c r="F8236" s="20" t="inlineStr">
        <is>
          <t>카페24</t>
        </is>
      </c>
      <c r="G8236" s="20" t="inlineStr">
        <is>
          <t>솔리드퍼퓸 스테이포에버 002제품선택=best스테이포에버 2개[28% 할인]</t>
        </is>
      </c>
      <c r="H8236" s="20" t="n">
        <v>126</v>
      </c>
      <c r="I8236" s="20" t="inlineStr">
        <is>
          <t>스테이포에버 2set</t>
        </is>
      </c>
      <c r="J8236" s="20" t="inlineStr">
        <is>
          <t>210501</t>
        </is>
      </c>
      <c r="L8236" s="20" t="n">
        <v>7408800</v>
      </c>
      <c r="M8236" s="20" t="n">
        <v>6975385.199999999</v>
      </c>
      <c r="N8236" s="20" t="n">
        <v>643608</v>
      </c>
      <c r="O8236" s="20" t="inlineStr">
        <is>
          <t>카페24고체향수솔리드퍼퓸 스테이포에버 002제품선택=best스테이포에버 2개[28% 할인]210501</t>
        </is>
      </c>
    </row>
    <row r="8237">
      <c r="B8237" s="16" t="n">
        <v>44326</v>
      </c>
      <c r="C8237" s="20" t="inlineStr">
        <is>
          <t>월</t>
        </is>
      </c>
      <c r="E8237" s="20" t="inlineStr">
        <is>
          <t>고체향수</t>
        </is>
      </c>
      <c r="F8237" s="20" t="inlineStr">
        <is>
          <t>카페24</t>
        </is>
      </c>
      <c r="G8237" s="20" t="inlineStr">
        <is>
          <t>솔리드퍼퓸 스테이포에버 002제품선택=커플추천스테이포에버 + 이그나이트 세트</t>
        </is>
      </c>
      <c r="H8237" s="20" t="n">
        <v>10</v>
      </c>
      <c r="I8237" s="20" t="inlineStr">
        <is>
          <t>이그나이트 + 스테이포에버</t>
        </is>
      </c>
      <c r="J8237" s="20" t="inlineStr">
        <is>
          <t>210501</t>
        </is>
      </c>
      <c r="L8237" s="20" t="n">
        <v>588000</v>
      </c>
      <c r="M8237" s="20" t="n">
        <v>553602</v>
      </c>
      <c r="N8237" s="20" t="n">
        <v>51790</v>
      </c>
      <c r="O8237" s="20" t="inlineStr">
        <is>
          <t>카페24고체향수솔리드퍼퓸 스테이포에버 002제품선택=커플추천스테이포에버 + 이그나이트 세트210501</t>
        </is>
      </c>
    </row>
    <row r="8238">
      <c r="B8238" s="16" t="n">
        <v>44326</v>
      </c>
      <c r="C8238" s="20" t="inlineStr">
        <is>
          <t>월</t>
        </is>
      </c>
      <c r="E8238" s="20" t="inlineStr">
        <is>
          <t>쇼핑백</t>
        </is>
      </c>
      <c r="F8238" s="20" t="inlineStr">
        <is>
          <t>카페24</t>
        </is>
      </c>
      <c r="G8238" s="20" t="inlineStr">
        <is>
          <t>솔리드퍼퓸 스테이포에버 002쇼핑백=선물용 쇼핑백</t>
        </is>
      </c>
      <c r="H8238" s="20" t="n">
        <v>11</v>
      </c>
      <c r="I8238" s="20" t="inlineStr">
        <is>
          <t>쇼핑백</t>
        </is>
      </c>
      <c r="J8238" s="20" t="inlineStr">
        <is>
          <t>210501</t>
        </is>
      </c>
      <c r="L8238" s="20" t="n">
        <v>22000</v>
      </c>
      <c r="M8238" s="20" t="n">
        <v>20713</v>
      </c>
      <c r="N8238" s="20" t="n">
        <v>9130</v>
      </c>
      <c r="O8238" s="20" t="inlineStr">
        <is>
          <t>카페24쇼핑백솔리드퍼퓸 스테이포에버 002쇼핑백=선물용 쇼핑백210501</t>
        </is>
      </c>
    </row>
    <row r="8239">
      <c r="B8239" s="16" t="n">
        <v>44326</v>
      </c>
      <c r="C8239" s="20" t="inlineStr">
        <is>
          <t>월</t>
        </is>
      </c>
      <c r="E8239" s="20" t="inlineStr">
        <is>
          <t>고체향수</t>
        </is>
      </c>
      <c r="F8239" s="20" t="inlineStr">
        <is>
          <t>카페24</t>
        </is>
      </c>
      <c r="G8239" s="20" t="inlineStr">
        <is>
          <t>솔리드퍼퓸 이그나이트 001제품선택=이그나이트 솔리드퍼퓸 - 30ml</t>
        </is>
      </c>
      <c r="H8239" s="20" t="n">
        <v>3</v>
      </c>
      <c r="I8239" s="20" t="inlineStr">
        <is>
          <t>이그나이트</t>
        </is>
      </c>
      <c r="J8239" s="20" t="inlineStr">
        <is>
          <t>210501</t>
        </is>
      </c>
      <c r="L8239" s="20" t="n">
        <v>102000</v>
      </c>
      <c r="M8239" s="20" t="n">
        <v>96033</v>
      </c>
      <c r="N8239" s="20" t="n">
        <v>7875</v>
      </c>
      <c r="O8239" s="20" t="inlineStr">
        <is>
          <t>카페24고체향수솔리드퍼퓸 이그나이트 001제품선택=이그나이트 솔리드퍼퓸 - 30ml210501</t>
        </is>
      </c>
    </row>
    <row r="8240">
      <c r="A8240" s="20" t="inlineStr">
        <is>
          <t>[수현 TEST] 스테이포에버_카드뉴스</t>
        </is>
      </c>
      <c r="B8240" s="16" t="n">
        <v>44327</v>
      </c>
      <c r="C8240" s="20" t="inlineStr">
        <is>
          <t>화</t>
        </is>
      </c>
      <c r="D8240" s="20">
        <f>VLOOKUP($A8240,매칭테이블!$B$548:$D$1048576,2,0)</f>
        <v/>
      </c>
      <c r="K8240" s="20" t="n">
        <v>29237</v>
      </c>
    </row>
    <row r="8241">
      <c r="A8241" s="20" t="inlineStr">
        <is>
          <t>[수현 TEST] 솔리드퍼퓸_이미지</t>
        </is>
      </c>
      <c r="B8241" s="16" t="n">
        <v>44327</v>
      </c>
      <c r="C8241" s="20" t="inlineStr">
        <is>
          <t>화</t>
        </is>
      </c>
      <c r="D8241" s="20" t="inlineStr">
        <is>
          <t>페이스북/인스타그램</t>
        </is>
      </c>
      <c r="E8241" s="20" t="inlineStr">
        <is>
          <t>고체향수</t>
        </is>
      </c>
      <c r="K8241" s="20" t="n">
        <v>50167</v>
      </c>
    </row>
    <row r="8242">
      <c r="A8242" s="20" t="inlineStr">
        <is>
          <t>[승은 TEST] 스테이포에버</t>
        </is>
      </c>
      <c r="B8242" s="16" t="n">
        <v>44327</v>
      </c>
      <c r="C8242" s="20" t="inlineStr">
        <is>
          <t>화</t>
        </is>
      </c>
      <c r="D8242" s="20" t="inlineStr">
        <is>
          <t>페이스북/인스타그램</t>
        </is>
      </c>
      <c r="E8242" s="20" t="inlineStr">
        <is>
          <t>고체향수</t>
        </is>
      </c>
      <c r="K8242" s="20" t="n">
        <v>99470</v>
      </c>
    </row>
    <row r="8243">
      <c r="A8243" s="20" t="inlineStr">
        <is>
          <t>[비누향 덕후] 스테이포에버_카드뉴스</t>
        </is>
      </c>
      <c r="B8243" s="16" t="n">
        <v>44327</v>
      </c>
      <c r="C8243" s="20" t="inlineStr">
        <is>
          <t>화</t>
        </is>
      </c>
      <c r="D8243" s="20" t="inlineStr">
        <is>
          <t>페이스북/인스타그램</t>
        </is>
      </c>
      <c r="E8243" s="20" t="inlineStr">
        <is>
          <t>고체향수</t>
        </is>
      </c>
      <c r="K8243" s="20" t="n">
        <v>150760</v>
      </c>
    </row>
    <row r="8244">
      <c r="A8244" s="20" t="inlineStr">
        <is>
          <t>[비누향 인연] 스테이포에버_카드뉴스</t>
        </is>
      </c>
      <c r="B8244" s="16" t="n">
        <v>44327</v>
      </c>
      <c r="C8244" s="20" t="inlineStr">
        <is>
          <t>화</t>
        </is>
      </c>
      <c r="D8244" s="20" t="inlineStr">
        <is>
          <t>페이스북/인스타그램</t>
        </is>
      </c>
      <c r="E8244" s="20" t="inlineStr">
        <is>
          <t>고체향수</t>
        </is>
      </c>
      <c r="K8244" s="20" t="n">
        <v>49475</v>
      </c>
    </row>
    <row r="8245">
      <c r="A8245" s="20" t="inlineStr">
        <is>
          <t>[성민 TEST] 솔리드퍼퓸_이미지</t>
        </is>
      </c>
      <c r="B8245" s="16" t="n">
        <v>44327</v>
      </c>
      <c r="C8245" s="20" t="inlineStr">
        <is>
          <t>화</t>
        </is>
      </c>
      <c r="D8245" s="20" t="inlineStr">
        <is>
          <t>페이스북/인스타그램</t>
        </is>
      </c>
      <c r="E8245" s="20" t="inlineStr">
        <is>
          <t>고체향수</t>
        </is>
      </c>
      <c r="K8245" s="20" t="n">
        <v>30233</v>
      </c>
    </row>
    <row r="8246">
      <c r="A8246" s="20" t="inlineStr">
        <is>
          <t>[승무원]유튜브_스테이포에버_카드뉴스</t>
        </is>
      </c>
      <c r="B8246" s="16" t="n">
        <v>44327</v>
      </c>
      <c r="C8246" s="20" t="inlineStr">
        <is>
          <t>화</t>
        </is>
      </c>
      <c r="D8246" s="20" t="inlineStr">
        <is>
          <t>페이스북/인스타그램</t>
        </is>
      </c>
      <c r="E8246" s="20" t="inlineStr">
        <is>
          <t>고체향수</t>
        </is>
      </c>
      <c r="K8246" s="20" t="n">
        <v>100741</v>
      </c>
    </row>
    <row r="8247">
      <c r="A8247" s="20" t="inlineStr">
        <is>
          <t>[올리브영] 이그나이트_영상</t>
        </is>
      </c>
      <c r="B8247" s="16" t="n">
        <v>44327</v>
      </c>
      <c r="C8247" s="20" t="inlineStr">
        <is>
          <t>화</t>
        </is>
      </c>
      <c r="D8247" s="20" t="inlineStr">
        <is>
          <t>페이스북/인스타그램</t>
        </is>
      </c>
      <c r="E8247" s="20" t="inlineStr">
        <is>
          <t>고체향수</t>
        </is>
      </c>
      <c r="K8247" s="20" t="n">
        <v>29640</v>
      </c>
    </row>
    <row r="8248">
      <c r="A8248" s="20" t="inlineStr">
        <is>
          <t>[승희 TEST] 솔리드퍼퓸_이미지</t>
        </is>
      </c>
      <c r="B8248" s="16" t="n">
        <v>44327</v>
      </c>
      <c r="C8248" s="20" t="inlineStr">
        <is>
          <t>화</t>
        </is>
      </c>
      <c r="D8248" s="20" t="inlineStr">
        <is>
          <t>페이스북/인스타그램</t>
        </is>
      </c>
      <c r="E8248" s="20" t="inlineStr">
        <is>
          <t>고체향수</t>
        </is>
      </c>
      <c r="K8248" s="20" t="n">
        <v>129120</v>
      </c>
    </row>
    <row r="8249">
      <c r="A8249" s="20" t="inlineStr">
        <is>
          <t>[올리브영] 스테이포에버_영상</t>
        </is>
      </c>
      <c r="B8249" s="16" t="n">
        <v>44327</v>
      </c>
      <c r="C8249" s="20" t="inlineStr">
        <is>
          <t>화</t>
        </is>
      </c>
      <c r="D8249" s="20" t="inlineStr">
        <is>
          <t>페이스북/인스타그램</t>
        </is>
      </c>
      <c r="E8249" s="20" t="inlineStr">
        <is>
          <t>고체향수</t>
        </is>
      </c>
      <c r="K8249" s="20" t="n">
        <v>49855</v>
      </c>
    </row>
    <row r="8250">
      <c r="A8250" s="20" t="inlineStr">
        <is>
          <t>[올리브영] 스테이포에버_이미지</t>
        </is>
      </c>
      <c r="B8250" s="16" t="n">
        <v>44327</v>
      </c>
      <c r="C8250" s="20" t="inlineStr">
        <is>
          <t>화</t>
        </is>
      </c>
      <c r="D8250" s="20" t="inlineStr">
        <is>
          <t>페이스북/인스타그램</t>
        </is>
      </c>
      <c r="E8250" s="20" t="inlineStr">
        <is>
          <t>고체향수</t>
        </is>
      </c>
      <c r="K8250" s="20" t="n">
        <v>30153</v>
      </c>
    </row>
    <row r="8251">
      <c r="A8251" s="20" t="inlineStr">
        <is>
          <t>[승무원] 유튜브재편집_스테이포에버_영상</t>
        </is>
      </c>
      <c r="B8251" s="16" t="n">
        <v>44327</v>
      </c>
      <c r="C8251" s="20" t="inlineStr">
        <is>
          <t>화</t>
        </is>
      </c>
      <c r="D8251" s="20" t="inlineStr">
        <is>
          <t>페이스북/인스타그램</t>
        </is>
      </c>
      <c r="E8251" s="20" t="inlineStr">
        <is>
          <t>고체향수</t>
        </is>
      </c>
      <c r="K8251" s="20" t="n">
        <v>850833</v>
      </c>
    </row>
    <row r="8252">
      <c r="A8252" s="20" t="inlineStr">
        <is>
          <t>[승무원 면세점] 스테이포에버_카드뉴스</t>
        </is>
      </c>
      <c r="B8252" s="16" t="n">
        <v>44327</v>
      </c>
      <c r="C8252" s="20" t="inlineStr">
        <is>
          <t>화</t>
        </is>
      </c>
      <c r="D8252" s="20" t="inlineStr">
        <is>
          <t>페이스북/인스타그램</t>
        </is>
      </c>
      <c r="E8252" s="20" t="inlineStr">
        <is>
          <t>고체향수</t>
        </is>
      </c>
      <c r="K8252" s="20" t="n">
        <v>146240</v>
      </c>
    </row>
    <row r="8253">
      <c r="A8253" s="20" t="inlineStr">
        <is>
          <t>[카페알바] 스테이포에버_카드뉴스</t>
        </is>
      </c>
      <c r="B8253" s="16" t="n">
        <v>44327</v>
      </c>
      <c r="C8253" s="20" t="inlineStr">
        <is>
          <t>화</t>
        </is>
      </c>
      <c r="D8253" s="20" t="inlineStr">
        <is>
          <t>페이스북/인스타그램</t>
        </is>
      </c>
      <c r="E8253" s="20" t="inlineStr">
        <is>
          <t>고체향수</t>
        </is>
      </c>
      <c r="K8253" s="20" t="n">
        <v>98811</v>
      </c>
    </row>
    <row r="8254">
      <c r="A8254" s="20" t="inlineStr">
        <is>
          <t>[아줌마]스테이포에버_이미지</t>
        </is>
      </c>
      <c r="B8254" s="16" t="n">
        <v>44327</v>
      </c>
      <c r="C8254" s="20" t="inlineStr">
        <is>
          <t>화</t>
        </is>
      </c>
      <c r="D8254" s="20" t="inlineStr">
        <is>
          <t>페이스북/인스타그램</t>
        </is>
      </c>
      <c r="E8254" s="20" t="inlineStr">
        <is>
          <t>고체향수</t>
        </is>
      </c>
      <c r="K8254" s="20" t="n">
        <v>49106</v>
      </c>
    </row>
    <row r="8255">
      <c r="A8255" s="20" t="inlineStr">
        <is>
          <t>[다양한 키워드] 스테이포에버_이미지</t>
        </is>
      </c>
      <c r="B8255" s="16" t="n">
        <v>44327</v>
      </c>
      <c r="C8255" s="20" t="inlineStr">
        <is>
          <t>화</t>
        </is>
      </c>
      <c r="D8255" s="20" t="inlineStr">
        <is>
          <t>페이스북/인스타그램</t>
        </is>
      </c>
      <c r="E8255" s="20" t="inlineStr">
        <is>
          <t>고체향수</t>
        </is>
      </c>
      <c r="K8255" s="20" t="n">
        <v>210115</v>
      </c>
    </row>
    <row r="8256">
      <c r="A8256" s="20" t="inlineStr">
        <is>
          <t>[재입고]스테이포에버_이미지</t>
        </is>
      </c>
      <c r="B8256" s="16" t="n">
        <v>44327</v>
      </c>
      <c r="C8256" s="20" t="inlineStr">
        <is>
          <t>화</t>
        </is>
      </c>
      <c r="D8256" s="20" t="inlineStr">
        <is>
          <t>페이스북/인스타그램</t>
        </is>
      </c>
      <c r="E8256" s="20" t="inlineStr">
        <is>
          <t>고체향수</t>
        </is>
      </c>
      <c r="K8256" s="20" t="n">
        <v>49416</v>
      </c>
    </row>
    <row r="8257">
      <c r="A8257" s="20" t="inlineStr">
        <is>
          <t>[승무원]숏폼_영상</t>
        </is>
      </c>
      <c r="B8257" s="16" t="n">
        <v>44327</v>
      </c>
      <c r="C8257" s="20" t="inlineStr">
        <is>
          <t>화</t>
        </is>
      </c>
      <c r="D8257" s="20" t="inlineStr">
        <is>
          <t>페이스북/인스타그램</t>
        </is>
      </c>
      <c r="E8257" s="20" t="inlineStr">
        <is>
          <t>고체향수</t>
        </is>
      </c>
      <c r="K8257" s="20" t="n">
        <v>48982</v>
      </c>
    </row>
    <row r="8258">
      <c r="A8258" s="20" t="inlineStr">
        <is>
          <t>[재입고]스테이포에버_영상</t>
        </is>
      </c>
      <c r="B8258" s="16" t="n">
        <v>44327</v>
      </c>
      <c r="C8258" s="20" t="inlineStr">
        <is>
          <t>화</t>
        </is>
      </c>
      <c r="D8258" s="20" t="inlineStr">
        <is>
          <t>페이스북/인스타그램</t>
        </is>
      </c>
      <c r="E8258" s="20" t="inlineStr">
        <is>
          <t>고체향수</t>
        </is>
      </c>
      <c r="K8258" s="20" t="n">
        <v>198451</v>
      </c>
    </row>
    <row r="8259">
      <c r="A8259" s="20" t="inlineStr">
        <is>
          <t>[승무원]2019년썰 카드뉴스+ 향묘사_영상</t>
        </is>
      </c>
      <c r="B8259" s="16" t="n">
        <v>44327</v>
      </c>
      <c r="C8259" s="20" t="inlineStr">
        <is>
          <t>화</t>
        </is>
      </c>
      <c r="D8259" s="20" t="inlineStr">
        <is>
          <t>페이스북/인스타그램</t>
        </is>
      </c>
      <c r="E8259" s="20" t="inlineStr">
        <is>
          <t>고체향수</t>
        </is>
      </c>
      <c r="K8259" s="20" t="n">
        <v>29445</v>
      </c>
    </row>
    <row r="8260">
      <c r="A8260" s="20" t="inlineStr">
        <is>
          <t>[승무원어피]스테이포에버_이미지</t>
        </is>
      </c>
      <c r="B8260" s="16" t="n">
        <v>44327</v>
      </c>
      <c r="C8260" s="20" t="inlineStr">
        <is>
          <t>화</t>
        </is>
      </c>
      <c r="D8260" s="20" t="inlineStr">
        <is>
          <t>페이스북/인스타그램</t>
        </is>
      </c>
      <c r="E8260" s="20" t="inlineStr">
        <is>
          <t>고체향수</t>
        </is>
      </c>
      <c r="K8260" s="20" t="n">
        <v>99909</v>
      </c>
    </row>
    <row r="8261">
      <c r="A8261" s="20" t="inlineStr">
        <is>
          <t>[다현]스테이포에버_이미지</t>
        </is>
      </c>
      <c r="B8261" s="16" t="n">
        <v>44327</v>
      </c>
      <c r="C8261" s="20" t="inlineStr">
        <is>
          <t>화</t>
        </is>
      </c>
      <c r="D8261" s="20" t="inlineStr">
        <is>
          <t>페이스북/인스타그램</t>
        </is>
      </c>
      <c r="E8261" s="20" t="inlineStr">
        <is>
          <t>고체향수</t>
        </is>
      </c>
      <c r="K8261" s="20" t="n">
        <v>99495</v>
      </c>
    </row>
    <row r="8262">
      <c r="A8262" s="20" t="inlineStr">
        <is>
          <t>[후기타입]스테이포에버_영상</t>
        </is>
      </c>
      <c r="B8262" s="16" t="n">
        <v>44327</v>
      </c>
      <c r="C8262" s="20" t="inlineStr">
        <is>
          <t>화</t>
        </is>
      </c>
      <c r="D8262" s="20" t="inlineStr">
        <is>
          <t>페이스북/인스타그램</t>
        </is>
      </c>
      <c r="E8262" s="20" t="inlineStr">
        <is>
          <t>고체향수</t>
        </is>
      </c>
      <c r="K8262" s="20" t="n">
        <v>96845</v>
      </c>
    </row>
    <row r="8263">
      <c r="A8263" s="20" t="inlineStr">
        <is>
          <t>전환_스테이포에버</t>
        </is>
      </c>
      <c r="B8263" s="16" t="n">
        <v>44327</v>
      </c>
      <c r="C8263" s="20" t="inlineStr">
        <is>
          <t>화</t>
        </is>
      </c>
      <c r="D8263" s="20" t="inlineStr">
        <is>
          <t>페이스북/인스타그램</t>
        </is>
      </c>
      <c r="E8263" s="20" t="inlineStr">
        <is>
          <t>고체향수</t>
        </is>
      </c>
      <c r="K8263" s="20" t="n">
        <v>99488</v>
      </c>
    </row>
    <row r="8264">
      <c r="A8264" s="20" t="inlineStr">
        <is>
          <t>[권태기커플]스테이포에버_영상</t>
        </is>
      </c>
      <c r="B8264" s="16" t="n">
        <v>44327</v>
      </c>
      <c r="C8264" s="20" t="inlineStr">
        <is>
          <t>화</t>
        </is>
      </c>
      <c r="D8264" s="20" t="inlineStr">
        <is>
          <t>페이스북/인스타그램</t>
        </is>
      </c>
      <c r="E8264" s="20" t="inlineStr">
        <is>
          <t>고체향수</t>
        </is>
      </c>
      <c r="K8264" s="20" t="n">
        <v>30006</v>
      </c>
    </row>
    <row r="8265">
      <c r="A8265" s="20" t="inlineStr">
        <is>
          <t>웹사이트 트래픽 서치</t>
        </is>
      </c>
      <c r="B8265" s="16" t="n">
        <v>44327</v>
      </c>
      <c r="C8265" s="20" t="inlineStr">
        <is>
          <t>화</t>
        </is>
      </c>
      <c r="D8265" s="20" t="inlineStr">
        <is>
          <t>유튜브 광고</t>
        </is>
      </c>
      <c r="E8265" s="20" t="inlineStr">
        <is>
          <t>고체향수</t>
        </is>
      </c>
      <c r="K8265" s="20" t="n">
        <v>48904</v>
      </c>
    </row>
    <row r="8266">
      <c r="A8266" s="20" t="inlineStr">
        <is>
          <t>디스커버리 배너_승무원,할인_리마케팅</t>
        </is>
      </c>
      <c r="B8266" s="16" t="n">
        <v>44327</v>
      </c>
      <c r="C8266" s="20" t="inlineStr">
        <is>
          <t>화</t>
        </is>
      </c>
      <c r="D8266" s="20" t="inlineStr">
        <is>
          <t>유튜브 광고</t>
        </is>
      </c>
      <c r="E8266" s="20" t="inlineStr">
        <is>
          <t>고체향수</t>
        </is>
      </c>
      <c r="K8266" s="20" t="n">
        <v>1118051</v>
      </c>
    </row>
    <row r="8267">
      <c r="A8267" s="20" t="inlineStr">
        <is>
          <t>[5화자] 동영상 캠페인_벨라의 비행일기</t>
        </is>
      </c>
      <c r="B8267" s="16" t="n">
        <v>44327</v>
      </c>
      <c r="C8267" s="20" t="inlineStr">
        <is>
          <t>화</t>
        </is>
      </c>
      <c r="D8267" s="20" t="inlineStr">
        <is>
          <t>유튜브 광고</t>
        </is>
      </c>
      <c r="E8267" s="20" t="inlineStr">
        <is>
          <t>고체향수</t>
        </is>
      </c>
      <c r="K8267" s="20" t="n">
        <v>393025</v>
      </c>
    </row>
    <row r="8268">
      <c r="A8268" s="20" t="inlineStr">
        <is>
          <t>[5화자] 동영상 캠페인_비행하고 여행하는 은선씨</t>
        </is>
      </c>
      <c r="B8268" s="16" t="n">
        <v>44327</v>
      </c>
      <c r="C8268" s="20" t="inlineStr">
        <is>
          <t>화</t>
        </is>
      </c>
      <c r="D8268" s="20" t="inlineStr">
        <is>
          <t>유튜브 광고</t>
        </is>
      </c>
      <c r="E8268" s="20" t="inlineStr">
        <is>
          <t>고체향수</t>
        </is>
      </c>
      <c r="K8268" s="20" t="n">
        <v>300108</v>
      </c>
    </row>
    <row r="8269">
      <c r="A8269" s="20" t="inlineStr">
        <is>
          <t>[5화자 재편집] 승무원_벨라_면세점에서 천만원</t>
        </is>
      </c>
      <c r="B8269" s="16" t="n">
        <v>44327</v>
      </c>
      <c r="C8269" s="20" t="inlineStr">
        <is>
          <t>화</t>
        </is>
      </c>
      <c r="D8269" s="20" t="inlineStr">
        <is>
          <t>유튜브 광고</t>
        </is>
      </c>
      <c r="E8269" s="20" t="inlineStr">
        <is>
          <t>고체향수</t>
        </is>
      </c>
      <c r="K8269" s="20" t="n">
        <v>350402</v>
      </c>
    </row>
    <row r="8270">
      <c r="A8270" s="20" t="inlineStr">
        <is>
          <t>동영상캠페인_유즈모먼트_면세점뒤졌는데</t>
        </is>
      </c>
      <c r="B8270" s="16" t="n">
        <v>44327</v>
      </c>
      <c r="C8270" s="20" t="inlineStr">
        <is>
          <t>화</t>
        </is>
      </c>
      <c r="D8270" s="20" t="inlineStr">
        <is>
          <t>유튜브 광고</t>
        </is>
      </c>
      <c r="E8270" s="20" t="inlineStr">
        <is>
          <t>고체향수</t>
        </is>
      </c>
      <c r="K8270" s="20" t="n">
        <v>246334</v>
      </c>
    </row>
    <row r="8271">
      <c r="A8271" s="20" t="inlineStr">
        <is>
          <t>메인키워드</t>
        </is>
      </c>
      <c r="B8271" s="16" t="n">
        <v>44327</v>
      </c>
      <c r="C8271" s="20" t="inlineStr">
        <is>
          <t>화</t>
        </is>
      </c>
      <c r="D8271" s="20" t="inlineStr">
        <is>
          <t>네이버 쇼핑검색</t>
        </is>
      </c>
      <c r="E8271" s="20" t="inlineStr">
        <is>
          <t>고체향수</t>
        </is>
      </c>
      <c r="K8271" s="20" t="n">
        <v>30960</v>
      </c>
    </row>
    <row r="8272">
      <c r="A8272" s="20" t="inlineStr">
        <is>
          <t>세부키워드1</t>
        </is>
      </c>
      <c r="B8272" s="16" t="n">
        <v>44327</v>
      </c>
      <c r="C8272" s="20" t="inlineStr">
        <is>
          <t>화</t>
        </is>
      </c>
      <c r="D8272" s="20" t="inlineStr">
        <is>
          <t>네이버 쇼핑검색</t>
        </is>
      </c>
      <c r="E8272" s="20" t="inlineStr">
        <is>
          <t>고체향수</t>
        </is>
      </c>
      <c r="K8272" s="20" t="n">
        <v>49.99999999999999</v>
      </c>
    </row>
    <row r="8273">
      <c r="A8273" s="20" t="inlineStr">
        <is>
          <t>세부키워드3</t>
        </is>
      </c>
      <c r="B8273" s="16" t="n">
        <v>44327</v>
      </c>
      <c r="C8273" s="20" t="inlineStr">
        <is>
          <t>화</t>
        </is>
      </c>
      <c r="D8273" s="20" t="inlineStr">
        <is>
          <t>네이버 쇼핑검색</t>
        </is>
      </c>
      <c r="E8273" s="20" t="inlineStr">
        <is>
          <t>고체향수</t>
        </is>
      </c>
      <c r="K8273" s="20" t="n">
        <v>106700</v>
      </c>
    </row>
    <row r="8274">
      <c r="A8274" s="20" t="inlineStr">
        <is>
          <t>모바일 브검</t>
        </is>
      </c>
      <c r="B8274" s="16" t="n">
        <v>44327</v>
      </c>
      <c r="C8274" s="20" t="inlineStr">
        <is>
          <t>화</t>
        </is>
      </c>
      <c r="D8274" s="20" t="inlineStr">
        <is>
          <t>네이버 브랜드검색</t>
        </is>
      </c>
      <c r="E8274" s="20" t="inlineStr">
        <is>
          <t>브랜드</t>
        </is>
      </c>
      <c r="K8274" s="20" t="n">
        <v>88000</v>
      </c>
    </row>
    <row r="8275">
      <c r="A8275" s="20" t="inlineStr">
        <is>
          <t>PC 브랜드검색</t>
        </is>
      </c>
      <c r="B8275" s="16" t="n">
        <v>44327</v>
      </c>
      <c r="C8275" s="20" t="inlineStr">
        <is>
          <t>화</t>
        </is>
      </c>
      <c r="D8275" s="20" t="inlineStr">
        <is>
          <t>네이버 브랜드검색</t>
        </is>
      </c>
      <c r="E8275" s="20" t="inlineStr">
        <is>
          <t>브랜드</t>
        </is>
      </c>
      <c r="K8275" s="20" t="n">
        <v>16700</v>
      </c>
    </row>
    <row r="8276">
      <c r="B8276" s="16" t="n">
        <v>44327</v>
      </c>
      <c r="C8276" s="20" t="inlineStr">
        <is>
          <t>화</t>
        </is>
      </c>
      <c r="E8276" s="20" t="inlineStr">
        <is>
          <t>고체향수</t>
        </is>
      </c>
      <c r="F8276" s="20" t="inlineStr">
        <is>
          <t>W컨셉</t>
        </is>
      </c>
      <c r="G8276" s="20" t="inlineStr">
        <is>
          <t>솔리드퍼퓸 이그나이트/스테이포에버 30ml (2종 택1)&lt;옵션1&gt;002 STAY FOREVER</t>
        </is>
      </c>
      <c r="H8276" s="20" t="n">
        <v>11</v>
      </c>
      <c r="I8276" s="20" t="inlineStr">
        <is>
          <t>스테이포에버</t>
        </is>
      </c>
      <c r="J8276" s="20" t="inlineStr">
        <is>
          <t>210501</t>
        </is>
      </c>
      <c r="L8276" s="20" t="n">
        <v>374000</v>
      </c>
      <c r="M8276" s="20" t="n">
        <v>261800</v>
      </c>
      <c r="N8276" s="20" t="n">
        <v>28094</v>
      </c>
      <c r="O8276" s="20" t="inlineStr">
        <is>
          <t>W컨셉고체향수솔리드퍼퓸 이그나이트/스테이포에버 30ml (2종 택1)&lt;옵션1&gt;002 STAY FOREVER210501</t>
        </is>
      </c>
    </row>
    <row r="8277">
      <c r="B8277" s="16" t="n">
        <v>44327</v>
      </c>
      <c r="C8277" s="20" t="inlineStr">
        <is>
          <t>화</t>
        </is>
      </c>
      <c r="E8277" s="20" t="inlineStr">
        <is>
          <t>고체향수</t>
        </is>
      </c>
      <c r="F8277" s="20" t="inlineStr">
        <is>
          <t>W컨셉</t>
        </is>
      </c>
      <c r="G8277" s="20" t="inlineStr">
        <is>
          <t>솔리드퍼퓸 이그나이트/스테이포에버 30ml (2종 택1)&lt;옵션1&gt;IGNITE + STAY FOREVER</t>
        </is>
      </c>
      <c r="H8277" s="20" t="n">
        <v>3</v>
      </c>
      <c r="I8277" s="20" t="inlineStr">
        <is>
          <t>이그나이트 + 스테이포에버</t>
        </is>
      </c>
      <c r="J8277" s="20" t="inlineStr">
        <is>
          <t>210501</t>
        </is>
      </c>
      <c r="L8277" s="20" t="n">
        <v>176400</v>
      </c>
      <c r="M8277" s="20" t="n">
        <v>141120</v>
      </c>
      <c r="N8277" s="20" t="n">
        <v>15537</v>
      </c>
      <c r="O8277" s="20" t="inlineStr">
        <is>
          <t>W컨셉고체향수솔리드퍼퓸 이그나이트/스테이포에버 30ml (2종 택1)&lt;옵션1&gt;IGNITE + STAY FOREVER210501</t>
        </is>
      </c>
    </row>
    <row r="8278">
      <c r="B8278" s="16" t="n">
        <v>44327</v>
      </c>
      <c r="C8278" s="20" t="inlineStr">
        <is>
          <t>화</t>
        </is>
      </c>
      <c r="E8278" s="20" t="inlineStr">
        <is>
          <t>고체향수</t>
        </is>
      </c>
      <c r="F8278" s="20" t="inlineStr">
        <is>
          <t>스마트스토어</t>
        </is>
      </c>
      <c r="G8278" s="20" t="inlineStr">
        <is>
          <t>유즈 고체향수 세트(유즈 스테이포에버, 유즈 이그나이트)고체향수: 스테이포에버 1개 + 이그나이트 1개</t>
        </is>
      </c>
      <c r="H8278" s="20" t="n">
        <v>1</v>
      </c>
      <c r="I8278" s="20" t="inlineStr">
        <is>
          <t>이그나이트 + 스테이포에버</t>
        </is>
      </c>
      <c r="J8278" s="20" t="inlineStr">
        <is>
          <t>210501</t>
        </is>
      </c>
      <c r="L8278" s="20" t="n">
        <v>58800</v>
      </c>
      <c r="M8278" s="20" t="n">
        <v>55360.2</v>
      </c>
      <c r="N8278" s="20" t="n">
        <v>5179</v>
      </c>
      <c r="O8278" s="20" t="inlineStr">
        <is>
          <t>스마트스토어고체향수유즈 고체향수 세트(유즈 스테이포에버, 유즈 이그나이트)고체향수: 스테이포에버 1개 + 이그나이트 1개210501</t>
        </is>
      </c>
    </row>
    <row r="8279">
      <c r="B8279" s="16" t="n">
        <v>44327</v>
      </c>
      <c r="C8279" s="20" t="inlineStr">
        <is>
          <t>화</t>
        </is>
      </c>
      <c r="E8279" s="20" t="inlineStr">
        <is>
          <t>고체향수</t>
        </is>
      </c>
      <c r="F8279" s="20" t="inlineStr">
        <is>
          <t>스마트스토어</t>
        </is>
      </c>
      <c r="G8279" s="20" t="inlineStr">
        <is>
          <t>유즈 고체향수 스테이포에버 002고체향수: 스테이포에버 1개</t>
        </is>
      </c>
      <c r="H8279" s="20" t="n">
        <v>27</v>
      </c>
      <c r="I8279" s="20" t="inlineStr">
        <is>
          <t>스테이포에버</t>
        </is>
      </c>
      <c r="J8279" s="20" t="inlineStr">
        <is>
          <t>210501</t>
        </is>
      </c>
      <c r="L8279" s="20" t="n">
        <v>918000</v>
      </c>
      <c r="M8279" s="20" t="n">
        <v>899640</v>
      </c>
      <c r="N8279" s="20" t="n">
        <v>68958</v>
      </c>
      <c r="O8279" s="20" t="inlineStr">
        <is>
          <t>스마트스토어고체향수유즈 고체향수 스테이포에버 002고체향수: 스테이포에버 1개210501</t>
        </is>
      </c>
    </row>
    <row r="8280">
      <c r="B8280" s="16" t="n">
        <v>44327</v>
      </c>
      <c r="C8280" s="20" t="inlineStr">
        <is>
          <t>화</t>
        </is>
      </c>
      <c r="E8280" s="20" t="inlineStr">
        <is>
          <t>고체향수</t>
        </is>
      </c>
      <c r="F8280" s="20" t="inlineStr">
        <is>
          <t>카페24</t>
        </is>
      </c>
      <c r="G8280" s="20" t="inlineStr">
        <is>
          <t>솔리드퍼퓸 세트향=스테이포에버 002 SOLID PERFUME, 세트 선택=1개</t>
        </is>
      </c>
      <c r="H8280" s="20" t="n">
        <v>4</v>
      </c>
      <c r="I8280" s="20" t="inlineStr">
        <is>
          <t>스테이포에버</t>
        </is>
      </c>
      <c r="J8280" s="20" t="inlineStr">
        <is>
          <t>210501</t>
        </is>
      </c>
      <c r="L8280" s="20" t="n">
        <v>136000</v>
      </c>
      <c r="M8280" s="20" t="n">
        <v>128044</v>
      </c>
      <c r="N8280" s="20" t="n">
        <v>10216</v>
      </c>
      <c r="O8280" s="20" t="inlineStr">
        <is>
          <t>카페24고체향수솔리드퍼퓸 세트향=스테이포에버 002 SOLID PERFUME, 세트 선택=1개210501</t>
        </is>
      </c>
    </row>
    <row r="8281">
      <c r="B8281" s="16" t="n">
        <v>44327</v>
      </c>
      <c r="C8281" s="20" t="inlineStr">
        <is>
          <t>화</t>
        </is>
      </c>
      <c r="E8281" s="20" t="inlineStr">
        <is>
          <t>고체향수</t>
        </is>
      </c>
      <c r="F8281" s="20" t="inlineStr">
        <is>
          <t>카페24</t>
        </is>
      </c>
      <c r="G8281" s="20" t="inlineStr">
        <is>
          <t>솔리드퍼퓸 세트향=스테이포에버 002 SOLID PERFUME, 세트 선택=best 2개 (28% 할인)</t>
        </is>
      </c>
      <c r="H8281" s="20" t="n">
        <v>5</v>
      </c>
      <c r="I8281" s="20" t="inlineStr">
        <is>
          <t>스테이포에버 2set</t>
        </is>
      </c>
      <c r="J8281" s="20" t="inlineStr">
        <is>
          <t>210501</t>
        </is>
      </c>
      <c r="L8281" s="20" t="n">
        <v>294000</v>
      </c>
      <c r="M8281" s="20" t="n">
        <v>276801</v>
      </c>
      <c r="N8281" s="20" t="n">
        <v>25540</v>
      </c>
      <c r="O8281" s="20" t="inlineStr">
        <is>
          <t>카페24고체향수솔리드퍼퓸 세트향=스테이포에버 002 SOLID PERFUME, 세트 선택=best 2개 (28% 할인)210501</t>
        </is>
      </c>
    </row>
    <row r="8282">
      <c r="B8282" s="16" t="n">
        <v>44327</v>
      </c>
      <c r="C8282" s="20" t="inlineStr">
        <is>
          <t>화</t>
        </is>
      </c>
      <c r="E8282" s="20" t="inlineStr">
        <is>
          <t>고체향수</t>
        </is>
      </c>
      <c r="F8282" s="20" t="inlineStr">
        <is>
          <t>카페24</t>
        </is>
      </c>
      <c r="G8282" s="20" t="inlineStr">
        <is>
          <t>솔리드퍼퓸 세트향=커플세트(이그나이트 + 스테이포에버), 세트 선택=1 SET</t>
        </is>
      </c>
      <c r="H8282" s="20" t="n">
        <v>13</v>
      </c>
      <c r="I8282" s="20" t="inlineStr">
        <is>
          <t>이그나이트 + 스테이포에버</t>
        </is>
      </c>
      <c r="J8282" s="20" t="inlineStr">
        <is>
          <t>210501</t>
        </is>
      </c>
      <c r="L8282" s="20" t="n">
        <v>764400</v>
      </c>
      <c r="M8282" s="20" t="n">
        <v>719682.6</v>
      </c>
      <c r="N8282" s="20" t="n">
        <v>67327</v>
      </c>
      <c r="O8282" s="20" t="inlineStr">
        <is>
          <t>카페24고체향수솔리드퍼퓸 세트향=커플세트(이그나이트 + 스테이포에버), 세트 선택=1 SET210501</t>
        </is>
      </c>
    </row>
    <row r="8283">
      <c r="B8283" s="16" t="n">
        <v>44327</v>
      </c>
      <c r="C8283" s="20" t="inlineStr">
        <is>
          <t>화</t>
        </is>
      </c>
      <c r="E8283" s="20" t="inlineStr">
        <is>
          <t>고체향수</t>
        </is>
      </c>
      <c r="F8283" s="20" t="inlineStr">
        <is>
          <t>카페24</t>
        </is>
      </c>
      <c r="G8283" s="20" t="inlineStr">
        <is>
          <t>솔리드퍼퓸 세트향=커플세트(이그나이트 + 스테이포에버), 세트 선택=2 SET (42% 할인)</t>
        </is>
      </c>
      <c r="H8283" s="20" t="n">
        <v>3</v>
      </c>
      <c r="I8283" s="20" t="inlineStr">
        <is>
          <t>이그나이트 + 스테이포에버</t>
        </is>
      </c>
      <c r="J8283" s="20" t="inlineStr">
        <is>
          <t>210501</t>
        </is>
      </c>
      <c r="L8283" s="20" t="n">
        <v>176400</v>
      </c>
      <c r="M8283" s="20" t="n">
        <v>166080.6</v>
      </c>
      <c r="N8283" s="20" t="n">
        <v>15537</v>
      </c>
      <c r="O8283" s="20" t="inlineStr">
        <is>
          <t>카페24고체향수솔리드퍼퓸 세트향=커플세트(이그나이트 + 스테이포에버), 세트 선택=2 SET (42% 할인)210501</t>
        </is>
      </c>
    </row>
    <row r="8284">
      <c r="B8284" s="16" t="n">
        <v>44327</v>
      </c>
      <c r="C8284" s="20" t="inlineStr">
        <is>
          <t>화</t>
        </is>
      </c>
      <c r="E8284" s="20" t="inlineStr">
        <is>
          <t>고체향수</t>
        </is>
      </c>
      <c r="F8284" s="20" t="inlineStr">
        <is>
          <t>카페24</t>
        </is>
      </c>
      <c r="G8284" s="20" t="inlineStr">
        <is>
          <t>솔리드퍼퓸 세트향=커플세트(이그나이트 + 스테이포에버), 세트 선택=1 SET</t>
        </is>
      </c>
      <c r="H8284" s="20" t="n">
        <v>4</v>
      </c>
      <c r="I8284" s="20" t="inlineStr">
        <is>
          <t>이그나이트 + 스테이포에버</t>
        </is>
      </c>
      <c r="J8284" s="20" t="inlineStr">
        <is>
          <t>210501</t>
        </is>
      </c>
      <c r="L8284" s="20" t="n">
        <v>235200</v>
      </c>
      <c r="M8284" s="20" t="n">
        <v>221440.8</v>
      </c>
      <c r="N8284" s="20" t="n">
        <v>20716</v>
      </c>
      <c r="O8284" s="20" t="inlineStr">
        <is>
          <t>카페24고체향수솔리드퍼퓸 세트향=커플세트(이그나이트 + 스테이포에버), 세트 선택=1 SET210501</t>
        </is>
      </c>
    </row>
    <row r="8285">
      <c r="B8285" s="16" t="n">
        <v>44327</v>
      </c>
      <c r="C8285" s="20" t="inlineStr">
        <is>
          <t>화</t>
        </is>
      </c>
      <c r="E8285" s="20" t="inlineStr">
        <is>
          <t>고체향수</t>
        </is>
      </c>
      <c r="F8285" s="20" t="inlineStr">
        <is>
          <t>카페24</t>
        </is>
      </c>
      <c r="G8285" s="20" t="inlineStr">
        <is>
          <t>솔리드퍼퓸 세트향=커플세트(이그나이트 + 스테이포에버), 세트 선택=2 SET (42% 할인)</t>
        </is>
      </c>
      <c r="H8285" s="20" t="n">
        <v>1</v>
      </c>
      <c r="I8285" s="20" t="inlineStr">
        <is>
          <t>이그나이트 + 스테이포에버</t>
        </is>
      </c>
      <c r="J8285" s="20" t="inlineStr">
        <is>
          <t>210501</t>
        </is>
      </c>
      <c r="L8285" s="20" t="n">
        <v>58800</v>
      </c>
      <c r="M8285" s="20" t="n">
        <v>55360.2</v>
      </c>
      <c r="N8285" s="20" t="n">
        <v>5179</v>
      </c>
      <c r="O8285" s="20" t="inlineStr">
        <is>
          <t>카페24고체향수솔리드퍼퓸 세트향=커플세트(이그나이트 + 스테이포에버), 세트 선택=2 SET (42% 할인)210501</t>
        </is>
      </c>
    </row>
    <row r="8286">
      <c r="B8286" s="16" t="n">
        <v>44327</v>
      </c>
      <c r="C8286" s="20" t="inlineStr">
        <is>
          <t>화</t>
        </is>
      </c>
      <c r="E8286" s="20" t="inlineStr">
        <is>
          <t>고체향수</t>
        </is>
      </c>
      <c r="F8286" s="20" t="inlineStr">
        <is>
          <t>카페24</t>
        </is>
      </c>
      <c r="G8286" s="20" t="inlineStr">
        <is>
          <t>솔리드퍼퓸 스테이포에버 002제품선택=스테이포에버 1개</t>
        </is>
      </c>
      <c r="H8286" s="20" t="n">
        <v>194</v>
      </c>
      <c r="I8286" s="20" t="inlineStr">
        <is>
          <t>스테이포에버</t>
        </is>
      </c>
      <c r="J8286" s="20" t="inlineStr">
        <is>
          <t>210501</t>
        </is>
      </c>
      <c r="L8286" s="20" t="n">
        <v>6596000</v>
      </c>
      <c r="M8286" s="20" t="n">
        <v>6210134</v>
      </c>
      <c r="N8286" s="20" t="n">
        <v>495476</v>
      </c>
      <c r="O8286" s="20" t="inlineStr">
        <is>
          <t>카페24고체향수솔리드퍼퓸 스테이포에버 002제품선택=스테이포에버 1개210501</t>
        </is>
      </c>
    </row>
    <row r="8287">
      <c r="B8287" s="16" t="n">
        <v>44327</v>
      </c>
      <c r="C8287" s="20" t="inlineStr">
        <is>
          <t>화</t>
        </is>
      </c>
      <c r="E8287" s="20" t="inlineStr">
        <is>
          <t>고체향수</t>
        </is>
      </c>
      <c r="F8287" s="20" t="inlineStr">
        <is>
          <t>카페24</t>
        </is>
      </c>
      <c r="G8287" s="20" t="inlineStr">
        <is>
          <t>솔리드퍼퓸 스테이포에버 002제품선택=best스테이포에버 2개[28% 할인]</t>
        </is>
      </c>
      <c r="H8287" s="20" t="n">
        <v>139</v>
      </c>
      <c r="I8287" s="20" t="inlineStr">
        <is>
          <t>스테이포에버 2set</t>
        </is>
      </c>
      <c r="J8287" s="20" t="inlineStr">
        <is>
          <t>210501</t>
        </is>
      </c>
      <c r="L8287" s="20" t="n">
        <v>8173200</v>
      </c>
      <c r="M8287" s="20" t="n">
        <v>7695067.8</v>
      </c>
      <c r="N8287" s="20" t="n">
        <v>710012</v>
      </c>
      <c r="O8287" s="20" t="inlineStr">
        <is>
          <t>카페24고체향수솔리드퍼퓸 스테이포에버 002제품선택=best스테이포에버 2개[28% 할인]210501</t>
        </is>
      </c>
    </row>
    <row r="8288">
      <c r="B8288" s="16" t="n">
        <v>44327</v>
      </c>
      <c r="C8288" s="20" t="inlineStr">
        <is>
          <t>화</t>
        </is>
      </c>
      <c r="E8288" s="20" t="inlineStr">
        <is>
          <t>고체향수</t>
        </is>
      </c>
      <c r="F8288" s="20" t="inlineStr">
        <is>
          <t>카페24</t>
        </is>
      </c>
      <c r="G8288" s="20" t="inlineStr">
        <is>
          <t>솔리드퍼퓸 스테이포에버 002제품선택=커플추천스테이포에버 + 이그나이트 세트</t>
        </is>
      </c>
      <c r="H8288" s="20" t="n">
        <v>17</v>
      </c>
      <c r="I8288" s="20" t="inlineStr">
        <is>
          <t>이그나이트 + 스테이포에버</t>
        </is>
      </c>
      <c r="J8288" s="20" t="inlineStr">
        <is>
          <t>210501</t>
        </is>
      </c>
      <c r="L8288" s="20" t="n">
        <v>999600</v>
      </c>
      <c r="M8288" s="20" t="n">
        <v>941123.3999999999</v>
      </c>
      <c r="N8288" s="20" t="n">
        <v>88043</v>
      </c>
      <c r="O8288" s="20" t="inlineStr">
        <is>
          <t>카페24고체향수솔리드퍼퓸 스테이포에버 002제품선택=커플추천스테이포에버 + 이그나이트 세트210501</t>
        </is>
      </c>
    </row>
    <row r="8289">
      <c r="B8289" s="16" t="n">
        <v>44327</v>
      </c>
      <c r="C8289" s="20" t="inlineStr">
        <is>
          <t>화</t>
        </is>
      </c>
      <c r="E8289" s="20" t="inlineStr">
        <is>
          <t>쇼핑백</t>
        </is>
      </c>
      <c r="F8289" s="20" t="inlineStr">
        <is>
          <t>카페24</t>
        </is>
      </c>
      <c r="G8289" s="20" t="inlineStr">
        <is>
          <t>솔리드퍼퓸 스테이포에버 002쇼핑백=선물용 쇼핑백</t>
        </is>
      </c>
      <c r="H8289" s="20" t="n">
        <v>3</v>
      </c>
      <c r="I8289" s="20" t="inlineStr">
        <is>
          <t>쇼핑백</t>
        </is>
      </c>
      <c r="J8289" s="20" t="inlineStr">
        <is>
          <t>210501</t>
        </is>
      </c>
      <c r="L8289" s="20" t="n">
        <v>6000</v>
      </c>
      <c r="M8289" s="20" t="n">
        <v>5649</v>
      </c>
      <c r="N8289" s="20" t="n">
        <v>2490</v>
      </c>
      <c r="O8289" s="20" t="inlineStr">
        <is>
          <t>카페24쇼핑백솔리드퍼퓸 스테이포에버 002쇼핑백=선물용 쇼핑백210501</t>
        </is>
      </c>
    </row>
    <row r="8290">
      <c r="B8290" s="16" t="n">
        <v>44327</v>
      </c>
      <c r="C8290" s="20" t="inlineStr">
        <is>
          <t>화</t>
        </is>
      </c>
      <c r="E8290" s="20" t="inlineStr">
        <is>
          <t>고체향수</t>
        </is>
      </c>
      <c r="F8290" s="20" t="inlineStr">
        <is>
          <t>카페24</t>
        </is>
      </c>
      <c r="G8290" s="20" t="inlineStr">
        <is>
          <t>솔리드퍼퓸 이그나이트 001제품선택=이그나이트 솔리드퍼퓸 - 30ml</t>
        </is>
      </c>
      <c r="H8290" s="20" t="n">
        <v>6</v>
      </c>
      <c r="I8290" s="20" t="inlineStr">
        <is>
          <t>이그나이트</t>
        </is>
      </c>
      <c r="J8290" s="20" t="inlineStr">
        <is>
          <t>210501</t>
        </is>
      </c>
      <c r="L8290" s="20" t="n">
        <v>204000</v>
      </c>
      <c r="M8290" s="20" t="n">
        <v>192066</v>
      </c>
      <c r="N8290" s="20" t="n">
        <v>15750</v>
      </c>
      <c r="O8290" s="20" t="inlineStr">
        <is>
          <t>카페24고체향수솔리드퍼퓸 이그나이트 001제품선택=이그나이트 솔리드퍼퓸 - 30ml210501</t>
        </is>
      </c>
    </row>
    <row r="8291">
      <c r="A8291" s="20" t="inlineStr">
        <is>
          <t>고체향수</t>
        </is>
      </c>
      <c r="B8291" s="16" t="n">
        <v>44327</v>
      </c>
      <c r="C8291" s="20" t="inlineStr">
        <is>
          <t>화</t>
        </is>
      </c>
      <c r="D8291" s="20" t="inlineStr">
        <is>
          <t>네이버 배너</t>
        </is>
      </c>
      <c r="E8291" s="20" t="inlineStr">
        <is>
          <t>고체향수</t>
        </is>
      </c>
      <c r="K8291" s="20" t="n">
        <v>718110.9090909091</v>
      </c>
    </row>
    <row r="8292">
      <c r="B8292" s="16" t="n">
        <v>44327</v>
      </c>
      <c r="C8292" s="20" t="inlineStr">
        <is>
          <t>화</t>
        </is>
      </c>
      <c r="D8292" s="20" t="inlineStr">
        <is>
          <t>카카오 배너</t>
        </is>
      </c>
      <c r="E8292" s="20" t="inlineStr">
        <is>
          <t>고체향수</t>
        </is>
      </c>
      <c r="K8292" s="20">
        <f>908083/1.1</f>
        <v/>
      </c>
    </row>
    <row r="8293">
      <c r="B8293" s="16" t="n">
        <v>44327</v>
      </c>
      <c r="C8293" s="20" t="inlineStr">
        <is>
          <t>화</t>
        </is>
      </c>
      <c r="D8293" s="20" t="inlineStr">
        <is>
          <t>네이버 배너(대행사)</t>
        </is>
      </c>
      <c r="E8293" s="20" t="inlineStr">
        <is>
          <t>고체향수</t>
        </is>
      </c>
      <c r="K8293" s="20">
        <f>334813/1.1</f>
        <v/>
      </c>
    </row>
    <row r="8294">
      <c r="B8294" s="16" t="n">
        <v>44327</v>
      </c>
      <c r="C8294" s="20" t="inlineStr">
        <is>
          <t>화</t>
        </is>
      </c>
      <c r="E8294" s="20">
        <f>INDEX(매칭테이블!C:C,MATCH(RD!G8294,매칭테이블!D:D,0))</f>
        <v/>
      </c>
      <c r="F8294" s="20" t="inlineStr">
        <is>
          <t>올리브영</t>
        </is>
      </c>
      <c r="G8294" s="20" t="inlineStr">
        <is>
          <t>유즈 솔리드퍼퓸 001 이그나이트 30ml 30600 온라인</t>
        </is>
      </c>
      <c r="H8294" s="20" t="n">
        <v>2</v>
      </c>
      <c r="I8294" s="20">
        <f>VLOOKUP(G8294,매칭테이블!D:E,2,0)</f>
        <v/>
      </c>
      <c r="J8294" s="20" t="inlineStr">
        <is>
          <t>210501</t>
        </is>
      </c>
      <c r="L8294" s="20">
        <f>VLOOKUP($O8294,매칭테이블!$G:$J,2,0)*H8294</f>
        <v/>
      </c>
      <c r="M8294" s="20">
        <f>L8294-L8294*VLOOKUP($O8294,매칭테이블!$G:$J,3,0)</f>
        <v/>
      </c>
      <c r="N8294" s="20">
        <f>VLOOKUP($O8294,매칭테이블!$G:$J,4,0)*H8294</f>
        <v/>
      </c>
      <c r="O8294" s="20">
        <f>F8294&amp;E8294&amp;G8294&amp;J8294</f>
        <v/>
      </c>
      <c r="P8294" s="20">
        <f>G8294&amp;F8294&amp;H8294&amp;K8294</f>
        <v/>
      </c>
    </row>
    <row r="8295">
      <c r="B8295" s="16" t="n">
        <v>44327</v>
      </c>
      <c r="C8295" s="20" t="inlineStr">
        <is>
          <t>화</t>
        </is>
      </c>
      <c r="E8295" s="20">
        <f>INDEX(매칭테이블!C:C,MATCH(RD!G8295,매칭테이블!D:D,0))</f>
        <v/>
      </c>
      <c r="F8295" s="20" t="inlineStr">
        <is>
          <t>올리브영</t>
        </is>
      </c>
      <c r="G8295" s="20" t="inlineStr">
        <is>
          <t>유즈 솔리드퍼퓸 002 스테이포에버 30ml 30600 온라인</t>
        </is>
      </c>
      <c r="H8295" s="20" t="n">
        <v>173</v>
      </c>
      <c r="I8295" s="20">
        <f>VLOOKUP(G8295,매칭테이블!D:E,2,0)</f>
        <v/>
      </c>
      <c r="J8295" s="20" t="inlineStr">
        <is>
          <t>210501</t>
        </is>
      </c>
      <c r="L8295" s="20">
        <f>VLOOKUP($O8295,매칭테이블!$G:$J,2,0)*H8295</f>
        <v/>
      </c>
      <c r="M8295" s="20">
        <f>L8295-L8295*VLOOKUP($O8295,매칭테이블!$G:$J,3,0)</f>
        <v/>
      </c>
      <c r="N8295" s="20">
        <f>VLOOKUP($O8295,매칭테이블!$G:$J,4,0)*H8295</f>
        <v/>
      </c>
      <c r="O8295" s="20">
        <f>F8295&amp;E8295&amp;G8295&amp;J8295</f>
        <v/>
      </c>
      <c r="P8295" s="20">
        <f>G8295&amp;F8295&amp;H8295&amp;K8295</f>
        <v/>
      </c>
    </row>
    <row r="8297">
      <c r="A8297" s="20" t="inlineStr">
        <is>
          <t>[수현 TEST] 스테이포에버_카드뉴스</t>
        </is>
      </c>
      <c r="B8297" s="16" t="n">
        <v>44328</v>
      </c>
      <c r="C8297" s="20" t="inlineStr">
        <is>
          <t>수</t>
        </is>
      </c>
      <c r="D8297" s="20" t="inlineStr">
        <is>
          <t>페이스북/인스타그램</t>
        </is>
      </c>
      <c r="E8297" s="20" t="inlineStr">
        <is>
          <t>고체향수</t>
        </is>
      </c>
      <c r="K8297" s="20" t="n">
        <v>29350</v>
      </c>
    </row>
    <row r="8298">
      <c r="A8298" s="20" t="inlineStr">
        <is>
          <t>[수현 TEST] 솔리드퍼퓸_이미지</t>
        </is>
      </c>
      <c r="B8298" s="16" t="n">
        <v>44328</v>
      </c>
      <c r="C8298" s="20" t="inlineStr">
        <is>
          <t>수</t>
        </is>
      </c>
      <c r="D8298" s="20" t="inlineStr">
        <is>
          <t>페이스북/인스타그램</t>
        </is>
      </c>
      <c r="E8298" s="20" t="inlineStr">
        <is>
          <t>고체향수</t>
        </is>
      </c>
      <c r="K8298" s="20" t="n">
        <v>50527</v>
      </c>
    </row>
    <row r="8299">
      <c r="A8299" s="20" t="inlineStr">
        <is>
          <t>[승은 TEST] 스테이포에버</t>
        </is>
      </c>
      <c r="B8299" s="16" t="n">
        <v>44328</v>
      </c>
      <c r="C8299" s="20" t="inlineStr">
        <is>
          <t>수</t>
        </is>
      </c>
      <c r="D8299" s="20" t="inlineStr">
        <is>
          <t>페이스북/인스타그램</t>
        </is>
      </c>
      <c r="E8299" s="20" t="inlineStr">
        <is>
          <t>고체향수</t>
        </is>
      </c>
      <c r="K8299" s="20" t="n">
        <v>67007</v>
      </c>
    </row>
    <row r="8300">
      <c r="A8300" s="20" t="inlineStr">
        <is>
          <t>[비누향 덕후] 스테이포에버_카드뉴스</t>
        </is>
      </c>
      <c r="B8300" s="16" t="n">
        <v>44328</v>
      </c>
      <c r="C8300" s="20" t="inlineStr">
        <is>
          <t>수</t>
        </is>
      </c>
      <c r="D8300" s="20" t="inlineStr">
        <is>
          <t>페이스북/인스타그램</t>
        </is>
      </c>
      <c r="E8300" s="20" t="inlineStr">
        <is>
          <t>고체향수</t>
        </is>
      </c>
      <c r="K8300" s="20" t="n">
        <v>145538</v>
      </c>
    </row>
    <row r="8301">
      <c r="A8301" s="20" t="inlineStr">
        <is>
          <t>[비누향 인연] 스테이포에버_카드뉴스</t>
        </is>
      </c>
      <c r="B8301" s="16" t="n">
        <v>44328</v>
      </c>
      <c r="C8301" s="20" t="inlineStr">
        <is>
          <t>수</t>
        </is>
      </c>
      <c r="D8301" s="20" t="inlineStr">
        <is>
          <t>페이스북/인스타그램</t>
        </is>
      </c>
      <c r="E8301" s="20" t="inlineStr">
        <is>
          <t>고체향수</t>
        </is>
      </c>
      <c r="K8301" s="20" t="n">
        <v>48557</v>
      </c>
    </row>
    <row r="8302">
      <c r="A8302" s="20" t="inlineStr">
        <is>
          <t>[성민 TEST] 솔리드퍼퓸_이미지</t>
        </is>
      </c>
      <c r="B8302" s="16" t="n">
        <v>44328</v>
      </c>
      <c r="C8302" s="20" t="inlineStr">
        <is>
          <t>수</t>
        </is>
      </c>
      <c r="D8302" s="20" t="inlineStr">
        <is>
          <t>페이스북/인스타그램</t>
        </is>
      </c>
      <c r="E8302" s="20" t="inlineStr">
        <is>
          <t>고체향수</t>
        </is>
      </c>
      <c r="K8302" s="20" t="n">
        <v>29746</v>
      </c>
    </row>
    <row r="8303">
      <c r="A8303" s="20" t="inlineStr">
        <is>
          <t>[승무원]유튜브_스테이포에버_카드뉴스</t>
        </is>
      </c>
      <c r="B8303" s="16" t="n">
        <v>44328</v>
      </c>
      <c r="C8303" s="20" t="inlineStr">
        <is>
          <t>수</t>
        </is>
      </c>
      <c r="D8303" s="20" t="inlineStr">
        <is>
          <t>페이스북/인스타그램</t>
        </is>
      </c>
      <c r="E8303" s="20" t="inlineStr">
        <is>
          <t>고체향수</t>
        </is>
      </c>
      <c r="K8303" s="20" t="n">
        <v>100182</v>
      </c>
    </row>
    <row r="8304">
      <c r="A8304" s="20" t="inlineStr">
        <is>
          <t>[올리브영] 이그나이트_영상</t>
        </is>
      </c>
      <c r="B8304" s="16" t="n">
        <v>44328</v>
      </c>
      <c r="C8304" s="20" t="inlineStr">
        <is>
          <t>수</t>
        </is>
      </c>
      <c r="D8304" s="20" t="inlineStr">
        <is>
          <t>페이스북/인스타그램</t>
        </is>
      </c>
      <c r="E8304" s="20" t="inlineStr">
        <is>
          <t>고체향수</t>
        </is>
      </c>
      <c r="K8304" s="20" t="n">
        <v>30618</v>
      </c>
    </row>
    <row r="8305">
      <c r="A8305" s="20" t="inlineStr">
        <is>
          <t>[승희 TEST] 솔리드퍼퓸_이미지</t>
        </is>
      </c>
      <c r="B8305" s="16" t="n">
        <v>44328</v>
      </c>
      <c r="C8305" s="20" t="inlineStr">
        <is>
          <t>수</t>
        </is>
      </c>
      <c r="D8305" s="20" t="inlineStr">
        <is>
          <t>페이스북/인스타그램</t>
        </is>
      </c>
      <c r="E8305" s="20" t="inlineStr">
        <is>
          <t>고체향수</t>
        </is>
      </c>
      <c r="K8305" s="20" t="n">
        <v>141683</v>
      </c>
    </row>
    <row r="8306">
      <c r="A8306" s="20" t="inlineStr">
        <is>
          <t>[올리브영] 스테이포에버_영상</t>
        </is>
      </c>
      <c r="B8306" s="16" t="n">
        <v>44328</v>
      </c>
      <c r="C8306" s="20" t="inlineStr">
        <is>
          <t>수</t>
        </is>
      </c>
      <c r="D8306" s="20" t="inlineStr">
        <is>
          <t>페이스북/인스타그램</t>
        </is>
      </c>
      <c r="E8306" s="20" t="inlineStr">
        <is>
          <t>고체향수</t>
        </is>
      </c>
      <c r="K8306" s="20" t="n">
        <v>50680</v>
      </c>
    </row>
    <row r="8307">
      <c r="A8307" s="20" t="inlineStr">
        <is>
          <t>[올리브영] 스테이포에버_이미지</t>
        </is>
      </c>
      <c r="B8307" s="16" t="n">
        <v>44328</v>
      </c>
      <c r="C8307" s="20" t="inlineStr">
        <is>
          <t>수</t>
        </is>
      </c>
      <c r="D8307" s="20" t="inlineStr">
        <is>
          <t>페이스북/인스타그램</t>
        </is>
      </c>
      <c r="E8307" s="20" t="inlineStr">
        <is>
          <t>고체향수</t>
        </is>
      </c>
      <c r="K8307" s="20" t="n">
        <v>30717</v>
      </c>
    </row>
    <row r="8308">
      <c r="A8308" s="20" t="inlineStr">
        <is>
          <t>[승무원] 유튜브재편집_스테이포에버_영상</t>
        </is>
      </c>
      <c r="B8308" s="16" t="n">
        <v>44328</v>
      </c>
      <c r="C8308" s="20" t="inlineStr">
        <is>
          <t>수</t>
        </is>
      </c>
      <c r="D8308" s="20" t="inlineStr">
        <is>
          <t>페이스북/인스타그램</t>
        </is>
      </c>
      <c r="E8308" s="20" t="inlineStr">
        <is>
          <t>고체향수</t>
        </is>
      </c>
      <c r="K8308" s="20" t="n">
        <v>850290</v>
      </c>
    </row>
    <row r="8309">
      <c r="A8309" s="20" t="inlineStr">
        <is>
          <t>[승무원 면세점] 스테이포에버_카드뉴스</t>
        </is>
      </c>
      <c r="B8309" s="16" t="n">
        <v>44328</v>
      </c>
      <c r="C8309" s="20" t="inlineStr">
        <is>
          <t>수</t>
        </is>
      </c>
      <c r="D8309" s="20" t="inlineStr">
        <is>
          <t>페이스북/인스타그램</t>
        </is>
      </c>
      <c r="E8309" s="20" t="inlineStr">
        <is>
          <t>고체향수</t>
        </is>
      </c>
      <c r="K8309" s="20" t="n">
        <v>149388</v>
      </c>
    </row>
    <row r="8310">
      <c r="A8310" s="20" t="inlineStr">
        <is>
          <t>[카페알바] 스테이포에버_카드뉴스</t>
        </is>
      </c>
      <c r="B8310" s="16" t="n">
        <v>44328</v>
      </c>
      <c r="C8310" s="20" t="inlineStr">
        <is>
          <t>수</t>
        </is>
      </c>
      <c r="D8310" s="20" t="inlineStr">
        <is>
          <t>페이스북/인스타그램</t>
        </is>
      </c>
      <c r="E8310" s="20" t="inlineStr">
        <is>
          <t>고체향수</t>
        </is>
      </c>
      <c r="K8310" s="20" t="n">
        <v>101186</v>
      </c>
    </row>
    <row r="8311">
      <c r="A8311" s="20" t="inlineStr">
        <is>
          <t>[아줌마]스테이포에버_이미지</t>
        </is>
      </c>
      <c r="B8311" s="16" t="n">
        <v>44328</v>
      </c>
      <c r="C8311" s="20" t="inlineStr">
        <is>
          <t>수</t>
        </is>
      </c>
      <c r="D8311" s="20" t="inlineStr">
        <is>
          <t>페이스북/인스타그램</t>
        </is>
      </c>
      <c r="E8311" s="20" t="inlineStr">
        <is>
          <t>고체향수</t>
        </is>
      </c>
      <c r="K8311" s="20" t="n">
        <v>49720</v>
      </c>
    </row>
    <row r="8312">
      <c r="A8312" s="20" t="inlineStr">
        <is>
          <t>[다양한 키워드] 스테이포에버_이미지</t>
        </is>
      </c>
      <c r="B8312" s="16" t="n">
        <v>44328</v>
      </c>
      <c r="C8312" s="20" t="inlineStr">
        <is>
          <t>수</t>
        </is>
      </c>
      <c r="D8312" s="20" t="inlineStr">
        <is>
          <t>페이스북/인스타그램</t>
        </is>
      </c>
      <c r="E8312" s="20" t="inlineStr">
        <is>
          <t>고체향수</t>
        </is>
      </c>
      <c r="K8312" s="20" t="n">
        <v>206041</v>
      </c>
    </row>
    <row r="8313">
      <c r="A8313" s="20" t="inlineStr">
        <is>
          <t>[재입고]스테이포에버_이미지</t>
        </is>
      </c>
      <c r="B8313" s="16" t="n">
        <v>44328</v>
      </c>
      <c r="C8313" s="20" t="inlineStr">
        <is>
          <t>수</t>
        </is>
      </c>
      <c r="D8313" s="20" t="inlineStr">
        <is>
          <t>페이스북/인스타그램</t>
        </is>
      </c>
      <c r="E8313" s="20" t="inlineStr">
        <is>
          <t>고체향수</t>
        </is>
      </c>
      <c r="K8313" s="20" t="n">
        <v>49092</v>
      </c>
    </row>
    <row r="8314">
      <c r="A8314" s="20" t="inlineStr">
        <is>
          <t>[승무원]숏폼_영상</t>
        </is>
      </c>
      <c r="B8314" s="16" t="n">
        <v>44328</v>
      </c>
      <c r="C8314" s="20" t="inlineStr">
        <is>
          <t>수</t>
        </is>
      </c>
      <c r="D8314" s="20" t="inlineStr">
        <is>
          <t>페이스북/인스타그램</t>
        </is>
      </c>
      <c r="E8314" s="20" t="inlineStr">
        <is>
          <t>고체향수</t>
        </is>
      </c>
      <c r="K8314" s="20" t="n">
        <v>50715</v>
      </c>
    </row>
    <row r="8315">
      <c r="A8315" s="20" t="inlineStr">
        <is>
          <t>[재입고]스테이포에버_영상</t>
        </is>
      </c>
      <c r="B8315" s="16" t="n">
        <v>44328</v>
      </c>
      <c r="C8315" s="20" t="inlineStr">
        <is>
          <t>수</t>
        </is>
      </c>
      <c r="D8315" s="20" t="inlineStr">
        <is>
          <t>페이스북/인스타그램</t>
        </is>
      </c>
      <c r="E8315" s="20" t="inlineStr">
        <is>
          <t>고체향수</t>
        </is>
      </c>
      <c r="K8315" s="20" t="n">
        <v>197945</v>
      </c>
    </row>
    <row r="8316">
      <c r="A8316" s="20" t="inlineStr">
        <is>
          <t>[승무원]2019년썰 카드뉴스+ 향묘사_영상</t>
        </is>
      </c>
      <c r="B8316" s="16" t="n">
        <v>44328</v>
      </c>
      <c r="C8316" s="20" t="inlineStr">
        <is>
          <t>수</t>
        </is>
      </c>
      <c r="D8316" s="20" t="inlineStr">
        <is>
          <t>페이스북/인스타그램</t>
        </is>
      </c>
      <c r="E8316" s="20" t="inlineStr">
        <is>
          <t>고체향수</t>
        </is>
      </c>
      <c r="K8316" s="20" t="n">
        <v>29314</v>
      </c>
    </row>
    <row r="8317">
      <c r="A8317" s="20" t="inlineStr">
        <is>
          <t>[승무원어피]스테이포에버_이미지</t>
        </is>
      </c>
      <c r="B8317" s="16" t="n">
        <v>44328</v>
      </c>
      <c r="C8317" s="20" t="inlineStr">
        <is>
          <t>수</t>
        </is>
      </c>
      <c r="D8317" s="20" t="inlineStr">
        <is>
          <t>페이스북/인스타그램</t>
        </is>
      </c>
      <c r="E8317" s="20" t="inlineStr">
        <is>
          <t>고체향수</t>
        </is>
      </c>
      <c r="K8317" s="20" t="n">
        <v>99375</v>
      </c>
    </row>
    <row r="8318">
      <c r="A8318" s="20" t="inlineStr">
        <is>
          <t>[다현]스테이포에버_이미지</t>
        </is>
      </c>
      <c r="B8318" s="16" t="n">
        <v>44328</v>
      </c>
      <c r="C8318" s="20" t="inlineStr">
        <is>
          <t>수</t>
        </is>
      </c>
      <c r="D8318" s="20" t="inlineStr">
        <is>
          <t>페이스북/인스타그램</t>
        </is>
      </c>
      <c r="E8318" s="20" t="inlineStr">
        <is>
          <t>고체향수</t>
        </is>
      </c>
      <c r="K8318" s="20" t="n">
        <v>99746</v>
      </c>
    </row>
    <row r="8319">
      <c r="A8319" s="20" t="inlineStr">
        <is>
          <t>[후기타입]스테이포에버_영상</t>
        </is>
      </c>
      <c r="B8319" s="16" t="n">
        <v>44328</v>
      </c>
      <c r="C8319" s="20" t="inlineStr">
        <is>
          <t>수</t>
        </is>
      </c>
      <c r="D8319" s="20" t="inlineStr">
        <is>
          <t>페이스북/인스타그램</t>
        </is>
      </c>
      <c r="E8319" s="20" t="inlineStr">
        <is>
          <t>고체향수</t>
        </is>
      </c>
      <c r="K8319" s="20" t="n">
        <v>102040</v>
      </c>
    </row>
    <row r="8320">
      <c r="A8320" s="20" t="inlineStr">
        <is>
          <t>전환_스테이포에버</t>
        </is>
      </c>
      <c r="B8320" s="16" t="n">
        <v>44328</v>
      </c>
      <c r="C8320" s="20" t="inlineStr">
        <is>
          <t>수</t>
        </is>
      </c>
      <c r="D8320" s="20" t="inlineStr">
        <is>
          <t>페이스북/인스타그램</t>
        </is>
      </c>
      <c r="E8320" s="20" t="inlineStr">
        <is>
          <t>고체향수</t>
        </is>
      </c>
      <c r="K8320" s="20" t="n">
        <v>99056</v>
      </c>
    </row>
    <row r="8321">
      <c r="A8321" s="20" t="inlineStr">
        <is>
          <t>[권태기커플]스테이포에버_영상</t>
        </is>
      </c>
      <c r="B8321" s="16" t="n">
        <v>44328</v>
      </c>
      <c r="C8321" s="20" t="inlineStr">
        <is>
          <t>수</t>
        </is>
      </c>
      <c r="D8321" s="20" t="inlineStr">
        <is>
          <t>페이스북/인스타그램</t>
        </is>
      </c>
      <c r="E8321" s="20" t="inlineStr">
        <is>
          <t>고체향수</t>
        </is>
      </c>
      <c r="K8321" s="20" t="n">
        <v>29956</v>
      </c>
    </row>
    <row r="8322">
      <c r="A8322" s="20" t="inlineStr">
        <is>
          <t>웹사이트 트래픽 서치</t>
        </is>
      </c>
      <c r="B8322" s="16" t="n">
        <v>44328</v>
      </c>
      <c r="C8322" s="20" t="inlineStr">
        <is>
          <t>수</t>
        </is>
      </c>
      <c r="D8322" s="20" t="inlineStr">
        <is>
          <t>유튜브 광고</t>
        </is>
      </c>
      <c r="E8322" s="20" t="inlineStr">
        <is>
          <t>고체향수</t>
        </is>
      </c>
      <c r="K8322" s="20" t="n">
        <v>34327</v>
      </c>
    </row>
    <row r="8323">
      <c r="A8323" s="20" t="inlineStr">
        <is>
          <t>디스커버리 배너_승무원,할인_리마케팅</t>
        </is>
      </c>
      <c r="B8323" s="16" t="n">
        <v>44328</v>
      </c>
      <c r="C8323" s="20" t="inlineStr">
        <is>
          <t>수</t>
        </is>
      </c>
      <c r="D8323" s="20" t="inlineStr">
        <is>
          <t>유튜브 광고</t>
        </is>
      </c>
      <c r="E8323" s="20" t="inlineStr">
        <is>
          <t>고체향수</t>
        </is>
      </c>
      <c r="K8323" s="20" t="n">
        <v>1450206</v>
      </c>
    </row>
    <row r="8324">
      <c r="A8324" s="20" t="inlineStr">
        <is>
          <t>[5화자] 동영상 캠페인_벨라의 비행일기</t>
        </is>
      </c>
      <c r="B8324" s="16" t="n">
        <v>44328</v>
      </c>
      <c r="C8324" s="20" t="inlineStr">
        <is>
          <t>수</t>
        </is>
      </c>
      <c r="D8324" s="20" t="inlineStr">
        <is>
          <t>유튜브 광고</t>
        </is>
      </c>
      <c r="E8324" s="20" t="inlineStr">
        <is>
          <t>고체향수</t>
        </is>
      </c>
      <c r="K8324" s="20" t="n">
        <v>249476</v>
      </c>
    </row>
    <row r="8325">
      <c r="A8325" s="20" t="inlineStr">
        <is>
          <t>[5화자] 동영상 캠페인_비행하고 여행하는 은선씨</t>
        </is>
      </c>
      <c r="B8325" s="16" t="n">
        <v>44328</v>
      </c>
      <c r="C8325" s="20" t="inlineStr">
        <is>
          <t>수</t>
        </is>
      </c>
      <c r="D8325" s="20" t="inlineStr">
        <is>
          <t>유튜브 광고</t>
        </is>
      </c>
      <c r="E8325" s="20" t="inlineStr">
        <is>
          <t>고체향수</t>
        </is>
      </c>
      <c r="K8325" s="20" t="n">
        <v>199791</v>
      </c>
    </row>
    <row r="8326">
      <c r="A8326" s="20" t="inlineStr">
        <is>
          <t>[5화자 재편집] 승무원_벨라_면세점에서 천만원</t>
        </is>
      </c>
      <c r="B8326" s="16" t="n">
        <v>44328</v>
      </c>
      <c r="C8326" s="20" t="inlineStr">
        <is>
          <t>수</t>
        </is>
      </c>
      <c r="D8326" s="20" t="inlineStr">
        <is>
          <t>유튜브 광고</t>
        </is>
      </c>
      <c r="E8326" s="20" t="inlineStr">
        <is>
          <t>고체향수</t>
        </is>
      </c>
      <c r="K8326" s="20" t="n">
        <v>299502</v>
      </c>
    </row>
    <row r="8327">
      <c r="A8327" s="20" t="inlineStr">
        <is>
          <t>동영상캠페인_유즈모먼트_면세점뒤졌는데</t>
        </is>
      </c>
      <c r="B8327" s="16" t="n">
        <v>44328</v>
      </c>
      <c r="C8327" s="20" t="inlineStr">
        <is>
          <t>수</t>
        </is>
      </c>
      <c r="D8327" s="20" t="inlineStr">
        <is>
          <t>유튜브 광고</t>
        </is>
      </c>
      <c r="E8327" s="20" t="inlineStr">
        <is>
          <t>고체향수</t>
        </is>
      </c>
      <c r="K8327" s="20" t="n">
        <v>199869</v>
      </c>
    </row>
    <row r="8328">
      <c r="A8328" s="20" t="inlineStr">
        <is>
          <t>메인키워드</t>
        </is>
      </c>
      <c r="B8328" s="16" t="n">
        <v>44328</v>
      </c>
      <c r="C8328" s="20" t="inlineStr">
        <is>
          <t>수</t>
        </is>
      </c>
      <c r="D8328" s="20" t="inlineStr">
        <is>
          <t>네이버 쇼핑검색</t>
        </is>
      </c>
      <c r="E8328" s="20" t="inlineStr">
        <is>
          <t>고체향수</t>
        </is>
      </c>
      <c r="K8328" s="20" t="n">
        <v>22970</v>
      </c>
    </row>
    <row r="8329">
      <c r="A8329" s="20" t="inlineStr">
        <is>
          <t>세부키워드1</t>
        </is>
      </c>
      <c r="B8329" s="16" t="n">
        <v>44328</v>
      </c>
      <c r="C8329" s="20" t="inlineStr">
        <is>
          <t>수</t>
        </is>
      </c>
      <c r="D8329" s="20" t="inlineStr">
        <is>
          <t>네이버 쇼핑검색</t>
        </is>
      </c>
      <c r="E8329" s="20" t="inlineStr">
        <is>
          <t>고체향수</t>
        </is>
      </c>
      <c r="K8329" s="20" t="n">
        <v>0</v>
      </c>
    </row>
    <row r="8330">
      <c r="A8330" s="20" t="inlineStr">
        <is>
          <t>세부키워드3</t>
        </is>
      </c>
      <c r="B8330" s="16" t="n">
        <v>44328</v>
      </c>
      <c r="C8330" s="20" t="inlineStr">
        <is>
          <t>수</t>
        </is>
      </c>
      <c r="D8330" s="20" t="inlineStr">
        <is>
          <t>네이버 쇼핑검색</t>
        </is>
      </c>
      <c r="E8330" s="20" t="inlineStr">
        <is>
          <t>고체향수</t>
        </is>
      </c>
      <c r="K8330" s="20" t="n">
        <v>112790</v>
      </c>
    </row>
    <row r="8331">
      <c r="A8331" s="20" t="inlineStr">
        <is>
          <t>모바일 브검</t>
        </is>
      </c>
      <c r="B8331" s="16" t="n">
        <v>44328</v>
      </c>
      <c r="C8331" s="20" t="inlineStr">
        <is>
          <t>수</t>
        </is>
      </c>
      <c r="D8331" s="20" t="inlineStr">
        <is>
          <t>네이버 브랜드검색</t>
        </is>
      </c>
      <c r="E8331" s="20" t="inlineStr">
        <is>
          <t>브랜드</t>
        </is>
      </c>
      <c r="K8331" s="20" t="n">
        <v>88000</v>
      </c>
    </row>
    <row r="8332">
      <c r="A8332" s="20" t="inlineStr">
        <is>
          <t>PC 브랜드검색</t>
        </is>
      </c>
      <c r="B8332" s="16" t="n">
        <v>44328</v>
      </c>
      <c r="C8332" s="20" t="inlineStr">
        <is>
          <t>수</t>
        </is>
      </c>
      <c r="D8332" s="20" t="inlineStr">
        <is>
          <t>네이버 브랜드검색</t>
        </is>
      </c>
      <c r="E8332" s="20" t="inlineStr">
        <is>
          <t>브랜드</t>
        </is>
      </c>
      <c r="K8332" s="20" t="n">
        <v>16700</v>
      </c>
    </row>
    <row r="8333">
      <c r="A8333" s="20" t="inlineStr">
        <is>
          <t>고체향수_승무원 어피_Npay 추적</t>
        </is>
      </c>
      <c r="B8333" s="16" t="n">
        <v>44328</v>
      </c>
      <c r="C8333" s="20" t="inlineStr">
        <is>
          <t>수</t>
        </is>
      </c>
      <c r="D8333" s="20" t="inlineStr">
        <is>
          <t>카카오 배너</t>
        </is>
      </c>
      <c r="E8333" s="20" t="inlineStr">
        <is>
          <t>고체향수</t>
        </is>
      </c>
      <c r="K8333" s="20" t="n">
        <v>91279.99999999999</v>
      </c>
    </row>
    <row r="8334">
      <c r="A8334" s="20" t="inlineStr">
        <is>
          <t>고체향수_Npay 추적</t>
        </is>
      </c>
      <c r="B8334" s="16" t="n">
        <v>44328</v>
      </c>
      <c r="C8334" s="20" t="inlineStr">
        <is>
          <t>수</t>
        </is>
      </c>
      <c r="D8334" s="20" t="inlineStr">
        <is>
          <t>카카오 배너</t>
        </is>
      </c>
      <c r="E8334" s="20" t="inlineStr">
        <is>
          <t>고체향수</t>
        </is>
      </c>
      <c r="K8334" s="20" t="n">
        <v>730029.9999999999</v>
      </c>
    </row>
    <row r="8335">
      <c r="B8335" s="16" t="n">
        <v>44328</v>
      </c>
      <c r="C8335" s="20" t="inlineStr">
        <is>
          <t>수</t>
        </is>
      </c>
      <c r="E8335" s="20" t="inlineStr">
        <is>
          <t>고체향수</t>
        </is>
      </c>
      <c r="F8335" s="20" t="inlineStr">
        <is>
          <t>W컨셉</t>
        </is>
      </c>
      <c r="G8335" s="20" t="inlineStr">
        <is>
          <t>솔리드퍼퓸 이그나이트/스테이포에버 30ml (2종 택1)&lt;옵션1&gt;002 STAY FOREVER</t>
        </is>
      </c>
      <c r="H8335" s="20" t="n">
        <v>7</v>
      </c>
      <c r="I8335" s="20" t="inlineStr">
        <is>
          <t>스테이포에버</t>
        </is>
      </c>
      <c r="J8335" s="20" t="inlineStr">
        <is>
          <t>210501</t>
        </is>
      </c>
      <c r="L8335" s="20" t="n">
        <v>238000</v>
      </c>
      <c r="M8335" s="20" t="n">
        <v>166600</v>
      </c>
      <c r="N8335" s="20" t="n">
        <v>17878</v>
      </c>
      <c r="O8335" s="20" t="inlineStr">
        <is>
          <t>W컨셉고체향수솔리드퍼퓸 이그나이트/스테이포에버 30ml (2종 택1)&lt;옵션1&gt;002 STAY FOREVER210501</t>
        </is>
      </c>
    </row>
    <row r="8336">
      <c r="B8336" s="16" t="n">
        <v>44328</v>
      </c>
      <c r="C8336" s="20" t="inlineStr">
        <is>
          <t>수</t>
        </is>
      </c>
      <c r="E8336" s="20" t="inlineStr">
        <is>
          <t>고체향수</t>
        </is>
      </c>
      <c r="F8336" s="20" t="inlineStr">
        <is>
          <t>W컨셉</t>
        </is>
      </c>
      <c r="G8336" s="20" t="inlineStr">
        <is>
          <t>솔리드퍼퓸 이그나이트/스테이포에버 30ml (2종 택1)&lt;옵션1&gt;IGNITE + STAY FOREVER</t>
        </is>
      </c>
      <c r="H8336" s="20" t="n">
        <v>1</v>
      </c>
      <c r="I8336" s="20" t="inlineStr">
        <is>
          <t>이그나이트 + 스테이포에버</t>
        </is>
      </c>
      <c r="J8336" s="20" t="inlineStr">
        <is>
          <t>210501</t>
        </is>
      </c>
      <c r="L8336" s="20" t="n">
        <v>58800</v>
      </c>
      <c r="M8336" s="20" t="n">
        <v>47040</v>
      </c>
      <c r="N8336" s="20" t="n">
        <v>5179</v>
      </c>
      <c r="O8336" s="20" t="inlineStr">
        <is>
          <t>W컨셉고체향수솔리드퍼퓸 이그나이트/스테이포에버 30ml (2종 택1)&lt;옵션1&gt;IGNITE + STAY FOREVER210501</t>
        </is>
      </c>
    </row>
    <row r="8337">
      <c r="B8337" s="16" t="n">
        <v>44328</v>
      </c>
      <c r="C8337" s="20" t="inlineStr">
        <is>
          <t>수</t>
        </is>
      </c>
      <c r="E8337" s="20" t="inlineStr">
        <is>
          <t>고체향수</t>
        </is>
      </c>
      <c r="F8337" s="20" t="inlineStr">
        <is>
          <t>카페24</t>
        </is>
      </c>
      <c r="G8337" s="20" t="inlineStr">
        <is>
          <t>솔리드퍼퓸 세트향=이그나이트 001 SOLID PERFUME, 세트 선택=best 2개 (28% 할인)</t>
        </is>
      </c>
      <c r="H8337" s="20" t="n">
        <v>1</v>
      </c>
      <c r="I8337" s="20" t="inlineStr">
        <is>
          <t>이그나이트 2set</t>
        </is>
      </c>
      <c r="J8337" s="20" t="inlineStr">
        <is>
          <t>210501</t>
        </is>
      </c>
      <c r="L8337" s="20" t="n">
        <v>58800</v>
      </c>
      <c r="M8337" s="20" t="n">
        <v>55360.2</v>
      </c>
      <c r="N8337" s="20" t="n">
        <v>5250</v>
      </c>
      <c r="O8337" s="20" t="inlineStr">
        <is>
          <t>카페24고체향수솔리드퍼퓸 세트향=이그나이트 001 SOLID PERFUME, 세트 선택=best 2개 (28% 할인)210501</t>
        </is>
      </c>
    </row>
    <row r="8338">
      <c r="B8338" s="16" t="n">
        <v>44328</v>
      </c>
      <c r="C8338" s="20" t="inlineStr">
        <is>
          <t>수</t>
        </is>
      </c>
      <c r="E8338" s="20" t="inlineStr">
        <is>
          <t>고체향수</t>
        </is>
      </c>
      <c r="F8338" s="20" t="inlineStr">
        <is>
          <t>카페24</t>
        </is>
      </c>
      <c r="G8338" s="20" t="inlineStr">
        <is>
          <t>솔리드퍼퓸 세트향=스테이포에버 002 SOLID PERFUME, 세트 선택=1개</t>
        </is>
      </c>
      <c r="H8338" s="20" t="n">
        <v>2</v>
      </c>
      <c r="I8338" s="20" t="inlineStr">
        <is>
          <t>스테이포에버</t>
        </is>
      </c>
      <c r="J8338" s="20" t="inlineStr">
        <is>
          <t>210501</t>
        </is>
      </c>
      <c r="L8338" s="20" t="n">
        <v>68000</v>
      </c>
      <c r="M8338" s="20" t="n">
        <v>64022</v>
      </c>
      <c r="N8338" s="20" t="n">
        <v>5108</v>
      </c>
      <c r="O8338" s="20" t="inlineStr">
        <is>
          <t>카페24고체향수솔리드퍼퓸 세트향=스테이포에버 002 SOLID PERFUME, 세트 선택=1개210501</t>
        </is>
      </c>
    </row>
    <row r="8339">
      <c r="B8339" s="16" t="n">
        <v>44328</v>
      </c>
      <c r="C8339" s="20" t="inlineStr">
        <is>
          <t>수</t>
        </is>
      </c>
      <c r="E8339" s="20" t="inlineStr">
        <is>
          <t>고체향수</t>
        </is>
      </c>
      <c r="F8339" s="20" t="inlineStr">
        <is>
          <t>카페24</t>
        </is>
      </c>
      <c r="G8339" s="20" t="inlineStr">
        <is>
          <t>솔리드퍼퓸 세트향=스테이포에버 002 SOLID PERFUME, 세트 선택=best 2개 (28% 할인)</t>
        </is>
      </c>
      <c r="H8339" s="20" t="n">
        <v>8</v>
      </c>
      <c r="I8339" s="20" t="inlineStr">
        <is>
          <t>스테이포에버 2set</t>
        </is>
      </c>
      <c r="J8339" s="20" t="inlineStr">
        <is>
          <t>210501</t>
        </is>
      </c>
      <c r="L8339" s="20" t="n">
        <v>470400</v>
      </c>
      <c r="M8339" s="20" t="n">
        <v>442881.6</v>
      </c>
      <c r="N8339" s="20" t="n">
        <v>40864</v>
      </c>
      <c r="O8339" s="20" t="inlineStr">
        <is>
          <t>카페24고체향수솔리드퍼퓸 세트향=스테이포에버 002 SOLID PERFUME, 세트 선택=best 2개 (28% 할인)210501</t>
        </is>
      </c>
    </row>
    <row r="8340">
      <c r="B8340" s="16" t="n">
        <v>44328</v>
      </c>
      <c r="C8340" s="20" t="inlineStr">
        <is>
          <t>수</t>
        </is>
      </c>
      <c r="E8340" s="20" t="inlineStr">
        <is>
          <t>고체향수</t>
        </is>
      </c>
      <c r="F8340" s="20" t="inlineStr">
        <is>
          <t>카페24</t>
        </is>
      </c>
      <c r="G8340" s="20" t="inlineStr">
        <is>
          <t>솔리드퍼퓸 세트향=커플세트(이그나이트 + 스테이포에버), 세트 선택=1 SET</t>
        </is>
      </c>
      <c r="H8340" s="20" t="n">
        <v>14</v>
      </c>
      <c r="I8340" s="20" t="inlineStr">
        <is>
          <t>이그나이트 + 스테이포에버</t>
        </is>
      </c>
      <c r="J8340" s="20" t="inlineStr">
        <is>
          <t>210501</t>
        </is>
      </c>
      <c r="L8340" s="20" t="n">
        <v>823200</v>
      </c>
      <c r="M8340" s="20" t="n">
        <v>775042.7999999999</v>
      </c>
      <c r="N8340" s="20" t="n">
        <v>72506</v>
      </c>
      <c r="O8340" s="20" t="inlineStr">
        <is>
          <t>카페24고체향수솔리드퍼퓸 세트향=커플세트(이그나이트 + 스테이포에버), 세트 선택=1 SET210501</t>
        </is>
      </c>
    </row>
    <row r="8341">
      <c r="B8341" s="16" t="n">
        <v>44328</v>
      </c>
      <c r="C8341" s="20" t="inlineStr">
        <is>
          <t>수</t>
        </is>
      </c>
      <c r="E8341" s="20" t="inlineStr">
        <is>
          <t>고체향수</t>
        </is>
      </c>
      <c r="F8341" s="20" t="inlineStr">
        <is>
          <t>카페24</t>
        </is>
      </c>
      <c r="G8341" s="20" t="inlineStr">
        <is>
          <t>솔리드퍼퓸 세트향=커플세트(이그나이트 + 스테이포에버), 세트 선택=2 SET (42% 할인)</t>
        </is>
      </c>
      <c r="H8341" s="20" t="n">
        <v>5</v>
      </c>
      <c r="I8341" s="20" t="inlineStr">
        <is>
          <t>이그나이트 + 스테이포에버</t>
        </is>
      </c>
      <c r="J8341" s="20" t="inlineStr">
        <is>
          <t>210501</t>
        </is>
      </c>
      <c r="L8341" s="20" t="n">
        <v>294000</v>
      </c>
      <c r="M8341" s="20" t="n">
        <v>276801</v>
      </c>
      <c r="N8341" s="20" t="n">
        <v>25895</v>
      </c>
      <c r="O8341" s="20" t="inlineStr">
        <is>
          <t>카페24고체향수솔리드퍼퓸 세트향=커플세트(이그나이트 + 스테이포에버), 세트 선택=2 SET (42% 할인)210501</t>
        </is>
      </c>
    </row>
    <row r="8342">
      <c r="B8342" s="16" t="n">
        <v>44328</v>
      </c>
      <c r="C8342" s="20" t="inlineStr">
        <is>
          <t>수</t>
        </is>
      </c>
      <c r="E8342" s="20" t="inlineStr">
        <is>
          <t>고체향수</t>
        </is>
      </c>
      <c r="F8342" s="20" t="inlineStr">
        <is>
          <t>카페24</t>
        </is>
      </c>
      <c r="G8342" s="20" t="inlineStr">
        <is>
          <t>솔리드퍼퓸 스테이포에버 002제품선택=스테이포에버 1개</t>
        </is>
      </c>
      <c r="H8342" s="20" t="n">
        <v>177</v>
      </c>
      <c r="I8342" s="20" t="inlineStr">
        <is>
          <t>스테이포에버</t>
        </is>
      </c>
      <c r="J8342" s="20" t="inlineStr">
        <is>
          <t>210501</t>
        </is>
      </c>
      <c r="L8342" s="20" t="n">
        <v>6018000</v>
      </c>
      <c r="M8342" s="20" t="n">
        <v>5665947</v>
      </c>
      <c r="N8342" s="20" t="n">
        <v>452058</v>
      </c>
      <c r="O8342" s="20" t="inlineStr">
        <is>
          <t>카페24고체향수솔리드퍼퓸 스테이포에버 002제품선택=스테이포에버 1개210501</t>
        </is>
      </c>
    </row>
    <row r="8343">
      <c r="B8343" s="16" t="n">
        <v>44328</v>
      </c>
      <c r="C8343" s="20" t="inlineStr">
        <is>
          <t>수</t>
        </is>
      </c>
      <c r="E8343" s="20" t="inlineStr">
        <is>
          <t>고체향수</t>
        </is>
      </c>
      <c r="F8343" s="20" t="inlineStr">
        <is>
          <t>카페24</t>
        </is>
      </c>
      <c r="G8343" s="20" t="inlineStr">
        <is>
          <t>솔리드퍼퓸 스테이포에버 002제품선택=best스테이포에버 2개[28% 할인]</t>
        </is>
      </c>
      <c r="H8343" s="20" t="n">
        <v>101</v>
      </c>
      <c r="I8343" s="20" t="inlineStr">
        <is>
          <t>스테이포에버 2set</t>
        </is>
      </c>
      <c r="J8343" s="20" t="inlineStr">
        <is>
          <t>210501</t>
        </is>
      </c>
      <c r="L8343" s="20" t="n">
        <v>5938800</v>
      </c>
      <c r="M8343" s="20" t="n">
        <v>5591380.199999999</v>
      </c>
      <c r="N8343" s="20" t="n">
        <v>515908</v>
      </c>
      <c r="O8343" s="20" t="inlineStr">
        <is>
          <t>카페24고체향수솔리드퍼퓸 스테이포에버 002제품선택=best스테이포에버 2개[28% 할인]210501</t>
        </is>
      </c>
    </row>
    <row r="8344">
      <c r="B8344" s="16" t="n">
        <v>44328</v>
      </c>
      <c r="C8344" s="20" t="inlineStr">
        <is>
          <t>수</t>
        </is>
      </c>
      <c r="E8344" s="20" t="inlineStr">
        <is>
          <t>고체향수</t>
        </is>
      </c>
      <c r="F8344" s="20" t="inlineStr">
        <is>
          <t>카페24</t>
        </is>
      </c>
      <c r="G8344" s="20" t="inlineStr">
        <is>
          <t>솔리드퍼퓸 스테이포에버 002제품선택=커플추천스테이포에버 + 이그나이트 세트</t>
        </is>
      </c>
      <c r="H8344" s="20" t="n">
        <v>11</v>
      </c>
      <c r="I8344" s="20" t="inlineStr">
        <is>
          <t>이그나이트 + 스테이포에버</t>
        </is>
      </c>
      <c r="J8344" s="20" t="inlineStr">
        <is>
          <t>210501</t>
        </is>
      </c>
      <c r="L8344" s="20" t="n">
        <v>646800</v>
      </c>
      <c r="M8344" s="20" t="n">
        <v>608962.2</v>
      </c>
      <c r="N8344" s="20" t="n">
        <v>56969</v>
      </c>
      <c r="O8344" s="20" t="inlineStr">
        <is>
          <t>카페24고체향수솔리드퍼퓸 스테이포에버 002제품선택=커플추천스테이포에버 + 이그나이트 세트210501</t>
        </is>
      </c>
    </row>
    <row r="8345">
      <c r="B8345" s="16" t="n">
        <v>44328</v>
      </c>
      <c r="C8345" s="20" t="inlineStr">
        <is>
          <t>수</t>
        </is>
      </c>
      <c r="E8345" s="20" t="inlineStr">
        <is>
          <t>쇼핑백</t>
        </is>
      </c>
      <c r="F8345" s="20" t="inlineStr">
        <is>
          <t>카페24</t>
        </is>
      </c>
      <c r="G8345" s="20" t="inlineStr">
        <is>
          <t>솔리드퍼퓸 스테이포에버 002쇼핑백=선물용 쇼핑백</t>
        </is>
      </c>
      <c r="H8345" s="20" t="n">
        <v>6</v>
      </c>
      <c r="I8345" s="20" t="inlineStr">
        <is>
          <t>쇼핑백</t>
        </is>
      </c>
      <c r="J8345" s="20" t="inlineStr">
        <is>
          <t>210501</t>
        </is>
      </c>
      <c r="L8345" s="20" t="n">
        <v>12000</v>
      </c>
      <c r="M8345" s="20" t="n">
        <v>11298</v>
      </c>
      <c r="N8345" s="20" t="n">
        <v>4980</v>
      </c>
      <c r="O8345" s="20" t="inlineStr">
        <is>
          <t>카페24쇼핑백솔리드퍼퓸 스테이포에버 002쇼핑백=선물용 쇼핑백210501</t>
        </is>
      </c>
    </row>
    <row r="8346">
      <c r="B8346" s="16" t="n">
        <v>44328</v>
      </c>
      <c r="C8346" s="20" t="inlineStr">
        <is>
          <t>수</t>
        </is>
      </c>
      <c r="E8346" s="20">
        <f>INDEX(매칭테이블!C:C,MATCH(RD!G8346,매칭테이블!D:D,0))</f>
        <v/>
      </c>
      <c r="F8346" s="20" t="inlineStr">
        <is>
          <t>카페24</t>
        </is>
      </c>
      <c r="G8346" s="20" t="inlineStr">
        <is>
          <t>솔리드퍼퓸 스페셜 기프트 세트제품 선택=Event 1솔리드퍼퓸 2종 set[40% 할인]</t>
        </is>
      </c>
      <c r="H8346" s="20" t="n">
        <v>48</v>
      </c>
      <c r="I8346" s="20">
        <f>VLOOKUP(G8346,매칭테이블!D:E,2,0)</f>
        <v/>
      </c>
      <c r="J8346" s="20" t="inlineStr">
        <is>
          <t>210501</t>
        </is>
      </c>
      <c r="L8346" s="20">
        <f>VLOOKUP($O8346,매칭테이블!$G:$J,2,0)*H8346</f>
        <v/>
      </c>
      <c r="M8346" s="20">
        <f>L8346-L8346*VLOOKUP($O8346,매칭테이블!$G:$J,3,0)</f>
        <v/>
      </c>
      <c r="N8346" s="20">
        <f>VLOOKUP($O8346,매칭테이블!$G:$J,4,0)*H8346</f>
        <v/>
      </c>
      <c r="O8346" s="20">
        <f>F8346&amp;E8346&amp;G8346&amp;J8346</f>
        <v/>
      </c>
    </row>
    <row r="8347">
      <c r="B8347" s="16" t="n">
        <v>44328</v>
      </c>
      <c r="C8347" s="20" t="inlineStr">
        <is>
          <t>수</t>
        </is>
      </c>
      <c r="E8347" s="20">
        <f>INDEX(매칭테이블!C:C,MATCH(RD!G8347,매칭테이블!D:D,0))</f>
        <v/>
      </c>
      <c r="F8347" s="20" t="inlineStr">
        <is>
          <t>카페24</t>
        </is>
      </c>
      <c r="G8347" s="20" t="inlineStr">
        <is>
          <t>솔리드퍼퓸 스페셜 기프트 세트제품 선택=Event 2✨스테이포에버 단품[35% 할인]</t>
        </is>
      </c>
      <c r="H8347" s="20" t="n">
        <v>31</v>
      </c>
      <c r="I8347" s="20">
        <f>VLOOKUP(G8347,매칭테이블!D:E,2,0)</f>
        <v/>
      </c>
      <c r="J8347" s="20" t="inlineStr">
        <is>
          <t>210501</t>
        </is>
      </c>
      <c r="L8347" s="20">
        <f>VLOOKUP($O8347,매칭테이블!$G:$J,2,0)*H8347</f>
        <v/>
      </c>
      <c r="M8347" s="20">
        <f>L8347-L8347*VLOOKUP($O8347,매칭테이블!$G:$J,3,0)</f>
        <v/>
      </c>
      <c r="N8347" s="20">
        <f>VLOOKUP($O8347,매칭테이블!$G:$J,4,0)*H8347</f>
        <v/>
      </c>
      <c r="O8347" s="20">
        <f>F8347&amp;E8347&amp;G8347&amp;J8347</f>
        <v/>
      </c>
    </row>
    <row r="8348">
      <c r="B8348" s="16" t="n">
        <v>44328</v>
      </c>
      <c r="C8348" s="20" t="inlineStr">
        <is>
          <t>수</t>
        </is>
      </c>
      <c r="E8348" s="20">
        <f>INDEX(매칭테이블!C:C,MATCH(RD!G8348,매칭테이블!D:D,0))</f>
        <v/>
      </c>
      <c r="F8348" s="20" t="inlineStr">
        <is>
          <t>카페24</t>
        </is>
      </c>
      <c r="G8348" s="20" t="inlineStr">
        <is>
          <t>솔리드퍼퓸 스페셜 기프트 세트제품 선택=Event 2✨이그나이트 단품[35% 할인]</t>
        </is>
      </c>
      <c r="H8348" s="20" t="n">
        <v>1</v>
      </c>
      <c r="I8348" s="20">
        <f>VLOOKUP(G8348,매칭테이블!D:E,2,0)</f>
        <v/>
      </c>
      <c r="J8348" s="20" t="inlineStr">
        <is>
          <t>210501</t>
        </is>
      </c>
      <c r="L8348" s="20">
        <f>VLOOKUP($O8348,매칭테이블!$G:$J,2,0)*H8348</f>
        <v/>
      </c>
      <c r="M8348" s="20">
        <f>L8348-L8348*VLOOKUP($O8348,매칭테이블!$G:$J,3,0)</f>
        <v/>
      </c>
      <c r="N8348" s="20">
        <f>VLOOKUP($O8348,매칭테이블!$G:$J,4,0)*H8348</f>
        <v/>
      </c>
      <c r="O8348" s="20">
        <f>F8348&amp;E8348&amp;G8348&amp;J8348</f>
        <v/>
      </c>
    </row>
    <row r="8349">
      <c r="B8349" s="16" t="n">
        <v>44328</v>
      </c>
      <c r="C8349" s="20" t="inlineStr">
        <is>
          <t>수</t>
        </is>
      </c>
      <c r="E8349" s="20">
        <f>INDEX(매칭테이블!C:C,MATCH(RD!G8349,매칭테이블!D:D,0))</f>
        <v/>
      </c>
      <c r="F8349" s="20" t="inlineStr">
        <is>
          <t>카페24</t>
        </is>
      </c>
      <c r="G8349" s="20" t="inlineStr">
        <is>
          <t>솔리드퍼퓸 스페셜 기프트 세트제품 선택=Event 1솔리드퍼퓸 2종 set[40% 할인], 수량 선택=1개</t>
        </is>
      </c>
      <c r="H8349" s="20" t="n">
        <v>78</v>
      </c>
      <c r="I8349" s="20">
        <f>VLOOKUP(G8349,매칭테이블!D:E,2,0)</f>
        <v/>
      </c>
      <c r="J8349" s="20" t="inlineStr">
        <is>
          <t>210501</t>
        </is>
      </c>
      <c r="L8349" s="20">
        <f>VLOOKUP($O8349,매칭테이블!$G:$J,2,0)*H8349</f>
        <v/>
      </c>
      <c r="M8349" s="20">
        <f>L8349-L8349*VLOOKUP($O8349,매칭테이블!$G:$J,3,0)</f>
        <v/>
      </c>
      <c r="N8349" s="20">
        <f>VLOOKUP($O8349,매칭테이블!$G:$J,4,0)*H8349</f>
        <v/>
      </c>
      <c r="O8349" s="20">
        <f>F8349&amp;E8349&amp;G8349&amp;J8349</f>
        <v/>
      </c>
    </row>
    <row r="8350">
      <c r="B8350" s="16" t="n">
        <v>44328</v>
      </c>
      <c r="C8350" s="20" t="inlineStr">
        <is>
          <t>수</t>
        </is>
      </c>
      <c r="E8350" s="20">
        <f>INDEX(매칭테이블!C:C,MATCH(RD!G8350,매칭테이블!D:D,0))</f>
        <v/>
      </c>
      <c r="F8350" s="20" t="inlineStr">
        <is>
          <t>카페24</t>
        </is>
      </c>
      <c r="G8350" s="20" t="inlineStr">
        <is>
          <t>솔리드퍼퓸 스페셜 기프트 세트제품 선택=Event 1솔리드퍼퓸 2종 set[40% 할인], 수량 선택=2개</t>
        </is>
      </c>
      <c r="H8350" s="20" t="n">
        <v>3</v>
      </c>
      <c r="I8350" s="20">
        <f>VLOOKUP(G8350,매칭테이블!D:E,2,0)</f>
        <v/>
      </c>
      <c r="J8350" s="20" t="inlineStr">
        <is>
          <t>210501</t>
        </is>
      </c>
      <c r="L8350" s="20">
        <f>VLOOKUP($O8350,매칭테이블!$G:$J,2,0)*H8350</f>
        <v/>
      </c>
      <c r="M8350" s="20">
        <f>L8350-L8350*VLOOKUP($O8350,매칭테이블!$G:$J,3,0)</f>
        <v/>
      </c>
      <c r="N8350" s="20">
        <f>VLOOKUP($O8350,매칭테이블!$G:$J,4,0)*H8350</f>
        <v/>
      </c>
      <c r="O8350" s="20">
        <f>F8350&amp;E8350&amp;G8350&amp;J8350</f>
        <v/>
      </c>
    </row>
    <row r="8351">
      <c r="B8351" s="16" t="n">
        <v>44328</v>
      </c>
      <c r="C8351" s="20" t="inlineStr">
        <is>
          <t>수</t>
        </is>
      </c>
      <c r="E8351" s="20">
        <f>INDEX(매칭테이블!C:C,MATCH(RD!G8351,매칭테이블!D:D,0))</f>
        <v/>
      </c>
      <c r="F8351" s="20" t="inlineStr">
        <is>
          <t>카페24</t>
        </is>
      </c>
      <c r="G8351" s="20" t="inlineStr">
        <is>
          <t>솔리드퍼퓸 스페셜 기프트 세트제품 선택=Event 1솔리드퍼퓸 2종 set[40% 할인], 수량 선택=3개</t>
        </is>
      </c>
      <c r="H8351" s="20" t="n">
        <v>1</v>
      </c>
      <c r="I8351" s="20">
        <f>VLOOKUP(G8351,매칭테이블!D:E,2,0)</f>
        <v/>
      </c>
      <c r="J8351" s="20" t="inlineStr">
        <is>
          <t>210501</t>
        </is>
      </c>
      <c r="L8351" s="20">
        <f>VLOOKUP($O8351,매칭테이블!$G:$J,2,0)*H8351</f>
        <v/>
      </c>
      <c r="M8351" s="20">
        <f>L8351-L8351*VLOOKUP($O8351,매칭테이블!$G:$J,3,0)</f>
        <v/>
      </c>
      <c r="N8351" s="20">
        <f>VLOOKUP($O8351,매칭테이블!$G:$J,4,0)*H8351</f>
        <v/>
      </c>
      <c r="O8351" s="20">
        <f>F8351&amp;E8351&amp;G8351&amp;J8351</f>
        <v/>
      </c>
    </row>
    <row r="8352">
      <c r="B8352" s="16" t="n">
        <v>44328</v>
      </c>
      <c r="C8352" s="20" t="inlineStr">
        <is>
          <t>수</t>
        </is>
      </c>
      <c r="E8352" s="20">
        <f>INDEX(매칭테이블!C:C,MATCH(RD!G8352,매칭테이블!D:D,0))</f>
        <v/>
      </c>
      <c r="F8352" s="20" t="inlineStr">
        <is>
          <t>카페24</t>
        </is>
      </c>
      <c r="G8352" s="20" t="inlineStr">
        <is>
          <t>솔리드퍼퓸 스페셜 기프트 세트제품 선택=Event 2✨스테이포에버 단품[35% 할인], 수량 선택=1개</t>
        </is>
      </c>
      <c r="H8352" s="20" t="n">
        <v>54</v>
      </c>
      <c r="I8352" s="20">
        <f>VLOOKUP(G8352,매칭테이블!D:E,2,0)</f>
        <v/>
      </c>
      <c r="J8352" s="20" t="inlineStr">
        <is>
          <t>210501</t>
        </is>
      </c>
      <c r="L8352" s="20">
        <f>VLOOKUP($O8352,매칭테이블!$G:$J,2,0)*H8352</f>
        <v/>
      </c>
      <c r="M8352" s="20">
        <f>L8352-L8352*VLOOKUP($O8352,매칭테이블!$G:$J,3,0)</f>
        <v/>
      </c>
      <c r="N8352" s="20">
        <f>VLOOKUP($O8352,매칭테이블!$G:$J,4,0)*H8352</f>
        <v/>
      </c>
      <c r="O8352" s="20">
        <f>F8352&amp;E8352&amp;G8352&amp;J8352</f>
        <v/>
      </c>
    </row>
    <row r="8353">
      <c r="B8353" s="16" t="n">
        <v>44328</v>
      </c>
      <c r="C8353" s="20" t="inlineStr">
        <is>
          <t>수</t>
        </is>
      </c>
      <c r="E8353" s="20">
        <f>INDEX(매칭테이블!C:C,MATCH(RD!G8353,매칭테이블!D:D,0))</f>
        <v/>
      </c>
      <c r="F8353" s="20" t="inlineStr">
        <is>
          <t>카페24</t>
        </is>
      </c>
      <c r="G8353" s="20" t="inlineStr">
        <is>
          <t>솔리드퍼퓸 스페셜 기프트 세트제품 선택=Event 2✨스테이포에버 단품[35% 할인], 수량 선택=2개</t>
        </is>
      </c>
      <c r="H8353" s="20" t="n">
        <v>26</v>
      </c>
      <c r="I8353" s="20">
        <f>VLOOKUP(G8353,매칭테이블!D:E,2,0)</f>
        <v/>
      </c>
      <c r="J8353" s="20" t="inlineStr">
        <is>
          <t>210501</t>
        </is>
      </c>
      <c r="L8353" s="20">
        <f>VLOOKUP($O8353,매칭테이블!$G:$J,2,0)*H8353</f>
        <v/>
      </c>
      <c r="M8353" s="20">
        <f>L8353-L8353*VLOOKUP($O8353,매칭테이블!$G:$J,3,0)</f>
        <v/>
      </c>
      <c r="N8353" s="20">
        <f>VLOOKUP($O8353,매칭테이블!$G:$J,4,0)*H8353</f>
        <v/>
      </c>
      <c r="O8353" s="20">
        <f>F8353&amp;E8353&amp;G8353&amp;J8353</f>
        <v/>
      </c>
    </row>
    <row r="8354">
      <c r="B8354" s="16" t="n">
        <v>44328</v>
      </c>
      <c r="C8354" s="20" t="inlineStr">
        <is>
          <t>수</t>
        </is>
      </c>
      <c r="E8354" s="20" t="inlineStr">
        <is>
          <t>고체향수</t>
        </is>
      </c>
      <c r="F8354" s="20" t="inlineStr">
        <is>
          <t>카페24</t>
        </is>
      </c>
      <c r="G8354" s="20" t="inlineStr">
        <is>
          <t>솔리드퍼퓸 스페셜 기프트 세트제품 선택=Event 2✨스테이포에버 단품[35% 할인], 수량 선택=3개</t>
        </is>
      </c>
      <c r="H8354" s="20" t="n">
        <v>8</v>
      </c>
      <c r="I8354" s="20">
        <f>VLOOKUP(G8354,매칭테이블!D:E,2,0)</f>
        <v/>
      </c>
      <c r="J8354" s="20" t="inlineStr">
        <is>
          <t>210501</t>
        </is>
      </c>
      <c r="L8354" s="20">
        <f>VLOOKUP($O8354,매칭테이블!$G:$J,2,0)*H8354</f>
        <v/>
      </c>
      <c r="M8354" s="20">
        <f>L8354-L8354*VLOOKUP($O8354,매칭테이블!$G:$J,3,0)</f>
        <v/>
      </c>
      <c r="N8354" s="20">
        <f>VLOOKUP($O8354,매칭테이블!$G:$J,4,0)*H8354</f>
        <v/>
      </c>
      <c r="O8354" s="20">
        <f>F8354&amp;E8354&amp;G8354&amp;J8354</f>
        <v/>
      </c>
    </row>
    <row r="8355">
      <c r="B8355" s="16" t="n">
        <v>44328</v>
      </c>
      <c r="C8355" s="20" t="inlineStr">
        <is>
          <t>수</t>
        </is>
      </c>
      <c r="E8355" s="20">
        <f>INDEX(매칭테이블!C:C,MATCH(RD!G8355,매칭테이블!D:D,0))</f>
        <v/>
      </c>
      <c r="F8355" s="20" t="inlineStr">
        <is>
          <t>카페24</t>
        </is>
      </c>
      <c r="G8355" s="20" t="inlineStr">
        <is>
          <t>솔리드퍼퓸 스페셜 기프트 세트제품 선택=Event 2✨이그나이트 단품[35% 할인], 수량 선택=1개</t>
        </is>
      </c>
      <c r="H8355" s="20" t="n">
        <v>3</v>
      </c>
      <c r="I8355" s="20">
        <f>VLOOKUP(G8355,매칭테이블!D:E,2,0)</f>
        <v/>
      </c>
      <c r="J8355" s="20" t="inlineStr">
        <is>
          <t>210501</t>
        </is>
      </c>
      <c r="L8355" s="20">
        <f>VLOOKUP($O8355,매칭테이블!$G:$J,2,0)*H8355</f>
        <v/>
      </c>
      <c r="M8355" s="20">
        <f>L8355-L8355*VLOOKUP($O8355,매칭테이블!$G:$J,3,0)</f>
        <v/>
      </c>
      <c r="N8355" s="20">
        <f>VLOOKUP($O8355,매칭테이블!$G:$J,4,0)*H8355</f>
        <v/>
      </c>
      <c r="O8355" s="20">
        <f>F8355&amp;E8355&amp;G8355&amp;J8355</f>
        <v/>
      </c>
    </row>
    <row r="8356">
      <c r="B8356" s="16" t="n">
        <v>44328</v>
      </c>
      <c r="C8356" s="20" t="inlineStr">
        <is>
          <t>수</t>
        </is>
      </c>
      <c r="E8356" s="20">
        <f>INDEX(매칭테이블!C:C,MATCH(RD!G8356,매칭테이블!D:D,0))</f>
        <v/>
      </c>
      <c r="F8356" s="20" t="inlineStr">
        <is>
          <t>카페24</t>
        </is>
      </c>
      <c r="G8356" s="20" t="inlineStr">
        <is>
          <t>솔리드퍼퓸 스페셜 기프트 세트제품 선택=Event 2✨이그나이트 단품[35% 할인], 수량 선택=2개</t>
        </is>
      </c>
      <c r="H8356" s="20" t="n">
        <v>1</v>
      </c>
      <c r="I8356" s="20">
        <f>VLOOKUP(G8356,매칭테이블!D:E,2,0)</f>
        <v/>
      </c>
      <c r="J8356" s="20" t="inlineStr">
        <is>
          <t>210501</t>
        </is>
      </c>
      <c r="L8356" s="20">
        <f>VLOOKUP($O8356,매칭테이블!$G:$J,2,0)*H8356</f>
        <v/>
      </c>
      <c r="M8356" s="20">
        <f>L8356-L8356*VLOOKUP($O8356,매칭테이블!$G:$J,3,0)</f>
        <v/>
      </c>
      <c r="N8356" s="20">
        <f>VLOOKUP($O8356,매칭테이블!$G:$J,4,0)*H8356</f>
        <v/>
      </c>
      <c r="O8356" s="20">
        <f>F8356&amp;E8356&amp;G8356&amp;J8356</f>
        <v/>
      </c>
    </row>
    <row r="8357">
      <c r="B8357" s="16" t="n">
        <v>44328</v>
      </c>
      <c r="C8357" s="20" t="inlineStr">
        <is>
          <t>수</t>
        </is>
      </c>
      <c r="E8357" s="20" t="inlineStr">
        <is>
          <t>고체향수</t>
        </is>
      </c>
      <c r="F8357" s="20" t="inlineStr">
        <is>
          <t>카페24</t>
        </is>
      </c>
      <c r="G8357" s="20" t="inlineStr">
        <is>
          <t>솔리드퍼퓸 이그나이트 001제품선택=이그나이트 솔리드퍼퓸 - 30ml</t>
        </is>
      </c>
      <c r="H8357" s="20" t="n">
        <v>5</v>
      </c>
      <c r="I8357" s="20" t="inlineStr">
        <is>
          <t>이그나이트</t>
        </is>
      </c>
      <c r="J8357" s="20" t="inlineStr">
        <is>
          <t>210501</t>
        </is>
      </c>
      <c r="L8357" s="20" t="n">
        <v>170000</v>
      </c>
      <c r="M8357" s="20" t="n">
        <v>160055</v>
      </c>
      <c r="N8357" s="20" t="n">
        <v>13125</v>
      </c>
      <c r="O8357" s="20" t="inlineStr">
        <is>
          <t>카페24고체향수솔리드퍼퓸 이그나이트 001제품선택=이그나이트 솔리드퍼퓸 - 30ml210501</t>
        </is>
      </c>
    </row>
    <row r="8358">
      <c r="B8358" s="16" t="n">
        <v>44328</v>
      </c>
      <c r="C8358" s="20" t="inlineStr">
        <is>
          <t>수</t>
        </is>
      </c>
      <c r="E8358" s="20" t="inlineStr">
        <is>
          <t>고체향수</t>
        </is>
      </c>
      <c r="F8358" s="20" t="inlineStr">
        <is>
          <t>카페24</t>
        </is>
      </c>
      <c r="G8358" s="20" t="inlineStr">
        <is>
          <t>솔리드퍼퓸 이그나이트 001제품선택=이그나이트 2개 세트</t>
        </is>
      </c>
      <c r="H8358" s="20" t="n">
        <v>1</v>
      </c>
      <c r="I8358" s="20" t="inlineStr">
        <is>
          <t>이그나이트 2set</t>
        </is>
      </c>
      <c r="J8358" s="20" t="inlineStr">
        <is>
          <t>210501</t>
        </is>
      </c>
      <c r="L8358" s="20" t="n">
        <v>58800</v>
      </c>
      <c r="M8358" s="20" t="n">
        <v>55360.2</v>
      </c>
      <c r="N8358" s="20" t="n">
        <v>5250</v>
      </c>
      <c r="O8358" s="20" t="inlineStr">
        <is>
          <t>카페24고체향수솔리드퍼퓸 이그나이트 001제품선택=이그나이트 2개 세트210501</t>
        </is>
      </c>
    </row>
    <row r="8359">
      <c r="B8359" s="16" t="n">
        <v>44328</v>
      </c>
      <c r="C8359" s="20" t="inlineStr">
        <is>
          <t>수</t>
        </is>
      </c>
      <c r="E8359" s="20" t="inlineStr">
        <is>
          <t>쇼핑백</t>
        </is>
      </c>
      <c r="F8359" s="20" t="inlineStr">
        <is>
          <t>카페24</t>
        </is>
      </c>
      <c r="G8359" s="20" t="inlineStr">
        <is>
          <t>솔리드퍼퓸 이그나이트 001쇼핑백=선물용 쇼핑백</t>
        </is>
      </c>
      <c r="H8359" s="20" t="n">
        <v>1</v>
      </c>
      <c r="I8359" s="20" t="inlineStr">
        <is>
          <t>쇼핑백</t>
        </is>
      </c>
      <c r="J8359" s="20" t="inlineStr">
        <is>
          <t>210501</t>
        </is>
      </c>
      <c r="L8359" s="20" t="n">
        <v>2000</v>
      </c>
      <c r="M8359" s="20" t="n">
        <v>1883</v>
      </c>
      <c r="N8359" s="20" t="n">
        <v>830</v>
      </c>
      <c r="O8359" s="20" t="inlineStr">
        <is>
          <t>카페24쇼핑백솔리드퍼퓸 이그나이트 001쇼핑백=선물용 쇼핑백210501</t>
        </is>
      </c>
    </row>
    <row r="8360">
      <c r="A8360" s="20" t="inlineStr">
        <is>
          <t>고체향수</t>
        </is>
      </c>
      <c r="B8360" s="16" t="n">
        <v>44328</v>
      </c>
      <c r="C8360" s="20" t="inlineStr">
        <is>
          <t>수</t>
        </is>
      </c>
      <c r="D8360" s="20" t="inlineStr">
        <is>
          <t>네이버 배너</t>
        </is>
      </c>
      <c r="E8360" s="20" t="inlineStr">
        <is>
          <t>고체향수</t>
        </is>
      </c>
      <c r="K8360" s="20" t="n">
        <v>658370.9090909091</v>
      </c>
    </row>
    <row r="8361">
      <c r="B8361" s="16" t="n">
        <v>44328</v>
      </c>
      <c r="C8361" s="20" t="inlineStr">
        <is>
          <t>수</t>
        </is>
      </c>
      <c r="D8361" s="20" t="inlineStr">
        <is>
          <t>네이버 배너(대행사)</t>
        </is>
      </c>
      <c r="E8361" s="20" t="inlineStr">
        <is>
          <t>고체향수</t>
        </is>
      </c>
      <c r="K8361" s="20">
        <f>255175/1.1</f>
        <v/>
      </c>
    </row>
    <row r="8362">
      <c r="B8362" s="16" t="n">
        <v>44328</v>
      </c>
      <c r="C8362" s="20" t="inlineStr">
        <is>
          <t>수</t>
        </is>
      </c>
      <c r="E8362" s="20">
        <f>INDEX(매칭테이블!C:C,MATCH(RD!G8362,매칭테이블!D:D,0))</f>
        <v/>
      </c>
      <c r="F8362" s="20" t="inlineStr">
        <is>
          <t>올리브영</t>
        </is>
      </c>
      <c r="G8362" s="20" t="inlineStr">
        <is>
          <t>유즈 솔리드퍼퓸 001 이그나이트 30ml 30600 온라인</t>
        </is>
      </c>
      <c r="H8362" s="20" t="n">
        <v>1</v>
      </c>
      <c r="I8362" s="20">
        <f>VLOOKUP(G8362,매칭테이블!D:E,2,0)</f>
        <v/>
      </c>
      <c r="J8362" s="20" t="inlineStr">
        <is>
          <t>210501</t>
        </is>
      </c>
      <c r="L8362" s="20">
        <f>VLOOKUP($O8362,매칭테이블!$G:$J,2,0)*H8362</f>
        <v/>
      </c>
      <c r="M8362" s="20">
        <f>L8362-L8362*VLOOKUP($O8362,매칭테이블!$G:$J,3,0)</f>
        <v/>
      </c>
      <c r="N8362" s="20">
        <f>VLOOKUP($O8362,매칭테이블!$G:$J,4,0)*H8362</f>
        <v/>
      </c>
      <c r="O8362" s="20">
        <f>F8362&amp;E8362&amp;G8362&amp;J8362</f>
        <v/>
      </c>
    </row>
    <row r="8363">
      <c r="B8363" s="16" t="n">
        <v>44328</v>
      </c>
      <c r="C8363" s="20" t="inlineStr">
        <is>
          <t>수</t>
        </is>
      </c>
      <c r="E8363" s="20">
        <f>INDEX(매칭테이블!C:C,MATCH(RD!G8363,매칭테이블!D:D,0))</f>
        <v/>
      </c>
      <c r="F8363" s="20" t="inlineStr">
        <is>
          <t>올리브영</t>
        </is>
      </c>
      <c r="G8363" s="20" t="inlineStr">
        <is>
          <t>유즈 솔리드퍼퓸 002 스테이포에버 30ml 30600 온라인</t>
        </is>
      </c>
      <c r="H8363" s="20" t="n">
        <v>67</v>
      </c>
      <c r="I8363" s="20">
        <f>VLOOKUP(G8363,매칭테이블!D:E,2,0)</f>
        <v/>
      </c>
      <c r="J8363" s="20" t="inlineStr">
        <is>
          <t>210501</t>
        </is>
      </c>
      <c r="L8363" s="20">
        <f>VLOOKUP($O8363,매칭테이블!$G:$J,2,0)*H8363</f>
        <v/>
      </c>
      <c r="M8363" s="20">
        <f>L8363-L8363*VLOOKUP($O8363,매칭테이블!$G:$J,3,0)</f>
        <v/>
      </c>
      <c r="N8363" s="20">
        <f>VLOOKUP($O8363,매칭테이블!$G:$J,4,0)*H8363</f>
        <v/>
      </c>
      <c r="O8363" s="20">
        <f>F8363&amp;E8363&amp;G8363&amp;J8363</f>
        <v/>
      </c>
    </row>
    <row r="8364">
      <c r="B8364" s="16" t="n">
        <v>44328</v>
      </c>
      <c r="C8364" s="20" t="inlineStr">
        <is>
          <t>수</t>
        </is>
      </c>
      <c r="D8364" s="20" t="inlineStr">
        <is>
          <t>카카오 메시지</t>
        </is>
      </c>
      <c r="K8364" s="20">
        <f>(907863+901972)/1.1</f>
        <v/>
      </c>
    </row>
    <row r="8365">
      <c r="A8365" s="20" t="inlineStr">
        <is>
          <t>[5월 프로모션] 솔리드퍼퓸_영상</t>
        </is>
      </c>
      <c r="B8365" s="16" t="n">
        <v>44329</v>
      </c>
      <c r="C8365" s="20" t="inlineStr">
        <is>
          <t>목</t>
        </is>
      </c>
      <c r="D8365" s="20">
        <f>VLOOKUP($A8365,매칭테이블!$B$548:$D$1048576,2,0)</f>
        <v/>
      </c>
      <c r="K8365" s="20" t="n">
        <v>19153</v>
      </c>
    </row>
    <row r="8366">
      <c r="A8366" s="20" t="inlineStr">
        <is>
          <t>[5월 프로모션] 솔리드퍼퓸_이미지&amp;카드뉴스</t>
        </is>
      </c>
      <c r="B8366" s="16" t="n">
        <v>44329</v>
      </c>
      <c r="C8366" s="20" t="inlineStr">
        <is>
          <t>목</t>
        </is>
      </c>
      <c r="D8366" s="20">
        <f>VLOOKUP($A8366,매칭테이블!$B$548:$D$1048576,2,0)</f>
        <v/>
      </c>
      <c r="K8366" s="20" t="n">
        <v>27451</v>
      </c>
    </row>
    <row r="8367">
      <c r="A8367" s="20" t="inlineStr">
        <is>
          <t>[수현 TEST] 스테이포에버_카드뉴스</t>
        </is>
      </c>
      <c r="B8367" s="16" t="n">
        <v>44329</v>
      </c>
      <c r="C8367" s="20" t="inlineStr">
        <is>
          <t>목</t>
        </is>
      </c>
      <c r="D8367" s="20" t="inlineStr">
        <is>
          <t>페이스북/인스타그램</t>
        </is>
      </c>
      <c r="E8367" s="20" t="inlineStr">
        <is>
          <t>고체향수</t>
        </is>
      </c>
      <c r="K8367" s="20" t="n">
        <v>29341</v>
      </c>
    </row>
    <row r="8368">
      <c r="A8368" s="20" t="inlineStr">
        <is>
          <t>[수현 TEST] 솔리드퍼퓸_이미지</t>
        </is>
      </c>
      <c r="B8368" s="16" t="n">
        <v>44329</v>
      </c>
      <c r="C8368" s="20" t="inlineStr">
        <is>
          <t>목</t>
        </is>
      </c>
      <c r="D8368" s="20" t="inlineStr">
        <is>
          <t>페이스북/인스타그램</t>
        </is>
      </c>
      <c r="E8368" s="20" t="inlineStr">
        <is>
          <t>고체향수</t>
        </is>
      </c>
      <c r="K8368" s="20" t="n">
        <v>49136</v>
      </c>
    </row>
    <row r="8369">
      <c r="A8369" s="20" t="inlineStr">
        <is>
          <t>[승은 TEST] 스테이포에버</t>
        </is>
      </c>
      <c r="B8369" s="16" t="n">
        <v>44329</v>
      </c>
      <c r="C8369" s="20" t="inlineStr">
        <is>
          <t>목</t>
        </is>
      </c>
      <c r="D8369" s="20" t="inlineStr">
        <is>
          <t>페이스북/인스타그램</t>
        </is>
      </c>
      <c r="E8369" s="20" t="inlineStr">
        <is>
          <t>고체향수</t>
        </is>
      </c>
      <c r="K8369" s="20" t="n">
        <v>58383</v>
      </c>
    </row>
    <row r="8370">
      <c r="A8370" s="20" t="inlineStr">
        <is>
          <t>[비누향 덕후] 스테이포에버_카드뉴스</t>
        </is>
      </c>
      <c r="B8370" s="16" t="n">
        <v>44329</v>
      </c>
      <c r="C8370" s="20" t="inlineStr">
        <is>
          <t>목</t>
        </is>
      </c>
      <c r="D8370" s="20" t="inlineStr">
        <is>
          <t>페이스북/인스타그램</t>
        </is>
      </c>
      <c r="E8370" s="20" t="inlineStr">
        <is>
          <t>고체향수</t>
        </is>
      </c>
      <c r="K8370" s="20" t="n">
        <v>145940</v>
      </c>
    </row>
    <row r="8371">
      <c r="A8371" s="20" t="inlineStr">
        <is>
          <t>[비누향 인연] 스테이포에버_카드뉴스</t>
        </is>
      </c>
      <c r="B8371" s="16" t="n">
        <v>44329</v>
      </c>
      <c r="C8371" s="20" t="inlineStr">
        <is>
          <t>목</t>
        </is>
      </c>
      <c r="D8371" s="20" t="inlineStr">
        <is>
          <t>페이스북/인스타그램</t>
        </is>
      </c>
      <c r="E8371" s="20" t="inlineStr">
        <is>
          <t>고체향수</t>
        </is>
      </c>
      <c r="K8371" s="20" t="n">
        <v>47974</v>
      </c>
    </row>
    <row r="8372">
      <c r="A8372" s="20" t="inlineStr">
        <is>
          <t>[성민 TEST] 솔리드퍼퓸_이미지</t>
        </is>
      </c>
      <c r="B8372" s="16" t="n">
        <v>44329</v>
      </c>
      <c r="C8372" s="20" t="inlineStr">
        <is>
          <t>목</t>
        </is>
      </c>
      <c r="D8372" s="20" t="inlineStr">
        <is>
          <t>페이스북/인스타그램</t>
        </is>
      </c>
      <c r="E8372" s="20" t="inlineStr">
        <is>
          <t>고체향수</t>
        </is>
      </c>
      <c r="K8372" s="20" t="n">
        <v>29892</v>
      </c>
    </row>
    <row r="8373">
      <c r="A8373" s="20" t="inlineStr">
        <is>
          <t>[승무원]유튜브_스테이포에버_카드뉴스</t>
        </is>
      </c>
      <c r="B8373" s="16" t="n">
        <v>44329</v>
      </c>
      <c r="C8373" s="20" t="inlineStr">
        <is>
          <t>목</t>
        </is>
      </c>
      <c r="D8373" s="20" t="inlineStr">
        <is>
          <t>페이스북/인스타그램</t>
        </is>
      </c>
      <c r="E8373" s="20" t="inlineStr">
        <is>
          <t>고체향수</t>
        </is>
      </c>
      <c r="K8373" s="20" t="n">
        <v>98060</v>
      </c>
    </row>
    <row r="8374">
      <c r="A8374" s="20" t="inlineStr">
        <is>
          <t>[올리브영] 이그나이트_영상</t>
        </is>
      </c>
      <c r="B8374" s="16" t="n">
        <v>44329</v>
      </c>
      <c r="C8374" s="20" t="inlineStr">
        <is>
          <t>목</t>
        </is>
      </c>
      <c r="D8374" s="20" t="inlineStr">
        <is>
          <t>페이스북/인스타그램</t>
        </is>
      </c>
      <c r="E8374" s="20" t="inlineStr">
        <is>
          <t>고체향수</t>
        </is>
      </c>
      <c r="K8374" s="20" t="n">
        <v>29419</v>
      </c>
    </row>
    <row r="8375">
      <c r="A8375" s="20" t="inlineStr">
        <is>
          <t>[승희 TEST] 솔리드퍼퓸_이미지</t>
        </is>
      </c>
      <c r="B8375" s="16" t="n">
        <v>44329</v>
      </c>
      <c r="C8375" s="20" t="inlineStr">
        <is>
          <t>목</t>
        </is>
      </c>
      <c r="D8375" s="20" t="inlineStr">
        <is>
          <t>페이스북/인스타그램</t>
        </is>
      </c>
      <c r="E8375" s="20" t="inlineStr">
        <is>
          <t>고체향수</t>
        </is>
      </c>
      <c r="K8375" s="20" t="n">
        <v>167143</v>
      </c>
    </row>
    <row r="8376">
      <c r="A8376" s="20" t="inlineStr">
        <is>
          <t>[올리브영] 스테이포에버_영상</t>
        </is>
      </c>
      <c r="B8376" s="16" t="n">
        <v>44329</v>
      </c>
      <c r="C8376" s="20" t="inlineStr">
        <is>
          <t>목</t>
        </is>
      </c>
      <c r="D8376" s="20" t="inlineStr">
        <is>
          <t>페이스북/인스타그램</t>
        </is>
      </c>
      <c r="E8376" s="20" t="inlineStr">
        <is>
          <t>고체향수</t>
        </is>
      </c>
      <c r="K8376" s="20" t="n">
        <v>48482</v>
      </c>
    </row>
    <row r="8377">
      <c r="A8377" s="20" t="inlineStr">
        <is>
          <t>[올리브영] 스테이포에버_이미지</t>
        </is>
      </c>
      <c r="B8377" s="16" t="n">
        <v>44329</v>
      </c>
      <c r="C8377" s="20" t="inlineStr">
        <is>
          <t>목</t>
        </is>
      </c>
      <c r="D8377" s="20" t="inlineStr">
        <is>
          <t>페이스북/인스타그램</t>
        </is>
      </c>
      <c r="E8377" s="20" t="inlineStr">
        <is>
          <t>고체향수</t>
        </is>
      </c>
      <c r="K8377" s="20" t="n">
        <v>29257</v>
      </c>
    </row>
    <row r="8378">
      <c r="A8378" s="20" t="inlineStr">
        <is>
          <t>[승무원] 유튜브재편집_스테이포에버_영상</t>
        </is>
      </c>
      <c r="B8378" s="16" t="n">
        <v>44329</v>
      </c>
      <c r="C8378" s="20" t="inlineStr">
        <is>
          <t>목</t>
        </is>
      </c>
      <c r="D8378" s="20" t="inlineStr">
        <is>
          <t>페이스북/인스타그램</t>
        </is>
      </c>
      <c r="E8378" s="20" t="inlineStr">
        <is>
          <t>고체향수</t>
        </is>
      </c>
      <c r="K8378" s="20" t="n">
        <v>832658</v>
      </c>
    </row>
    <row r="8379">
      <c r="A8379" s="20" t="inlineStr">
        <is>
          <t>[승무원 면세점] 스테이포에버_카드뉴스</t>
        </is>
      </c>
      <c r="B8379" s="16" t="n">
        <v>44329</v>
      </c>
      <c r="C8379" s="20" t="inlineStr">
        <is>
          <t>목</t>
        </is>
      </c>
      <c r="D8379" s="20" t="inlineStr">
        <is>
          <t>페이스북/인스타그램</t>
        </is>
      </c>
      <c r="E8379" s="20" t="inlineStr">
        <is>
          <t>고체향수</t>
        </is>
      </c>
      <c r="K8379" s="20" t="n">
        <v>144156</v>
      </c>
    </row>
    <row r="8380">
      <c r="A8380" s="20" t="inlineStr">
        <is>
          <t>[카페알바] 스테이포에버_카드뉴스</t>
        </is>
      </c>
      <c r="B8380" s="16" t="n">
        <v>44329</v>
      </c>
      <c r="C8380" s="20" t="inlineStr">
        <is>
          <t>목</t>
        </is>
      </c>
      <c r="D8380" s="20" t="inlineStr">
        <is>
          <t>페이스북/인스타그램</t>
        </is>
      </c>
      <c r="E8380" s="20" t="inlineStr">
        <is>
          <t>고체향수</t>
        </is>
      </c>
      <c r="K8380" s="20" t="n">
        <v>96938</v>
      </c>
    </row>
    <row r="8381">
      <c r="A8381" s="20" t="inlineStr">
        <is>
          <t>[아줌마]스테이포에버_이미지</t>
        </is>
      </c>
      <c r="B8381" s="16" t="n">
        <v>44329</v>
      </c>
      <c r="C8381" s="20" t="inlineStr">
        <is>
          <t>목</t>
        </is>
      </c>
      <c r="D8381" s="20" t="inlineStr">
        <is>
          <t>페이스북/인스타그램</t>
        </is>
      </c>
      <c r="E8381" s="20" t="inlineStr">
        <is>
          <t>고체향수</t>
        </is>
      </c>
      <c r="K8381" s="20" t="n">
        <v>48910</v>
      </c>
    </row>
    <row r="8382">
      <c r="A8382" s="20" t="inlineStr">
        <is>
          <t>[다양한 키워드] 스테이포에버_이미지</t>
        </is>
      </c>
      <c r="B8382" s="16" t="n">
        <v>44329</v>
      </c>
      <c r="C8382" s="20" t="inlineStr">
        <is>
          <t>목</t>
        </is>
      </c>
      <c r="D8382" s="20" t="inlineStr">
        <is>
          <t>페이스북/인스타그램</t>
        </is>
      </c>
      <c r="E8382" s="20" t="inlineStr">
        <is>
          <t>고체향수</t>
        </is>
      </c>
      <c r="K8382" s="20" t="n">
        <v>165069</v>
      </c>
    </row>
    <row r="8383">
      <c r="A8383" s="20" t="inlineStr">
        <is>
          <t>[재입고]스테이포에버_이미지</t>
        </is>
      </c>
      <c r="B8383" s="16" t="n">
        <v>44329</v>
      </c>
      <c r="C8383" s="20" t="inlineStr">
        <is>
          <t>목</t>
        </is>
      </c>
      <c r="D8383" s="20" t="inlineStr">
        <is>
          <t>페이스북/인스타그램</t>
        </is>
      </c>
      <c r="E8383" s="20" t="inlineStr">
        <is>
          <t>고체향수</t>
        </is>
      </c>
      <c r="K8383" s="20" t="n">
        <v>50226</v>
      </c>
    </row>
    <row r="8384">
      <c r="A8384" s="20" t="inlineStr">
        <is>
          <t>[승무원]숏폼_영상</t>
        </is>
      </c>
      <c r="B8384" s="16" t="n">
        <v>44329</v>
      </c>
      <c r="C8384" s="20" t="inlineStr">
        <is>
          <t>목</t>
        </is>
      </c>
      <c r="D8384" s="20" t="inlineStr">
        <is>
          <t>페이스북/인스타그램</t>
        </is>
      </c>
      <c r="E8384" s="20" t="inlineStr">
        <is>
          <t>고체향수</t>
        </is>
      </c>
      <c r="K8384" s="20" t="n">
        <v>49254</v>
      </c>
    </row>
    <row r="8385">
      <c r="A8385" s="20" t="inlineStr">
        <is>
          <t>[재입고]스테이포에버_영상</t>
        </is>
      </c>
      <c r="B8385" s="16" t="n">
        <v>44329</v>
      </c>
      <c r="C8385" s="20" t="inlineStr">
        <is>
          <t>목</t>
        </is>
      </c>
      <c r="D8385" s="20" t="inlineStr">
        <is>
          <t>페이스북/인스타그램</t>
        </is>
      </c>
      <c r="E8385" s="20" t="inlineStr">
        <is>
          <t>고체향수</t>
        </is>
      </c>
      <c r="K8385" s="20" t="n">
        <v>197683</v>
      </c>
    </row>
    <row r="8386">
      <c r="A8386" s="20" t="inlineStr">
        <is>
          <t>[승무원]2019년썰 카드뉴스+ 향묘사_영상</t>
        </is>
      </c>
      <c r="B8386" s="16" t="n">
        <v>44329</v>
      </c>
      <c r="C8386" s="20" t="inlineStr">
        <is>
          <t>목</t>
        </is>
      </c>
      <c r="D8386" s="20" t="inlineStr">
        <is>
          <t>페이스북/인스타그램</t>
        </is>
      </c>
      <c r="E8386" s="20" t="inlineStr">
        <is>
          <t>고체향수</t>
        </is>
      </c>
      <c r="K8386" s="20" t="n">
        <v>29051</v>
      </c>
    </row>
    <row r="8387">
      <c r="A8387" s="20" t="inlineStr">
        <is>
          <t>[승무원어피]스테이포에버_이미지</t>
        </is>
      </c>
      <c r="B8387" s="16" t="n">
        <v>44329</v>
      </c>
      <c r="C8387" s="20" t="inlineStr">
        <is>
          <t>목</t>
        </is>
      </c>
      <c r="D8387" s="20" t="inlineStr">
        <is>
          <t>페이스북/인스타그램</t>
        </is>
      </c>
      <c r="E8387" s="20" t="inlineStr">
        <is>
          <t>고체향수</t>
        </is>
      </c>
      <c r="K8387" s="20" t="n">
        <v>98475</v>
      </c>
    </row>
    <row r="8388">
      <c r="A8388" s="20" t="inlineStr">
        <is>
          <t>[다현]스테이포에버_이미지</t>
        </is>
      </c>
      <c r="B8388" s="16" t="n">
        <v>44329</v>
      </c>
      <c r="C8388" s="20" t="inlineStr">
        <is>
          <t>목</t>
        </is>
      </c>
      <c r="D8388" s="20" t="inlineStr">
        <is>
          <t>페이스북/인스타그램</t>
        </is>
      </c>
      <c r="E8388" s="20" t="inlineStr">
        <is>
          <t>고체향수</t>
        </is>
      </c>
      <c r="K8388" s="20" t="n">
        <v>98689</v>
      </c>
    </row>
    <row r="8389">
      <c r="A8389" s="20" t="inlineStr">
        <is>
          <t>[후기타입]스테이포에버_영상</t>
        </is>
      </c>
      <c r="B8389" s="16" t="n">
        <v>44329</v>
      </c>
      <c r="C8389" s="20" t="inlineStr">
        <is>
          <t>목</t>
        </is>
      </c>
      <c r="D8389" s="20" t="inlineStr">
        <is>
          <t>페이스북/인스타그램</t>
        </is>
      </c>
      <c r="E8389" s="20" t="inlineStr">
        <is>
          <t>고체향수</t>
        </is>
      </c>
      <c r="K8389" s="20" t="n">
        <v>98947</v>
      </c>
    </row>
    <row r="8390">
      <c r="A8390" s="20" t="inlineStr">
        <is>
          <t>전환_스테이포에버</t>
        </is>
      </c>
      <c r="B8390" s="16" t="n">
        <v>44329</v>
      </c>
      <c r="C8390" s="20" t="inlineStr">
        <is>
          <t>목</t>
        </is>
      </c>
      <c r="D8390" s="20" t="inlineStr">
        <is>
          <t>페이스북/인스타그램</t>
        </is>
      </c>
      <c r="E8390" s="20" t="inlineStr">
        <is>
          <t>고체향수</t>
        </is>
      </c>
      <c r="K8390" s="20" t="n">
        <v>98369</v>
      </c>
    </row>
    <row r="8391">
      <c r="A8391" s="20" t="inlineStr">
        <is>
          <t>[권태기커플]스테이포에버_영상</t>
        </is>
      </c>
      <c r="B8391" s="16" t="n">
        <v>44329</v>
      </c>
      <c r="C8391" s="20" t="inlineStr">
        <is>
          <t>목</t>
        </is>
      </c>
      <c r="D8391" s="20" t="inlineStr">
        <is>
          <t>페이스북/인스타그램</t>
        </is>
      </c>
      <c r="E8391" s="20" t="inlineStr">
        <is>
          <t>고체향수</t>
        </is>
      </c>
      <c r="K8391" s="20" t="n">
        <v>29878</v>
      </c>
    </row>
    <row r="8392">
      <c r="A8392" s="20" t="inlineStr">
        <is>
          <t>웹사이트 트래픽 서치</t>
        </is>
      </c>
      <c r="B8392" s="16" t="n">
        <v>44329</v>
      </c>
      <c r="C8392" s="20" t="inlineStr">
        <is>
          <t>목</t>
        </is>
      </c>
      <c r="D8392" s="20" t="inlineStr">
        <is>
          <t>유튜브 광고</t>
        </is>
      </c>
      <c r="E8392" s="20" t="inlineStr">
        <is>
          <t>고체향수</t>
        </is>
      </c>
      <c r="K8392" s="20" t="n">
        <v>11311</v>
      </c>
    </row>
    <row r="8393">
      <c r="A8393" s="20" t="inlineStr">
        <is>
          <t>디스커버리 배너_승무원,할인_리마케팅</t>
        </is>
      </c>
      <c r="B8393" s="16" t="n">
        <v>44329</v>
      </c>
      <c r="C8393" s="20" t="inlineStr">
        <is>
          <t>목</t>
        </is>
      </c>
      <c r="D8393" s="20" t="inlineStr">
        <is>
          <t>유튜브 광고</t>
        </is>
      </c>
      <c r="E8393" s="20" t="inlineStr">
        <is>
          <t>고체향수</t>
        </is>
      </c>
      <c r="K8393" s="20" t="n">
        <v>309730</v>
      </c>
    </row>
    <row r="8394">
      <c r="A8394" s="20" t="inlineStr">
        <is>
          <t>[5화자] 동영상 캠페인_벨라의 비행일기</t>
        </is>
      </c>
      <c r="B8394" s="16" t="n">
        <v>44329</v>
      </c>
      <c r="C8394" s="20" t="inlineStr">
        <is>
          <t>목</t>
        </is>
      </c>
      <c r="D8394" s="20" t="inlineStr">
        <is>
          <t>유튜브 광고</t>
        </is>
      </c>
      <c r="E8394" s="20" t="inlineStr">
        <is>
          <t>고체향수</t>
        </is>
      </c>
      <c r="K8394" s="20" t="n">
        <v>299722</v>
      </c>
    </row>
    <row r="8395">
      <c r="A8395" s="20" t="inlineStr">
        <is>
          <t>[5화자] 동영상 캠페인_비행하고 여행하는 은선씨</t>
        </is>
      </c>
      <c r="B8395" s="16" t="n">
        <v>44329</v>
      </c>
      <c r="C8395" s="20" t="inlineStr">
        <is>
          <t>목</t>
        </is>
      </c>
      <c r="D8395" s="20" t="inlineStr">
        <is>
          <t>유튜브 광고</t>
        </is>
      </c>
      <c r="E8395" s="20" t="inlineStr">
        <is>
          <t>고체향수</t>
        </is>
      </c>
      <c r="K8395" s="20" t="n">
        <v>200144</v>
      </c>
    </row>
    <row r="8396">
      <c r="A8396" s="20" t="inlineStr">
        <is>
          <t>[5화자 재편집] 승무원_벨라_면세점에서 천만원</t>
        </is>
      </c>
      <c r="B8396" s="16" t="n">
        <v>44329</v>
      </c>
      <c r="C8396" s="20" t="inlineStr">
        <is>
          <t>목</t>
        </is>
      </c>
      <c r="D8396" s="20" t="inlineStr">
        <is>
          <t>유튜브 광고</t>
        </is>
      </c>
      <c r="E8396" s="20" t="inlineStr">
        <is>
          <t>고체향수</t>
        </is>
      </c>
      <c r="K8396" s="20" t="n">
        <v>399566</v>
      </c>
    </row>
    <row r="8397">
      <c r="A8397" s="20" t="inlineStr">
        <is>
          <t>동영상캠페인_유즈모먼트_면세점뒤졌는데</t>
        </is>
      </c>
      <c r="B8397" s="16" t="n">
        <v>44329</v>
      </c>
      <c r="C8397" s="20" t="inlineStr">
        <is>
          <t>목</t>
        </is>
      </c>
      <c r="D8397" s="20" t="inlineStr">
        <is>
          <t>유튜브 광고</t>
        </is>
      </c>
      <c r="E8397" s="20" t="inlineStr">
        <is>
          <t>고체향수</t>
        </is>
      </c>
      <c r="K8397" s="20" t="n">
        <v>200114</v>
      </c>
    </row>
    <row r="8398">
      <c r="A8398" s="20" t="inlineStr">
        <is>
          <t>메인키워드</t>
        </is>
      </c>
      <c r="B8398" s="16" t="n">
        <v>44329</v>
      </c>
      <c r="C8398" s="20" t="inlineStr">
        <is>
          <t>목</t>
        </is>
      </c>
      <c r="D8398" s="20" t="inlineStr">
        <is>
          <t>네이버 쇼핑검색</t>
        </is>
      </c>
      <c r="E8398" s="20" t="inlineStr">
        <is>
          <t>고체향수</t>
        </is>
      </c>
      <c r="K8398" s="20" t="n">
        <v>20180</v>
      </c>
    </row>
    <row r="8399">
      <c r="A8399" s="20" t="inlineStr">
        <is>
          <t>세부키워드1</t>
        </is>
      </c>
      <c r="B8399" s="16" t="n">
        <v>44329</v>
      </c>
      <c r="C8399" s="20" t="inlineStr">
        <is>
          <t>목</t>
        </is>
      </c>
      <c r="D8399" s="20" t="inlineStr">
        <is>
          <t>네이버 쇼핑검색</t>
        </is>
      </c>
      <c r="E8399" s="20" t="inlineStr">
        <is>
          <t>고체향수</t>
        </is>
      </c>
      <c r="K8399" s="20" t="n">
        <v>99.99999999999999</v>
      </c>
    </row>
    <row r="8400">
      <c r="A8400" s="20" t="inlineStr">
        <is>
          <t>세부키워드3</t>
        </is>
      </c>
      <c r="B8400" s="16" t="n">
        <v>44329</v>
      </c>
      <c r="C8400" s="20" t="inlineStr">
        <is>
          <t>목</t>
        </is>
      </c>
      <c r="D8400" s="20" t="inlineStr">
        <is>
          <t>네이버 쇼핑검색</t>
        </is>
      </c>
      <c r="E8400" s="20" t="inlineStr">
        <is>
          <t>고체향수</t>
        </is>
      </c>
      <c r="K8400" s="20" t="n">
        <v>96319.99999999999</v>
      </c>
    </row>
    <row r="8401">
      <c r="A8401" s="20" t="inlineStr">
        <is>
          <t>모바일 브검</t>
        </is>
      </c>
      <c r="B8401" s="16" t="n">
        <v>44329</v>
      </c>
      <c r="C8401" s="20" t="inlineStr">
        <is>
          <t>목</t>
        </is>
      </c>
      <c r="D8401" s="20" t="inlineStr">
        <is>
          <t>네이버 브랜드검색</t>
        </is>
      </c>
      <c r="E8401" s="20" t="inlineStr">
        <is>
          <t>브랜드</t>
        </is>
      </c>
      <c r="K8401" s="20" t="n">
        <v>88000</v>
      </c>
    </row>
    <row r="8402">
      <c r="A8402" s="20" t="inlineStr">
        <is>
          <t>PC 브랜드검색</t>
        </is>
      </c>
      <c r="B8402" s="16" t="n">
        <v>44329</v>
      </c>
      <c r="C8402" s="20" t="inlineStr">
        <is>
          <t>목</t>
        </is>
      </c>
      <c r="D8402" s="20" t="inlineStr">
        <is>
          <t>네이버 브랜드검색</t>
        </is>
      </c>
      <c r="E8402" s="20" t="inlineStr">
        <is>
          <t>브랜드</t>
        </is>
      </c>
      <c r="K8402" s="20" t="n">
        <v>16700</v>
      </c>
    </row>
    <row r="8403">
      <c r="B8403" s="16" t="n">
        <v>44329</v>
      </c>
      <c r="C8403" s="20" t="inlineStr">
        <is>
          <t>목</t>
        </is>
      </c>
      <c r="E8403" s="20" t="inlineStr">
        <is>
          <t>고체향수</t>
        </is>
      </c>
      <c r="F8403" s="20" t="inlineStr">
        <is>
          <t>W컨셉</t>
        </is>
      </c>
      <c r="G8403" s="20" t="inlineStr">
        <is>
          <t>솔리드퍼퓸 이그나이트/스테이포에버 30ml (2종 택1)&lt;옵션1&gt;002 STAY FOREVER</t>
        </is>
      </c>
      <c r="H8403" s="20" t="n">
        <v>1</v>
      </c>
      <c r="I8403" s="20" t="inlineStr">
        <is>
          <t>스테이포에버</t>
        </is>
      </c>
      <c r="J8403" s="20" t="inlineStr">
        <is>
          <t>210501</t>
        </is>
      </c>
      <c r="L8403" s="20" t="n">
        <v>34000</v>
      </c>
      <c r="M8403" s="20" t="n">
        <v>23800</v>
      </c>
      <c r="N8403" s="20" t="n">
        <v>2554</v>
      </c>
      <c r="O8403" s="20" t="inlineStr">
        <is>
          <t>W컨셉고체향수솔리드퍼퓸 이그나이트/스테이포에버 30ml (2종 택1)&lt;옵션1&gt;002 STAY FOREVER210501</t>
        </is>
      </c>
    </row>
    <row r="8404">
      <c r="B8404" s="16" t="n">
        <v>44329</v>
      </c>
      <c r="C8404" s="20" t="inlineStr">
        <is>
          <t>목</t>
        </is>
      </c>
      <c r="E8404" s="20" t="inlineStr">
        <is>
          <t>고체향수</t>
        </is>
      </c>
      <c r="F8404" s="20" t="inlineStr">
        <is>
          <t>W컨셉</t>
        </is>
      </c>
      <c r="G8404" s="20" t="inlineStr">
        <is>
          <t>솔리드퍼퓸 이그나이트/스테이포에버 30ml (2종 택1)&lt;옵션1&gt;IGNITE + STAY FOREVER</t>
        </is>
      </c>
      <c r="H8404" s="20" t="n">
        <v>1</v>
      </c>
      <c r="I8404" s="20" t="inlineStr">
        <is>
          <t>이그나이트 + 스테이포에버</t>
        </is>
      </c>
      <c r="J8404" s="20" t="inlineStr">
        <is>
          <t>210501</t>
        </is>
      </c>
      <c r="L8404" s="20" t="n">
        <v>58800</v>
      </c>
      <c r="M8404" s="20" t="n">
        <v>47040</v>
      </c>
      <c r="N8404" s="20" t="n">
        <v>5179</v>
      </c>
      <c r="O8404" s="20" t="inlineStr">
        <is>
          <t>W컨셉고체향수솔리드퍼퓸 이그나이트/스테이포에버 30ml (2종 택1)&lt;옵션1&gt;IGNITE + STAY FOREVER210501</t>
        </is>
      </c>
    </row>
    <row r="8405">
      <c r="B8405" s="16" t="n">
        <v>44329</v>
      </c>
      <c r="C8405" s="20" t="inlineStr">
        <is>
          <t>목</t>
        </is>
      </c>
      <c r="E8405" s="20" t="inlineStr">
        <is>
          <t>고체향수</t>
        </is>
      </c>
      <c r="F8405" s="20" t="inlineStr">
        <is>
          <t>스마트스토어</t>
        </is>
      </c>
      <c r="G8405" s="20" t="inlineStr">
        <is>
          <t>유즈 고체향수 세트(유즈 스테이포에버, 유즈 이그나이트)고체향수: 스테이포에버 1개 + 이그나이트 1개</t>
        </is>
      </c>
      <c r="H8405" s="20" t="n">
        <v>1</v>
      </c>
      <c r="I8405" s="20" t="inlineStr">
        <is>
          <t>이그나이트 + 스테이포에버</t>
        </is>
      </c>
      <c r="J8405" s="20" t="inlineStr">
        <is>
          <t>210501</t>
        </is>
      </c>
      <c r="L8405" s="20" t="n">
        <v>58800</v>
      </c>
      <c r="M8405" s="20" t="n">
        <v>55360.2</v>
      </c>
      <c r="N8405" s="20" t="n">
        <v>5179</v>
      </c>
      <c r="O8405" s="20" t="inlineStr">
        <is>
          <t>스마트스토어고체향수유즈 고체향수 세트(유즈 스테이포에버, 유즈 이그나이트)고체향수: 스테이포에버 1개 + 이그나이트 1개210501</t>
        </is>
      </c>
    </row>
    <row r="8406">
      <c r="B8406" s="16" t="n">
        <v>44329</v>
      </c>
      <c r="C8406" s="20" t="inlineStr">
        <is>
          <t>목</t>
        </is>
      </c>
      <c r="E8406" s="20" t="inlineStr">
        <is>
          <t>고체향수</t>
        </is>
      </c>
      <c r="F8406" s="20" t="inlineStr">
        <is>
          <t>스마트스토어</t>
        </is>
      </c>
      <c r="G8406" s="20" t="inlineStr">
        <is>
          <t>유즈 고체향수 세트(유즈 스테이포에버, 유즈 이그나이트)고체향수: 스테이포에버 2개</t>
        </is>
      </c>
      <c r="H8406" s="20" t="n">
        <v>2</v>
      </c>
      <c r="I8406" s="20" t="inlineStr">
        <is>
          <t>스테이포에버 2set</t>
        </is>
      </c>
      <c r="J8406" s="20" t="inlineStr">
        <is>
          <t>210501</t>
        </is>
      </c>
      <c r="L8406" s="20" t="n">
        <v>117600</v>
      </c>
      <c r="M8406" s="20" t="n">
        <v>115248</v>
      </c>
      <c r="N8406" s="20" t="n">
        <v>10216</v>
      </c>
      <c r="O8406" s="20" t="inlineStr">
        <is>
          <t>스마트스토어고체향수유즈 고체향수 세트(유즈 스테이포에버, 유즈 이그나이트)고체향수: 스테이포에버 2개210501</t>
        </is>
      </c>
    </row>
    <row r="8407">
      <c r="B8407" s="16" t="n">
        <v>44329</v>
      </c>
      <c r="C8407" s="20" t="inlineStr">
        <is>
          <t>목</t>
        </is>
      </c>
      <c r="E8407" s="20" t="inlineStr">
        <is>
          <t>고체향수</t>
        </is>
      </c>
      <c r="F8407" s="20" t="inlineStr">
        <is>
          <t>스마트스토어</t>
        </is>
      </c>
      <c r="G8407" s="20" t="inlineStr">
        <is>
          <t>유즈 고체향수 스테이포에버 002고체향수: 스테이포에버 1개</t>
        </is>
      </c>
      <c r="H8407" s="20" t="n">
        <v>21</v>
      </c>
      <c r="I8407" s="20" t="inlineStr">
        <is>
          <t>스테이포에버</t>
        </is>
      </c>
      <c r="J8407" s="20" t="inlineStr">
        <is>
          <t>210501</t>
        </is>
      </c>
      <c r="L8407" s="20" t="n">
        <v>714000</v>
      </c>
      <c r="M8407" s="20" t="n">
        <v>699720</v>
      </c>
      <c r="N8407" s="20" t="n">
        <v>53634</v>
      </c>
      <c r="O8407" s="20" t="inlineStr">
        <is>
          <t>스마트스토어고체향수유즈 고체향수 스테이포에버 002고체향수: 스테이포에버 1개210501</t>
        </is>
      </c>
    </row>
    <row r="8408">
      <c r="B8408" s="16" t="n">
        <v>44329</v>
      </c>
      <c r="C8408" s="20" t="inlineStr">
        <is>
          <t>목</t>
        </is>
      </c>
      <c r="E8408" s="20" t="inlineStr">
        <is>
          <t>고체향수</t>
        </is>
      </c>
      <c r="F8408" s="20" t="inlineStr">
        <is>
          <t>카페24</t>
        </is>
      </c>
      <c r="G8408" s="20" t="inlineStr">
        <is>
          <t>솔리드퍼퓸 세트향=스테이포에버 002 SOLID PERFUME, 세트 선택=1개</t>
        </is>
      </c>
      <c r="H8408" s="20" t="n">
        <v>5</v>
      </c>
      <c r="I8408" s="20" t="inlineStr">
        <is>
          <t>스테이포에버</t>
        </is>
      </c>
      <c r="J8408" s="20" t="inlineStr">
        <is>
          <t>210501</t>
        </is>
      </c>
      <c r="L8408" s="20" t="n">
        <v>170000</v>
      </c>
      <c r="M8408" s="20" t="n">
        <v>160055</v>
      </c>
      <c r="N8408" s="20" t="n">
        <v>12770</v>
      </c>
      <c r="O8408" s="20" t="inlineStr">
        <is>
          <t>카페24고체향수솔리드퍼퓸 세트향=스테이포에버 002 SOLID PERFUME, 세트 선택=1개210501</t>
        </is>
      </c>
    </row>
    <row r="8409">
      <c r="B8409" s="16" t="n">
        <v>44329</v>
      </c>
      <c r="C8409" s="20" t="inlineStr">
        <is>
          <t>목</t>
        </is>
      </c>
      <c r="E8409" s="20" t="inlineStr">
        <is>
          <t>고체향수</t>
        </is>
      </c>
      <c r="F8409" s="20" t="inlineStr">
        <is>
          <t>카페24</t>
        </is>
      </c>
      <c r="G8409" s="20" t="inlineStr">
        <is>
          <t>솔리드퍼퓸 세트향=스테이포에버 002 SOLID PERFUME, 세트 선택=best 2개 (28% 할인)</t>
        </is>
      </c>
      <c r="H8409" s="20" t="n">
        <v>7</v>
      </c>
      <c r="I8409" s="20" t="inlineStr">
        <is>
          <t>스테이포에버 2set</t>
        </is>
      </c>
      <c r="J8409" s="20" t="inlineStr">
        <is>
          <t>210501</t>
        </is>
      </c>
      <c r="L8409" s="20" t="n">
        <v>411600</v>
      </c>
      <c r="M8409" s="20" t="n">
        <v>387521.4</v>
      </c>
      <c r="N8409" s="20" t="n">
        <v>35756</v>
      </c>
      <c r="O8409" s="20" t="inlineStr">
        <is>
          <t>카페24고체향수솔리드퍼퓸 세트향=스테이포에버 002 SOLID PERFUME, 세트 선택=best 2개 (28% 할인)210501</t>
        </is>
      </c>
    </row>
    <row r="8410">
      <c r="B8410" s="16" t="n">
        <v>44329</v>
      </c>
      <c r="C8410" s="20" t="inlineStr">
        <is>
          <t>목</t>
        </is>
      </c>
      <c r="E8410" s="20" t="inlineStr">
        <is>
          <t>고체향수</t>
        </is>
      </c>
      <c r="F8410" s="20" t="inlineStr">
        <is>
          <t>카페24</t>
        </is>
      </c>
      <c r="G8410" s="20" t="inlineStr">
        <is>
          <t>솔리드퍼퓸 세트향=커플세트(이그나이트 + 스테이포에버), 세트 선택=1 SET</t>
        </is>
      </c>
      <c r="H8410" s="20" t="n">
        <v>7</v>
      </c>
      <c r="I8410" s="20" t="inlineStr">
        <is>
          <t>이그나이트 + 스테이포에버</t>
        </is>
      </c>
      <c r="J8410" s="20" t="inlineStr">
        <is>
          <t>210501</t>
        </is>
      </c>
      <c r="L8410" s="20" t="n">
        <v>411600</v>
      </c>
      <c r="M8410" s="20" t="n">
        <v>387521.4</v>
      </c>
      <c r="N8410" s="20" t="n">
        <v>36253</v>
      </c>
      <c r="O8410" s="20" t="inlineStr">
        <is>
          <t>카페24고체향수솔리드퍼퓸 세트향=커플세트(이그나이트 + 스테이포에버), 세트 선택=1 SET210501</t>
        </is>
      </c>
    </row>
    <row r="8411">
      <c r="B8411" s="16" t="n">
        <v>44329</v>
      </c>
      <c r="C8411" s="20" t="inlineStr">
        <is>
          <t>목</t>
        </is>
      </c>
      <c r="E8411" s="20" t="inlineStr">
        <is>
          <t>고체향수</t>
        </is>
      </c>
      <c r="F8411" s="20" t="inlineStr">
        <is>
          <t>카페24</t>
        </is>
      </c>
      <c r="G8411" s="20" t="inlineStr">
        <is>
          <t>솔리드퍼퓸 세트향=커플세트(이그나이트 + 스테이포에버), 세트 선택=2 SET (42% 할인)</t>
        </is>
      </c>
      <c r="H8411" s="20" t="n">
        <v>1</v>
      </c>
      <c r="I8411" s="20" t="inlineStr">
        <is>
          <t>이그나이트 + 스테이포에버</t>
        </is>
      </c>
      <c r="J8411" s="20" t="inlineStr">
        <is>
          <t>210501</t>
        </is>
      </c>
      <c r="L8411" s="20" t="n">
        <v>58800</v>
      </c>
      <c r="M8411" s="20" t="n">
        <v>55360.2</v>
      </c>
      <c r="N8411" s="20" t="n">
        <v>5179</v>
      </c>
      <c r="O8411" s="20" t="inlineStr">
        <is>
          <t>카페24고체향수솔리드퍼퓸 세트향=커플세트(이그나이트 + 스테이포에버), 세트 선택=2 SET (42% 할인)210501</t>
        </is>
      </c>
    </row>
    <row r="8412">
      <c r="B8412" s="16" t="n">
        <v>44329</v>
      </c>
      <c r="C8412" s="20" t="inlineStr">
        <is>
          <t>목</t>
        </is>
      </c>
      <c r="E8412" s="20" t="inlineStr">
        <is>
          <t>고체향수</t>
        </is>
      </c>
      <c r="F8412" s="20" t="inlineStr">
        <is>
          <t>카페24</t>
        </is>
      </c>
      <c r="G8412" s="20" t="inlineStr">
        <is>
          <t>솔리드퍼퓸 스테이포에버 002제품선택=스테이포에버 1개</t>
        </is>
      </c>
      <c r="H8412" s="20" t="n">
        <v>140</v>
      </c>
      <c r="I8412" s="20" t="inlineStr">
        <is>
          <t>스테이포에버</t>
        </is>
      </c>
      <c r="J8412" s="20" t="inlineStr">
        <is>
          <t>210501</t>
        </is>
      </c>
      <c r="L8412" s="20" t="n">
        <v>4760000</v>
      </c>
      <c r="M8412" s="20" t="n">
        <v>4481540</v>
      </c>
      <c r="N8412" s="20" t="n">
        <v>357560</v>
      </c>
      <c r="O8412" s="20" t="inlineStr">
        <is>
          <t>카페24고체향수솔리드퍼퓸 스테이포에버 002제품선택=스테이포에버 1개210501</t>
        </is>
      </c>
    </row>
    <row r="8413">
      <c r="B8413" s="16" t="n">
        <v>44329</v>
      </c>
      <c r="C8413" s="20" t="inlineStr">
        <is>
          <t>목</t>
        </is>
      </c>
      <c r="E8413" s="20" t="inlineStr">
        <is>
          <t>고체향수</t>
        </is>
      </c>
      <c r="F8413" s="20" t="inlineStr">
        <is>
          <t>카페24</t>
        </is>
      </c>
      <c r="G8413" s="20" t="inlineStr">
        <is>
          <t>솔리드퍼퓸 스테이포에버 002제품선택=best스테이포에버 2개[28% 할인]</t>
        </is>
      </c>
      <c r="H8413" s="20" t="n">
        <v>93</v>
      </c>
      <c r="I8413" s="20" t="inlineStr">
        <is>
          <t>스테이포에버 2set</t>
        </is>
      </c>
      <c r="J8413" s="20" t="inlineStr">
        <is>
          <t>210501</t>
        </is>
      </c>
      <c r="L8413" s="20" t="n">
        <v>5468400</v>
      </c>
      <c r="M8413" s="20" t="n">
        <v>5148498.6</v>
      </c>
      <c r="N8413" s="20" t="n">
        <v>475044</v>
      </c>
      <c r="O8413" s="20" t="inlineStr">
        <is>
          <t>카페24고체향수솔리드퍼퓸 스테이포에버 002제품선택=best스테이포에버 2개[28% 할인]210501</t>
        </is>
      </c>
    </row>
    <row r="8414">
      <c r="B8414" s="16" t="n">
        <v>44329</v>
      </c>
      <c r="C8414" s="20" t="inlineStr">
        <is>
          <t>목</t>
        </is>
      </c>
      <c r="E8414" s="20" t="inlineStr">
        <is>
          <t>고체향수</t>
        </is>
      </c>
      <c r="F8414" s="20" t="inlineStr">
        <is>
          <t>카페24</t>
        </is>
      </c>
      <c r="G8414" s="20" t="inlineStr">
        <is>
          <t>솔리드퍼퓸 스테이포에버 002제품선택=커플추천스테이포에버 + 이그나이트 세트</t>
        </is>
      </c>
      <c r="H8414" s="20" t="n">
        <v>9</v>
      </c>
      <c r="I8414" s="20" t="inlineStr">
        <is>
          <t>이그나이트 + 스테이포에버</t>
        </is>
      </c>
      <c r="J8414" s="20" t="inlineStr">
        <is>
          <t>210501</t>
        </is>
      </c>
      <c r="L8414" s="20" t="n">
        <v>529200</v>
      </c>
      <c r="M8414" s="20" t="n">
        <v>498241.8</v>
      </c>
      <c r="N8414" s="20" t="n">
        <v>46611</v>
      </c>
      <c r="O8414" s="20" t="inlineStr">
        <is>
          <t>카페24고체향수솔리드퍼퓸 스테이포에버 002제품선택=커플추천스테이포에버 + 이그나이트 세트210501</t>
        </is>
      </c>
    </row>
    <row r="8415">
      <c r="B8415" s="16" t="n">
        <v>44329</v>
      </c>
      <c r="C8415" s="20" t="inlineStr">
        <is>
          <t>목</t>
        </is>
      </c>
      <c r="E8415" s="20" t="inlineStr">
        <is>
          <t>쇼핑백</t>
        </is>
      </c>
      <c r="F8415" s="20" t="inlineStr">
        <is>
          <t>카페24</t>
        </is>
      </c>
      <c r="G8415" s="20" t="inlineStr">
        <is>
          <t>솔리드퍼퓸 스테이포에버 002쇼핑백=선물용 쇼핑백</t>
        </is>
      </c>
      <c r="H8415" s="20" t="n">
        <v>7</v>
      </c>
      <c r="I8415" s="20" t="inlineStr">
        <is>
          <t>쇼핑백</t>
        </is>
      </c>
      <c r="J8415" s="20" t="inlineStr">
        <is>
          <t>210501</t>
        </is>
      </c>
      <c r="L8415" s="20" t="n">
        <v>14000</v>
      </c>
      <c r="M8415" s="20" t="n">
        <v>13181</v>
      </c>
      <c r="N8415" s="20" t="n">
        <v>5810</v>
      </c>
      <c r="O8415" s="20" t="inlineStr">
        <is>
          <t>카페24쇼핑백솔리드퍼퓸 스테이포에버 002쇼핑백=선물용 쇼핑백210501</t>
        </is>
      </c>
    </row>
    <row r="8416">
      <c r="B8416" s="16" t="n">
        <v>44329</v>
      </c>
      <c r="C8416" s="20" t="inlineStr">
        <is>
          <t>목</t>
        </is>
      </c>
      <c r="E8416" s="20" t="inlineStr">
        <is>
          <t>고체향수</t>
        </is>
      </c>
      <c r="F8416" s="20" t="inlineStr">
        <is>
          <t>카페24</t>
        </is>
      </c>
      <c r="G8416" s="20" t="inlineStr">
        <is>
          <t>솔리드퍼퓸 스페셜 기프트 세트제품 선택=Event 1솔리드퍼퓸 2종 set[40% 할인], 수량 선택=1개</t>
        </is>
      </c>
      <c r="H8416" s="20" t="n">
        <v>27</v>
      </c>
      <c r="I8416" s="20" t="inlineStr">
        <is>
          <t>5월 프로모션 이그나이트+스테이포에버</t>
        </is>
      </c>
      <c r="J8416" s="20" t="inlineStr">
        <is>
          <t>210501</t>
        </is>
      </c>
      <c r="L8416" s="20" t="n">
        <v>1360800</v>
      </c>
      <c r="M8416" s="20" t="n">
        <v>1281193.2</v>
      </c>
      <c r="N8416" s="20" t="n">
        <v>193374</v>
      </c>
      <c r="O8416" s="20" t="inlineStr">
        <is>
          <t>카페24고체향수솔리드퍼퓸 스페셜 기프트 세트제품 선택=Event 1솔리드퍼퓸 2종 set[40% 할인], 수량 선택=1개210501</t>
        </is>
      </c>
    </row>
    <row r="8417">
      <c r="B8417" s="16" t="n">
        <v>44329</v>
      </c>
      <c r="C8417" s="20" t="inlineStr">
        <is>
          <t>목</t>
        </is>
      </c>
      <c r="E8417" s="20" t="inlineStr">
        <is>
          <t>고체향수</t>
        </is>
      </c>
      <c r="F8417" s="20" t="inlineStr">
        <is>
          <t>카페24</t>
        </is>
      </c>
      <c r="G8417" s="20" t="inlineStr">
        <is>
          <t>솔리드퍼퓸 스페셜 기프트 세트제품 선택=Event 1솔리드퍼퓸 2종 set[40% 할인], 수량 선택=2개</t>
        </is>
      </c>
      <c r="H8417" s="20" t="n">
        <v>2</v>
      </c>
      <c r="I8417" s="20" t="inlineStr">
        <is>
          <t>5월 프로모션 이그나이트+스테이포에버 2 set</t>
        </is>
      </c>
      <c r="J8417" s="20" t="inlineStr">
        <is>
          <t>210501</t>
        </is>
      </c>
      <c r="L8417" s="20" t="n">
        <v>21600</v>
      </c>
      <c r="M8417" s="20" t="n">
        <v>20336.4</v>
      </c>
      <c r="N8417" s="20" t="n">
        <v>28648</v>
      </c>
      <c r="O8417" s="20" t="inlineStr">
        <is>
          <t>카페24고체향수솔리드퍼퓸 스페셜 기프트 세트제품 선택=Event 1솔리드퍼퓸 2종 set[40% 할인], 수량 선택=2개210501</t>
        </is>
      </c>
    </row>
    <row r="8418">
      <c r="B8418" s="16" t="n">
        <v>44329</v>
      </c>
      <c r="C8418" s="20" t="inlineStr">
        <is>
          <t>목</t>
        </is>
      </c>
      <c r="E8418" s="20" t="inlineStr">
        <is>
          <t>고체향수</t>
        </is>
      </c>
      <c r="F8418" s="20" t="inlineStr">
        <is>
          <t>카페24</t>
        </is>
      </c>
      <c r="G8418" s="20" t="inlineStr">
        <is>
          <t>솔리드퍼퓸 스페셜 기프트 세트제품 선택=Event 2✨스테이포에버 단품[35% 할인], 수량 선택=1개</t>
        </is>
      </c>
      <c r="H8418" s="20" t="n">
        <v>10</v>
      </c>
      <c r="I8418" s="20" t="inlineStr">
        <is>
          <t>5월 프로모션 스테이포에버</t>
        </is>
      </c>
      <c r="J8418" s="20" t="inlineStr">
        <is>
          <t>210501</t>
        </is>
      </c>
      <c r="L8418" s="20" t="n">
        <v>279000</v>
      </c>
      <c r="M8418" s="20" t="n">
        <v>262678.5</v>
      </c>
      <c r="N8418" s="20" t="n">
        <v>33840</v>
      </c>
      <c r="O8418" s="20" t="inlineStr">
        <is>
          <t>카페24고체향수솔리드퍼퓸 스페셜 기프트 세트제품 선택=Event 2✨스테이포에버 단품[35% 할인], 수량 선택=1개210501</t>
        </is>
      </c>
    </row>
    <row r="8419">
      <c r="B8419" s="16" t="n">
        <v>44329</v>
      </c>
      <c r="C8419" s="20" t="inlineStr">
        <is>
          <t>목</t>
        </is>
      </c>
      <c r="E8419" s="20" t="inlineStr">
        <is>
          <t>고체향수</t>
        </is>
      </c>
      <c r="F8419" s="20" t="inlineStr">
        <is>
          <t>카페24</t>
        </is>
      </c>
      <c r="G8419" s="20" t="inlineStr">
        <is>
          <t>솔리드퍼퓸 스페셜 기프트 세트제품 선택=Event 2✨스테이포에버 단품[35% 할인], 수량 선택=2개</t>
        </is>
      </c>
      <c r="H8419" s="20" t="n">
        <v>6</v>
      </c>
      <c r="I8419" s="20" t="inlineStr">
        <is>
          <t>5월 프로모션 스테이포에버 2set</t>
        </is>
      </c>
      <c r="J8419" s="20" t="inlineStr">
        <is>
          <t>210501</t>
        </is>
      </c>
      <c r="L8419" s="20" t="n">
        <v>334800</v>
      </c>
      <c r="M8419" s="20" t="n">
        <v>315214.2</v>
      </c>
      <c r="N8419" s="20" t="n">
        <v>40608</v>
      </c>
      <c r="O8419" s="20" t="inlineStr">
        <is>
          <t>카페24고체향수솔리드퍼퓸 스페셜 기프트 세트제품 선택=Event 2✨스테이포에버 단품[35% 할인], 수량 선택=2개210501</t>
        </is>
      </c>
    </row>
    <row r="8420">
      <c r="B8420" s="16" t="n">
        <v>44329</v>
      </c>
      <c r="C8420" s="20" t="inlineStr">
        <is>
          <t>목</t>
        </is>
      </c>
      <c r="E8420" s="20" t="inlineStr">
        <is>
          <t>고체향수</t>
        </is>
      </c>
      <c r="F8420" s="20" t="inlineStr">
        <is>
          <t>카페24</t>
        </is>
      </c>
      <c r="G8420" s="20" t="inlineStr">
        <is>
          <t>솔리드퍼퓸 스페셜 기프트 세트제품 선택=Event 2✨스테이포에버 단품[35% 할인], 수량 선택=3개</t>
        </is>
      </c>
      <c r="H8420" s="20" t="n">
        <v>2</v>
      </c>
      <c r="I8420" s="20" t="inlineStr">
        <is>
          <t>5월 프로모션 스테이포에버 3set</t>
        </is>
      </c>
      <c r="J8420" s="20" t="inlineStr">
        <is>
          <t>210501</t>
        </is>
      </c>
      <c r="L8420" s="20" t="n">
        <v>167400</v>
      </c>
      <c r="M8420" s="20" t="n">
        <v>157607.1</v>
      </c>
      <c r="N8420" s="20" t="n">
        <v>20304</v>
      </c>
      <c r="O8420" s="20" t="inlineStr">
        <is>
          <t>카페24고체향수솔리드퍼퓸 스페셜 기프트 세트제품 선택=Event 2✨스테이포에버 단품[35% 할인], 수량 선택=3개210501</t>
        </is>
      </c>
    </row>
    <row r="8421">
      <c r="B8421" s="16" t="n">
        <v>44329</v>
      </c>
      <c r="C8421" s="20" t="inlineStr">
        <is>
          <t>목</t>
        </is>
      </c>
      <c r="E8421" s="20" t="inlineStr">
        <is>
          <t>고체향수</t>
        </is>
      </c>
      <c r="F8421" s="20" t="inlineStr">
        <is>
          <t>카페24</t>
        </is>
      </c>
      <c r="G8421" s="20" t="inlineStr">
        <is>
          <t>솔리드퍼퓸 스페셜 기프트 세트제품 선택=Event 2✨이그나이트 단품[35% 할인], 수량 선택=1개</t>
        </is>
      </c>
      <c r="H8421" s="20" t="n">
        <v>1</v>
      </c>
      <c r="I8421" s="20" t="inlineStr">
        <is>
          <t>5월 프로모션 이그나이트</t>
        </is>
      </c>
      <c r="J8421" s="20" t="inlineStr">
        <is>
          <t>210501</t>
        </is>
      </c>
      <c r="L8421" s="20" t="n">
        <v>27900</v>
      </c>
      <c r="M8421" s="20" t="n">
        <v>26267.85</v>
      </c>
      <c r="N8421" s="20" t="n">
        <v>3455</v>
      </c>
      <c r="O8421" s="20" t="inlineStr">
        <is>
          <t>카페24고체향수솔리드퍼퓸 스페셜 기프트 세트제품 선택=Event 2✨이그나이트 단품[35% 할인], 수량 선택=1개210501</t>
        </is>
      </c>
    </row>
    <row r="8422">
      <c r="B8422" s="16" t="n">
        <v>44329</v>
      </c>
      <c r="C8422" s="20" t="inlineStr">
        <is>
          <t>목</t>
        </is>
      </c>
      <c r="E8422" s="20" t="inlineStr">
        <is>
          <t>고체향수</t>
        </is>
      </c>
      <c r="F8422" s="20" t="inlineStr">
        <is>
          <t>카페24</t>
        </is>
      </c>
      <c r="G8422" s="20" t="inlineStr">
        <is>
          <t>솔리드퍼퓸 스페셜 기프트 세트제품 선택=Event 2✨이그나이트 단품[35% 할인], 수량 선택=2개</t>
        </is>
      </c>
      <c r="H8422" s="20" t="n">
        <v>1</v>
      </c>
      <c r="I8422" s="20" t="inlineStr">
        <is>
          <t>5월 프로모션 이그나이트 2set</t>
        </is>
      </c>
      <c r="J8422" s="20" t="inlineStr">
        <is>
          <t>210501</t>
        </is>
      </c>
      <c r="L8422" s="20" t="n">
        <v>55800</v>
      </c>
      <c r="M8422" s="20" t="n">
        <v>52535.7</v>
      </c>
      <c r="N8422" s="20" t="n">
        <v>6910</v>
      </c>
      <c r="O8422" s="20" t="inlineStr">
        <is>
          <t>카페24고체향수솔리드퍼퓸 스페셜 기프트 세트제품 선택=Event 2✨이그나이트 단품[35% 할인], 수량 선택=2개210501</t>
        </is>
      </c>
    </row>
    <row r="8423">
      <c r="B8423" s="16" t="n">
        <v>44329</v>
      </c>
      <c r="C8423" s="20" t="inlineStr">
        <is>
          <t>목</t>
        </is>
      </c>
      <c r="E8423" s="20" t="inlineStr">
        <is>
          <t>고체향수</t>
        </is>
      </c>
      <c r="F8423" s="20" t="inlineStr">
        <is>
          <t>카페24</t>
        </is>
      </c>
      <c r="G8423" s="20" t="inlineStr">
        <is>
          <t>솔리드퍼퓸 이그나이트 001제품선택=이그나이트 솔리드퍼퓸 - 30ml</t>
        </is>
      </c>
      <c r="H8423" s="20" t="n">
        <v>2</v>
      </c>
      <c r="I8423" s="20" t="inlineStr">
        <is>
          <t>이그나이트</t>
        </is>
      </c>
      <c r="J8423" s="20" t="inlineStr">
        <is>
          <t>210501</t>
        </is>
      </c>
      <c r="L8423" s="20" t="n">
        <v>68000</v>
      </c>
      <c r="M8423" s="20" t="n">
        <v>64022</v>
      </c>
      <c r="N8423" s="20" t="n">
        <v>5250</v>
      </c>
      <c r="O8423" s="20" t="inlineStr">
        <is>
          <t>카페24고체향수솔리드퍼퓸 이그나이트 001제품선택=이그나이트 솔리드퍼퓸 - 30ml210501</t>
        </is>
      </c>
    </row>
    <row r="8424">
      <c r="B8424" s="16" t="n">
        <v>44329</v>
      </c>
      <c r="C8424" s="20" t="inlineStr">
        <is>
          <t>목</t>
        </is>
      </c>
      <c r="E8424" s="20" t="inlineStr">
        <is>
          <t>고체향수</t>
        </is>
      </c>
      <c r="F8424" s="20" t="inlineStr">
        <is>
          <t>카페24</t>
        </is>
      </c>
      <c r="G8424" s="20" t="inlineStr">
        <is>
          <t>솔리드퍼퓸 이그나이트 001제품선택=이그나이트 2개 세트</t>
        </is>
      </c>
      <c r="H8424" s="20" t="n">
        <v>1</v>
      </c>
      <c r="I8424" s="20" t="inlineStr">
        <is>
          <t>이그나이트 2set</t>
        </is>
      </c>
      <c r="J8424" s="20" t="inlineStr">
        <is>
          <t>210501</t>
        </is>
      </c>
      <c r="L8424" s="20" t="n">
        <v>58800</v>
      </c>
      <c r="M8424" s="20" t="n">
        <v>55360.2</v>
      </c>
      <c r="N8424" s="20" t="n">
        <v>5250</v>
      </c>
      <c r="O8424" s="20" t="inlineStr">
        <is>
          <t>카페24고체향수솔리드퍼퓸 이그나이트 001제품선택=이그나이트 2개 세트210501</t>
        </is>
      </c>
    </row>
    <row r="8425">
      <c r="B8425" s="16" t="n">
        <v>44329</v>
      </c>
      <c r="C8425" s="20" t="inlineStr">
        <is>
          <t>목</t>
        </is>
      </c>
      <c r="E8425" s="20" t="inlineStr">
        <is>
          <t>쇼핑백</t>
        </is>
      </c>
      <c r="F8425" s="20" t="inlineStr">
        <is>
          <t>카페24</t>
        </is>
      </c>
      <c r="G8425" s="20" t="inlineStr">
        <is>
          <t>솔리드퍼퓸 이그나이트 001쇼핑백=선물용 쇼핑백</t>
        </is>
      </c>
      <c r="H8425" s="20" t="n">
        <v>1</v>
      </c>
      <c r="I8425" s="20" t="inlineStr">
        <is>
          <t>쇼핑백</t>
        </is>
      </c>
      <c r="J8425" s="20" t="inlineStr">
        <is>
          <t>210501</t>
        </is>
      </c>
      <c r="L8425" s="20" t="n">
        <v>2000</v>
      </c>
      <c r="M8425" s="20" t="n">
        <v>1883</v>
      </c>
      <c r="N8425" s="20" t="n">
        <v>830</v>
      </c>
      <c r="O8425" s="20" t="inlineStr">
        <is>
          <t>카페24쇼핑백솔리드퍼퓸 이그나이트 001쇼핑백=선물용 쇼핑백210501</t>
        </is>
      </c>
    </row>
    <row r="8426">
      <c r="A8426" s="20" t="inlineStr">
        <is>
          <t>고체향수</t>
        </is>
      </c>
      <c r="B8426" s="16" t="n">
        <v>44329</v>
      </c>
      <c r="C8426" s="20" t="inlineStr">
        <is>
          <t>목</t>
        </is>
      </c>
      <c r="D8426" s="20" t="inlineStr">
        <is>
          <t>네이버 배너</t>
        </is>
      </c>
      <c r="E8426" s="20" t="inlineStr">
        <is>
          <t>고체향수</t>
        </is>
      </c>
      <c r="K8426" s="20" t="n">
        <v>628915.4545454545</v>
      </c>
    </row>
    <row r="8427" ht="16.5" customHeight="1" s="17">
      <c r="A8427" s="20" t="inlineStr">
        <is>
          <t>비즈보드_5월프로모션_리타겟팅</t>
        </is>
      </c>
      <c r="B8427" s="27" t="n">
        <v>44329</v>
      </c>
      <c r="C8427" s="20" t="inlineStr">
        <is>
          <t>목</t>
        </is>
      </c>
      <c r="D8427" s="20">
        <f>VLOOKUP($A8427,매칭테이블!$B$548:$D$1048576,2,0)</f>
        <v/>
      </c>
      <c r="E8427" s="20" t="inlineStr">
        <is>
          <t>고체향수</t>
        </is>
      </c>
      <c r="K8427" s="20" t="n">
        <v>91019.99999999999</v>
      </c>
    </row>
    <row r="8428">
      <c r="A8428" s="20" t="inlineStr">
        <is>
          <t>고체향수_승무원 어피_Npay 추적</t>
        </is>
      </c>
      <c r="B8428" s="27" t="n">
        <v>44329</v>
      </c>
      <c r="C8428" s="20" t="inlineStr">
        <is>
          <t>목</t>
        </is>
      </c>
      <c r="D8428" s="20" t="inlineStr">
        <is>
          <t>카카오 배너</t>
        </is>
      </c>
      <c r="E8428" s="20" t="inlineStr">
        <is>
          <t>고체향수</t>
        </is>
      </c>
      <c r="K8428" s="20" t="n">
        <v>90999.99999999999</v>
      </c>
    </row>
    <row r="8429">
      <c r="A8429" s="20" t="inlineStr">
        <is>
          <t>고체향수_Npay 추적</t>
        </is>
      </c>
      <c r="B8429" s="27" t="n">
        <v>44329</v>
      </c>
      <c r="C8429" s="20" t="inlineStr">
        <is>
          <t>목</t>
        </is>
      </c>
      <c r="D8429" s="20" t="inlineStr">
        <is>
          <t>카카오 배너</t>
        </is>
      </c>
      <c r="E8429" s="20" t="inlineStr">
        <is>
          <t>고체향수</t>
        </is>
      </c>
      <c r="K8429" s="20" t="n">
        <v>728809.9999999999</v>
      </c>
    </row>
    <row r="8430">
      <c r="B8430" s="27" t="n">
        <v>44329</v>
      </c>
      <c r="C8430" s="20" t="inlineStr">
        <is>
          <t>목</t>
        </is>
      </c>
      <c r="D8430" s="20" t="inlineStr">
        <is>
          <t>네이버 배너(대행사)</t>
        </is>
      </c>
      <c r="E8430" s="20" t="inlineStr">
        <is>
          <t>고체향수</t>
        </is>
      </c>
      <c r="K8430" s="20">
        <f>179542/1.1</f>
        <v/>
      </c>
    </row>
    <row r="8431">
      <c r="B8431" s="27" t="n">
        <v>44329</v>
      </c>
      <c r="C8431" s="20" t="inlineStr">
        <is>
          <t>목</t>
        </is>
      </c>
      <c r="E8431" s="19">
        <f>INDEX(매칭테이블!C:C,MATCH(RD!G8431,매칭테이블!D:D,0))</f>
        <v/>
      </c>
      <c r="F8431" s="20" t="inlineStr">
        <is>
          <t>올리브영</t>
        </is>
      </c>
      <c r="G8431" s="20" t="inlineStr">
        <is>
          <t>유즈 솔리드퍼퓸 001 이그나이트 30ml 30600 온라인</t>
        </is>
      </c>
      <c r="H8431" s="20" t="n">
        <v>1</v>
      </c>
      <c r="I8431" s="19">
        <f>VLOOKUP(G8431,매칭테이블!D:E,2,0)</f>
        <v/>
      </c>
      <c r="J8431" s="20" t="inlineStr">
        <is>
          <t>210501</t>
        </is>
      </c>
      <c r="L8431" s="19">
        <f>VLOOKUP($O8431,매칭테이블!$G:$J,2,0)*H8431</f>
        <v/>
      </c>
      <c r="M8431" s="19">
        <f>L8431-L8431*VLOOKUP($O8431,매칭테이블!$G:$J,3,0)</f>
        <v/>
      </c>
      <c r="N8431" s="19">
        <f>VLOOKUP($O8431,매칭테이블!$G:$J,4,0)*H8431</f>
        <v/>
      </c>
      <c r="O8431" s="19">
        <f>F8431&amp;E8431&amp;G8431&amp;J8431</f>
        <v/>
      </c>
    </row>
    <row r="8432">
      <c r="B8432" s="27" t="n">
        <v>44329</v>
      </c>
      <c r="C8432" s="20" t="inlineStr">
        <is>
          <t>목</t>
        </is>
      </c>
      <c r="E8432" s="19">
        <f>INDEX(매칭테이블!C:C,MATCH(RD!G8432,매칭테이블!D:D,0))</f>
        <v/>
      </c>
      <c r="F8432" s="20" t="inlineStr">
        <is>
          <t>올리브영</t>
        </is>
      </c>
      <c r="G8432" s="20" t="inlineStr">
        <is>
          <t>유즈 솔리드퍼퓸 002 스테이포에버 30ml 30600 온라인</t>
        </is>
      </c>
      <c r="H8432" s="20" t="n">
        <v>45</v>
      </c>
      <c r="I8432" s="19">
        <f>VLOOKUP(G8432,매칭테이블!D:E,2,0)</f>
        <v/>
      </c>
      <c r="J8432" s="20" t="inlineStr">
        <is>
          <t>210501</t>
        </is>
      </c>
      <c r="L8432" s="19">
        <f>VLOOKUP($O8432,매칭테이블!$G:$J,2,0)*H8432</f>
        <v/>
      </c>
      <c r="M8432" s="19">
        <f>L8432-L8432*VLOOKUP($O8432,매칭테이블!$G:$J,3,0)</f>
        <v/>
      </c>
      <c r="N8432" s="19">
        <f>VLOOKUP($O8432,매칭테이블!$G:$J,4,0)*H8432</f>
        <v/>
      </c>
      <c r="O8432" s="19">
        <f>F8432&amp;E8432&amp;G8432&amp;J8432</f>
        <v/>
      </c>
    </row>
    <row r="8433">
      <c r="A8433" s="20" t="inlineStr">
        <is>
          <t>[5월 프로모션] 솔리드퍼퓸_영상</t>
        </is>
      </c>
      <c r="B8433" s="27" t="n">
        <v>44330</v>
      </c>
      <c r="C8433" s="20" t="inlineStr">
        <is>
          <t>금</t>
        </is>
      </c>
      <c r="D8433" s="20" t="inlineStr">
        <is>
          <t>페이스북/인스타그램</t>
        </is>
      </c>
      <c r="E8433" s="20" t="inlineStr">
        <is>
          <t>고체향수</t>
        </is>
      </c>
      <c r="K8433" s="20" t="n">
        <v>47586</v>
      </c>
    </row>
    <row r="8434">
      <c r="A8434" s="20" t="inlineStr">
        <is>
          <t>[5월 프로모션] 솔리드퍼퓸_이미지&amp;카드뉴스</t>
        </is>
      </c>
      <c r="B8434" s="27" t="n">
        <v>44330</v>
      </c>
      <c r="C8434" s="20" t="inlineStr">
        <is>
          <t>금</t>
        </is>
      </c>
      <c r="D8434" s="20" t="inlineStr">
        <is>
          <t>페이스북/인스타그램</t>
        </is>
      </c>
      <c r="E8434" s="20" t="inlineStr">
        <is>
          <t>고체향수</t>
        </is>
      </c>
      <c r="K8434" s="20" t="n">
        <v>46846</v>
      </c>
    </row>
    <row r="8435">
      <c r="A8435" s="20" t="inlineStr">
        <is>
          <t>[수현 TEST] 스테이포에버_카드뉴스</t>
        </is>
      </c>
      <c r="B8435" s="27" t="n">
        <v>44330</v>
      </c>
      <c r="C8435" s="20" t="inlineStr">
        <is>
          <t>금</t>
        </is>
      </c>
      <c r="D8435" s="20" t="inlineStr">
        <is>
          <t>페이스북/인스타그램</t>
        </is>
      </c>
      <c r="E8435" s="20" t="inlineStr">
        <is>
          <t>고체향수</t>
        </is>
      </c>
      <c r="K8435" s="20" t="n">
        <v>30777</v>
      </c>
    </row>
    <row r="8436">
      <c r="A8436" s="20" t="inlineStr">
        <is>
          <t>[수현 TEST] 솔리드퍼퓸_이미지</t>
        </is>
      </c>
      <c r="B8436" s="27" t="n">
        <v>44330</v>
      </c>
      <c r="C8436" s="20" t="inlineStr">
        <is>
          <t>금</t>
        </is>
      </c>
      <c r="D8436" s="20" t="inlineStr">
        <is>
          <t>페이스북/인스타그램</t>
        </is>
      </c>
      <c r="E8436" s="20" t="inlineStr">
        <is>
          <t>고체향수</t>
        </is>
      </c>
      <c r="K8436" s="20" t="n">
        <v>50924</v>
      </c>
    </row>
    <row r="8437">
      <c r="A8437" s="20" t="inlineStr">
        <is>
          <t>[승은 TEST] 스테이포에버</t>
        </is>
      </c>
      <c r="B8437" s="27" t="n">
        <v>44330</v>
      </c>
      <c r="C8437" s="20" t="inlineStr">
        <is>
          <t>금</t>
        </is>
      </c>
      <c r="D8437" s="20" t="inlineStr">
        <is>
          <t>페이스북/인스타그램</t>
        </is>
      </c>
      <c r="E8437" s="20" t="inlineStr">
        <is>
          <t>고체향수</t>
        </is>
      </c>
      <c r="K8437" s="20" t="n">
        <v>56016</v>
      </c>
    </row>
    <row r="8438">
      <c r="A8438" s="20" t="inlineStr">
        <is>
          <t>[비누향 덕후] 스테이포에버_카드뉴스</t>
        </is>
      </c>
      <c r="B8438" s="27" t="n">
        <v>44330</v>
      </c>
      <c r="C8438" s="20" t="inlineStr">
        <is>
          <t>금</t>
        </is>
      </c>
      <c r="D8438" s="20" t="inlineStr">
        <is>
          <t>페이스북/인스타그램</t>
        </is>
      </c>
      <c r="E8438" s="20" t="inlineStr">
        <is>
          <t>고체향수</t>
        </is>
      </c>
      <c r="K8438" s="20" t="n">
        <v>153801</v>
      </c>
    </row>
    <row r="8439">
      <c r="A8439" s="20" t="inlineStr">
        <is>
          <t>[비누향 인연] 스테이포에버_카드뉴스</t>
        </is>
      </c>
      <c r="B8439" s="27" t="n">
        <v>44330</v>
      </c>
      <c r="C8439" s="20" t="inlineStr">
        <is>
          <t>금</t>
        </is>
      </c>
      <c r="D8439" s="20" t="inlineStr">
        <is>
          <t>페이스북/인스타그램</t>
        </is>
      </c>
      <c r="E8439" s="20" t="inlineStr">
        <is>
          <t>고체향수</t>
        </is>
      </c>
      <c r="K8439" s="20" t="n">
        <v>32862</v>
      </c>
    </row>
    <row r="8440">
      <c r="A8440" s="20" t="inlineStr">
        <is>
          <t>[성민 TEST] 솔리드퍼퓸_이미지</t>
        </is>
      </c>
      <c r="B8440" s="27" t="n">
        <v>44330</v>
      </c>
      <c r="C8440" s="20" t="inlineStr">
        <is>
          <t>금</t>
        </is>
      </c>
      <c r="D8440" s="20" t="inlineStr">
        <is>
          <t>페이스북/인스타그램</t>
        </is>
      </c>
      <c r="E8440" s="20" t="inlineStr">
        <is>
          <t>고체향수</t>
        </is>
      </c>
      <c r="K8440" s="20" t="n">
        <v>29509</v>
      </c>
    </row>
    <row r="8441">
      <c r="A8441" s="20" t="inlineStr">
        <is>
          <t>[승무원]유튜브_스테이포에버_카드뉴스</t>
        </is>
      </c>
      <c r="B8441" s="27" t="n">
        <v>44330</v>
      </c>
      <c r="C8441" s="20" t="inlineStr">
        <is>
          <t>금</t>
        </is>
      </c>
      <c r="D8441" s="20" t="inlineStr">
        <is>
          <t>페이스북/인스타그램</t>
        </is>
      </c>
      <c r="E8441" s="20" t="inlineStr">
        <is>
          <t>고체향수</t>
        </is>
      </c>
      <c r="K8441" s="20" t="n">
        <v>99182</v>
      </c>
    </row>
    <row r="8442">
      <c r="A8442" s="20" t="inlineStr">
        <is>
          <t>[올리브영] 이그나이트_영상</t>
        </is>
      </c>
      <c r="B8442" s="27" t="n">
        <v>44330</v>
      </c>
      <c r="C8442" s="20" t="inlineStr">
        <is>
          <t>금</t>
        </is>
      </c>
      <c r="D8442" s="20" t="inlineStr">
        <is>
          <t>페이스북/인스타그램</t>
        </is>
      </c>
      <c r="E8442" s="20" t="inlineStr">
        <is>
          <t>고체향수</t>
        </is>
      </c>
      <c r="K8442" s="20" t="n">
        <v>29271</v>
      </c>
    </row>
    <row r="8443">
      <c r="A8443" s="20" t="inlineStr">
        <is>
          <t>[승희 TEST] 솔리드퍼퓸_이미지</t>
        </is>
      </c>
      <c r="B8443" s="27" t="n">
        <v>44330</v>
      </c>
      <c r="C8443" s="20" t="inlineStr">
        <is>
          <t>금</t>
        </is>
      </c>
      <c r="D8443" s="20" t="inlineStr">
        <is>
          <t>페이스북/인스타그램</t>
        </is>
      </c>
      <c r="E8443" s="20" t="inlineStr">
        <is>
          <t>고체향수</t>
        </is>
      </c>
      <c r="K8443" s="20" t="n">
        <v>185797</v>
      </c>
    </row>
    <row r="8444">
      <c r="A8444" s="20" t="inlineStr">
        <is>
          <t>[올리브영] 스테이포에버_영상</t>
        </is>
      </c>
      <c r="B8444" s="27" t="n">
        <v>44330</v>
      </c>
      <c r="C8444" s="20" t="inlineStr">
        <is>
          <t>금</t>
        </is>
      </c>
      <c r="D8444" s="20" t="inlineStr">
        <is>
          <t>페이스북/인스타그램</t>
        </is>
      </c>
      <c r="E8444" s="20" t="inlineStr">
        <is>
          <t>고체향수</t>
        </is>
      </c>
      <c r="K8444" s="20" t="n">
        <v>49780</v>
      </c>
    </row>
    <row r="8445">
      <c r="A8445" s="20" t="inlineStr">
        <is>
          <t>[올리브영] 스테이포에버_이미지</t>
        </is>
      </c>
      <c r="B8445" s="27" t="n">
        <v>44330</v>
      </c>
      <c r="C8445" s="20" t="inlineStr">
        <is>
          <t>금</t>
        </is>
      </c>
      <c r="D8445" s="20" t="inlineStr">
        <is>
          <t>페이스북/인스타그램</t>
        </is>
      </c>
      <c r="E8445" s="20" t="inlineStr">
        <is>
          <t>고체향수</t>
        </is>
      </c>
      <c r="K8445" s="20" t="n">
        <v>29370</v>
      </c>
    </row>
    <row r="8446">
      <c r="A8446" s="20" t="inlineStr">
        <is>
          <t>[승무원] 유튜브재편집_스테이포에버_영상</t>
        </is>
      </c>
      <c r="B8446" s="27" t="n">
        <v>44330</v>
      </c>
      <c r="C8446" s="20" t="inlineStr">
        <is>
          <t>금</t>
        </is>
      </c>
      <c r="D8446" s="20" t="inlineStr">
        <is>
          <t>페이스북/인스타그램</t>
        </is>
      </c>
      <c r="E8446" s="20" t="inlineStr">
        <is>
          <t>고체향수</t>
        </is>
      </c>
      <c r="K8446" s="20" t="n">
        <v>847067</v>
      </c>
    </row>
    <row r="8447">
      <c r="A8447" s="20" t="inlineStr">
        <is>
          <t>[승무원 면세점] 스테이포에버_카드뉴스</t>
        </is>
      </c>
      <c r="B8447" s="27" t="n">
        <v>44330</v>
      </c>
      <c r="C8447" s="20" t="inlineStr">
        <is>
          <t>금</t>
        </is>
      </c>
      <c r="D8447" s="20" t="inlineStr">
        <is>
          <t>페이스북/인스타그램</t>
        </is>
      </c>
      <c r="E8447" s="20" t="inlineStr">
        <is>
          <t>고체향수</t>
        </is>
      </c>
      <c r="K8447" s="20" t="n">
        <v>147347</v>
      </c>
    </row>
    <row r="8448">
      <c r="A8448" s="20" t="inlineStr">
        <is>
          <t>[카페알바] 스테이포에버_카드뉴스</t>
        </is>
      </c>
      <c r="B8448" s="27" t="n">
        <v>44330</v>
      </c>
      <c r="C8448" s="20" t="inlineStr">
        <is>
          <t>금</t>
        </is>
      </c>
      <c r="D8448" s="20" t="inlineStr">
        <is>
          <t>페이스북/인스타그램</t>
        </is>
      </c>
      <c r="E8448" s="20" t="inlineStr">
        <is>
          <t>고체향수</t>
        </is>
      </c>
      <c r="K8448" s="20" t="n">
        <v>101618</v>
      </c>
    </row>
    <row r="8449">
      <c r="A8449" s="20" t="inlineStr">
        <is>
          <t>[아줌마]스테이포에버_이미지</t>
        </is>
      </c>
      <c r="B8449" s="27" t="n">
        <v>44330</v>
      </c>
      <c r="C8449" s="20" t="inlineStr">
        <is>
          <t>금</t>
        </is>
      </c>
      <c r="D8449" s="20" t="inlineStr">
        <is>
          <t>페이스북/인스타그램</t>
        </is>
      </c>
      <c r="E8449" s="20" t="inlineStr">
        <is>
          <t>고체향수</t>
        </is>
      </c>
      <c r="K8449" s="20" t="n">
        <v>49996</v>
      </c>
    </row>
    <row r="8450">
      <c r="A8450" s="20" t="inlineStr">
        <is>
          <t>[다양한 키워드] 스테이포에버_이미지</t>
        </is>
      </c>
      <c r="B8450" s="27" t="n">
        <v>44330</v>
      </c>
      <c r="C8450" s="20" t="inlineStr">
        <is>
          <t>금</t>
        </is>
      </c>
      <c r="D8450" s="20" t="inlineStr">
        <is>
          <t>페이스북/인스타그램</t>
        </is>
      </c>
      <c r="E8450" s="20" t="inlineStr">
        <is>
          <t>고체향수</t>
        </is>
      </c>
      <c r="K8450" s="20" t="n">
        <v>147894</v>
      </c>
    </row>
    <row r="8451">
      <c r="A8451" s="20" t="inlineStr">
        <is>
          <t>[재입고]스테이포에버_이미지</t>
        </is>
      </c>
      <c r="B8451" s="27" t="n">
        <v>44330</v>
      </c>
      <c r="C8451" s="20" t="inlineStr">
        <is>
          <t>금</t>
        </is>
      </c>
      <c r="D8451" s="20" t="inlineStr">
        <is>
          <t>페이스북/인스타그램</t>
        </is>
      </c>
      <c r="E8451" s="20" t="inlineStr">
        <is>
          <t>고체향수</t>
        </is>
      </c>
      <c r="K8451" s="20" t="n">
        <v>49874</v>
      </c>
    </row>
    <row r="8452">
      <c r="A8452" s="20" t="inlineStr">
        <is>
          <t>[승무원]숏폼_영상</t>
        </is>
      </c>
      <c r="B8452" s="27" t="n">
        <v>44330</v>
      </c>
      <c r="C8452" s="20" t="inlineStr">
        <is>
          <t>금</t>
        </is>
      </c>
      <c r="D8452" s="20" t="inlineStr">
        <is>
          <t>페이스북/인스타그램</t>
        </is>
      </c>
      <c r="E8452" s="20" t="inlineStr">
        <is>
          <t>고체향수</t>
        </is>
      </c>
      <c r="K8452" s="20" t="n">
        <v>50327</v>
      </c>
    </row>
    <row r="8453">
      <c r="A8453" s="20" t="inlineStr">
        <is>
          <t>[재입고]스테이포에버_영상</t>
        </is>
      </c>
      <c r="B8453" s="27" t="n">
        <v>44330</v>
      </c>
      <c r="C8453" s="20" t="inlineStr">
        <is>
          <t>금</t>
        </is>
      </c>
      <c r="D8453" s="20" t="inlineStr">
        <is>
          <t>페이스북/인스타그램</t>
        </is>
      </c>
      <c r="E8453" s="20" t="inlineStr">
        <is>
          <t>고체향수</t>
        </is>
      </c>
      <c r="K8453" s="20" t="n">
        <v>198351</v>
      </c>
    </row>
    <row r="8454">
      <c r="A8454" s="20" t="inlineStr">
        <is>
          <t>[승무원]2019년썰 카드뉴스+ 향묘사_영상</t>
        </is>
      </c>
      <c r="B8454" s="27" t="n">
        <v>44330</v>
      </c>
      <c r="C8454" s="20" t="inlineStr">
        <is>
          <t>금</t>
        </is>
      </c>
      <c r="D8454" s="20" t="inlineStr">
        <is>
          <t>페이스북/인스타그램</t>
        </is>
      </c>
      <c r="E8454" s="20" t="inlineStr">
        <is>
          <t>고체향수</t>
        </is>
      </c>
      <c r="K8454" s="20" t="n">
        <v>29587</v>
      </c>
    </row>
    <row r="8455">
      <c r="A8455" s="20" t="inlineStr">
        <is>
          <t>[승무원어피]스테이포에버_이미지</t>
        </is>
      </c>
      <c r="B8455" s="27" t="n">
        <v>44330</v>
      </c>
      <c r="C8455" s="20" t="inlineStr">
        <is>
          <t>금</t>
        </is>
      </c>
      <c r="D8455" s="20" t="inlineStr">
        <is>
          <t>페이스북/인스타그램</t>
        </is>
      </c>
      <c r="E8455" s="20" t="inlineStr">
        <is>
          <t>고체향수</t>
        </is>
      </c>
      <c r="K8455" s="20" t="n">
        <v>100646</v>
      </c>
    </row>
    <row r="8456">
      <c r="A8456" s="20" t="inlineStr">
        <is>
          <t>[다현]스테이포에버_이미지</t>
        </is>
      </c>
      <c r="B8456" s="27" t="n">
        <v>44330</v>
      </c>
      <c r="C8456" s="20" t="inlineStr">
        <is>
          <t>금</t>
        </is>
      </c>
      <c r="D8456" s="20" t="inlineStr">
        <is>
          <t>페이스북/인스타그램</t>
        </is>
      </c>
      <c r="E8456" s="20" t="inlineStr">
        <is>
          <t>고체향수</t>
        </is>
      </c>
      <c r="K8456" s="20" t="n">
        <v>98982</v>
      </c>
    </row>
    <row r="8457">
      <c r="A8457" s="20" t="inlineStr">
        <is>
          <t>[후기타입]스테이포에버_영상</t>
        </is>
      </c>
      <c r="B8457" s="27" t="n">
        <v>44330</v>
      </c>
      <c r="C8457" s="20" t="inlineStr">
        <is>
          <t>금</t>
        </is>
      </c>
      <c r="D8457" s="20" t="inlineStr">
        <is>
          <t>페이스북/인스타그램</t>
        </is>
      </c>
      <c r="E8457" s="20" t="inlineStr">
        <is>
          <t>고체향수</t>
        </is>
      </c>
      <c r="K8457" s="20" t="n">
        <v>99241</v>
      </c>
    </row>
    <row r="8458">
      <c r="A8458" s="20" t="inlineStr">
        <is>
          <t>전환_스테이포에버</t>
        </is>
      </c>
      <c r="B8458" s="27" t="n">
        <v>44330</v>
      </c>
      <c r="C8458" s="20" t="inlineStr">
        <is>
          <t>금</t>
        </is>
      </c>
      <c r="D8458" s="20" t="inlineStr">
        <is>
          <t>페이스북/인스타그램</t>
        </is>
      </c>
      <c r="E8458" s="20" t="inlineStr">
        <is>
          <t>고체향수</t>
        </is>
      </c>
      <c r="K8458" s="20" t="n">
        <v>101438</v>
      </c>
    </row>
    <row r="8459">
      <c r="A8459" s="20" t="inlineStr">
        <is>
          <t>[권태기커플]스테이포에버_영상</t>
        </is>
      </c>
      <c r="B8459" s="27" t="n">
        <v>44330</v>
      </c>
      <c r="C8459" s="20" t="inlineStr">
        <is>
          <t>금</t>
        </is>
      </c>
      <c r="D8459" s="20" t="inlineStr">
        <is>
          <t>페이스북/인스타그램</t>
        </is>
      </c>
      <c r="E8459" s="20" t="inlineStr">
        <is>
          <t>고체향수</t>
        </is>
      </c>
      <c r="K8459" s="20" t="n">
        <v>29388</v>
      </c>
    </row>
    <row r="8460">
      <c r="A8460" s="20" t="inlineStr">
        <is>
          <t>[5월 프로모션] 솔리드퍼퓸_영상</t>
        </is>
      </c>
      <c r="B8460" s="27" t="n">
        <v>44331</v>
      </c>
      <c r="C8460" s="20" t="inlineStr">
        <is>
          <t>토</t>
        </is>
      </c>
      <c r="D8460" s="20" t="inlineStr">
        <is>
          <t>페이스북/인스타그램</t>
        </is>
      </c>
      <c r="E8460" s="20" t="inlineStr">
        <is>
          <t>고체향수</t>
        </is>
      </c>
      <c r="K8460" s="20" t="n">
        <v>55931</v>
      </c>
    </row>
    <row r="8461">
      <c r="A8461" s="20" t="inlineStr">
        <is>
          <t>[5월 프로모션] 솔리드퍼퓸_이미지&amp;카드뉴스</t>
        </is>
      </c>
      <c r="B8461" s="27" t="n">
        <v>44331</v>
      </c>
      <c r="C8461" s="20" t="inlineStr">
        <is>
          <t>토</t>
        </is>
      </c>
      <c r="D8461" s="20" t="inlineStr">
        <is>
          <t>페이스북/인스타그램</t>
        </is>
      </c>
      <c r="E8461" s="20" t="inlineStr">
        <is>
          <t>고체향수</t>
        </is>
      </c>
      <c r="K8461" s="20" t="n">
        <v>10927</v>
      </c>
    </row>
    <row r="8462">
      <c r="A8462" s="20" t="inlineStr">
        <is>
          <t>[수현 TEST] 스테이포에버_카드뉴스</t>
        </is>
      </c>
      <c r="B8462" s="27" t="n">
        <v>44331</v>
      </c>
      <c r="C8462" s="20" t="inlineStr">
        <is>
          <t>토</t>
        </is>
      </c>
      <c r="D8462" s="20" t="inlineStr">
        <is>
          <t>페이스북/인스타그램</t>
        </is>
      </c>
      <c r="E8462" s="20" t="inlineStr">
        <is>
          <t>고체향수</t>
        </is>
      </c>
      <c r="K8462" s="20" t="n">
        <v>19587</v>
      </c>
    </row>
    <row r="8463">
      <c r="A8463" s="20" t="inlineStr">
        <is>
          <t>[수현 TEST] 솔리드퍼퓸_이미지</t>
        </is>
      </c>
      <c r="B8463" s="27" t="n">
        <v>44331</v>
      </c>
      <c r="C8463" s="20" t="inlineStr">
        <is>
          <t>토</t>
        </is>
      </c>
      <c r="D8463" s="20" t="inlineStr">
        <is>
          <t>페이스북/인스타그램</t>
        </is>
      </c>
      <c r="E8463" s="20" t="inlineStr">
        <is>
          <t>고체향수</t>
        </is>
      </c>
      <c r="K8463" s="20" t="n">
        <v>31360</v>
      </c>
    </row>
    <row r="8464">
      <c r="A8464" s="20" t="inlineStr">
        <is>
          <t>[승은 TEST] 스테이포에버</t>
        </is>
      </c>
      <c r="B8464" s="27" t="n">
        <v>44331</v>
      </c>
      <c r="C8464" s="20" t="inlineStr">
        <is>
          <t>토</t>
        </is>
      </c>
      <c r="D8464" s="20" t="inlineStr">
        <is>
          <t>페이스북/인스타그램</t>
        </is>
      </c>
      <c r="E8464" s="20" t="inlineStr">
        <is>
          <t>고체향수</t>
        </is>
      </c>
      <c r="K8464" s="20" t="n">
        <v>58897</v>
      </c>
    </row>
    <row r="8465">
      <c r="A8465" s="20" t="inlineStr">
        <is>
          <t>[비누향 덕후] 스테이포에버_카드뉴스</t>
        </is>
      </c>
      <c r="B8465" s="27" t="n">
        <v>44331</v>
      </c>
      <c r="C8465" s="20" t="inlineStr">
        <is>
          <t>토</t>
        </is>
      </c>
      <c r="D8465" s="20" t="inlineStr">
        <is>
          <t>페이스북/인스타그램</t>
        </is>
      </c>
      <c r="E8465" s="20" t="inlineStr">
        <is>
          <t>고체향수</t>
        </is>
      </c>
      <c r="K8465" s="20" t="n">
        <v>154155</v>
      </c>
    </row>
    <row r="8466">
      <c r="A8466" s="20" t="inlineStr">
        <is>
          <t>[비누향 인연] 스테이포에버_카드뉴스</t>
        </is>
      </c>
      <c r="B8466" s="27" t="n">
        <v>44331</v>
      </c>
      <c r="C8466" s="20" t="inlineStr">
        <is>
          <t>토</t>
        </is>
      </c>
      <c r="D8466" s="20" t="inlineStr">
        <is>
          <t>페이스북/인스타그램</t>
        </is>
      </c>
      <c r="E8466" s="20" t="inlineStr">
        <is>
          <t>고체향수</t>
        </is>
      </c>
      <c r="K8466" s="20" t="n">
        <v>27502</v>
      </c>
    </row>
    <row r="8467">
      <c r="A8467" s="20" t="inlineStr">
        <is>
          <t>[성민 TEST] 솔리드퍼퓸_이미지</t>
        </is>
      </c>
      <c r="B8467" s="27" t="n">
        <v>44331</v>
      </c>
      <c r="C8467" s="20" t="inlineStr">
        <is>
          <t>토</t>
        </is>
      </c>
      <c r="D8467" s="20" t="inlineStr">
        <is>
          <t>페이스북/인스타그램</t>
        </is>
      </c>
      <c r="E8467" s="20" t="inlineStr">
        <is>
          <t>고체향수</t>
        </is>
      </c>
      <c r="K8467" s="20" t="n">
        <v>31100</v>
      </c>
    </row>
    <row r="8468">
      <c r="A8468" s="20" t="inlineStr">
        <is>
          <t>[승무원]유튜브_스테이포에버_카드뉴스</t>
        </is>
      </c>
      <c r="B8468" s="27" t="n">
        <v>44331</v>
      </c>
      <c r="C8468" s="20" t="inlineStr">
        <is>
          <t>토</t>
        </is>
      </c>
      <c r="D8468" s="20" t="inlineStr">
        <is>
          <t>페이스북/인스타그램</t>
        </is>
      </c>
      <c r="E8468" s="20" t="inlineStr">
        <is>
          <t>고체향수</t>
        </is>
      </c>
      <c r="K8468" s="20" t="n">
        <v>103188</v>
      </c>
    </row>
    <row r="8469">
      <c r="A8469" s="20" t="inlineStr">
        <is>
          <t>[올리브영] 이그나이트_영상</t>
        </is>
      </c>
      <c r="B8469" s="27" t="n">
        <v>44331</v>
      </c>
      <c r="C8469" s="20" t="inlineStr">
        <is>
          <t>토</t>
        </is>
      </c>
      <c r="D8469" s="20" t="inlineStr">
        <is>
          <t>페이스북/인스타그램</t>
        </is>
      </c>
      <c r="E8469" s="20" t="inlineStr">
        <is>
          <t>고체향수</t>
        </is>
      </c>
      <c r="K8469" s="20" t="n">
        <v>31795</v>
      </c>
    </row>
    <row r="8470">
      <c r="A8470" s="20" t="inlineStr">
        <is>
          <t>[승희 TEST] 솔리드퍼퓸_이미지</t>
        </is>
      </c>
      <c r="B8470" s="27" t="n">
        <v>44331</v>
      </c>
      <c r="C8470" s="20" t="inlineStr">
        <is>
          <t>토</t>
        </is>
      </c>
      <c r="D8470" s="20" t="inlineStr">
        <is>
          <t>페이스북/인스타그램</t>
        </is>
      </c>
      <c r="E8470" s="20" t="inlineStr">
        <is>
          <t>고체향수</t>
        </is>
      </c>
      <c r="K8470" s="20" t="n">
        <v>193783</v>
      </c>
    </row>
    <row r="8471">
      <c r="A8471" s="20" t="inlineStr">
        <is>
          <t>[올리브영] 스테이포에버_영상</t>
        </is>
      </c>
      <c r="B8471" s="27" t="n">
        <v>44331</v>
      </c>
      <c r="C8471" s="20" t="inlineStr">
        <is>
          <t>토</t>
        </is>
      </c>
      <c r="D8471" s="20" t="inlineStr">
        <is>
          <t>페이스북/인스타그램</t>
        </is>
      </c>
      <c r="E8471" s="20" t="inlineStr">
        <is>
          <t>고체향수</t>
        </is>
      </c>
      <c r="K8471" s="20" t="n">
        <v>53066</v>
      </c>
    </row>
    <row r="8472">
      <c r="A8472" s="20" t="inlineStr">
        <is>
          <t>[올리브영] 스테이포에버_이미지</t>
        </is>
      </c>
      <c r="B8472" s="27" t="n">
        <v>44331</v>
      </c>
      <c r="C8472" s="20" t="inlineStr">
        <is>
          <t>토</t>
        </is>
      </c>
      <c r="D8472" s="20" t="inlineStr">
        <is>
          <t>페이스북/인스타그램</t>
        </is>
      </c>
      <c r="E8472" s="20" t="inlineStr">
        <is>
          <t>고체향수</t>
        </is>
      </c>
      <c r="K8472" s="20" t="n">
        <v>31436</v>
      </c>
    </row>
    <row r="8473">
      <c r="A8473" s="20" t="inlineStr">
        <is>
          <t>[승무원] 유튜브재편집_스테이포에버_영상</t>
        </is>
      </c>
      <c r="B8473" s="27" t="n">
        <v>44331</v>
      </c>
      <c r="C8473" s="20" t="inlineStr">
        <is>
          <t>토</t>
        </is>
      </c>
      <c r="D8473" s="20" t="inlineStr">
        <is>
          <t>페이스북/인스타그램</t>
        </is>
      </c>
      <c r="E8473" s="20" t="inlineStr">
        <is>
          <t>고체향수</t>
        </is>
      </c>
      <c r="K8473" s="20" t="n">
        <v>870870</v>
      </c>
    </row>
    <row r="8474">
      <c r="A8474" s="20" t="inlineStr">
        <is>
          <t>[승무원 면세점] 스테이포에버_카드뉴스</t>
        </is>
      </c>
      <c r="B8474" s="27" t="n">
        <v>44331</v>
      </c>
      <c r="C8474" s="20" t="inlineStr">
        <is>
          <t>토</t>
        </is>
      </c>
      <c r="D8474" s="20" t="inlineStr">
        <is>
          <t>페이스북/인스타그램</t>
        </is>
      </c>
      <c r="E8474" s="20" t="inlineStr">
        <is>
          <t>고체향수</t>
        </is>
      </c>
      <c r="K8474" s="20" t="n">
        <v>155115</v>
      </c>
    </row>
    <row r="8475">
      <c r="A8475" s="20" t="inlineStr">
        <is>
          <t>[카페알바] 스테이포에버_카드뉴스</t>
        </is>
      </c>
      <c r="B8475" s="27" t="n">
        <v>44331</v>
      </c>
      <c r="C8475" s="20" t="inlineStr">
        <is>
          <t>토</t>
        </is>
      </c>
      <c r="D8475" s="20" t="inlineStr">
        <is>
          <t>페이스북/인스타그램</t>
        </is>
      </c>
      <c r="E8475" s="20" t="inlineStr">
        <is>
          <t>고체향수</t>
        </is>
      </c>
      <c r="K8475" s="20" t="n">
        <v>110171</v>
      </c>
    </row>
    <row r="8476">
      <c r="A8476" s="20" t="inlineStr">
        <is>
          <t>[아줌마]스테이포에버_이미지</t>
        </is>
      </c>
      <c r="B8476" s="27" t="n">
        <v>44331</v>
      </c>
      <c r="C8476" s="20" t="inlineStr">
        <is>
          <t>토</t>
        </is>
      </c>
      <c r="D8476" s="20" t="inlineStr">
        <is>
          <t>페이스북/인스타그램</t>
        </is>
      </c>
      <c r="E8476" s="20" t="inlineStr">
        <is>
          <t>고체향수</t>
        </is>
      </c>
      <c r="K8476" s="20" t="n">
        <v>52655</v>
      </c>
    </row>
    <row r="8477">
      <c r="A8477" s="20" t="inlineStr">
        <is>
          <t>[다양한 키워드] 스테이포에버_이미지</t>
        </is>
      </c>
      <c r="B8477" s="27" t="n">
        <v>44331</v>
      </c>
      <c r="C8477" s="20" t="inlineStr">
        <is>
          <t>토</t>
        </is>
      </c>
      <c r="D8477" s="20" t="inlineStr">
        <is>
          <t>페이스북/인스타그램</t>
        </is>
      </c>
      <c r="E8477" s="20" t="inlineStr">
        <is>
          <t>고체향수</t>
        </is>
      </c>
      <c r="K8477" s="20" t="n">
        <v>140262</v>
      </c>
    </row>
    <row r="8478">
      <c r="A8478" s="20" t="inlineStr">
        <is>
          <t>[재입고]스테이포에버_이미지</t>
        </is>
      </c>
      <c r="B8478" s="27" t="n">
        <v>44331</v>
      </c>
      <c r="C8478" s="20" t="inlineStr">
        <is>
          <t>토</t>
        </is>
      </c>
      <c r="D8478" s="20" t="inlineStr">
        <is>
          <t>페이스북/인스타그램</t>
        </is>
      </c>
      <c r="E8478" s="20" t="inlineStr">
        <is>
          <t>고체향수</t>
        </is>
      </c>
      <c r="K8478" s="20" t="n">
        <v>52109</v>
      </c>
    </row>
    <row r="8479">
      <c r="A8479" s="20" t="inlineStr">
        <is>
          <t>[승무원]숏폼_영상</t>
        </is>
      </c>
      <c r="B8479" s="27" t="n">
        <v>44331</v>
      </c>
      <c r="C8479" s="20" t="inlineStr">
        <is>
          <t>토</t>
        </is>
      </c>
      <c r="D8479" s="20" t="inlineStr">
        <is>
          <t>페이스북/인스타그램</t>
        </is>
      </c>
      <c r="E8479" s="20" t="inlineStr">
        <is>
          <t>고체향수</t>
        </is>
      </c>
      <c r="K8479" s="20" t="n">
        <v>50880</v>
      </c>
    </row>
    <row r="8480">
      <c r="A8480" s="20" t="inlineStr">
        <is>
          <t>[재입고]스테이포에버_영상</t>
        </is>
      </c>
      <c r="B8480" s="27" t="n">
        <v>44331</v>
      </c>
      <c r="C8480" s="20" t="inlineStr">
        <is>
          <t>토</t>
        </is>
      </c>
      <c r="D8480" s="20" t="inlineStr">
        <is>
          <t>페이스북/인스타그램</t>
        </is>
      </c>
      <c r="E8480" s="20" t="inlineStr">
        <is>
          <t>고체향수</t>
        </is>
      </c>
      <c r="K8480" s="20" t="n">
        <v>208847</v>
      </c>
    </row>
    <row r="8481">
      <c r="A8481" s="20" t="inlineStr">
        <is>
          <t>[승무원]2019년썰 카드뉴스+ 향묘사_영상</t>
        </is>
      </c>
      <c r="B8481" s="27" t="n">
        <v>44331</v>
      </c>
      <c r="C8481" s="20" t="inlineStr">
        <is>
          <t>토</t>
        </is>
      </c>
      <c r="D8481" s="20" t="inlineStr">
        <is>
          <t>페이스북/인스타그램</t>
        </is>
      </c>
      <c r="E8481" s="20" t="inlineStr">
        <is>
          <t>고체향수</t>
        </is>
      </c>
      <c r="K8481" s="20" t="n">
        <v>30773</v>
      </c>
    </row>
    <row r="8482">
      <c r="A8482" s="20" t="inlineStr">
        <is>
          <t>[승무원어피]스테이포에버_이미지</t>
        </is>
      </c>
      <c r="B8482" s="27" t="n">
        <v>44331</v>
      </c>
      <c r="C8482" s="20" t="inlineStr">
        <is>
          <t>토</t>
        </is>
      </c>
      <c r="D8482" s="20" t="inlineStr">
        <is>
          <t>페이스북/인스타그램</t>
        </is>
      </c>
      <c r="E8482" s="20" t="inlineStr">
        <is>
          <t>고체향수</t>
        </is>
      </c>
      <c r="K8482" s="20" t="n">
        <v>111547</v>
      </c>
    </row>
    <row r="8483">
      <c r="A8483" s="20" t="inlineStr">
        <is>
          <t>[다현]스테이포에버_이미지</t>
        </is>
      </c>
      <c r="B8483" s="27" t="n">
        <v>44331</v>
      </c>
      <c r="C8483" s="20" t="inlineStr">
        <is>
          <t>토</t>
        </is>
      </c>
      <c r="D8483" s="20" t="inlineStr">
        <is>
          <t>페이스북/인스타그램</t>
        </is>
      </c>
      <c r="E8483" s="20" t="inlineStr">
        <is>
          <t>고체향수</t>
        </is>
      </c>
      <c r="K8483" s="20" t="n">
        <v>103266</v>
      </c>
    </row>
    <row r="8484">
      <c r="A8484" s="20" t="inlineStr">
        <is>
          <t>[후기타입]스테이포에버_영상</t>
        </is>
      </c>
      <c r="B8484" s="27" t="n">
        <v>44331</v>
      </c>
      <c r="C8484" s="20" t="inlineStr">
        <is>
          <t>토</t>
        </is>
      </c>
      <c r="D8484" s="20" t="inlineStr">
        <is>
          <t>페이스북/인스타그램</t>
        </is>
      </c>
      <c r="E8484" s="20" t="inlineStr">
        <is>
          <t>고체향수</t>
        </is>
      </c>
      <c r="K8484" s="20" t="n">
        <v>104125</v>
      </c>
    </row>
    <row r="8485">
      <c r="A8485" s="20" t="inlineStr">
        <is>
          <t>전환_스테이포에버</t>
        </is>
      </c>
      <c r="B8485" s="27" t="n">
        <v>44331</v>
      </c>
      <c r="C8485" s="20" t="inlineStr">
        <is>
          <t>토</t>
        </is>
      </c>
      <c r="D8485" s="20" t="inlineStr">
        <is>
          <t>페이스북/인스타그램</t>
        </is>
      </c>
      <c r="E8485" s="20" t="inlineStr">
        <is>
          <t>고체향수</t>
        </is>
      </c>
      <c r="K8485" s="20" t="n">
        <v>102708</v>
      </c>
    </row>
    <row r="8486">
      <c r="A8486" s="20" t="inlineStr">
        <is>
          <t>[권태기커플]스테이포에버_영상</t>
        </is>
      </c>
      <c r="B8486" s="27" t="n">
        <v>44331</v>
      </c>
      <c r="C8486" s="20" t="inlineStr">
        <is>
          <t>토</t>
        </is>
      </c>
      <c r="D8486" s="20" t="inlineStr">
        <is>
          <t>페이스북/인스타그램</t>
        </is>
      </c>
      <c r="E8486" s="20" t="inlineStr">
        <is>
          <t>고체향수</t>
        </is>
      </c>
      <c r="K8486" s="20" t="n">
        <v>31057</v>
      </c>
    </row>
    <row r="8487">
      <c r="A8487" s="20" t="inlineStr">
        <is>
          <t>[5월 프로모션] 솔리드퍼퓸_영상</t>
        </is>
      </c>
      <c r="B8487" s="27" t="n">
        <v>44332</v>
      </c>
      <c r="C8487" s="20" t="inlineStr">
        <is>
          <t>일</t>
        </is>
      </c>
      <c r="D8487" s="20" t="inlineStr">
        <is>
          <t>페이스북/인스타그램</t>
        </is>
      </c>
      <c r="E8487" s="20" t="inlineStr">
        <is>
          <t>고체향수</t>
        </is>
      </c>
      <c r="K8487" s="20" t="n">
        <v>100083</v>
      </c>
    </row>
    <row r="8488">
      <c r="A8488" s="20" t="inlineStr">
        <is>
          <t>[수현 TEST] 스테이포에버_카드뉴스</t>
        </is>
      </c>
      <c r="B8488" s="27" t="n">
        <v>44332</v>
      </c>
      <c r="C8488" s="20" t="inlineStr">
        <is>
          <t>일</t>
        </is>
      </c>
      <c r="D8488" s="20" t="inlineStr">
        <is>
          <t>페이스북/인스타그램</t>
        </is>
      </c>
      <c r="E8488" s="20" t="inlineStr">
        <is>
          <t>고체향수</t>
        </is>
      </c>
      <c r="K8488" s="20" t="n">
        <v>20248</v>
      </c>
    </row>
    <row r="8489">
      <c r="A8489" s="20" t="inlineStr">
        <is>
          <t>[수현 TEST] 솔리드퍼퓸_이미지</t>
        </is>
      </c>
      <c r="B8489" s="27" t="n">
        <v>44332</v>
      </c>
      <c r="C8489" s="20" t="inlineStr">
        <is>
          <t>일</t>
        </is>
      </c>
      <c r="D8489" s="20" t="inlineStr">
        <is>
          <t>페이스북/인스타그램</t>
        </is>
      </c>
      <c r="E8489" s="20" t="inlineStr">
        <is>
          <t>고체향수</t>
        </is>
      </c>
      <c r="K8489" s="20" t="n">
        <v>30268</v>
      </c>
    </row>
    <row r="8490">
      <c r="A8490" s="20" t="inlineStr">
        <is>
          <t>[승은 TEST] 스테이포에버</t>
        </is>
      </c>
      <c r="B8490" s="27" t="n">
        <v>44332</v>
      </c>
      <c r="C8490" s="20" t="inlineStr">
        <is>
          <t>일</t>
        </is>
      </c>
      <c r="D8490" s="20" t="inlineStr">
        <is>
          <t>페이스북/인스타그램</t>
        </is>
      </c>
      <c r="E8490" s="20" t="inlineStr">
        <is>
          <t>고체향수</t>
        </is>
      </c>
      <c r="K8490" s="20" t="n">
        <v>60855</v>
      </c>
    </row>
    <row r="8491">
      <c r="A8491" s="20" t="inlineStr">
        <is>
          <t>[비누향 덕후] 스테이포에버_카드뉴스</t>
        </is>
      </c>
      <c r="B8491" s="27" t="n">
        <v>44332</v>
      </c>
      <c r="C8491" s="20" t="inlineStr">
        <is>
          <t>일</t>
        </is>
      </c>
      <c r="D8491" s="20" t="inlineStr">
        <is>
          <t>페이스북/인스타그램</t>
        </is>
      </c>
      <c r="E8491" s="20" t="inlineStr">
        <is>
          <t>고체향수</t>
        </is>
      </c>
      <c r="K8491" s="20" t="n">
        <v>150379</v>
      </c>
    </row>
    <row r="8492">
      <c r="A8492" s="20" t="inlineStr">
        <is>
          <t>[비누향 인연] 스테이포에버_카드뉴스</t>
        </is>
      </c>
      <c r="B8492" s="27" t="n">
        <v>44332</v>
      </c>
      <c r="C8492" s="20" t="inlineStr">
        <is>
          <t>일</t>
        </is>
      </c>
      <c r="D8492" s="20" t="inlineStr">
        <is>
          <t>페이스북/인스타그램</t>
        </is>
      </c>
      <c r="E8492" s="20" t="inlineStr">
        <is>
          <t>고체향수</t>
        </is>
      </c>
      <c r="K8492" s="20" t="n">
        <v>30072</v>
      </c>
    </row>
    <row r="8493">
      <c r="A8493" s="20" t="inlineStr">
        <is>
          <t>[성민 TEST] 솔리드퍼퓸_이미지</t>
        </is>
      </c>
      <c r="B8493" s="27" t="n">
        <v>44332</v>
      </c>
      <c r="C8493" s="20" t="inlineStr">
        <is>
          <t>일</t>
        </is>
      </c>
      <c r="D8493" s="20" t="inlineStr">
        <is>
          <t>페이스북/인스타그램</t>
        </is>
      </c>
      <c r="E8493" s="20" t="inlineStr">
        <is>
          <t>고체향수</t>
        </is>
      </c>
      <c r="K8493" s="20" t="n">
        <v>30232</v>
      </c>
    </row>
    <row r="8494">
      <c r="A8494" s="20" t="inlineStr">
        <is>
          <t>[승무원]유튜브_스테이포에버_카드뉴스</t>
        </is>
      </c>
      <c r="B8494" s="27" t="n">
        <v>44332</v>
      </c>
      <c r="C8494" s="20" t="inlineStr">
        <is>
          <t>일</t>
        </is>
      </c>
      <c r="D8494" s="20" t="inlineStr">
        <is>
          <t>페이스북/인스타그램</t>
        </is>
      </c>
      <c r="E8494" s="20" t="inlineStr">
        <is>
          <t>고체향수</t>
        </is>
      </c>
      <c r="K8494" s="20" t="n">
        <v>100251</v>
      </c>
    </row>
    <row r="8495">
      <c r="A8495" s="20" t="inlineStr">
        <is>
          <t>[올리브영] 이그나이트_영상</t>
        </is>
      </c>
      <c r="B8495" s="27" t="n">
        <v>44332</v>
      </c>
      <c r="C8495" s="20" t="inlineStr">
        <is>
          <t>일</t>
        </is>
      </c>
      <c r="D8495" s="20" t="inlineStr">
        <is>
          <t>페이스북/인스타그램</t>
        </is>
      </c>
      <c r="E8495" s="20" t="inlineStr">
        <is>
          <t>고체향수</t>
        </is>
      </c>
      <c r="K8495" s="20" t="n">
        <v>30276</v>
      </c>
    </row>
    <row r="8496">
      <c r="A8496" s="20" t="inlineStr">
        <is>
          <t>[승희 TEST] 솔리드퍼퓸_이미지</t>
        </is>
      </c>
      <c r="B8496" s="27" t="n">
        <v>44332</v>
      </c>
      <c r="C8496" s="20" t="inlineStr">
        <is>
          <t>일</t>
        </is>
      </c>
      <c r="D8496" s="20" t="inlineStr">
        <is>
          <t>페이스북/인스타그램</t>
        </is>
      </c>
      <c r="E8496" s="20" t="inlineStr">
        <is>
          <t>고체향수</t>
        </is>
      </c>
      <c r="K8496" s="20" t="n">
        <v>191670</v>
      </c>
    </row>
    <row r="8497">
      <c r="A8497" s="20" t="inlineStr">
        <is>
          <t>[올리브영] 스테이포에버_영상</t>
        </is>
      </c>
      <c r="B8497" s="27" t="n">
        <v>44332</v>
      </c>
      <c r="C8497" s="20" t="inlineStr">
        <is>
          <t>일</t>
        </is>
      </c>
      <c r="D8497" s="20" t="inlineStr">
        <is>
          <t>페이스북/인스타그램</t>
        </is>
      </c>
      <c r="E8497" s="20" t="inlineStr">
        <is>
          <t>고체향수</t>
        </is>
      </c>
      <c r="K8497" s="20" t="n">
        <v>50462</v>
      </c>
    </row>
    <row r="8498">
      <c r="A8498" s="20" t="inlineStr">
        <is>
          <t>[올리브영] 스테이포에버_이미지</t>
        </is>
      </c>
      <c r="B8498" s="27" t="n">
        <v>44332</v>
      </c>
      <c r="C8498" s="20" t="inlineStr">
        <is>
          <t>일</t>
        </is>
      </c>
      <c r="D8498" s="20" t="inlineStr">
        <is>
          <t>페이스북/인스타그램</t>
        </is>
      </c>
      <c r="E8498" s="20" t="inlineStr">
        <is>
          <t>고체향수</t>
        </is>
      </c>
      <c r="K8498" s="20" t="n">
        <v>30199</v>
      </c>
    </row>
    <row r="8499">
      <c r="A8499" s="20" t="inlineStr">
        <is>
          <t>[승무원] 유튜브재편집_스테이포에버_영상</t>
        </is>
      </c>
      <c r="B8499" s="27" t="n">
        <v>44332</v>
      </c>
      <c r="C8499" s="20" t="inlineStr">
        <is>
          <t>일</t>
        </is>
      </c>
      <c r="D8499" s="20" t="inlineStr">
        <is>
          <t>페이스북/인스타그램</t>
        </is>
      </c>
      <c r="E8499" s="20" t="inlineStr">
        <is>
          <t>고체향수</t>
        </is>
      </c>
      <c r="K8499" s="20" t="n">
        <v>852590</v>
      </c>
    </row>
    <row r="8500">
      <c r="A8500" s="20" t="inlineStr">
        <is>
          <t>[승무원 면세점] 스테이포에버_카드뉴스</t>
        </is>
      </c>
      <c r="B8500" s="27" t="n">
        <v>44332</v>
      </c>
      <c r="C8500" s="20" t="inlineStr">
        <is>
          <t>일</t>
        </is>
      </c>
      <c r="D8500" s="20" t="inlineStr">
        <is>
          <t>페이스북/인스타그램</t>
        </is>
      </c>
      <c r="E8500" s="20" t="inlineStr">
        <is>
          <t>고체향수</t>
        </is>
      </c>
      <c r="K8500" s="20" t="n">
        <v>176841</v>
      </c>
    </row>
    <row r="8501">
      <c r="A8501" s="20" t="inlineStr">
        <is>
          <t>[카페알바] 스테이포에버_카드뉴스</t>
        </is>
      </c>
      <c r="B8501" s="27" t="n">
        <v>44332</v>
      </c>
      <c r="C8501" s="20" t="inlineStr">
        <is>
          <t>일</t>
        </is>
      </c>
      <c r="D8501" s="20" t="inlineStr">
        <is>
          <t>페이스북/인스타그램</t>
        </is>
      </c>
      <c r="E8501" s="20" t="inlineStr">
        <is>
          <t>고체향수</t>
        </is>
      </c>
      <c r="K8501" s="20" t="n">
        <v>169684</v>
      </c>
    </row>
    <row r="8502">
      <c r="A8502" s="20" t="inlineStr">
        <is>
          <t>[아줌마]스테이포에버_이미지</t>
        </is>
      </c>
      <c r="B8502" s="27" t="n">
        <v>44332</v>
      </c>
      <c r="C8502" s="20" t="inlineStr">
        <is>
          <t>일</t>
        </is>
      </c>
      <c r="D8502" s="20" t="inlineStr">
        <is>
          <t>페이스북/인스타그램</t>
        </is>
      </c>
      <c r="E8502" s="20" t="inlineStr">
        <is>
          <t>고체향수</t>
        </is>
      </c>
      <c r="K8502" s="20" t="n">
        <v>50285</v>
      </c>
    </row>
    <row r="8503">
      <c r="A8503" s="20" t="inlineStr">
        <is>
          <t>[다양한 키워드] 스테이포에버_이미지</t>
        </is>
      </c>
      <c r="B8503" s="27" t="n">
        <v>44332</v>
      </c>
      <c r="C8503" s="20" t="inlineStr">
        <is>
          <t>일</t>
        </is>
      </c>
      <c r="D8503" s="20" t="inlineStr">
        <is>
          <t>페이스북/인스타그램</t>
        </is>
      </c>
      <c r="E8503" s="20" t="inlineStr">
        <is>
          <t>고체향수</t>
        </is>
      </c>
      <c r="K8503" s="20" t="n">
        <v>130703</v>
      </c>
    </row>
    <row r="8504">
      <c r="A8504" s="20" t="inlineStr">
        <is>
          <t>[재입고]스테이포에버_이미지</t>
        </is>
      </c>
      <c r="B8504" s="27" t="n">
        <v>44332</v>
      </c>
      <c r="C8504" s="20" t="inlineStr">
        <is>
          <t>일</t>
        </is>
      </c>
      <c r="D8504" s="20" t="inlineStr">
        <is>
          <t>페이스북/인스타그램</t>
        </is>
      </c>
      <c r="E8504" s="20" t="inlineStr">
        <is>
          <t>고체향수</t>
        </is>
      </c>
      <c r="K8504" s="20" t="n">
        <v>50204</v>
      </c>
    </row>
    <row r="8505">
      <c r="A8505" s="20" t="inlineStr">
        <is>
          <t>[승무원]숏폼_영상</t>
        </is>
      </c>
      <c r="B8505" s="27" t="n">
        <v>44332</v>
      </c>
      <c r="C8505" s="20" t="inlineStr">
        <is>
          <t>일</t>
        </is>
      </c>
      <c r="D8505" s="20" t="inlineStr">
        <is>
          <t>페이스북/인스타그램</t>
        </is>
      </c>
      <c r="E8505" s="20" t="inlineStr">
        <is>
          <t>고체향수</t>
        </is>
      </c>
      <c r="K8505" s="20" t="n">
        <v>50858</v>
      </c>
    </row>
    <row r="8506">
      <c r="A8506" s="20" t="inlineStr">
        <is>
          <t>[재입고]스테이포에버_영상</t>
        </is>
      </c>
      <c r="B8506" s="27" t="n">
        <v>44332</v>
      </c>
      <c r="C8506" s="20" t="inlineStr">
        <is>
          <t>일</t>
        </is>
      </c>
      <c r="D8506" s="20" t="inlineStr">
        <is>
          <t>페이스북/인스타그램</t>
        </is>
      </c>
      <c r="E8506" s="20" t="inlineStr">
        <is>
          <t>고체향수</t>
        </is>
      </c>
      <c r="K8506" s="20" t="n">
        <v>201007</v>
      </c>
    </row>
    <row r="8507">
      <c r="A8507" s="20" t="inlineStr">
        <is>
          <t>[승무원]2019년썰 카드뉴스+ 향묘사_영상</t>
        </is>
      </c>
      <c r="B8507" s="27" t="n">
        <v>44332</v>
      </c>
      <c r="C8507" s="20" t="inlineStr">
        <is>
          <t>일</t>
        </is>
      </c>
      <c r="D8507" s="20" t="inlineStr">
        <is>
          <t>페이스북/인스타그램</t>
        </is>
      </c>
      <c r="E8507" s="20" t="inlineStr">
        <is>
          <t>고체향수</t>
        </is>
      </c>
      <c r="K8507" s="20" t="n">
        <v>30259</v>
      </c>
    </row>
    <row r="8508">
      <c r="A8508" s="20" t="inlineStr">
        <is>
          <t>[승무원어피]스테이포에버_이미지</t>
        </is>
      </c>
      <c r="B8508" s="27" t="n">
        <v>44332</v>
      </c>
      <c r="C8508" s="20" t="inlineStr">
        <is>
          <t>일</t>
        </is>
      </c>
      <c r="D8508" s="20" t="inlineStr">
        <is>
          <t>페이스북/인스타그램</t>
        </is>
      </c>
      <c r="E8508" s="20" t="inlineStr">
        <is>
          <t>고체향수</t>
        </is>
      </c>
      <c r="K8508" s="20" t="n">
        <v>151176</v>
      </c>
    </row>
    <row r="8509">
      <c r="A8509" s="20" t="inlineStr">
        <is>
          <t>[다현]스테이포에버_이미지</t>
        </is>
      </c>
      <c r="B8509" s="27" t="n">
        <v>44332</v>
      </c>
      <c r="C8509" s="20" t="inlineStr">
        <is>
          <t>일</t>
        </is>
      </c>
      <c r="D8509" s="20" t="inlineStr">
        <is>
          <t>페이스북/인스타그램</t>
        </is>
      </c>
      <c r="E8509" s="20" t="inlineStr">
        <is>
          <t>고체향수</t>
        </is>
      </c>
      <c r="K8509" s="20" t="n">
        <v>100974</v>
      </c>
    </row>
    <row r="8510">
      <c r="A8510" s="20" t="inlineStr">
        <is>
          <t>[후기타입]스테이포에버_영상</t>
        </is>
      </c>
      <c r="B8510" s="27" t="n">
        <v>44332</v>
      </c>
      <c r="C8510" s="20" t="inlineStr">
        <is>
          <t>일</t>
        </is>
      </c>
      <c r="D8510" s="20" t="inlineStr">
        <is>
          <t>페이스북/인스타그램</t>
        </is>
      </c>
      <c r="E8510" s="20" t="inlineStr">
        <is>
          <t>고체향수</t>
        </is>
      </c>
      <c r="K8510" s="20" t="n">
        <v>101013</v>
      </c>
    </row>
    <row r="8511">
      <c r="A8511" s="20" t="inlineStr">
        <is>
          <t>전환_스테이포에버</t>
        </is>
      </c>
      <c r="B8511" s="27" t="n">
        <v>44332</v>
      </c>
      <c r="C8511" s="20" t="inlineStr">
        <is>
          <t>일</t>
        </is>
      </c>
      <c r="D8511" s="20" t="inlineStr">
        <is>
          <t>페이스북/인스타그램</t>
        </is>
      </c>
      <c r="E8511" s="20" t="inlineStr">
        <is>
          <t>고체향수</t>
        </is>
      </c>
      <c r="K8511" s="20" t="n">
        <v>85934</v>
      </c>
    </row>
    <row r="8512">
      <c r="A8512" s="20" t="inlineStr">
        <is>
          <t>[권태기커플]스테이포에버_영상</t>
        </is>
      </c>
      <c r="B8512" s="27" t="n">
        <v>44332</v>
      </c>
      <c r="C8512" s="20" t="inlineStr">
        <is>
          <t>일</t>
        </is>
      </c>
      <c r="D8512" s="20" t="inlineStr">
        <is>
          <t>페이스북/인스타그램</t>
        </is>
      </c>
      <c r="E8512" s="20" t="inlineStr">
        <is>
          <t>고체향수</t>
        </is>
      </c>
      <c r="K8512" s="20" t="n">
        <v>30229</v>
      </c>
    </row>
    <row r="8513">
      <c r="A8513" s="20" t="inlineStr">
        <is>
          <t>웹사이트 트래픽 서치</t>
        </is>
      </c>
      <c r="B8513" s="27" t="n">
        <v>44330</v>
      </c>
      <c r="C8513" s="20" t="inlineStr">
        <is>
          <t>금</t>
        </is>
      </c>
      <c r="D8513" s="20" t="inlineStr">
        <is>
          <t>유튜브 광고</t>
        </is>
      </c>
      <c r="E8513" s="20" t="inlineStr">
        <is>
          <t>고체향수</t>
        </is>
      </c>
      <c r="K8513" s="20" t="n">
        <v>24999</v>
      </c>
    </row>
    <row r="8514">
      <c r="A8514" s="20" t="inlineStr">
        <is>
          <t>디스커버리 배너_승무원,할인_리마케팅</t>
        </is>
      </c>
      <c r="B8514" s="27" t="n">
        <v>44330</v>
      </c>
      <c r="C8514" s="20" t="inlineStr">
        <is>
          <t>금</t>
        </is>
      </c>
      <c r="D8514" s="20" t="inlineStr">
        <is>
          <t>유튜브 광고</t>
        </is>
      </c>
      <c r="E8514" s="20" t="inlineStr">
        <is>
          <t>고체향수</t>
        </is>
      </c>
      <c r="K8514" s="20" t="n">
        <v>886096</v>
      </c>
    </row>
    <row r="8515">
      <c r="A8515" s="20" t="inlineStr">
        <is>
          <t>[5화자] 동영상 캠페인_벨라의 비행일기</t>
        </is>
      </c>
      <c r="B8515" s="27" t="n">
        <v>44330</v>
      </c>
      <c r="C8515" s="20" t="inlineStr">
        <is>
          <t>금</t>
        </is>
      </c>
      <c r="D8515" s="20" t="inlineStr">
        <is>
          <t>유튜브 광고</t>
        </is>
      </c>
      <c r="E8515" s="20" t="inlineStr">
        <is>
          <t>고체향수</t>
        </is>
      </c>
      <c r="K8515" s="20" t="n">
        <v>299623</v>
      </c>
    </row>
    <row r="8516">
      <c r="A8516" s="20" t="inlineStr">
        <is>
          <t>[5화자] 동영상 캠페인_비행하고 여행하는 은선씨</t>
        </is>
      </c>
      <c r="B8516" s="27" t="n">
        <v>44330</v>
      </c>
      <c r="C8516" s="20" t="inlineStr">
        <is>
          <t>금</t>
        </is>
      </c>
      <c r="D8516" s="20" t="inlineStr">
        <is>
          <t>유튜브 광고</t>
        </is>
      </c>
      <c r="E8516" s="20" t="inlineStr">
        <is>
          <t>고체향수</t>
        </is>
      </c>
      <c r="K8516" s="20" t="n">
        <v>200273</v>
      </c>
    </row>
    <row r="8517">
      <c r="A8517" s="20" t="inlineStr">
        <is>
          <t>[5화자 재편집] 승무원_벨라_면세점에서 천만원</t>
        </is>
      </c>
      <c r="B8517" s="27" t="n">
        <v>44330</v>
      </c>
      <c r="C8517" s="20" t="inlineStr">
        <is>
          <t>금</t>
        </is>
      </c>
      <c r="D8517" s="20" t="inlineStr">
        <is>
          <t>유튜브 광고</t>
        </is>
      </c>
      <c r="E8517" s="20" t="inlineStr">
        <is>
          <t>고체향수</t>
        </is>
      </c>
      <c r="K8517" s="20" t="n">
        <v>400209</v>
      </c>
    </row>
    <row r="8518">
      <c r="A8518" s="20" t="inlineStr">
        <is>
          <t>동영상캠페인_유즈모먼트_면세점뒤졌는데</t>
        </is>
      </c>
      <c r="B8518" s="27" t="n">
        <v>44330</v>
      </c>
      <c r="C8518" s="20" t="inlineStr">
        <is>
          <t>금</t>
        </is>
      </c>
      <c r="D8518" s="20" t="inlineStr">
        <is>
          <t>유튜브 광고</t>
        </is>
      </c>
      <c r="E8518" s="20" t="inlineStr">
        <is>
          <t>고체향수</t>
        </is>
      </c>
      <c r="K8518" s="20" t="n">
        <v>199784</v>
      </c>
    </row>
    <row r="8519">
      <c r="A8519" s="20" t="inlineStr">
        <is>
          <t>웹사이트 트래픽 서치</t>
        </is>
      </c>
      <c r="B8519" s="27" t="n">
        <v>44331</v>
      </c>
      <c r="C8519" s="20" t="inlineStr">
        <is>
          <t>토</t>
        </is>
      </c>
      <c r="D8519" s="20" t="inlineStr">
        <is>
          <t>유튜브 광고</t>
        </is>
      </c>
      <c r="E8519" s="20" t="inlineStr">
        <is>
          <t>고체향수</t>
        </is>
      </c>
      <c r="K8519" s="20" t="n">
        <v>14395</v>
      </c>
    </row>
    <row r="8520">
      <c r="A8520" s="20" t="inlineStr">
        <is>
          <t>디스커버리 배너_승무원,할인_리마케팅</t>
        </is>
      </c>
      <c r="B8520" s="27" t="n">
        <v>44331</v>
      </c>
      <c r="C8520" s="20" t="inlineStr">
        <is>
          <t>토</t>
        </is>
      </c>
      <c r="D8520" s="20" t="inlineStr">
        <is>
          <t>유튜브 광고</t>
        </is>
      </c>
      <c r="E8520" s="20" t="inlineStr">
        <is>
          <t>고체향수</t>
        </is>
      </c>
      <c r="K8520" s="20" t="n">
        <v>613123</v>
      </c>
    </row>
    <row r="8521">
      <c r="A8521" s="20" t="inlineStr">
        <is>
          <t>[5화자] 동영상 캠페인_벨라의 비행일기</t>
        </is>
      </c>
      <c r="B8521" s="27" t="n">
        <v>44331</v>
      </c>
      <c r="C8521" s="20" t="inlineStr">
        <is>
          <t>토</t>
        </is>
      </c>
      <c r="D8521" s="20" t="inlineStr">
        <is>
          <t>유튜브 광고</t>
        </is>
      </c>
      <c r="E8521" s="20" t="inlineStr">
        <is>
          <t>고체향수</t>
        </is>
      </c>
      <c r="K8521" s="20" t="n">
        <v>300290</v>
      </c>
    </row>
    <row r="8522">
      <c r="A8522" s="20" t="inlineStr">
        <is>
          <t>[5화자] 동영상 캠페인_비행하고 여행하는 은선씨</t>
        </is>
      </c>
      <c r="B8522" s="27" t="n">
        <v>44331</v>
      </c>
      <c r="C8522" s="20" t="inlineStr">
        <is>
          <t>토</t>
        </is>
      </c>
      <c r="D8522" s="20" t="inlineStr">
        <is>
          <t>유튜브 광고</t>
        </is>
      </c>
      <c r="E8522" s="20" t="inlineStr">
        <is>
          <t>고체향수</t>
        </is>
      </c>
      <c r="K8522" s="20" t="n">
        <v>299656</v>
      </c>
    </row>
    <row r="8523">
      <c r="A8523" s="20" t="inlineStr">
        <is>
          <t>[5화자 재편집] 승무원_벨라_면세점에서 천만원</t>
        </is>
      </c>
      <c r="B8523" s="27" t="n">
        <v>44331</v>
      </c>
      <c r="C8523" s="20" t="inlineStr">
        <is>
          <t>토</t>
        </is>
      </c>
      <c r="D8523" s="20" t="inlineStr">
        <is>
          <t>유튜브 광고</t>
        </is>
      </c>
      <c r="E8523" s="20" t="inlineStr">
        <is>
          <t>고체향수</t>
        </is>
      </c>
      <c r="K8523" s="20" t="n">
        <v>399997</v>
      </c>
    </row>
    <row r="8524">
      <c r="A8524" s="20" t="inlineStr">
        <is>
          <t>동영상캠페인_유즈모먼트_면세점뒤졌는데</t>
        </is>
      </c>
      <c r="B8524" s="27" t="n">
        <v>44331</v>
      </c>
      <c r="C8524" s="20" t="inlineStr">
        <is>
          <t>토</t>
        </is>
      </c>
      <c r="D8524" s="20" t="inlineStr">
        <is>
          <t>유튜브 광고</t>
        </is>
      </c>
      <c r="E8524" s="20" t="inlineStr">
        <is>
          <t>고체향수</t>
        </is>
      </c>
      <c r="K8524" s="20" t="n">
        <v>299761</v>
      </c>
    </row>
    <row r="8525">
      <c r="A8525" s="20" t="inlineStr">
        <is>
          <t>웹사이트 트래픽 서치</t>
        </is>
      </c>
      <c r="B8525" s="27" t="n">
        <v>44332</v>
      </c>
      <c r="C8525" s="20" t="inlineStr">
        <is>
          <t>일</t>
        </is>
      </c>
      <c r="D8525" s="20" t="inlineStr">
        <is>
          <t>유튜브 광고</t>
        </is>
      </c>
      <c r="E8525" s="20" t="inlineStr">
        <is>
          <t>고체향수</t>
        </is>
      </c>
      <c r="K8525" s="20" t="n">
        <v>36804</v>
      </c>
    </row>
    <row r="8526">
      <c r="A8526" s="20" t="inlineStr">
        <is>
          <t>디스커버리 배너_승무원,할인_리마케팅</t>
        </is>
      </c>
      <c r="B8526" s="27" t="n">
        <v>44332</v>
      </c>
      <c r="C8526" s="20" t="inlineStr">
        <is>
          <t>일</t>
        </is>
      </c>
      <c r="D8526" s="20" t="inlineStr">
        <is>
          <t>유튜브 광고</t>
        </is>
      </c>
      <c r="E8526" s="20" t="inlineStr">
        <is>
          <t>고체향수</t>
        </is>
      </c>
      <c r="K8526" s="20" t="n">
        <v>614121</v>
      </c>
    </row>
    <row r="8527">
      <c r="A8527" s="20" t="inlineStr">
        <is>
          <t>[5화자] 동영상 캠페인_벨라의 비행일기</t>
        </is>
      </c>
      <c r="B8527" s="27" t="n">
        <v>44332</v>
      </c>
      <c r="C8527" s="20" t="inlineStr">
        <is>
          <t>일</t>
        </is>
      </c>
      <c r="D8527" s="20" t="inlineStr">
        <is>
          <t>유튜브 광고</t>
        </is>
      </c>
      <c r="E8527" s="20" t="inlineStr">
        <is>
          <t>고체향수</t>
        </is>
      </c>
      <c r="K8527" s="20" t="n">
        <v>300693</v>
      </c>
    </row>
    <row r="8528">
      <c r="A8528" s="20" t="inlineStr">
        <is>
          <t>[5화자] 동영상 캠페인_비행하고 여행하는 은선씨</t>
        </is>
      </c>
      <c r="B8528" s="27" t="n">
        <v>44332</v>
      </c>
      <c r="C8528" s="20" t="inlineStr">
        <is>
          <t>일</t>
        </is>
      </c>
      <c r="D8528" s="20" t="inlineStr">
        <is>
          <t>유튜브 광고</t>
        </is>
      </c>
      <c r="E8528" s="20" t="inlineStr">
        <is>
          <t>고체향수</t>
        </is>
      </c>
      <c r="K8528" s="20" t="n">
        <v>300164</v>
      </c>
    </row>
    <row r="8529">
      <c r="A8529" s="20" t="inlineStr">
        <is>
          <t>[5화자 재편집] 승무원_벨라_면세점에서 천만원</t>
        </is>
      </c>
      <c r="B8529" s="27" t="n">
        <v>44332</v>
      </c>
      <c r="C8529" s="20" t="inlineStr">
        <is>
          <t>일</t>
        </is>
      </c>
      <c r="D8529" s="20" t="inlineStr">
        <is>
          <t>유튜브 광고</t>
        </is>
      </c>
      <c r="E8529" s="20" t="inlineStr">
        <is>
          <t>고체향수</t>
        </is>
      </c>
      <c r="K8529" s="20" t="n">
        <v>400547</v>
      </c>
    </row>
    <row r="8530">
      <c r="A8530" s="20" t="inlineStr">
        <is>
          <t>동영상캠페인_유즈모먼트_면세점뒤졌는데</t>
        </is>
      </c>
      <c r="B8530" s="27" t="n">
        <v>44332</v>
      </c>
      <c r="C8530" s="20" t="inlineStr">
        <is>
          <t>일</t>
        </is>
      </c>
      <c r="D8530" s="20" t="inlineStr">
        <is>
          <t>유튜브 광고</t>
        </is>
      </c>
      <c r="E8530" s="20" t="inlineStr">
        <is>
          <t>고체향수</t>
        </is>
      </c>
      <c r="K8530" s="20" t="n">
        <v>300186</v>
      </c>
    </row>
    <row r="8531">
      <c r="A8531" s="20" t="inlineStr">
        <is>
          <t>메인키워드</t>
        </is>
      </c>
      <c r="B8531" s="27" t="n">
        <v>44332</v>
      </c>
      <c r="C8531" s="20" t="inlineStr">
        <is>
          <t>일</t>
        </is>
      </c>
      <c r="D8531" s="20" t="inlineStr">
        <is>
          <t>네이버 쇼핑검색</t>
        </is>
      </c>
      <c r="E8531" s="20" t="inlineStr">
        <is>
          <t>고체향수</t>
        </is>
      </c>
      <c r="K8531" s="20" t="n">
        <v>32310</v>
      </c>
    </row>
    <row r="8532">
      <c r="A8532" s="20" t="inlineStr">
        <is>
          <t>세부키워드1</t>
        </is>
      </c>
      <c r="B8532" s="27" t="n">
        <v>44332</v>
      </c>
      <c r="C8532" s="20" t="inlineStr">
        <is>
          <t>일</t>
        </is>
      </c>
      <c r="D8532" s="20" t="inlineStr">
        <is>
          <t>네이버 쇼핑검색</t>
        </is>
      </c>
      <c r="E8532" s="20" t="inlineStr">
        <is>
          <t>고체향수</t>
        </is>
      </c>
      <c r="K8532" s="20" t="n">
        <v>0</v>
      </c>
    </row>
    <row r="8533">
      <c r="A8533" s="20" t="inlineStr">
        <is>
          <t>세부키워드3</t>
        </is>
      </c>
      <c r="B8533" s="27" t="n">
        <v>44332</v>
      </c>
      <c r="C8533" s="20" t="inlineStr">
        <is>
          <t>일</t>
        </is>
      </c>
      <c r="D8533" s="20" t="inlineStr">
        <is>
          <t>네이버 쇼핑검색</t>
        </is>
      </c>
      <c r="E8533" s="20" t="inlineStr">
        <is>
          <t>고체향수</t>
        </is>
      </c>
      <c r="K8533" s="20" t="n">
        <v>105830</v>
      </c>
    </row>
    <row r="8534">
      <c r="A8534" s="20" t="inlineStr">
        <is>
          <t>모바일 브검</t>
        </is>
      </c>
      <c r="B8534" s="27" t="n">
        <v>44332</v>
      </c>
      <c r="C8534" s="20" t="inlineStr">
        <is>
          <t>일</t>
        </is>
      </c>
      <c r="D8534" s="20" t="inlineStr">
        <is>
          <t>네이버 브랜드검색</t>
        </is>
      </c>
      <c r="E8534" s="20" t="inlineStr">
        <is>
          <t>브랜드</t>
        </is>
      </c>
      <c r="K8534" s="20" t="n">
        <v>88000</v>
      </c>
    </row>
    <row r="8535">
      <c r="A8535" s="20" t="inlineStr">
        <is>
          <t>PC 브랜드검색</t>
        </is>
      </c>
      <c r="B8535" s="27" t="n">
        <v>44332</v>
      </c>
      <c r="C8535" s="20" t="inlineStr">
        <is>
          <t>일</t>
        </is>
      </c>
      <c r="D8535" s="20" t="inlineStr">
        <is>
          <t>네이버 브랜드검색</t>
        </is>
      </c>
      <c r="E8535" s="20" t="inlineStr">
        <is>
          <t>브랜드</t>
        </is>
      </c>
      <c r="K8535" s="20" t="n">
        <v>16700</v>
      </c>
    </row>
    <row r="8536">
      <c r="A8536" s="20" t="inlineStr">
        <is>
          <t>메인키워드</t>
        </is>
      </c>
      <c r="B8536" s="27" t="n">
        <v>44331</v>
      </c>
      <c r="C8536" s="20" t="inlineStr">
        <is>
          <t>토</t>
        </is>
      </c>
      <c r="D8536" s="20" t="inlineStr">
        <is>
          <t>네이버 쇼핑검색</t>
        </is>
      </c>
      <c r="E8536" s="20" t="inlineStr">
        <is>
          <t>고체향수</t>
        </is>
      </c>
      <c r="K8536" s="20" t="n">
        <v>14650</v>
      </c>
    </row>
    <row r="8537">
      <c r="A8537" s="20" t="inlineStr">
        <is>
          <t>세부키워드1</t>
        </is>
      </c>
      <c r="B8537" s="27" t="n">
        <v>44331</v>
      </c>
      <c r="C8537" s="20" t="inlineStr">
        <is>
          <t>토</t>
        </is>
      </c>
      <c r="D8537" s="20" t="inlineStr">
        <is>
          <t>네이버 쇼핑검색</t>
        </is>
      </c>
      <c r="E8537" s="20" t="inlineStr">
        <is>
          <t>고체향수</t>
        </is>
      </c>
      <c r="K8537" s="20" t="n">
        <v>0</v>
      </c>
    </row>
    <row r="8538">
      <c r="A8538" s="20" t="inlineStr">
        <is>
          <t>세부키워드3</t>
        </is>
      </c>
      <c r="B8538" s="27" t="n">
        <v>44331</v>
      </c>
      <c r="C8538" s="20" t="inlineStr">
        <is>
          <t>토</t>
        </is>
      </c>
      <c r="D8538" s="20" t="inlineStr">
        <is>
          <t>네이버 쇼핑검색</t>
        </is>
      </c>
      <c r="E8538" s="20" t="inlineStr">
        <is>
          <t>고체향수</t>
        </is>
      </c>
      <c r="K8538" s="20" t="n">
        <v>123360</v>
      </c>
    </row>
    <row r="8539">
      <c r="A8539" s="20" t="inlineStr">
        <is>
          <t>모바일 브검</t>
        </is>
      </c>
      <c r="B8539" s="27" t="n">
        <v>44331</v>
      </c>
      <c r="C8539" s="20" t="inlineStr">
        <is>
          <t>토</t>
        </is>
      </c>
      <c r="D8539" s="20" t="inlineStr">
        <is>
          <t>네이버 브랜드검색</t>
        </is>
      </c>
      <c r="E8539" s="20" t="inlineStr">
        <is>
          <t>브랜드</t>
        </is>
      </c>
      <c r="K8539" s="20" t="n">
        <v>88000</v>
      </c>
    </row>
    <row r="8540">
      <c r="A8540" s="20" t="inlineStr">
        <is>
          <t>PC 브랜드검색</t>
        </is>
      </c>
      <c r="B8540" s="27" t="n">
        <v>44331</v>
      </c>
      <c r="C8540" s="20" t="inlineStr">
        <is>
          <t>토</t>
        </is>
      </c>
      <c r="D8540" s="20" t="inlineStr">
        <is>
          <t>네이버 브랜드검색</t>
        </is>
      </c>
      <c r="E8540" s="20" t="inlineStr">
        <is>
          <t>브랜드</t>
        </is>
      </c>
      <c r="K8540" s="20" t="n">
        <v>16700</v>
      </c>
    </row>
    <row r="8541">
      <c r="A8541" s="20" t="inlineStr">
        <is>
          <t>메인키워드</t>
        </is>
      </c>
      <c r="B8541" s="27" t="n">
        <v>44330</v>
      </c>
      <c r="C8541" s="20" t="inlineStr">
        <is>
          <t>금</t>
        </is>
      </c>
      <c r="D8541" s="20" t="inlineStr">
        <is>
          <t>네이버 쇼핑검색</t>
        </is>
      </c>
      <c r="E8541" s="20" t="inlineStr">
        <is>
          <t>고체향수</t>
        </is>
      </c>
      <c r="K8541" s="20" t="n">
        <v>26150</v>
      </c>
    </row>
    <row r="8542">
      <c r="A8542" s="20" t="inlineStr">
        <is>
          <t>세부키워드1</t>
        </is>
      </c>
      <c r="B8542" s="27" t="n">
        <v>44330</v>
      </c>
      <c r="C8542" s="20" t="inlineStr">
        <is>
          <t>금</t>
        </is>
      </c>
      <c r="D8542" s="20" t="inlineStr">
        <is>
          <t>네이버 쇼핑검색</t>
        </is>
      </c>
      <c r="E8542" s="20" t="inlineStr">
        <is>
          <t>고체향수</t>
        </is>
      </c>
      <c r="K8542" s="20" t="n">
        <v>0</v>
      </c>
    </row>
    <row r="8543">
      <c r="A8543" s="20" t="inlineStr">
        <is>
          <t>세부키워드3</t>
        </is>
      </c>
      <c r="B8543" s="27" t="n">
        <v>44330</v>
      </c>
      <c r="C8543" s="20" t="inlineStr">
        <is>
          <t>금</t>
        </is>
      </c>
      <c r="D8543" s="20" t="inlineStr">
        <is>
          <t>네이버 쇼핑검색</t>
        </is>
      </c>
      <c r="E8543" s="20" t="inlineStr">
        <is>
          <t>고체향수</t>
        </is>
      </c>
      <c r="K8543" s="20" t="n">
        <v>109720</v>
      </c>
    </row>
    <row r="8544">
      <c r="A8544" s="20" t="inlineStr">
        <is>
          <t>모바일 브검</t>
        </is>
      </c>
      <c r="B8544" s="27" t="n">
        <v>44330</v>
      </c>
      <c r="C8544" s="20" t="inlineStr">
        <is>
          <t>금</t>
        </is>
      </c>
      <c r="D8544" s="20" t="inlineStr">
        <is>
          <t>네이버 브랜드검색</t>
        </is>
      </c>
      <c r="E8544" s="20" t="inlineStr">
        <is>
          <t>브랜드</t>
        </is>
      </c>
      <c r="K8544" s="20" t="n">
        <v>88000</v>
      </c>
    </row>
    <row r="8545">
      <c r="A8545" s="20" t="inlineStr">
        <is>
          <t>PC 브랜드검색</t>
        </is>
      </c>
      <c r="B8545" s="27" t="n">
        <v>44330</v>
      </c>
      <c r="C8545" s="20" t="inlineStr">
        <is>
          <t>금</t>
        </is>
      </c>
      <c r="D8545" s="20" t="inlineStr">
        <is>
          <t>네이버 브랜드검색</t>
        </is>
      </c>
      <c r="E8545" s="20" t="inlineStr">
        <is>
          <t>브랜드</t>
        </is>
      </c>
      <c r="K8545" s="20" t="n">
        <v>16700</v>
      </c>
    </row>
    <row r="8546">
      <c r="A8546" s="20" t="inlineStr">
        <is>
          <t>고체향수_승무원 어피_Npay 추적</t>
        </is>
      </c>
      <c r="B8546" s="27" t="n">
        <v>44330</v>
      </c>
      <c r="C8546" s="20" t="inlineStr">
        <is>
          <t>금</t>
        </is>
      </c>
      <c r="D8546" s="20" t="inlineStr">
        <is>
          <t>카카오 배너</t>
        </is>
      </c>
      <c r="E8546" s="20" t="inlineStr">
        <is>
          <t>고체향수</t>
        </is>
      </c>
      <c r="K8546" s="20" t="n">
        <v>91119.99999999999</v>
      </c>
    </row>
    <row r="8547">
      <c r="A8547" s="20" t="inlineStr">
        <is>
          <t>고체향수_Npay 추적</t>
        </is>
      </c>
      <c r="B8547" s="27" t="n">
        <v>44330</v>
      </c>
      <c r="C8547" s="20" t="inlineStr">
        <is>
          <t>금</t>
        </is>
      </c>
      <c r="D8547" s="20" t="inlineStr">
        <is>
          <t>카카오 배너</t>
        </is>
      </c>
      <c r="E8547" s="20" t="inlineStr">
        <is>
          <t>고체향수</t>
        </is>
      </c>
      <c r="K8547" s="20" t="n">
        <v>728769.9999999999</v>
      </c>
    </row>
    <row r="8548">
      <c r="A8548" s="20" t="inlineStr">
        <is>
          <t>고체향수_승무원 어피_Npay 추적</t>
        </is>
      </c>
      <c r="B8548" s="27" t="n">
        <v>44331</v>
      </c>
      <c r="C8548" s="20" t="inlineStr">
        <is>
          <t>토</t>
        </is>
      </c>
      <c r="D8548" s="20" t="inlineStr">
        <is>
          <t>카카오 배너</t>
        </is>
      </c>
      <c r="E8548" s="20" t="inlineStr">
        <is>
          <t>고체향수</t>
        </is>
      </c>
      <c r="K8548" s="20" t="n">
        <v>91119.99999999999</v>
      </c>
    </row>
    <row r="8549">
      <c r="A8549" s="20" t="inlineStr">
        <is>
          <t>고체향수_Npay 추적</t>
        </is>
      </c>
      <c r="B8549" s="27" t="n">
        <v>44331</v>
      </c>
      <c r="C8549" s="20" t="inlineStr">
        <is>
          <t>토</t>
        </is>
      </c>
      <c r="D8549" s="20" t="inlineStr">
        <is>
          <t>카카오 배너</t>
        </is>
      </c>
      <c r="E8549" s="20" t="inlineStr">
        <is>
          <t>고체향수</t>
        </is>
      </c>
      <c r="K8549" s="20" t="n">
        <v>730659.9999999999</v>
      </c>
    </row>
    <row r="8550">
      <c r="A8550" s="20" t="inlineStr">
        <is>
          <t>고체향수_승무원 어피_Npay 추적</t>
        </is>
      </c>
      <c r="B8550" s="27" t="n">
        <v>44332</v>
      </c>
      <c r="C8550" s="20" t="inlineStr">
        <is>
          <t>일</t>
        </is>
      </c>
      <c r="D8550" s="20" t="inlineStr">
        <is>
          <t>카카오 배너</t>
        </is>
      </c>
      <c r="E8550" s="20" t="inlineStr">
        <is>
          <t>고체향수</t>
        </is>
      </c>
      <c r="K8550" s="20" t="n">
        <v>91459.99999999999</v>
      </c>
    </row>
    <row r="8551">
      <c r="A8551" s="20" t="inlineStr">
        <is>
          <t>고체향수_Npay 추적</t>
        </is>
      </c>
      <c r="B8551" s="27" t="n">
        <v>44332</v>
      </c>
      <c r="C8551" s="20" t="inlineStr">
        <is>
          <t>일</t>
        </is>
      </c>
      <c r="D8551" s="20" t="inlineStr">
        <is>
          <t>카카오 배너</t>
        </is>
      </c>
      <c r="E8551" s="20" t="inlineStr">
        <is>
          <t>고체향수</t>
        </is>
      </c>
      <c r="K8551" s="20" t="n">
        <v>728829.9999999999</v>
      </c>
    </row>
    <row r="8552">
      <c r="B8552" s="27" t="n">
        <v>44330</v>
      </c>
      <c r="C8552" s="20" t="inlineStr">
        <is>
          <t>금</t>
        </is>
      </c>
      <c r="E8552" s="20" t="inlineStr">
        <is>
          <t>고체향수</t>
        </is>
      </c>
      <c r="F8552" s="20" t="inlineStr">
        <is>
          <t>스마트스토어</t>
        </is>
      </c>
      <c r="G8552" s="20" t="inlineStr">
        <is>
          <t>유즈 고체향수 세트(유즈 스테이포에버, 유즈 이그나이트)고체향수: 스테이포에버 1개 + 이그나이트 1개</t>
        </is>
      </c>
      <c r="H8552" s="20" t="n">
        <v>4</v>
      </c>
      <c r="I8552" s="20" t="inlineStr">
        <is>
          <t>이그나이트 + 스테이포에버</t>
        </is>
      </c>
      <c r="J8552" s="20" t="inlineStr">
        <is>
          <t>210501</t>
        </is>
      </c>
      <c r="L8552" s="20" t="n">
        <v>235200</v>
      </c>
      <c r="M8552" s="20" t="n">
        <v>221440.8</v>
      </c>
      <c r="N8552" s="20" t="n">
        <v>20716</v>
      </c>
      <c r="O8552" s="20" t="inlineStr">
        <is>
          <t>스마트스토어고체향수유즈 고체향수 세트(유즈 스테이포에버, 유즈 이그나이트)고체향수: 스테이포에버 1개 + 이그나이트 1개210501</t>
        </is>
      </c>
    </row>
    <row r="8553">
      <c r="B8553" s="27" t="n">
        <v>44330</v>
      </c>
      <c r="C8553" s="20" t="inlineStr">
        <is>
          <t>금</t>
        </is>
      </c>
      <c r="E8553" s="20" t="inlineStr">
        <is>
          <t>고체향수</t>
        </is>
      </c>
      <c r="F8553" s="20" t="inlineStr">
        <is>
          <t>스마트스토어</t>
        </is>
      </c>
      <c r="G8553" s="20" t="inlineStr">
        <is>
          <t>유즈 고체향수 스테이포에버 002고체향수: 스테이포에버 1개</t>
        </is>
      </c>
      <c r="H8553" s="20" t="n">
        <v>12</v>
      </c>
      <c r="I8553" s="20" t="inlineStr">
        <is>
          <t>스테이포에버</t>
        </is>
      </c>
      <c r="J8553" s="20" t="inlineStr">
        <is>
          <t>210501</t>
        </is>
      </c>
      <c r="L8553" s="20" t="n">
        <v>408000</v>
      </c>
      <c r="M8553" s="20" t="n">
        <v>399840</v>
      </c>
      <c r="N8553" s="20" t="n">
        <v>30648</v>
      </c>
      <c r="O8553" s="20" t="inlineStr">
        <is>
          <t>스마트스토어고체향수유즈 고체향수 스테이포에버 002고체향수: 스테이포에버 1개210501</t>
        </is>
      </c>
    </row>
    <row r="8554">
      <c r="B8554" s="27" t="n">
        <v>44330</v>
      </c>
      <c r="C8554" s="20" t="inlineStr">
        <is>
          <t>금</t>
        </is>
      </c>
      <c r="E8554" s="20" t="inlineStr">
        <is>
          <t>고체향수</t>
        </is>
      </c>
      <c r="F8554" s="20" t="inlineStr">
        <is>
          <t>카페24</t>
        </is>
      </c>
      <c r="G8554" s="20" t="inlineStr">
        <is>
          <t>솔리드퍼퓸 세트향=스테이포에버 002 SOLID PERFUME, 세트 선택=1개</t>
        </is>
      </c>
      <c r="H8554" s="20" t="n">
        <v>2</v>
      </c>
      <c r="I8554" s="20" t="inlineStr">
        <is>
          <t>스테이포에버</t>
        </is>
      </c>
      <c r="J8554" s="20" t="inlineStr">
        <is>
          <t>210501</t>
        </is>
      </c>
      <c r="L8554" s="20" t="n">
        <v>68000</v>
      </c>
      <c r="M8554" s="20" t="n">
        <v>64022</v>
      </c>
      <c r="N8554" s="20" t="n">
        <v>5108</v>
      </c>
      <c r="O8554" s="20" t="inlineStr">
        <is>
          <t>카페24고체향수솔리드퍼퓸 세트향=스테이포에버 002 SOLID PERFUME, 세트 선택=1개210501</t>
        </is>
      </c>
    </row>
    <row r="8555">
      <c r="B8555" s="27" t="n">
        <v>44330</v>
      </c>
      <c r="C8555" s="20" t="inlineStr">
        <is>
          <t>금</t>
        </is>
      </c>
      <c r="E8555" s="20" t="inlineStr">
        <is>
          <t>고체향수</t>
        </is>
      </c>
      <c r="F8555" s="20" t="inlineStr">
        <is>
          <t>카페24</t>
        </is>
      </c>
      <c r="G8555" s="20" t="inlineStr">
        <is>
          <t>솔리드퍼퓸 세트향=스테이포에버 002 SOLID PERFUME, 세트 선택=best 2개 (28% 할인)</t>
        </is>
      </c>
      <c r="H8555" s="20" t="n">
        <v>5</v>
      </c>
      <c r="I8555" s="20" t="inlineStr">
        <is>
          <t>스테이포에버 2set</t>
        </is>
      </c>
      <c r="J8555" s="20" t="inlineStr">
        <is>
          <t>210501</t>
        </is>
      </c>
      <c r="L8555" s="20" t="n">
        <v>294000</v>
      </c>
      <c r="M8555" s="20" t="n">
        <v>276801</v>
      </c>
      <c r="N8555" s="20" t="n">
        <v>25540</v>
      </c>
      <c r="O8555" s="20" t="inlineStr">
        <is>
          <t>카페24고체향수솔리드퍼퓸 세트향=스테이포에버 002 SOLID PERFUME, 세트 선택=best 2개 (28% 할인)210501</t>
        </is>
      </c>
    </row>
    <row r="8556">
      <c r="B8556" s="27" t="n">
        <v>44330</v>
      </c>
      <c r="C8556" s="20" t="inlineStr">
        <is>
          <t>금</t>
        </is>
      </c>
      <c r="E8556" s="20" t="inlineStr">
        <is>
          <t>고체향수</t>
        </is>
      </c>
      <c r="F8556" s="20" t="inlineStr">
        <is>
          <t>카페24</t>
        </is>
      </c>
      <c r="G8556" s="20" t="inlineStr">
        <is>
          <t>솔리드퍼퓸 세트향=커플세트(이그나이트 + 스테이포에버), 세트 선택=1 SET</t>
        </is>
      </c>
      <c r="H8556" s="20" t="n">
        <v>5</v>
      </c>
      <c r="I8556" s="20" t="inlineStr">
        <is>
          <t>이그나이트 + 스테이포에버</t>
        </is>
      </c>
      <c r="J8556" s="20" t="inlineStr">
        <is>
          <t>210501</t>
        </is>
      </c>
      <c r="L8556" s="20" t="n">
        <v>294000</v>
      </c>
      <c r="M8556" s="20" t="n">
        <v>276801</v>
      </c>
      <c r="N8556" s="20" t="n">
        <v>25895</v>
      </c>
      <c r="O8556" s="20" t="inlineStr">
        <is>
          <t>카페24고체향수솔리드퍼퓸 세트향=커플세트(이그나이트 + 스테이포에버), 세트 선택=1 SET210501</t>
        </is>
      </c>
    </row>
    <row r="8557">
      <c r="B8557" s="27" t="n">
        <v>44330</v>
      </c>
      <c r="C8557" s="20" t="inlineStr">
        <is>
          <t>금</t>
        </is>
      </c>
      <c r="E8557" s="20" t="inlineStr">
        <is>
          <t>고체향수</t>
        </is>
      </c>
      <c r="F8557" s="20" t="inlineStr">
        <is>
          <t>카페24</t>
        </is>
      </c>
      <c r="G8557" s="20" t="inlineStr">
        <is>
          <t>솔리드퍼퓸 세트향=커플세트(이그나이트 + 스테이포에버), 세트 선택=2 SET (42% 할인)</t>
        </is>
      </c>
      <c r="H8557" s="20" t="n">
        <v>1</v>
      </c>
      <c r="I8557" s="20" t="inlineStr">
        <is>
          <t>이그나이트 + 스테이포에버</t>
        </is>
      </c>
      <c r="J8557" s="20" t="inlineStr">
        <is>
          <t>210501</t>
        </is>
      </c>
      <c r="L8557" s="20" t="n">
        <v>58800</v>
      </c>
      <c r="M8557" s="20" t="n">
        <v>55360.2</v>
      </c>
      <c r="N8557" s="20" t="n">
        <v>5179</v>
      </c>
      <c r="O8557" s="20" t="inlineStr">
        <is>
          <t>카페24고체향수솔리드퍼퓸 세트향=커플세트(이그나이트 + 스테이포에버), 세트 선택=2 SET (42% 할인)210501</t>
        </is>
      </c>
    </row>
    <row r="8558">
      <c r="B8558" s="27" t="n">
        <v>44330</v>
      </c>
      <c r="C8558" s="20" t="inlineStr">
        <is>
          <t>금</t>
        </is>
      </c>
      <c r="E8558" s="20" t="inlineStr">
        <is>
          <t>고체향수</t>
        </is>
      </c>
      <c r="F8558" s="20" t="inlineStr">
        <is>
          <t>카페24</t>
        </is>
      </c>
      <c r="G8558" s="20" t="inlineStr">
        <is>
          <t>솔리드퍼퓸 스테이포에버 002제품선택=스테이포에버 1개</t>
        </is>
      </c>
      <c r="H8558" s="20" t="n">
        <v>151</v>
      </c>
      <c r="I8558" s="20" t="inlineStr">
        <is>
          <t>스테이포에버</t>
        </is>
      </c>
      <c r="J8558" s="20" t="inlineStr">
        <is>
          <t>210501</t>
        </is>
      </c>
      <c r="L8558" s="20" t="n">
        <v>5134000</v>
      </c>
      <c r="M8558" s="20" t="n">
        <v>4833661</v>
      </c>
      <c r="N8558" s="20" t="n">
        <v>385654</v>
      </c>
      <c r="O8558" s="20" t="inlineStr">
        <is>
          <t>카페24고체향수솔리드퍼퓸 스테이포에버 002제품선택=스테이포에버 1개210501</t>
        </is>
      </c>
    </row>
    <row r="8559">
      <c r="B8559" s="27" t="n">
        <v>44330</v>
      </c>
      <c r="C8559" s="20" t="inlineStr">
        <is>
          <t>금</t>
        </is>
      </c>
      <c r="E8559" s="20" t="inlineStr">
        <is>
          <t>고체향수</t>
        </is>
      </c>
      <c r="F8559" s="20" t="inlineStr">
        <is>
          <t>카페24</t>
        </is>
      </c>
      <c r="G8559" s="20" t="inlineStr">
        <is>
          <t>솔리드퍼퓸 스테이포에버 002제품선택=best스테이포에버 2개[28% 할인]</t>
        </is>
      </c>
      <c r="H8559" s="20" t="n">
        <v>94</v>
      </c>
      <c r="I8559" s="20" t="inlineStr">
        <is>
          <t>스테이포에버 2set</t>
        </is>
      </c>
      <c r="J8559" s="20" t="inlineStr">
        <is>
          <t>210501</t>
        </is>
      </c>
      <c r="L8559" s="20" t="n">
        <v>5527200</v>
      </c>
      <c r="M8559" s="20" t="n">
        <v>5203858.8</v>
      </c>
      <c r="N8559" s="20" t="n">
        <v>480152</v>
      </c>
      <c r="O8559" s="20" t="inlineStr">
        <is>
          <t>카페24고체향수솔리드퍼퓸 스테이포에버 002제품선택=best스테이포에버 2개[28% 할인]210501</t>
        </is>
      </c>
    </row>
    <row r="8560">
      <c r="B8560" s="27" t="n">
        <v>44330</v>
      </c>
      <c r="C8560" s="20" t="inlineStr">
        <is>
          <t>금</t>
        </is>
      </c>
      <c r="E8560" s="20" t="inlineStr">
        <is>
          <t>고체향수</t>
        </is>
      </c>
      <c r="F8560" s="20" t="inlineStr">
        <is>
          <t>카페24</t>
        </is>
      </c>
      <c r="G8560" s="20" t="inlineStr">
        <is>
          <t>솔리드퍼퓸 스테이포에버 002제품선택=커플추천스테이포에버 + 이그나이트 세트</t>
        </is>
      </c>
      <c r="H8560" s="20" t="n">
        <v>12</v>
      </c>
      <c r="I8560" s="20" t="inlineStr">
        <is>
          <t>이그나이트 + 스테이포에버</t>
        </is>
      </c>
      <c r="J8560" s="20" t="inlineStr">
        <is>
          <t>210501</t>
        </is>
      </c>
      <c r="L8560" s="20" t="n">
        <v>705600</v>
      </c>
      <c r="M8560" s="20" t="n">
        <v>664322.3999999999</v>
      </c>
      <c r="N8560" s="20" t="n">
        <v>62148</v>
      </c>
      <c r="O8560" s="20" t="inlineStr">
        <is>
          <t>카페24고체향수솔리드퍼퓸 스테이포에버 002제품선택=커플추천스테이포에버 + 이그나이트 세트210501</t>
        </is>
      </c>
    </row>
    <row r="8561">
      <c r="B8561" s="27" t="n">
        <v>44330</v>
      </c>
      <c r="C8561" s="20" t="inlineStr">
        <is>
          <t>금</t>
        </is>
      </c>
      <c r="E8561" s="20" t="inlineStr">
        <is>
          <t>쇼핑백</t>
        </is>
      </c>
      <c r="F8561" s="20" t="inlineStr">
        <is>
          <t>카페24</t>
        </is>
      </c>
      <c r="G8561" s="20" t="inlineStr">
        <is>
          <t>솔리드퍼퓸 스테이포에버 002쇼핑백=선물용 쇼핑백</t>
        </is>
      </c>
      <c r="H8561" s="20" t="n">
        <v>9</v>
      </c>
      <c r="I8561" s="20" t="inlineStr">
        <is>
          <t>쇼핑백</t>
        </is>
      </c>
      <c r="J8561" s="20" t="inlineStr">
        <is>
          <t>210501</t>
        </is>
      </c>
      <c r="L8561" s="20" t="n">
        <v>18000</v>
      </c>
      <c r="M8561" s="20" t="n">
        <v>16947</v>
      </c>
      <c r="N8561" s="20" t="n">
        <v>7470</v>
      </c>
      <c r="O8561" s="20" t="inlineStr">
        <is>
          <t>카페24쇼핑백솔리드퍼퓸 스테이포에버 002쇼핑백=선물용 쇼핑백210501</t>
        </is>
      </c>
    </row>
    <row r="8562">
      <c r="B8562" s="27" t="n">
        <v>44330</v>
      </c>
      <c r="C8562" s="20" t="inlineStr">
        <is>
          <t>금</t>
        </is>
      </c>
      <c r="E8562" s="20" t="inlineStr">
        <is>
          <t>고체향수</t>
        </is>
      </c>
      <c r="F8562" s="20" t="inlineStr">
        <is>
          <t>카페24</t>
        </is>
      </c>
      <c r="G8562" s="20" t="inlineStr">
        <is>
          <t>솔리드퍼퓸 스페셜 기프트 세트제품 선택=Event 2✨스테이포에버 단품[35% 할인]</t>
        </is>
      </c>
      <c r="H8562" s="20" t="n">
        <v>1</v>
      </c>
      <c r="I8562" s="20" t="inlineStr">
        <is>
          <t>5월 프로모션 스테이포에버</t>
        </is>
      </c>
      <c r="J8562" s="20" t="inlineStr">
        <is>
          <t>210501</t>
        </is>
      </c>
      <c r="L8562" s="20" t="n">
        <v>27900</v>
      </c>
      <c r="M8562" s="20" t="n">
        <v>26267.85</v>
      </c>
      <c r="N8562" s="20" t="n">
        <v>3384</v>
      </c>
      <c r="O8562" s="20" t="inlineStr">
        <is>
          <t>카페24고체향수솔리드퍼퓸 스페셜 기프트 세트제품 선택=Event 2✨스테이포에버 단품[35% 할인]210501</t>
        </is>
      </c>
    </row>
    <row r="8563">
      <c r="B8563" s="27" t="n">
        <v>44330</v>
      </c>
      <c r="C8563" s="20" t="inlineStr">
        <is>
          <t>금</t>
        </is>
      </c>
      <c r="E8563" s="20" t="inlineStr">
        <is>
          <t>고체향수</t>
        </is>
      </c>
      <c r="F8563" s="20" t="inlineStr">
        <is>
          <t>카페24</t>
        </is>
      </c>
      <c r="G8563" s="20" t="inlineStr">
        <is>
          <t>솔리드퍼퓸 스페셜 기프트 세트제품 선택=Event 2✨이그나이트 단품[35% 할인]</t>
        </is>
      </c>
      <c r="H8563" s="20" t="n">
        <v>1</v>
      </c>
      <c r="I8563" s="20" t="inlineStr">
        <is>
          <t>5월 프로모션 이그나이트</t>
        </is>
      </c>
      <c r="J8563" s="20" t="inlineStr">
        <is>
          <t>210501</t>
        </is>
      </c>
      <c r="L8563" s="20" t="n">
        <v>27900</v>
      </c>
      <c r="M8563" s="20" t="n">
        <v>26267.85</v>
      </c>
      <c r="N8563" s="20" t="n">
        <v>3455</v>
      </c>
      <c r="O8563" s="20" t="inlineStr">
        <is>
          <t>카페24고체향수솔리드퍼퓸 스페셜 기프트 세트제품 선택=Event 2✨이그나이트 단품[35% 할인]210501</t>
        </is>
      </c>
    </row>
    <row r="8564">
      <c r="B8564" s="27" t="n">
        <v>44330</v>
      </c>
      <c r="C8564" s="20" t="inlineStr">
        <is>
          <t>금</t>
        </is>
      </c>
      <c r="E8564" s="20" t="inlineStr">
        <is>
          <t>고체향수</t>
        </is>
      </c>
      <c r="F8564" s="20" t="inlineStr">
        <is>
          <t>카페24</t>
        </is>
      </c>
      <c r="G8564" s="20" t="inlineStr">
        <is>
          <t>솔리드퍼퓸 스페셜 기프트 세트제품 선택=Event 1솔리드퍼퓸 2종 set[40% 할인], 수량 선택=1개</t>
        </is>
      </c>
      <c r="H8564" s="20" t="n">
        <v>20</v>
      </c>
      <c r="I8564" s="20" t="inlineStr">
        <is>
          <t>5월 프로모션 이그나이트+스테이포에버</t>
        </is>
      </c>
      <c r="J8564" s="20" t="inlineStr">
        <is>
          <t>210501</t>
        </is>
      </c>
      <c r="L8564" s="20" t="n">
        <v>1008000</v>
      </c>
      <c r="M8564" s="20" t="n">
        <v>949032</v>
      </c>
      <c r="N8564" s="20" t="n">
        <v>143240</v>
      </c>
      <c r="O8564" s="20" t="inlineStr">
        <is>
          <t>카페24고체향수솔리드퍼퓸 스페셜 기프트 세트제품 선택=Event 1솔리드퍼퓸 2종 set[40% 할인], 수량 선택=1개210501</t>
        </is>
      </c>
    </row>
    <row r="8565">
      <c r="B8565" s="27" t="n">
        <v>44330</v>
      </c>
      <c r="C8565" s="20" t="inlineStr">
        <is>
          <t>금</t>
        </is>
      </c>
      <c r="E8565" s="20" t="inlineStr">
        <is>
          <t>고체향수</t>
        </is>
      </c>
      <c r="F8565" s="20" t="inlineStr">
        <is>
          <t>카페24</t>
        </is>
      </c>
      <c r="G8565" s="20" t="inlineStr">
        <is>
          <t>솔리드퍼퓸 스페셜 기프트 세트제품 선택=Event 1솔리드퍼퓸 2종 set[40% 할인], 수량 선택=2개</t>
        </is>
      </c>
      <c r="H8565" s="20" t="n">
        <v>1</v>
      </c>
      <c r="I8565" s="20" t="inlineStr">
        <is>
          <t>5월 프로모션 이그나이트+스테이포에버 2 set</t>
        </is>
      </c>
      <c r="J8565" s="20" t="inlineStr">
        <is>
          <t>210501</t>
        </is>
      </c>
      <c r="L8565" s="20" t="n">
        <v>10800</v>
      </c>
      <c r="M8565" s="20" t="n">
        <v>10168.2</v>
      </c>
      <c r="N8565" s="20" t="n">
        <v>14324</v>
      </c>
      <c r="O8565" s="20" t="inlineStr">
        <is>
          <t>카페24고체향수솔리드퍼퓸 스페셜 기프트 세트제품 선택=Event 1솔리드퍼퓸 2종 set[40% 할인], 수량 선택=2개210501</t>
        </is>
      </c>
    </row>
    <row r="8566">
      <c r="B8566" s="27" t="n">
        <v>44330</v>
      </c>
      <c r="C8566" s="20" t="inlineStr">
        <is>
          <t>금</t>
        </is>
      </c>
      <c r="E8566" s="20" t="inlineStr">
        <is>
          <t>고체향수</t>
        </is>
      </c>
      <c r="F8566" s="20" t="inlineStr">
        <is>
          <t>카페24</t>
        </is>
      </c>
      <c r="G8566" s="20" t="inlineStr">
        <is>
          <t>솔리드퍼퓸 스페셜 기프트 세트제품 선택=Event 2✨스테이포에버 단품[35% 할인], 수량 선택=1개</t>
        </is>
      </c>
      <c r="H8566" s="20" t="n">
        <v>13</v>
      </c>
      <c r="I8566" s="20" t="inlineStr">
        <is>
          <t>5월 프로모션 스테이포에버</t>
        </is>
      </c>
      <c r="J8566" s="20" t="inlineStr">
        <is>
          <t>210501</t>
        </is>
      </c>
      <c r="L8566" s="20" t="n">
        <v>362700</v>
      </c>
      <c r="M8566" s="20" t="n">
        <v>341482.05</v>
      </c>
      <c r="N8566" s="20" t="n">
        <v>43992</v>
      </c>
      <c r="O8566" s="20" t="inlineStr">
        <is>
          <t>카페24고체향수솔리드퍼퓸 스페셜 기프트 세트제품 선택=Event 2✨스테이포에버 단품[35% 할인], 수량 선택=1개210501</t>
        </is>
      </c>
    </row>
    <row r="8567">
      <c r="B8567" s="27" t="n">
        <v>44330</v>
      </c>
      <c r="C8567" s="20" t="inlineStr">
        <is>
          <t>금</t>
        </is>
      </c>
      <c r="E8567" s="20" t="inlineStr">
        <is>
          <t>고체향수</t>
        </is>
      </c>
      <c r="F8567" s="20" t="inlineStr">
        <is>
          <t>카페24</t>
        </is>
      </c>
      <c r="G8567" s="20" t="inlineStr">
        <is>
          <t>솔리드퍼퓸 스페셜 기프트 세트제품 선택=Event 2✨스테이포에버 단품[35% 할인], 수량 선택=2개</t>
        </is>
      </c>
      <c r="H8567" s="20" t="n">
        <v>7</v>
      </c>
      <c r="I8567" s="20" t="inlineStr">
        <is>
          <t>5월 프로모션 스테이포에버 2set</t>
        </is>
      </c>
      <c r="J8567" s="20" t="inlineStr">
        <is>
          <t>210501</t>
        </is>
      </c>
      <c r="L8567" s="20" t="n">
        <v>390600</v>
      </c>
      <c r="M8567" s="20" t="n">
        <v>367749.9</v>
      </c>
      <c r="N8567" s="20" t="n">
        <v>47376</v>
      </c>
      <c r="O8567" s="20" t="inlineStr">
        <is>
          <t>카페24고체향수솔리드퍼퓸 스페셜 기프트 세트제품 선택=Event 2✨스테이포에버 단품[35% 할인], 수량 선택=2개210501</t>
        </is>
      </c>
    </row>
    <row r="8568">
      <c r="B8568" s="27" t="n">
        <v>44330</v>
      </c>
      <c r="C8568" s="20" t="inlineStr">
        <is>
          <t>금</t>
        </is>
      </c>
      <c r="E8568" s="20" t="inlineStr">
        <is>
          <t>고체향수</t>
        </is>
      </c>
      <c r="F8568" s="20" t="inlineStr">
        <is>
          <t>카페24</t>
        </is>
      </c>
      <c r="G8568" s="20" t="inlineStr">
        <is>
          <t>솔리드퍼퓸 스페셜 기프트 세트제품 선택=Event 2✨스테이포에버 단품[35% 할인], 수량 선택=3개</t>
        </is>
      </c>
      <c r="H8568" s="20" t="n">
        <v>2</v>
      </c>
      <c r="I8568" s="20" t="inlineStr">
        <is>
          <t>5월 프로모션 스테이포에버 3set</t>
        </is>
      </c>
      <c r="J8568" s="20" t="inlineStr">
        <is>
          <t>210501</t>
        </is>
      </c>
      <c r="L8568" s="20" t="n">
        <v>167400</v>
      </c>
      <c r="M8568" s="20" t="n">
        <v>157607.1</v>
      </c>
      <c r="N8568" s="20" t="n">
        <v>20304</v>
      </c>
      <c r="O8568" s="20" t="inlineStr">
        <is>
          <t>카페24고체향수솔리드퍼퓸 스페셜 기프트 세트제품 선택=Event 2✨스테이포에버 단품[35% 할인], 수량 선택=3개210501</t>
        </is>
      </c>
    </row>
    <row r="8569">
      <c r="B8569" s="27" t="n">
        <v>44330</v>
      </c>
      <c r="C8569" s="20" t="inlineStr">
        <is>
          <t>금</t>
        </is>
      </c>
      <c r="E8569" s="20" t="inlineStr">
        <is>
          <t>고체향수</t>
        </is>
      </c>
      <c r="F8569" s="20" t="inlineStr">
        <is>
          <t>카페24</t>
        </is>
      </c>
      <c r="G8569" s="20" t="inlineStr">
        <is>
          <t>솔리드퍼퓸 스페셜 기프트 세트제품 선택=Event 2✨이그나이트 단품[35% 할인], 수량 선택=1개</t>
        </is>
      </c>
      <c r="H8569" s="20" t="n">
        <v>1</v>
      </c>
      <c r="I8569" s="20" t="inlineStr">
        <is>
          <t>5월 프로모션 이그나이트</t>
        </is>
      </c>
      <c r="J8569" s="20" t="inlineStr">
        <is>
          <t>210501</t>
        </is>
      </c>
      <c r="L8569" s="20" t="n">
        <v>27900</v>
      </c>
      <c r="M8569" s="20" t="n">
        <v>26267.85</v>
      </c>
      <c r="N8569" s="20" t="n">
        <v>3455</v>
      </c>
      <c r="O8569" s="20" t="inlineStr">
        <is>
          <t>카페24고체향수솔리드퍼퓸 스페셜 기프트 세트제품 선택=Event 2✨이그나이트 단품[35% 할인], 수량 선택=1개210501</t>
        </is>
      </c>
    </row>
    <row r="8570">
      <c r="B8570" s="27" t="n">
        <v>44330</v>
      </c>
      <c r="C8570" s="20" t="inlineStr">
        <is>
          <t>금</t>
        </is>
      </c>
      <c r="E8570" s="20" t="inlineStr">
        <is>
          <t>고체향수</t>
        </is>
      </c>
      <c r="F8570" s="20" t="inlineStr">
        <is>
          <t>카페24</t>
        </is>
      </c>
      <c r="G8570" s="20" t="inlineStr">
        <is>
          <t>솔리드퍼퓸 이그나이트 001제품선택=이그나이트 솔리드퍼퓸 - 30ml</t>
        </is>
      </c>
      <c r="H8570" s="20" t="n">
        <v>4</v>
      </c>
      <c r="I8570" s="20" t="inlineStr">
        <is>
          <t>이그나이트</t>
        </is>
      </c>
      <c r="J8570" s="20" t="inlineStr">
        <is>
          <t>210501</t>
        </is>
      </c>
      <c r="L8570" s="20" t="n">
        <v>136000</v>
      </c>
      <c r="M8570" s="20" t="n">
        <v>128044</v>
      </c>
      <c r="N8570" s="20" t="n">
        <v>10500</v>
      </c>
      <c r="O8570" s="20" t="inlineStr">
        <is>
          <t>카페24고체향수솔리드퍼퓸 이그나이트 001제품선택=이그나이트 솔리드퍼퓸 - 30ml210501</t>
        </is>
      </c>
    </row>
    <row r="8571">
      <c r="B8571" s="27" t="n">
        <v>44330</v>
      </c>
      <c r="C8571" s="20" t="inlineStr">
        <is>
          <t>금</t>
        </is>
      </c>
      <c r="E8571" s="20" t="inlineStr">
        <is>
          <t>고체향수</t>
        </is>
      </c>
      <c r="F8571" s="20" t="inlineStr">
        <is>
          <t>카페24</t>
        </is>
      </c>
      <c r="G8571" s="20" t="inlineStr">
        <is>
          <t>솔리드퍼퓸 이그나이트 001제품선택=이그나이트 2개 세트</t>
        </is>
      </c>
      <c r="H8571" s="20" t="n">
        <v>1</v>
      </c>
      <c r="I8571" s="20" t="inlineStr">
        <is>
          <t>이그나이트 2set</t>
        </is>
      </c>
      <c r="J8571" s="20" t="inlineStr">
        <is>
          <t>210501</t>
        </is>
      </c>
      <c r="L8571" s="20" t="n">
        <v>58800</v>
      </c>
      <c r="M8571" s="20" t="n">
        <v>55360.2</v>
      </c>
      <c r="N8571" s="20" t="n">
        <v>5250</v>
      </c>
      <c r="O8571" s="20" t="inlineStr">
        <is>
          <t>카페24고체향수솔리드퍼퓸 이그나이트 001제품선택=이그나이트 2개 세트210501</t>
        </is>
      </c>
    </row>
    <row r="8572">
      <c r="B8572" s="27" t="n">
        <v>44331</v>
      </c>
      <c r="C8572" s="20" t="inlineStr">
        <is>
          <t>토</t>
        </is>
      </c>
      <c r="E8572" s="20" t="inlineStr">
        <is>
          <t>고체향수</t>
        </is>
      </c>
      <c r="F8572" s="20" t="inlineStr">
        <is>
          <t>스마트스토어</t>
        </is>
      </c>
      <c r="G8572" s="20" t="inlineStr">
        <is>
          <t>유즈 고체향수 세트(유즈 스테이포에버, 유즈 이그나이트)고체향수: 스테이포에버 1개</t>
        </is>
      </c>
      <c r="H8572" s="20" t="n">
        <v>1</v>
      </c>
      <c r="I8572" s="20" t="inlineStr">
        <is>
          <t>스테이포에버</t>
        </is>
      </c>
      <c r="J8572" s="20" t="inlineStr">
        <is>
          <t>210501</t>
        </is>
      </c>
      <c r="L8572" s="20" t="n">
        <v>34000</v>
      </c>
      <c r="M8572" s="20" t="n">
        <v>33320</v>
      </c>
      <c r="N8572" s="20" t="n">
        <v>2554</v>
      </c>
      <c r="O8572" s="20" t="inlineStr">
        <is>
          <t>스마트스토어고체향수유즈 고체향수 세트(유즈 스테이포에버, 유즈 이그나이트)고체향수: 스테이포에버 1개210501</t>
        </is>
      </c>
    </row>
    <row r="8573">
      <c r="B8573" s="27" t="n">
        <v>44331</v>
      </c>
      <c r="C8573" s="20" t="inlineStr">
        <is>
          <t>토</t>
        </is>
      </c>
      <c r="E8573" s="20" t="inlineStr">
        <is>
          <t>고체향수</t>
        </is>
      </c>
      <c r="F8573" s="20" t="inlineStr">
        <is>
          <t>스마트스토어</t>
        </is>
      </c>
      <c r="G8573" s="20" t="inlineStr">
        <is>
          <t>유즈 고체향수 스테이포에버 002고체향수: 스테이포에버 1개</t>
        </is>
      </c>
      <c r="H8573" s="20" t="n">
        <v>14</v>
      </c>
      <c r="I8573" s="20" t="inlineStr">
        <is>
          <t>스테이포에버</t>
        </is>
      </c>
      <c r="J8573" s="20" t="inlineStr">
        <is>
          <t>210501</t>
        </is>
      </c>
      <c r="L8573" s="20" t="n">
        <v>476000</v>
      </c>
      <c r="M8573" s="20" t="n">
        <v>466480</v>
      </c>
      <c r="N8573" s="20" t="n">
        <v>35756</v>
      </c>
      <c r="O8573" s="20" t="inlineStr">
        <is>
          <t>스마트스토어고체향수유즈 고체향수 스테이포에버 002고체향수: 스테이포에버 1개210501</t>
        </is>
      </c>
    </row>
    <row r="8574">
      <c r="B8574" s="27" t="n">
        <v>44331</v>
      </c>
      <c r="C8574" s="20" t="inlineStr">
        <is>
          <t>토</t>
        </is>
      </c>
      <c r="E8574" s="20" t="inlineStr">
        <is>
          <t>고체향수</t>
        </is>
      </c>
      <c r="F8574" s="20" t="inlineStr">
        <is>
          <t>카페24</t>
        </is>
      </c>
      <c r="G8574" s="20" t="inlineStr">
        <is>
          <t>솔리드퍼퓸 세트향=스테이포에버 002 SOLID PERFUME, 세트 선택=1개</t>
        </is>
      </c>
      <c r="H8574" s="20" t="n">
        <v>4</v>
      </c>
      <c r="I8574" s="20" t="inlineStr">
        <is>
          <t>스테이포에버</t>
        </is>
      </c>
      <c r="J8574" s="20" t="inlineStr">
        <is>
          <t>210501</t>
        </is>
      </c>
      <c r="L8574" s="20" t="n">
        <v>136000</v>
      </c>
      <c r="M8574" s="20" t="n">
        <v>128044</v>
      </c>
      <c r="N8574" s="20" t="n">
        <v>10216</v>
      </c>
      <c r="O8574" s="20" t="inlineStr">
        <is>
          <t>카페24고체향수솔리드퍼퓸 세트향=스테이포에버 002 SOLID PERFUME, 세트 선택=1개210501</t>
        </is>
      </c>
    </row>
    <row r="8575">
      <c r="B8575" s="27" t="n">
        <v>44331</v>
      </c>
      <c r="C8575" s="20" t="inlineStr">
        <is>
          <t>토</t>
        </is>
      </c>
      <c r="E8575" s="20" t="inlineStr">
        <is>
          <t>고체향수</t>
        </is>
      </c>
      <c r="F8575" s="20" t="inlineStr">
        <is>
          <t>카페24</t>
        </is>
      </c>
      <c r="G8575" s="20" t="inlineStr">
        <is>
          <t>솔리드퍼퓸 세트향=스테이포에버 002 SOLID PERFUME, 세트 선택=best 2개 (28% 할인)</t>
        </is>
      </c>
      <c r="H8575" s="20" t="n">
        <v>7</v>
      </c>
      <c r="I8575" s="20" t="inlineStr">
        <is>
          <t>스테이포에버 2set</t>
        </is>
      </c>
      <c r="J8575" s="20" t="inlineStr">
        <is>
          <t>210501</t>
        </is>
      </c>
      <c r="L8575" s="20" t="n">
        <v>411600</v>
      </c>
      <c r="M8575" s="20" t="n">
        <v>387521.4</v>
      </c>
      <c r="N8575" s="20" t="n">
        <v>35756</v>
      </c>
      <c r="O8575" s="20" t="inlineStr">
        <is>
          <t>카페24고체향수솔리드퍼퓸 세트향=스테이포에버 002 SOLID PERFUME, 세트 선택=best 2개 (28% 할인)210501</t>
        </is>
      </c>
    </row>
    <row r="8576">
      <c r="B8576" s="27" t="n">
        <v>44331</v>
      </c>
      <c r="C8576" s="20" t="inlineStr">
        <is>
          <t>토</t>
        </is>
      </c>
      <c r="E8576" s="20" t="inlineStr">
        <is>
          <t>고체향수</t>
        </is>
      </c>
      <c r="F8576" s="20" t="inlineStr">
        <is>
          <t>카페24</t>
        </is>
      </c>
      <c r="G8576" s="20" t="inlineStr">
        <is>
          <t>솔리드퍼퓸 세트향=커플세트(이그나이트 + 스테이포에버), 세트 선택=1 SET</t>
        </is>
      </c>
      <c r="H8576" s="20" t="n">
        <v>9</v>
      </c>
      <c r="I8576" s="20" t="inlineStr">
        <is>
          <t>이그나이트 + 스테이포에버</t>
        </is>
      </c>
      <c r="J8576" s="20" t="inlineStr">
        <is>
          <t>210501</t>
        </is>
      </c>
      <c r="L8576" s="20" t="n">
        <v>529200</v>
      </c>
      <c r="M8576" s="20" t="n">
        <v>498241.8</v>
      </c>
      <c r="N8576" s="20" t="n">
        <v>46611</v>
      </c>
      <c r="O8576" s="20" t="inlineStr">
        <is>
          <t>카페24고체향수솔리드퍼퓸 세트향=커플세트(이그나이트 + 스테이포에버), 세트 선택=1 SET210501</t>
        </is>
      </c>
    </row>
    <row r="8577">
      <c r="B8577" s="27" t="n">
        <v>44331</v>
      </c>
      <c r="C8577" s="20" t="inlineStr">
        <is>
          <t>토</t>
        </is>
      </c>
      <c r="E8577" s="20" t="inlineStr">
        <is>
          <t>고체향수</t>
        </is>
      </c>
      <c r="F8577" s="20" t="inlineStr">
        <is>
          <t>카페24</t>
        </is>
      </c>
      <c r="G8577" s="20" t="inlineStr">
        <is>
          <t>솔리드퍼퓸 스테이포에버 002제품선택=스테이포에버 1개</t>
        </is>
      </c>
      <c r="H8577" s="20" t="n">
        <v>209</v>
      </c>
      <c r="I8577" s="20" t="inlineStr">
        <is>
          <t>스테이포에버</t>
        </is>
      </c>
      <c r="J8577" s="20" t="inlineStr">
        <is>
          <t>210501</t>
        </is>
      </c>
      <c r="L8577" s="20" t="n">
        <v>7106000</v>
      </c>
      <c r="M8577" s="20" t="n">
        <v>6690299</v>
      </c>
      <c r="N8577" s="20" t="n">
        <v>533786</v>
      </c>
      <c r="O8577" s="20" t="inlineStr">
        <is>
          <t>카페24고체향수솔리드퍼퓸 스테이포에버 002제품선택=스테이포에버 1개210501</t>
        </is>
      </c>
    </row>
    <row r="8578">
      <c r="B8578" s="27" t="n">
        <v>44331</v>
      </c>
      <c r="C8578" s="20" t="inlineStr">
        <is>
          <t>토</t>
        </is>
      </c>
      <c r="E8578" s="20" t="inlineStr">
        <is>
          <t>고체향수</t>
        </is>
      </c>
      <c r="F8578" s="20" t="inlineStr">
        <is>
          <t>카페24</t>
        </is>
      </c>
      <c r="G8578" s="20" t="inlineStr">
        <is>
          <t>솔리드퍼퓸 스테이포에버 002제품선택=best스테이포에버 2개[28% 할인]</t>
        </is>
      </c>
      <c r="H8578" s="20" t="n">
        <v>103</v>
      </c>
      <c r="I8578" s="20" t="inlineStr">
        <is>
          <t>스테이포에버 2set</t>
        </is>
      </c>
      <c r="J8578" s="20" t="inlineStr">
        <is>
          <t>210501</t>
        </is>
      </c>
      <c r="L8578" s="20" t="n">
        <v>6056400</v>
      </c>
      <c r="M8578" s="20" t="n">
        <v>5702100.6</v>
      </c>
      <c r="N8578" s="20" t="n">
        <v>526124</v>
      </c>
      <c r="O8578" s="20" t="inlineStr">
        <is>
          <t>카페24고체향수솔리드퍼퓸 스테이포에버 002제품선택=best스테이포에버 2개[28% 할인]210501</t>
        </is>
      </c>
    </row>
    <row r="8579">
      <c r="B8579" s="27" t="n">
        <v>44331</v>
      </c>
      <c r="C8579" s="20" t="inlineStr">
        <is>
          <t>토</t>
        </is>
      </c>
      <c r="E8579" s="20" t="inlineStr">
        <is>
          <t>고체향수</t>
        </is>
      </c>
      <c r="F8579" s="20" t="inlineStr">
        <is>
          <t>카페24</t>
        </is>
      </c>
      <c r="G8579" s="20" t="inlineStr">
        <is>
          <t>솔리드퍼퓸 스테이포에버 002제품선택=커플추천스테이포에버 + 이그나이트 세트</t>
        </is>
      </c>
      <c r="H8579" s="20" t="n">
        <v>12</v>
      </c>
      <c r="I8579" s="20" t="inlineStr">
        <is>
          <t>이그나이트 + 스테이포에버</t>
        </is>
      </c>
      <c r="J8579" s="20" t="inlineStr">
        <is>
          <t>210501</t>
        </is>
      </c>
      <c r="L8579" s="20" t="n">
        <v>705600</v>
      </c>
      <c r="M8579" s="20" t="n">
        <v>664322.3999999999</v>
      </c>
      <c r="N8579" s="20" t="n">
        <v>62148</v>
      </c>
      <c r="O8579" s="20" t="inlineStr">
        <is>
          <t>카페24고체향수솔리드퍼퓸 스테이포에버 002제품선택=커플추천스테이포에버 + 이그나이트 세트210501</t>
        </is>
      </c>
    </row>
    <row r="8580">
      <c r="B8580" s="27" t="n">
        <v>44331</v>
      </c>
      <c r="C8580" s="20" t="inlineStr">
        <is>
          <t>토</t>
        </is>
      </c>
      <c r="E8580" s="20" t="inlineStr">
        <is>
          <t>쇼핑백</t>
        </is>
      </c>
      <c r="F8580" s="20" t="inlineStr">
        <is>
          <t>카페24</t>
        </is>
      </c>
      <c r="G8580" s="20" t="inlineStr">
        <is>
          <t>솔리드퍼퓸 스테이포에버 002쇼핑백=선물용 쇼핑백</t>
        </is>
      </c>
      <c r="H8580" s="20" t="n">
        <v>4</v>
      </c>
      <c r="I8580" s="20" t="inlineStr">
        <is>
          <t>쇼핑백</t>
        </is>
      </c>
      <c r="J8580" s="20" t="inlineStr">
        <is>
          <t>210501</t>
        </is>
      </c>
      <c r="L8580" s="20" t="n">
        <v>8000</v>
      </c>
      <c r="M8580" s="20" t="n">
        <v>7532</v>
      </c>
      <c r="N8580" s="20" t="n">
        <v>3320</v>
      </c>
      <c r="O8580" s="20" t="inlineStr">
        <is>
          <t>카페24쇼핑백솔리드퍼퓸 스테이포에버 002쇼핑백=선물용 쇼핑백210501</t>
        </is>
      </c>
    </row>
    <row r="8581">
      <c r="B8581" s="27" t="n">
        <v>44331</v>
      </c>
      <c r="C8581" s="20" t="inlineStr">
        <is>
          <t>토</t>
        </is>
      </c>
      <c r="E8581" s="20" t="inlineStr">
        <is>
          <t>고체향수</t>
        </is>
      </c>
      <c r="F8581" s="20" t="inlineStr">
        <is>
          <t>카페24</t>
        </is>
      </c>
      <c r="G8581" s="20" t="inlineStr">
        <is>
          <t>솔리드퍼퓸 스페셜 기프트 세트제품 선택=Event 1솔리드퍼퓸 2종 set[40% 할인], 수량 선택=1개</t>
        </is>
      </c>
      <c r="H8581" s="20" t="n">
        <v>15</v>
      </c>
      <c r="I8581" s="20" t="inlineStr">
        <is>
          <t>5월 프로모션 이그나이트+스테이포에버</t>
        </is>
      </c>
      <c r="J8581" s="20" t="inlineStr">
        <is>
          <t>210501</t>
        </is>
      </c>
      <c r="L8581" s="20" t="n">
        <v>756000</v>
      </c>
      <c r="M8581" s="20" t="n">
        <v>711774</v>
      </c>
      <c r="N8581" s="20" t="n">
        <v>107430</v>
      </c>
      <c r="O8581" s="20" t="inlineStr">
        <is>
          <t>카페24고체향수솔리드퍼퓸 스페셜 기프트 세트제품 선택=Event 1솔리드퍼퓸 2종 set[40% 할인], 수량 선택=1개210501</t>
        </is>
      </c>
    </row>
    <row r="8582">
      <c r="B8582" s="27" t="n">
        <v>44331</v>
      </c>
      <c r="C8582" s="20" t="inlineStr">
        <is>
          <t>토</t>
        </is>
      </c>
      <c r="E8582" s="20" t="inlineStr">
        <is>
          <t>고체향수</t>
        </is>
      </c>
      <c r="F8582" s="20" t="inlineStr">
        <is>
          <t>카페24</t>
        </is>
      </c>
      <c r="G8582" s="20" t="inlineStr">
        <is>
          <t>솔리드퍼퓸 스페셜 기프트 세트제품 선택=Event 1솔리드퍼퓸 2종 set[40% 할인], 수량 선택=2개</t>
        </is>
      </c>
      <c r="H8582" s="20" t="n">
        <v>1</v>
      </c>
      <c r="I8582" s="20" t="inlineStr">
        <is>
          <t>5월 프로모션 이그나이트+스테이포에버 2 set</t>
        </is>
      </c>
      <c r="J8582" s="20" t="inlineStr">
        <is>
          <t>210501</t>
        </is>
      </c>
      <c r="L8582" s="20" t="n">
        <v>10800</v>
      </c>
      <c r="M8582" s="20" t="n">
        <v>10168.2</v>
      </c>
      <c r="N8582" s="20" t="n">
        <v>14324</v>
      </c>
      <c r="O8582" s="20" t="inlineStr">
        <is>
          <t>카페24고체향수솔리드퍼퓸 스페셜 기프트 세트제품 선택=Event 1솔리드퍼퓸 2종 set[40% 할인], 수량 선택=2개210501</t>
        </is>
      </c>
    </row>
    <row r="8583">
      <c r="B8583" s="27" t="n">
        <v>44331</v>
      </c>
      <c r="C8583" s="20" t="inlineStr">
        <is>
          <t>토</t>
        </is>
      </c>
      <c r="E8583" s="20" t="inlineStr">
        <is>
          <t>고체향수</t>
        </is>
      </c>
      <c r="F8583" s="20" t="inlineStr">
        <is>
          <t>카페24</t>
        </is>
      </c>
      <c r="G8583" s="20" t="inlineStr">
        <is>
          <t>솔리드퍼퓸 스페셜 기프트 세트제품 선택=Event 2✨스테이포에버 단품[35% 할인], 수량 선택=1개</t>
        </is>
      </c>
      <c r="H8583" s="20" t="n">
        <v>9</v>
      </c>
      <c r="I8583" s="20" t="inlineStr">
        <is>
          <t>5월 프로모션 스테이포에버</t>
        </is>
      </c>
      <c r="J8583" s="20" t="inlineStr">
        <is>
          <t>210501</t>
        </is>
      </c>
      <c r="L8583" s="20" t="n">
        <v>251100</v>
      </c>
      <c r="M8583" s="20" t="n">
        <v>236410.65</v>
      </c>
      <c r="N8583" s="20" t="n">
        <v>30456</v>
      </c>
      <c r="O8583" s="20" t="inlineStr">
        <is>
          <t>카페24고체향수솔리드퍼퓸 스페셜 기프트 세트제품 선택=Event 2✨스테이포에버 단품[35% 할인], 수량 선택=1개210501</t>
        </is>
      </c>
    </row>
    <row r="8584">
      <c r="B8584" s="27" t="n">
        <v>44331</v>
      </c>
      <c r="C8584" s="20" t="inlineStr">
        <is>
          <t>토</t>
        </is>
      </c>
      <c r="E8584" s="20" t="inlineStr">
        <is>
          <t>고체향수</t>
        </is>
      </c>
      <c r="F8584" s="20" t="inlineStr">
        <is>
          <t>카페24</t>
        </is>
      </c>
      <c r="G8584" s="20" t="inlineStr">
        <is>
          <t>솔리드퍼퓸 스페셜 기프트 세트제품 선택=Event 2✨스테이포에버 단품[35% 할인], 수량 선택=2개</t>
        </is>
      </c>
      <c r="H8584" s="20" t="n">
        <v>2</v>
      </c>
      <c r="I8584" s="20" t="inlineStr">
        <is>
          <t>5월 프로모션 스테이포에버 2set</t>
        </is>
      </c>
      <c r="J8584" s="20" t="inlineStr">
        <is>
          <t>210501</t>
        </is>
      </c>
      <c r="L8584" s="20" t="n">
        <v>111600</v>
      </c>
      <c r="M8584" s="20" t="n">
        <v>105071.4</v>
      </c>
      <c r="N8584" s="20" t="n">
        <v>13536</v>
      </c>
      <c r="O8584" s="20" t="inlineStr">
        <is>
          <t>카페24고체향수솔리드퍼퓸 스페셜 기프트 세트제품 선택=Event 2✨스테이포에버 단품[35% 할인], 수량 선택=2개210501</t>
        </is>
      </c>
    </row>
    <row r="8585">
      <c r="B8585" s="27" t="n">
        <v>44331</v>
      </c>
      <c r="C8585" s="20" t="inlineStr">
        <is>
          <t>토</t>
        </is>
      </c>
      <c r="E8585" s="20" t="inlineStr">
        <is>
          <t>고체향수</t>
        </is>
      </c>
      <c r="F8585" s="20" t="inlineStr">
        <is>
          <t>카페24</t>
        </is>
      </c>
      <c r="G8585" s="20" t="inlineStr">
        <is>
          <t>솔리드퍼퓸 스페셜 기프트 세트제품 선택=Event 2✨스테이포에버 단품[35% 할인], 수량 선택=3개</t>
        </is>
      </c>
      <c r="H8585" s="20" t="n">
        <v>1</v>
      </c>
      <c r="I8585" s="20" t="inlineStr">
        <is>
          <t>5월 프로모션 스테이포에버 3set</t>
        </is>
      </c>
      <c r="J8585" s="20" t="inlineStr">
        <is>
          <t>210501</t>
        </is>
      </c>
      <c r="L8585" s="20" t="n">
        <v>83700</v>
      </c>
      <c r="M8585" s="20" t="n">
        <v>78803.55</v>
      </c>
      <c r="N8585" s="20" t="n">
        <v>10152</v>
      </c>
      <c r="O8585" s="20" t="inlineStr">
        <is>
          <t>카페24고체향수솔리드퍼퓸 스페셜 기프트 세트제품 선택=Event 2✨스테이포에버 단품[35% 할인], 수량 선택=3개210501</t>
        </is>
      </c>
    </row>
    <row r="8586">
      <c r="B8586" s="27" t="n">
        <v>44331</v>
      </c>
      <c r="C8586" s="20" t="inlineStr">
        <is>
          <t>토</t>
        </is>
      </c>
      <c r="E8586" s="20" t="inlineStr">
        <is>
          <t>고체향수</t>
        </is>
      </c>
      <c r="F8586" s="20" t="inlineStr">
        <is>
          <t>카페24</t>
        </is>
      </c>
      <c r="G8586" s="20" t="inlineStr">
        <is>
          <t>솔리드퍼퓸 스페셜 기프트 세트제품 선택=Event 2✨이그나이트 단품[35% 할인], 수량 선택=1개</t>
        </is>
      </c>
      <c r="H8586" s="20" t="n">
        <v>1</v>
      </c>
      <c r="I8586" s="20" t="inlineStr">
        <is>
          <t>5월 프로모션 이그나이트</t>
        </is>
      </c>
      <c r="J8586" s="20" t="inlineStr">
        <is>
          <t>210501</t>
        </is>
      </c>
      <c r="L8586" s="20" t="n">
        <v>27900</v>
      </c>
      <c r="M8586" s="20" t="n">
        <v>26267.85</v>
      </c>
      <c r="N8586" s="20" t="n">
        <v>3455</v>
      </c>
      <c r="O8586" s="20" t="inlineStr">
        <is>
          <t>카페24고체향수솔리드퍼퓸 스페셜 기프트 세트제품 선택=Event 2✨이그나이트 단품[35% 할인], 수량 선택=1개210501</t>
        </is>
      </c>
    </row>
    <row r="8587">
      <c r="B8587" s="27" t="n">
        <v>44331</v>
      </c>
      <c r="C8587" s="20" t="inlineStr">
        <is>
          <t>토</t>
        </is>
      </c>
      <c r="E8587" s="20" t="inlineStr">
        <is>
          <t>고체향수</t>
        </is>
      </c>
      <c r="F8587" s="20" t="inlineStr">
        <is>
          <t>카페24</t>
        </is>
      </c>
      <c r="G8587" s="20" t="inlineStr">
        <is>
          <t>솔리드퍼퓸 이그나이트 001제품선택=이그나이트 솔리드퍼퓸 - 30ml</t>
        </is>
      </c>
      <c r="H8587" s="20" t="n">
        <v>1</v>
      </c>
      <c r="I8587" s="20" t="inlineStr">
        <is>
          <t>이그나이트</t>
        </is>
      </c>
      <c r="J8587" s="20" t="inlineStr">
        <is>
          <t>210501</t>
        </is>
      </c>
      <c r="L8587" s="20" t="n">
        <v>34000</v>
      </c>
      <c r="M8587" s="20" t="n">
        <v>32011</v>
      </c>
      <c r="N8587" s="20" t="n">
        <v>2625</v>
      </c>
      <c r="O8587" s="20" t="inlineStr">
        <is>
          <t>카페24고체향수솔리드퍼퓸 이그나이트 001제품선택=이그나이트 솔리드퍼퓸 - 30ml210501</t>
        </is>
      </c>
    </row>
    <row r="8588">
      <c r="B8588" s="27" t="n">
        <v>44331</v>
      </c>
      <c r="C8588" s="20" t="inlineStr">
        <is>
          <t>토</t>
        </is>
      </c>
      <c r="E8588" s="20" t="inlineStr">
        <is>
          <t>고체향수</t>
        </is>
      </c>
      <c r="F8588" s="20" t="inlineStr">
        <is>
          <t>카페24</t>
        </is>
      </c>
      <c r="G8588" s="20" t="inlineStr">
        <is>
          <t>솔리드퍼퓸 이그나이트 001제품선택=이그나이트 2개 세트</t>
        </is>
      </c>
      <c r="H8588" s="20" t="n">
        <v>1</v>
      </c>
      <c r="I8588" s="20" t="inlineStr">
        <is>
          <t>이그나이트 2set</t>
        </is>
      </c>
      <c r="J8588" s="20" t="inlineStr">
        <is>
          <t>210501</t>
        </is>
      </c>
      <c r="L8588" s="20" t="n">
        <v>58800</v>
      </c>
      <c r="M8588" s="20" t="n">
        <v>55360.2</v>
      </c>
      <c r="N8588" s="20" t="n">
        <v>5250</v>
      </c>
      <c r="O8588" s="20" t="inlineStr">
        <is>
          <t>카페24고체향수솔리드퍼퓸 이그나이트 001제품선택=이그나이트 2개 세트210501</t>
        </is>
      </c>
    </row>
    <row r="8589">
      <c r="B8589" s="27" t="n">
        <v>44332</v>
      </c>
      <c r="C8589" s="20" t="inlineStr">
        <is>
          <t>일</t>
        </is>
      </c>
      <c r="E8589" s="20" t="inlineStr">
        <is>
          <t>고체향수</t>
        </is>
      </c>
      <c r="F8589" s="20" t="inlineStr">
        <is>
          <t>스마트스토어</t>
        </is>
      </c>
      <c r="G8589" s="20" t="inlineStr">
        <is>
          <t>유즈 고체향수 세트(유즈 스테이포에버, 유즈 이그나이트)고체향수: 스테이포에버 1개 + 이그나이트 1개</t>
        </is>
      </c>
      <c r="H8589" s="20" t="n">
        <v>2</v>
      </c>
      <c r="I8589" s="20" t="inlineStr">
        <is>
          <t>이그나이트 + 스테이포에버</t>
        </is>
      </c>
      <c r="J8589" s="20" t="inlineStr">
        <is>
          <t>210501</t>
        </is>
      </c>
      <c r="L8589" s="20" t="n">
        <v>117600</v>
      </c>
      <c r="M8589" s="20" t="n">
        <v>110720.4</v>
      </c>
      <c r="N8589" s="20" t="n">
        <v>10358</v>
      </c>
      <c r="O8589" s="20" t="inlineStr">
        <is>
          <t>스마트스토어고체향수유즈 고체향수 세트(유즈 스테이포에버, 유즈 이그나이트)고체향수: 스테이포에버 1개 + 이그나이트 1개210501</t>
        </is>
      </c>
    </row>
    <row r="8590">
      <c r="B8590" s="27" t="n">
        <v>44332</v>
      </c>
      <c r="C8590" s="20" t="inlineStr">
        <is>
          <t>일</t>
        </is>
      </c>
      <c r="E8590" s="20" t="inlineStr">
        <is>
          <t>고체향수</t>
        </is>
      </c>
      <c r="F8590" s="20" t="inlineStr">
        <is>
          <t>스마트스토어</t>
        </is>
      </c>
      <c r="G8590" s="20" t="inlineStr">
        <is>
          <t>유즈 고체향수 스테이포에버 002고체향수: 스테이포에버 1개</t>
        </is>
      </c>
      <c r="H8590" s="20" t="n">
        <v>16</v>
      </c>
      <c r="I8590" s="20" t="inlineStr">
        <is>
          <t>스테이포에버</t>
        </is>
      </c>
      <c r="J8590" s="20" t="inlineStr">
        <is>
          <t>210501</t>
        </is>
      </c>
      <c r="L8590" s="20" t="n">
        <v>544000</v>
      </c>
      <c r="M8590" s="20" t="n">
        <v>533120</v>
      </c>
      <c r="N8590" s="20" t="n">
        <v>40864</v>
      </c>
      <c r="O8590" s="20" t="inlineStr">
        <is>
          <t>스마트스토어고체향수유즈 고체향수 스테이포에버 002고체향수: 스테이포에버 1개210501</t>
        </is>
      </c>
    </row>
    <row r="8591">
      <c r="B8591" s="27" t="n">
        <v>44332</v>
      </c>
      <c r="C8591" s="20" t="inlineStr">
        <is>
          <t>일</t>
        </is>
      </c>
      <c r="E8591" s="20" t="inlineStr">
        <is>
          <t>고체향수</t>
        </is>
      </c>
      <c r="F8591" s="20" t="inlineStr">
        <is>
          <t>카페24</t>
        </is>
      </c>
      <c r="G8591" s="20" t="inlineStr">
        <is>
          <t>솔리드퍼퓸 세트향=스테이포에버 002 SOLID PERFUME, 세트 선택=1개</t>
        </is>
      </c>
      <c r="H8591" s="20" t="n">
        <v>2</v>
      </c>
      <c r="I8591" s="20" t="inlineStr">
        <is>
          <t>스테이포에버</t>
        </is>
      </c>
      <c r="J8591" s="20" t="inlineStr">
        <is>
          <t>210501</t>
        </is>
      </c>
      <c r="L8591" s="20" t="n">
        <v>68000</v>
      </c>
      <c r="M8591" s="20" t="n">
        <v>64022</v>
      </c>
      <c r="N8591" s="20" t="n">
        <v>5108</v>
      </c>
      <c r="O8591" s="20" t="inlineStr">
        <is>
          <t>카페24고체향수솔리드퍼퓸 세트향=스테이포에버 002 SOLID PERFUME, 세트 선택=1개210501</t>
        </is>
      </c>
    </row>
    <row r="8592">
      <c r="B8592" s="27" t="n">
        <v>44332</v>
      </c>
      <c r="C8592" s="20" t="inlineStr">
        <is>
          <t>일</t>
        </is>
      </c>
      <c r="E8592" s="20" t="inlineStr">
        <is>
          <t>고체향수</t>
        </is>
      </c>
      <c r="F8592" s="20" t="inlineStr">
        <is>
          <t>카페24</t>
        </is>
      </c>
      <c r="G8592" s="20" t="inlineStr">
        <is>
          <t>솔리드퍼퓸 세트향=스테이포에버 002 SOLID PERFUME, 세트 선택=best 2개 (28% 할인)</t>
        </is>
      </c>
      <c r="H8592" s="20" t="n">
        <v>9</v>
      </c>
      <c r="I8592" s="20" t="inlineStr">
        <is>
          <t>스테이포에버 2set</t>
        </is>
      </c>
      <c r="J8592" s="20" t="inlineStr">
        <is>
          <t>210501</t>
        </is>
      </c>
      <c r="L8592" s="20" t="n">
        <v>529200</v>
      </c>
      <c r="M8592" s="20" t="n">
        <v>498241.8</v>
      </c>
      <c r="N8592" s="20" t="n">
        <v>45972</v>
      </c>
      <c r="O8592" s="20" t="inlineStr">
        <is>
          <t>카페24고체향수솔리드퍼퓸 세트향=스테이포에버 002 SOLID PERFUME, 세트 선택=best 2개 (28% 할인)210501</t>
        </is>
      </c>
    </row>
    <row r="8593">
      <c r="B8593" s="27" t="n">
        <v>44332</v>
      </c>
      <c r="C8593" s="20" t="inlineStr">
        <is>
          <t>일</t>
        </is>
      </c>
      <c r="E8593" s="20" t="inlineStr">
        <is>
          <t>고체향수</t>
        </is>
      </c>
      <c r="F8593" s="20" t="inlineStr">
        <is>
          <t>카페24</t>
        </is>
      </c>
      <c r="G8593" s="20" t="inlineStr">
        <is>
          <t>솔리드퍼퓸 세트향=커플세트(이그나이트 + 스테이포에버), 세트 선택=1 SET</t>
        </is>
      </c>
      <c r="H8593" s="20" t="n">
        <v>15</v>
      </c>
      <c r="I8593" s="20" t="inlineStr">
        <is>
          <t>이그나이트 + 스테이포에버</t>
        </is>
      </c>
      <c r="J8593" s="20" t="inlineStr">
        <is>
          <t>210501</t>
        </is>
      </c>
      <c r="L8593" s="20" t="n">
        <v>882000</v>
      </c>
      <c r="M8593" s="20" t="n">
        <v>830403</v>
      </c>
      <c r="N8593" s="20" t="n">
        <v>77685</v>
      </c>
      <c r="O8593" s="20" t="inlineStr">
        <is>
          <t>카페24고체향수솔리드퍼퓸 세트향=커플세트(이그나이트 + 스테이포에버), 세트 선택=1 SET210501</t>
        </is>
      </c>
    </row>
    <row r="8594">
      <c r="B8594" s="27" t="n">
        <v>44332</v>
      </c>
      <c r="C8594" s="20" t="inlineStr">
        <is>
          <t>일</t>
        </is>
      </c>
      <c r="E8594" s="20" t="inlineStr">
        <is>
          <t>고체향수</t>
        </is>
      </c>
      <c r="F8594" s="20" t="inlineStr">
        <is>
          <t>카페24</t>
        </is>
      </c>
      <c r="G8594" s="20" t="inlineStr">
        <is>
          <t>솔리드퍼퓸 세트향=커플세트(이그나이트 + 스테이포에버), 세트 선택=2 SET (42% 할인)</t>
        </is>
      </c>
      <c r="H8594" s="20" t="n">
        <v>1</v>
      </c>
      <c r="I8594" s="20" t="inlineStr">
        <is>
          <t>이그나이트 + 스테이포에버</t>
        </is>
      </c>
      <c r="J8594" s="20" t="inlineStr">
        <is>
          <t>210501</t>
        </is>
      </c>
      <c r="L8594" s="20" t="n">
        <v>58800</v>
      </c>
      <c r="M8594" s="20" t="n">
        <v>55360.2</v>
      </c>
      <c r="N8594" s="20" t="n">
        <v>5179</v>
      </c>
      <c r="O8594" s="20" t="inlineStr">
        <is>
          <t>카페24고체향수솔리드퍼퓸 세트향=커플세트(이그나이트 + 스테이포에버), 세트 선택=2 SET (42% 할인)210501</t>
        </is>
      </c>
    </row>
    <row r="8595">
      <c r="B8595" s="27" t="n">
        <v>44332</v>
      </c>
      <c r="C8595" s="20" t="inlineStr">
        <is>
          <t>일</t>
        </is>
      </c>
      <c r="E8595" s="20" t="inlineStr">
        <is>
          <t>고체향수</t>
        </is>
      </c>
      <c r="F8595" s="20" t="inlineStr">
        <is>
          <t>카페24</t>
        </is>
      </c>
      <c r="G8595" s="20" t="inlineStr">
        <is>
          <t>솔리드퍼퓸 스테이포에버 002제품선택=스테이포에버 1개</t>
        </is>
      </c>
      <c r="H8595" s="20" t="n">
        <v>211</v>
      </c>
      <c r="I8595" s="20" t="inlineStr">
        <is>
          <t>스테이포에버</t>
        </is>
      </c>
      <c r="J8595" s="20" t="inlineStr">
        <is>
          <t>210501</t>
        </is>
      </c>
      <c r="L8595" s="20" t="n">
        <v>7174000</v>
      </c>
      <c r="M8595" s="20" t="n">
        <v>6754321</v>
      </c>
      <c r="N8595" s="20" t="n">
        <v>538894</v>
      </c>
      <c r="O8595" s="20" t="inlineStr">
        <is>
          <t>카페24고체향수솔리드퍼퓸 스테이포에버 002제품선택=스테이포에버 1개210501</t>
        </is>
      </c>
    </row>
    <row r="8596">
      <c r="B8596" s="27" t="n">
        <v>44332</v>
      </c>
      <c r="C8596" s="20" t="inlineStr">
        <is>
          <t>일</t>
        </is>
      </c>
      <c r="E8596" s="20" t="inlineStr">
        <is>
          <t>고체향수</t>
        </is>
      </c>
      <c r="F8596" s="20" t="inlineStr">
        <is>
          <t>카페24</t>
        </is>
      </c>
      <c r="G8596" s="20" t="inlineStr">
        <is>
          <t>솔리드퍼퓸 스테이포에버 002제품선택=best스테이포에버 2개[28% 할인]</t>
        </is>
      </c>
      <c r="H8596" s="20" t="n">
        <v>130</v>
      </c>
      <c r="I8596" s="20" t="inlineStr">
        <is>
          <t>스테이포에버 2set</t>
        </is>
      </c>
      <c r="J8596" s="20" t="inlineStr">
        <is>
          <t>210501</t>
        </is>
      </c>
      <c r="L8596" s="20" t="n">
        <v>7644000</v>
      </c>
      <c r="M8596" s="20" t="n">
        <v>7196826</v>
      </c>
      <c r="N8596" s="20" t="n">
        <v>664040</v>
      </c>
      <c r="O8596" s="20" t="inlineStr">
        <is>
          <t>카페24고체향수솔리드퍼퓸 스테이포에버 002제품선택=best스테이포에버 2개[28% 할인]210501</t>
        </is>
      </c>
    </row>
    <row r="8597">
      <c r="B8597" s="27" t="n">
        <v>44332</v>
      </c>
      <c r="C8597" s="20" t="inlineStr">
        <is>
          <t>일</t>
        </is>
      </c>
      <c r="E8597" s="20" t="inlineStr">
        <is>
          <t>고체향수</t>
        </is>
      </c>
      <c r="F8597" s="20" t="inlineStr">
        <is>
          <t>카페24</t>
        </is>
      </c>
      <c r="G8597" s="20" t="inlineStr">
        <is>
          <t>솔리드퍼퓸 스테이포에버 002제품선택=커플추천스테이포에버 + 이그나이트 세트</t>
        </is>
      </c>
      <c r="H8597" s="20" t="n">
        <v>10</v>
      </c>
      <c r="I8597" s="20" t="inlineStr">
        <is>
          <t>이그나이트 + 스테이포에버</t>
        </is>
      </c>
      <c r="J8597" s="20" t="inlineStr">
        <is>
          <t>210501</t>
        </is>
      </c>
      <c r="L8597" s="20" t="n">
        <v>588000</v>
      </c>
      <c r="M8597" s="20" t="n">
        <v>553602</v>
      </c>
      <c r="N8597" s="20" t="n">
        <v>51790</v>
      </c>
      <c r="O8597" s="20" t="inlineStr">
        <is>
          <t>카페24고체향수솔리드퍼퓸 스테이포에버 002제품선택=커플추천스테이포에버 + 이그나이트 세트210501</t>
        </is>
      </c>
    </row>
    <row r="8598">
      <c r="B8598" s="27" t="n">
        <v>44332</v>
      </c>
      <c r="C8598" s="20" t="inlineStr">
        <is>
          <t>일</t>
        </is>
      </c>
      <c r="E8598" s="20" t="inlineStr">
        <is>
          <t>쇼핑백</t>
        </is>
      </c>
      <c r="F8598" s="20" t="inlineStr">
        <is>
          <t>카페24</t>
        </is>
      </c>
      <c r="G8598" s="20" t="inlineStr">
        <is>
          <t>솔리드퍼퓸 스테이포에버 002쇼핑백=선물용 쇼핑백</t>
        </is>
      </c>
      <c r="H8598" s="20" t="n">
        <v>8</v>
      </c>
      <c r="I8598" s="20" t="inlineStr">
        <is>
          <t>쇼핑백</t>
        </is>
      </c>
      <c r="J8598" s="20" t="inlineStr">
        <is>
          <t>210501</t>
        </is>
      </c>
      <c r="L8598" s="20" t="n">
        <v>16000</v>
      </c>
      <c r="M8598" s="20" t="n">
        <v>15064</v>
      </c>
      <c r="N8598" s="20" t="n">
        <v>6640</v>
      </c>
      <c r="O8598" s="20" t="inlineStr">
        <is>
          <t>카페24쇼핑백솔리드퍼퓸 스테이포에버 002쇼핑백=선물용 쇼핑백210501</t>
        </is>
      </c>
    </row>
    <row r="8599">
      <c r="B8599" s="27" t="n">
        <v>44332</v>
      </c>
      <c r="C8599" s="20" t="inlineStr">
        <is>
          <t>일</t>
        </is>
      </c>
      <c r="E8599" s="20" t="inlineStr">
        <is>
          <t>고체향수</t>
        </is>
      </c>
      <c r="F8599" s="20" t="inlineStr">
        <is>
          <t>카페24</t>
        </is>
      </c>
      <c r="G8599" s="20" t="inlineStr">
        <is>
          <t>솔리드퍼퓸 스페셜 기프트 세트제품 선택=Event 1솔리드퍼퓸 2종 set[40% 할인], 수량 선택=1개</t>
        </is>
      </c>
      <c r="H8599" s="20" t="n">
        <v>97</v>
      </c>
      <c r="I8599" s="20" t="inlineStr">
        <is>
          <t>5월 프로모션 이그나이트+스테이포에버</t>
        </is>
      </c>
      <c r="J8599" s="20" t="inlineStr">
        <is>
          <t>210501</t>
        </is>
      </c>
      <c r="L8599" s="20" t="n">
        <v>4888800</v>
      </c>
      <c r="M8599" s="20" t="n">
        <v>4602805.2</v>
      </c>
      <c r="N8599" s="20" t="n">
        <v>694714</v>
      </c>
      <c r="O8599" s="20" t="inlineStr">
        <is>
          <t>카페24고체향수솔리드퍼퓸 스페셜 기프트 세트제품 선택=Event 1솔리드퍼퓸 2종 set[40% 할인], 수량 선택=1개210501</t>
        </is>
      </c>
    </row>
    <row r="8600">
      <c r="B8600" s="27" t="n">
        <v>44332</v>
      </c>
      <c r="C8600" s="20" t="inlineStr">
        <is>
          <t>일</t>
        </is>
      </c>
      <c r="E8600" s="20" t="inlineStr">
        <is>
          <t>고체향수</t>
        </is>
      </c>
      <c r="F8600" s="20" t="inlineStr">
        <is>
          <t>카페24</t>
        </is>
      </c>
      <c r="G8600" s="20" t="inlineStr">
        <is>
          <t>솔리드퍼퓸 스페셜 기프트 세트제품 선택=Event 1솔리드퍼퓸 2종 set[40% 할인], 수량 선택=2개</t>
        </is>
      </c>
      <c r="H8600" s="20" t="n">
        <v>5</v>
      </c>
      <c r="I8600" s="20" t="inlineStr">
        <is>
          <t>5월 프로모션 이그나이트+스테이포에버 2 set</t>
        </is>
      </c>
      <c r="J8600" s="20" t="inlineStr">
        <is>
          <t>210501</t>
        </is>
      </c>
      <c r="L8600" s="20" t="n">
        <v>54000</v>
      </c>
      <c r="M8600" s="20" t="n">
        <v>50841</v>
      </c>
      <c r="N8600" s="20" t="n">
        <v>71620</v>
      </c>
      <c r="O8600" s="20" t="inlineStr">
        <is>
          <t>카페24고체향수솔리드퍼퓸 스페셜 기프트 세트제품 선택=Event 1솔리드퍼퓸 2종 set[40% 할인], 수량 선택=2개210501</t>
        </is>
      </c>
    </row>
    <row r="8601">
      <c r="B8601" s="27" t="n">
        <v>44332</v>
      </c>
      <c r="C8601" s="20" t="inlineStr">
        <is>
          <t>일</t>
        </is>
      </c>
      <c r="E8601" s="20" t="inlineStr">
        <is>
          <t>고체향수</t>
        </is>
      </c>
      <c r="F8601" s="20" t="inlineStr">
        <is>
          <t>카페24</t>
        </is>
      </c>
      <c r="G8601" s="20" t="inlineStr">
        <is>
          <t>솔리드퍼퓸 스페셜 기프트 세트제품 선택=Event 2✨스테이포에버 단품[35% 할인], 수량 선택=1개</t>
        </is>
      </c>
      <c r="H8601" s="20" t="n">
        <v>34</v>
      </c>
      <c r="I8601" s="20" t="inlineStr">
        <is>
          <t>5월 프로모션 스테이포에버</t>
        </is>
      </c>
      <c r="J8601" s="20" t="inlineStr">
        <is>
          <t>210501</t>
        </is>
      </c>
      <c r="L8601" s="20" t="n">
        <v>948600</v>
      </c>
      <c r="M8601" s="20" t="n">
        <v>893106.8999999999</v>
      </c>
      <c r="N8601" s="20" t="n">
        <v>115056</v>
      </c>
      <c r="O8601" s="20" t="inlineStr">
        <is>
          <t>카페24고체향수솔리드퍼퓸 스페셜 기프트 세트제품 선택=Event 2✨스테이포에버 단품[35% 할인], 수량 선택=1개210501</t>
        </is>
      </c>
    </row>
    <row r="8602">
      <c r="B8602" s="27" t="n">
        <v>44332</v>
      </c>
      <c r="C8602" s="20" t="inlineStr">
        <is>
          <t>일</t>
        </is>
      </c>
      <c r="E8602" s="20" t="inlineStr">
        <is>
          <t>고체향수</t>
        </is>
      </c>
      <c r="F8602" s="20" t="inlineStr">
        <is>
          <t>카페24</t>
        </is>
      </c>
      <c r="G8602" s="20" t="inlineStr">
        <is>
          <t>솔리드퍼퓸 스페셜 기프트 세트제품 선택=Event 2✨스테이포에버 단품[35% 할인], 수량 선택=2개</t>
        </is>
      </c>
      <c r="H8602" s="20" t="n">
        <v>17</v>
      </c>
      <c r="I8602" s="20" t="inlineStr">
        <is>
          <t>5월 프로모션 스테이포에버 2set</t>
        </is>
      </c>
      <c r="J8602" s="20" t="inlineStr">
        <is>
          <t>210501</t>
        </is>
      </c>
      <c r="L8602" s="20" t="n">
        <v>948600</v>
      </c>
      <c r="M8602" s="20" t="n">
        <v>893106.8999999999</v>
      </c>
      <c r="N8602" s="20" t="n">
        <v>115056</v>
      </c>
      <c r="O8602" s="20" t="inlineStr">
        <is>
          <t>카페24고체향수솔리드퍼퓸 스페셜 기프트 세트제품 선택=Event 2✨스테이포에버 단품[35% 할인], 수량 선택=2개210501</t>
        </is>
      </c>
    </row>
    <row r="8603">
      <c r="B8603" s="27" t="n">
        <v>44332</v>
      </c>
      <c r="C8603" s="20" t="inlineStr">
        <is>
          <t>일</t>
        </is>
      </c>
      <c r="E8603" s="20" t="inlineStr">
        <is>
          <t>고체향수</t>
        </is>
      </c>
      <c r="F8603" s="20" t="inlineStr">
        <is>
          <t>카페24</t>
        </is>
      </c>
      <c r="G8603" s="20" t="inlineStr">
        <is>
          <t>솔리드퍼퓸 스페셜 기프트 세트제품 선택=Event 2✨스테이포에버 단품[35% 할인], 수량 선택=3개</t>
        </is>
      </c>
      <c r="H8603" s="20" t="n">
        <v>1</v>
      </c>
      <c r="I8603" s="20" t="inlineStr">
        <is>
          <t>5월 프로모션 스테이포에버 3set</t>
        </is>
      </c>
      <c r="J8603" s="20" t="inlineStr">
        <is>
          <t>210501</t>
        </is>
      </c>
      <c r="L8603" s="20" t="n">
        <v>83700</v>
      </c>
      <c r="M8603" s="20" t="n">
        <v>78803.55</v>
      </c>
      <c r="N8603" s="20" t="n">
        <v>10152</v>
      </c>
      <c r="O8603" s="20" t="inlineStr">
        <is>
          <t>카페24고체향수솔리드퍼퓸 스페셜 기프트 세트제품 선택=Event 2✨스테이포에버 단품[35% 할인], 수량 선택=3개210501</t>
        </is>
      </c>
    </row>
    <row r="8604">
      <c r="B8604" s="27" t="n">
        <v>44332</v>
      </c>
      <c r="C8604" s="20" t="inlineStr">
        <is>
          <t>일</t>
        </is>
      </c>
      <c r="E8604" s="20" t="inlineStr">
        <is>
          <t>고체향수</t>
        </is>
      </c>
      <c r="F8604" s="20" t="inlineStr">
        <is>
          <t>카페24</t>
        </is>
      </c>
      <c r="G8604" s="20" t="inlineStr">
        <is>
          <t>솔리드퍼퓸 스페셜 기프트 세트제품 선택=Event 2✨이그나이트 단품[35% 할인], 수량 선택=1개</t>
        </is>
      </c>
      <c r="H8604" s="20" t="n">
        <v>5</v>
      </c>
      <c r="I8604" s="20" t="inlineStr">
        <is>
          <t>5월 프로모션 이그나이트</t>
        </is>
      </c>
      <c r="J8604" s="20" t="inlineStr">
        <is>
          <t>210501</t>
        </is>
      </c>
      <c r="L8604" s="20" t="n">
        <v>139500</v>
      </c>
      <c r="M8604" s="20" t="n">
        <v>131339.25</v>
      </c>
      <c r="N8604" s="20" t="n">
        <v>17275</v>
      </c>
      <c r="O8604" s="20" t="inlineStr">
        <is>
          <t>카페24고체향수솔리드퍼퓸 스페셜 기프트 세트제품 선택=Event 2✨이그나이트 단품[35% 할인], 수량 선택=1개210501</t>
        </is>
      </c>
    </row>
    <row r="8605">
      <c r="B8605" s="27" t="n">
        <v>44332</v>
      </c>
      <c r="C8605" s="20" t="inlineStr">
        <is>
          <t>일</t>
        </is>
      </c>
      <c r="E8605" s="20" t="inlineStr">
        <is>
          <t>고체향수</t>
        </is>
      </c>
      <c r="F8605" s="20" t="inlineStr">
        <is>
          <t>카페24</t>
        </is>
      </c>
      <c r="G8605" s="20" t="inlineStr">
        <is>
          <t>솔리드퍼퓸 이그나이트 001제품선택=이그나이트 솔리드퍼퓸 - 30ml</t>
        </is>
      </c>
      <c r="H8605" s="20" t="n">
        <v>1</v>
      </c>
      <c r="I8605" s="20" t="inlineStr">
        <is>
          <t>이그나이트</t>
        </is>
      </c>
      <c r="J8605" s="20" t="inlineStr">
        <is>
          <t>210501</t>
        </is>
      </c>
      <c r="L8605" s="20" t="n">
        <v>34000</v>
      </c>
      <c r="M8605" s="20" t="n">
        <v>32011</v>
      </c>
      <c r="N8605" s="20" t="n">
        <v>2625</v>
      </c>
      <c r="O8605" s="20" t="inlineStr">
        <is>
          <t>카페24고체향수솔리드퍼퓸 이그나이트 001제품선택=이그나이트 솔리드퍼퓸 - 30ml210501</t>
        </is>
      </c>
    </row>
    <row r="8606">
      <c r="A8606" s="20" t="inlineStr">
        <is>
          <t>고체향수</t>
        </is>
      </c>
      <c r="B8606" s="27" t="n">
        <v>44330</v>
      </c>
      <c r="C8606" s="20" t="inlineStr">
        <is>
          <t>금</t>
        </is>
      </c>
      <c r="D8606" s="20" t="inlineStr">
        <is>
          <t>네이버 배너</t>
        </is>
      </c>
      <c r="E8606" s="20" t="inlineStr">
        <is>
          <t>고체향수</t>
        </is>
      </c>
      <c r="K8606" s="20" t="n">
        <v>546274.5454545454</v>
      </c>
    </row>
    <row r="8607">
      <c r="A8607" s="20" t="inlineStr">
        <is>
          <t>고체향수</t>
        </is>
      </c>
      <c r="B8607" s="27" t="n">
        <v>44331</v>
      </c>
      <c r="C8607" s="20" t="inlineStr">
        <is>
          <t>토</t>
        </is>
      </c>
      <c r="D8607" s="20" t="inlineStr">
        <is>
          <t>네이버 배너</t>
        </is>
      </c>
      <c r="E8607" s="20" t="inlineStr">
        <is>
          <t>고체향수</t>
        </is>
      </c>
      <c r="K8607" s="20" t="n">
        <v>622646.3636363635</v>
      </c>
    </row>
    <row r="8608">
      <c r="A8608" s="20" t="inlineStr">
        <is>
          <t>고체향수</t>
        </is>
      </c>
      <c r="B8608" s="27" t="n">
        <v>44332</v>
      </c>
      <c r="C8608" s="20" t="inlineStr">
        <is>
          <t>일</t>
        </is>
      </c>
      <c r="D8608" s="20" t="inlineStr">
        <is>
          <t>네이버 배너</t>
        </is>
      </c>
      <c r="E8608" s="20" t="inlineStr">
        <is>
          <t>고체향수</t>
        </is>
      </c>
      <c r="K8608" s="20" t="n">
        <v>611668.1818181818</v>
      </c>
    </row>
    <row r="8609">
      <c r="B8609" s="27" t="n">
        <v>44330</v>
      </c>
      <c r="C8609" s="20" t="inlineStr">
        <is>
          <t>금</t>
        </is>
      </c>
      <c r="D8609" s="20" t="inlineStr">
        <is>
          <t>네이버 배너(대행사)</t>
        </is>
      </c>
      <c r="E8609" s="20" t="inlineStr">
        <is>
          <t>고체향수</t>
        </is>
      </c>
      <c r="K8609" s="20">
        <f>274048/1.1</f>
        <v/>
      </c>
    </row>
    <row r="8610">
      <c r="B8610" s="27" t="n">
        <v>44331</v>
      </c>
      <c r="C8610" s="20" t="inlineStr">
        <is>
          <t>토</t>
        </is>
      </c>
      <c r="D8610" s="20" t="inlineStr">
        <is>
          <t>네이버 배너(대행사)</t>
        </is>
      </c>
      <c r="E8610" s="20" t="inlineStr">
        <is>
          <t>고체향수</t>
        </is>
      </c>
      <c r="K8610" s="20">
        <f>355250/1.1</f>
        <v/>
      </c>
    </row>
    <row r="8611">
      <c r="B8611" s="27" t="n">
        <v>44332</v>
      </c>
      <c r="C8611" s="20" t="inlineStr">
        <is>
          <t>일</t>
        </is>
      </c>
      <c r="D8611" s="20" t="inlineStr">
        <is>
          <t>네이버 배너(대행사)</t>
        </is>
      </c>
      <c r="E8611" s="20" t="inlineStr">
        <is>
          <t>고체향수</t>
        </is>
      </c>
      <c r="K8611" s="20">
        <f>314679/1.1</f>
        <v/>
      </c>
    </row>
    <row r="8612">
      <c r="B8612" s="27" t="n">
        <v>44332</v>
      </c>
      <c r="C8612" s="20" t="inlineStr">
        <is>
          <t>일</t>
        </is>
      </c>
      <c r="D8612" s="20" t="inlineStr">
        <is>
          <t>카카오 메시지</t>
        </is>
      </c>
      <c r="E8612" s="20" t="inlineStr">
        <is>
          <t>고체향수</t>
        </is>
      </c>
      <c r="K8612" s="20">
        <f>895966/1.1</f>
        <v/>
      </c>
    </row>
    <row r="8613">
      <c r="B8613" s="27" t="n">
        <v>44330</v>
      </c>
      <c r="C8613" s="20" t="inlineStr">
        <is>
          <t>금</t>
        </is>
      </c>
      <c r="E8613" s="19">
        <f>INDEX(매칭테이블!C:C,MATCH(RD!G8613,매칭테이블!D:D,0))</f>
        <v/>
      </c>
      <c r="F8613" s="20" t="inlineStr">
        <is>
          <t>올리브영</t>
        </is>
      </c>
      <c r="G8613" s="20" t="inlineStr">
        <is>
          <t>유즈 솔리드퍼퓸 001 이그나이트 30ml 30600 온라인</t>
        </is>
      </c>
      <c r="H8613" s="20" t="n">
        <v>2</v>
      </c>
      <c r="J8613" s="20" t="inlineStr">
        <is>
          <t>210501</t>
        </is>
      </c>
      <c r="L8613" s="19">
        <f>VLOOKUP($O8613,매칭테이블!$G:$J,2,0)*H8613</f>
        <v/>
      </c>
      <c r="M8613" s="19">
        <f>L8613-L8613*VLOOKUP($O8613,매칭테이블!$G:$J,3,0)</f>
        <v/>
      </c>
      <c r="N8613" s="19">
        <f>VLOOKUP($O8613,매칭테이블!$G:$J,4,0)*H8613</f>
        <v/>
      </c>
      <c r="O8613" s="19">
        <f>F8613&amp;E8613&amp;G8613&amp;J8613</f>
        <v/>
      </c>
    </row>
    <row r="8614">
      <c r="B8614" s="27" t="n">
        <v>44330</v>
      </c>
      <c r="C8614" s="20" t="inlineStr">
        <is>
          <t>금</t>
        </is>
      </c>
      <c r="E8614" s="19">
        <f>INDEX(매칭테이블!C:C,MATCH(RD!G8614,매칭테이블!D:D,0))</f>
        <v/>
      </c>
      <c r="F8614" s="20" t="inlineStr">
        <is>
          <t>올리브영</t>
        </is>
      </c>
      <c r="G8614" s="20" t="inlineStr">
        <is>
          <t>유즈 솔리드퍼퓸 002 스테이포에버 30ml 30600 온라인</t>
        </is>
      </c>
      <c r="H8614" s="20" t="n">
        <v>203</v>
      </c>
      <c r="J8614" s="20" t="inlineStr">
        <is>
          <t>210501</t>
        </is>
      </c>
      <c r="L8614" s="19">
        <f>VLOOKUP($O8614,매칭테이블!$G:$J,2,0)*H8614</f>
        <v/>
      </c>
      <c r="M8614" s="19">
        <f>L8614-L8614*VLOOKUP($O8614,매칭테이블!$G:$J,3,0)</f>
        <v/>
      </c>
      <c r="N8614" s="19">
        <f>VLOOKUP($O8614,매칭테이블!$G:$J,4,0)*H8614</f>
        <v/>
      </c>
      <c r="O8614" s="19">
        <f>F8614&amp;E8614&amp;G8614&amp;J8614</f>
        <v/>
      </c>
    </row>
    <row r="8615">
      <c r="B8615" s="27" t="n">
        <v>44331</v>
      </c>
      <c r="C8615" s="20" t="inlineStr">
        <is>
          <t>토</t>
        </is>
      </c>
      <c r="E8615" s="19">
        <f>INDEX(매칭테이블!C:C,MATCH(RD!G8615,매칭테이블!D:D,0))</f>
        <v/>
      </c>
      <c r="F8615" s="20" t="inlineStr">
        <is>
          <t>올리브영</t>
        </is>
      </c>
      <c r="G8615" s="20" t="inlineStr">
        <is>
          <t>유즈 솔리드퍼퓸 001 이그나이트 30ml 30600 온라인</t>
        </is>
      </c>
      <c r="H8615" s="20" t="n">
        <v>1</v>
      </c>
      <c r="J8615" s="20" t="inlineStr">
        <is>
          <t>210501</t>
        </is>
      </c>
      <c r="L8615" s="19">
        <f>VLOOKUP($O8615,매칭테이블!$G:$J,2,0)*H8615</f>
        <v/>
      </c>
      <c r="M8615" s="19">
        <f>L8615-L8615*VLOOKUP($O8615,매칭테이블!$G:$J,3,0)</f>
        <v/>
      </c>
      <c r="N8615" s="19">
        <f>VLOOKUP($O8615,매칭테이블!$G:$J,4,0)*H8615</f>
        <v/>
      </c>
      <c r="O8615" s="19">
        <f>F8615&amp;E8615&amp;G8615&amp;J8615</f>
        <v/>
      </c>
    </row>
    <row r="8616">
      <c r="B8616" s="27" t="n">
        <v>44331</v>
      </c>
      <c r="C8616" s="20" t="inlineStr">
        <is>
          <t>토</t>
        </is>
      </c>
      <c r="E8616" s="19">
        <f>INDEX(매칭테이블!C:C,MATCH(RD!G8616,매칭테이블!D:D,0))</f>
        <v/>
      </c>
      <c r="F8616" s="20" t="inlineStr">
        <is>
          <t>올리브영</t>
        </is>
      </c>
      <c r="G8616" s="20" t="inlineStr">
        <is>
          <t>유즈 솔리드퍼퓸 002 스테이포에버 30ml 30600 온라인</t>
        </is>
      </c>
      <c r="H8616" s="20" t="n">
        <v>53</v>
      </c>
      <c r="J8616" s="20" t="inlineStr">
        <is>
          <t>210501</t>
        </is>
      </c>
      <c r="L8616" s="19">
        <f>VLOOKUP($O8616,매칭테이블!$G:$J,2,0)*H8616</f>
        <v/>
      </c>
      <c r="M8616" s="19">
        <f>L8616-L8616*VLOOKUP($O8616,매칭테이블!$G:$J,3,0)</f>
        <v/>
      </c>
      <c r="N8616" s="19">
        <f>VLOOKUP($O8616,매칭테이블!$G:$J,4,0)*H8616</f>
        <v/>
      </c>
      <c r="O8616" s="19">
        <f>F8616&amp;E8616&amp;G8616&amp;J8616</f>
        <v/>
      </c>
    </row>
    <row r="8617">
      <c r="B8617" s="27" t="n"/>
      <c r="C8617" s="20" t="n"/>
    </row>
    <row r="8618">
      <c r="B8618" s="27" t="n"/>
      <c r="C8618" s="20" t="n"/>
    </row>
    <row r="8619">
      <c r="A8619" s="20" t="inlineStr">
        <is>
          <t>[수현 TEST] 이그나이트_이미지</t>
        </is>
      </c>
      <c r="B8619" s="27" t="n">
        <v>44333</v>
      </c>
      <c r="C8619" s="20" t="inlineStr">
        <is>
          <t>월</t>
        </is>
      </c>
      <c r="D8619" s="19">
        <f>VLOOKUP($A8619,매칭테이블!$B$548:$D$1048576,2,0)</f>
        <v/>
      </c>
      <c r="E8619" s="20" t="inlineStr">
        <is>
          <t>고체향수</t>
        </is>
      </c>
      <c r="K8619" s="20" t="n">
        <v>19225</v>
      </c>
    </row>
    <row r="8620">
      <c r="A8620" s="20" t="inlineStr">
        <is>
          <t>[5월 프로모션] 솔리드퍼퓸_영상</t>
        </is>
      </c>
      <c r="B8620" s="27" t="n">
        <v>44333</v>
      </c>
      <c r="C8620" s="20" t="inlineStr">
        <is>
          <t>월</t>
        </is>
      </c>
      <c r="D8620" s="20" t="inlineStr">
        <is>
          <t>페이스북/인스타그램</t>
        </is>
      </c>
      <c r="E8620" s="20" t="inlineStr">
        <is>
          <t>고체향수</t>
        </is>
      </c>
      <c r="K8620" s="20" t="n">
        <v>95339</v>
      </c>
    </row>
    <row r="8621">
      <c r="A8621" s="20" t="inlineStr">
        <is>
          <t>[수현 TEST] 스테이포에버_카드뉴스</t>
        </is>
      </c>
      <c r="B8621" s="27" t="n">
        <v>44333</v>
      </c>
      <c r="C8621" s="20" t="inlineStr">
        <is>
          <t>월</t>
        </is>
      </c>
      <c r="D8621" s="20" t="inlineStr">
        <is>
          <t>페이스북/인스타그램</t>
        </is>
      </c>
      <c r="E8621" s="20" t="inlineStr">
        <is>
          <t>고체향수</t>
        </is>
      </c>
      <c r="K8621" s="20" t="n">
        <v>19477</v>
      </c>
    </row>
    <row r="8622">
      <c r="A8622" s="20" t="inlineStr">
        <is>
          <t>[수현 TEST] 스테이포에버_이미지</t>
        </is>
      </c>
      <c r="B8622" s="27" t="n">
        <v>44333</v>
      </c>
      <c r="C8622" s="20" t="inlineStr">
        <is>
          <t>월</t>
        </is>
      </c>
      <c r="D8622" s="20">
        <f>VLOOKUP($A8622,매칭테이블!$B$548:$D$1048576,2,0)</f>
        <v/>
      </c>
      <c r="E8622" s="20" t="inlineStr">
        <is>
          <t>고체향수</t>
        </is>
      </c>
      <c r="K8622" s="20" t="n">
        <v>28718</v>
      </c>
    </row>
    <row r="8623">
      <c r="A8623" s="20" t="inlineStr">
        <is>
          <t>[승은 TEST] 스테이포에버</t>
        </is>
      </c>
      <c r="B8623" s="27" t="n">
        <v>44333</v>
      </c>
      <c r="C8623" s="20" t="inlineStr">
        <is>
          <t>월</t>
        </is>
      </c>
      <c r="D8623" s="20" t="inlineStr">
        <is>
          <t>페이스북/인스타그램</t>
        </is>
      </c>
      <c r="E8623" s="20" t="inlineStr">
        <is>
          <t>고체향수</t>
        </is>
      </c>
      <c r="K8623" s="20" t="n">
        <v>57780</v>
      </c>
    </row>
    <row r="8624">
      <c r="A8624" s="20" t="inlineStr">
        <is>
          <t>[비누향 덕후] 스테이포에버_카드뉴스</t>
        </is>
      </c>
      <c r="B8624" s="27" t="n">
        <v>44333</v>
      </c>
      <c r="C8624" s="20" t="inlineStr">
        <is>
          <t>월</t>
        </is>
      </c>
      <c r="D8624" s="20" t="inlineStr">
        <is>
          <t>페이스북/인스타그램</t>
        </is>
      </c>
      <c r="E8624" s="20" t="inlineStr">
        <is>
          <t>고체향수</t>
        </is>
      </c>
      <c r="K8624" s="20" t="n">
        <v>144027</v>
      </c>
    </row>
    <row r="8625">
      <c r="A8625" s="20" t="inlineStr">
        <is>
          <t>[비누향 인연] 스테이포에버_카드뉴스</t>
        </is>
      </c>
      <c r="B8625" s="27" t="n">
        <v>44333</v>
      </c>
      <c r="C8625" s="20" t="inlineStr">
        <is>
          <t>월</t>
        </is>
      </c>
      <c r="D8625" s="20" t="inlineStr">
        <is>
          <t>페이스북/인스타그램</t>
        </is>
      </c>
      <c r="E8625" s="20" t="inlineStr">
        <is>
          <t>고체향수</t>
        </is>
      </c>
      <c r="K8625" s="20" t="n">
        <v>4084</v>
      </c>
    </row>
    <row r="8626">
      <c r="A8626" s="20" t="inlineStr">
        <is>
          <t>[성민 TEST] 솔리드퍼퓸_이미지</t>
        </is>
      </c>
      <c r="B8626" s="27" t="n">
        <v>44333</v>
      </c>
      <c r="C8626" s="20" t="inlineStr">
        <is>
          <t>월</t>
        </is>
      </c>
      <c r="D8626" s="20" t="inlineStr">
        <is>
          <t>페이스북/인스타그램</t>
        </is>
      </c>
      <c r="E8626" s="20" t="inlineStr">
        <is>
          <t>고체향수</t>
        </is>
      </c>
      <c r="K8626" s="20" t="n">
        <v>29328</v>
      </c>
    </row>
    <row r="8627">
      <c r="A8627" s="20" t="inlineStr">
        <is>
          <t>[승무원]유튜브_스테이포에버_카드뉴스</t>
        </is>
      </c>
      <c r="B8627" s="27" t="n">
        <v>44333</v>
      </c>
      <c r="C8627" s="20" t="inlineStr">
        <is>
          <t>월</t>
        </is>
      </c>
      <c r="D8627" s="20" t="inlineStr">
        <is>
          <t>페이스북/인스타그램</t>
        </is>
      </c>
      <c r="E8627" s="20" t="inlineStr">
        <is>
          <t>고체향수</t>
        </is>
      </c>
      <c r="K8627" s="20" t="n">
        <v>95530</v>
      </c>
    </row>
    <row r="8628">
      <c r="A8628" s="20" t="inlineStr">
        <is>
          <t>[올리브영] 이그나이트_영상</t>
        </is>
      </c>
      <c r="B8628" s="27" t="n">
        <v>44333</v>
      </c>
      <c r="C8628" s="20" t="inlineStr">
        <is>
          <t>월</t>
        </is>
      </c>
      <c r="D8628" s="20" t="inlineStr">
        <is>
          <t>페이스북/인스타그램</t>
        </is>
      </c>
      <c r="E8628" s="20" t="inlineStr">
        <is>
          <t>고체향수</t>
        </is>
      </c>
      <c r="K8628" s="20" t="n">
        <v>28716</v>
      </c>
    </row>
    <row r="8629">
      <c r="A8629" s="20" t="inlineStr">
        <is>
          <t>[승희 TEST] 솔리드퍼퓸_이미지</t>
        </is>
      </c>
      <c r="B8629" s="27" t="n">
        <v>44333</v>
      </c>
      <c r="C8629" s="20" t="inlineStr">
        <is>
          <t>월</t>
        </is>
      </c>
      <c r="D8629" s="20" t="inlineStr">
        <is>
          <t>페이스북/인스타그램</t>
        </is>
      </c>
      <c r="E8629" s="20" t="inlineStr">
        <is>
          <t>고체향수</t>
        </is>
      </c>
      <c r="K8629" s="20" t="n">
        <v>203742</v>
      </c>
    </row>
    <row r="8630">
      <c r="A8630" s="20" t="inlineStr">
        <is>
          <t>[올리브영] 스테이포에버_영상</t>
        </is>
      </c>
      <c r="B8630" s="27" t="n">
        <v>44333</v>
      </c>
      <c r="C8630" s="20" t="inlineStr">
        <is>
          <t>월</t>
        </is>
      </c>
      <c r="D8630" s="20" t="inlineStr">
        <is>
          <t>페이스북/인스타그램</t>
        </is>
      </c>
      <c r="E8630" s="20" t="inlineStr">
        <is>
          <t>고체향수</t>
        </is>
      </c>
      <c r="K8630" s="20" t="n">
        <v>47787</v>
      </c>
    </row>
    <row r="8631">
      <c r="A8631" s="20" t="inlineStr">
        <is>
          <t>[올리브영] 스테이포에버_이미지</t>
        </is>
      </c>
      <c r="B8631" s="27" t="n">
        <v>44333</v>
      </c>
      <c r="C8631" s="20" t="inlineStr">
        <is>
          <t>월</t>
        </is>
      </c>
      <c r="D8631" s="20" t="inlineStr">
        <is>
          <t>페이스북/인스타그램</t>
        </is>
      </c>
      <c r="E8631" s="20" t="inlineStr">
        <is>
          <t>고체향수</t>
        </is>
      </c>
      <c r="K8631" s="20" t="n">
        <v>28600</v>
      </c>
    </row>
    <row r="8632">
      <c r="A8632" s="20" t="inlineStr">
        <is>
          <t>[승무원] 유튜브재편집_스테이포에버_영상</t>
        </is>
      </c>
      <c r="B8632" s="27" t="n">
        <v>44333</v>
      </c>
      <c r="C8632" s="20" t="inlineStr">
        <is>
          <t>월</t>
        </is>
      </c>
      <c r="D8632" s="20" t="inlineStr">
        <is>
          <t>페이스북/인스타그램</t>
        </is>
      </c>
      <c r="E8632" s="20" t="inlineStr">
        <is>
          <t>고체향수</t>
        </is>
      </c>
      <c r="K8632" s="20" t="n">
        <v>776092</v>
      </c>
    </row>
    <row r="8633">
      <c r="A8633" s="20" t="inlineStr">
        <is>
          <t>[승무원 면세점] 스테이포에버_카드뉴스</t>
        </is>
      </c>
      <c r="B8633" s="27" t="n">
        <v>44333</v>
      </c>
      <c r="C8633" s="20" t="inlineStr">
        <is>
          <t>월</t>
        </is>
      </c>
      <c r="D8633" s="20" t="inlineStr">
        <is>
          <t>페이스북/인스타그램</t>
        </is>
      </c>
      <c r="E8633" s="20" t="inlineStr">
        <is>
          <t>고체향수</t>
        </is>
      </c>
      <c r="K8633" s="20" t="n">
        <v>141397</v>
      </c>
    </row>
    <row r="8634">
      <c r="A8634" s="20" t="inlineStr">
        <is>
          <t>[카페알바] 스테이포에버_카드뉴스</t>
        </is>
      </c>
      <c r="B8634" s="27" t="n">
        <v>44333</v>
      </c>
      <c r="C8634" s="20" t="inlineStr">
        <is>
          <t>월</t>
        </is>
      </c>
      <c r="D8634" s="20" t="inlineStr">
        <is>
          <t>페이스북/인스타그램</t>
        </is>
      </c>
      <c r="E8634" s="20" t="inlineStr">
        <is>
          <t>고체향수</t>
        </is>
      </c>
      <c r="K8634" s="20" t="n">
        <v>190440</v>
      </c>
    </row>
    <row r="8635">
      <c r="A8635" s="20" t="inlineStr">
        <is>
          <t>[아줌마]스테이포에버_이미지</t>
        </is>
      </c>
      <c r="B8635" s="27" t="n">
        <v>44333</v>
      </c>
      <c r="C8635" s="20" t="inlineStr">
        <is>
          <t>월</t>
        </is>
      </c>
      <c r="D8635" s="20" t="inlineStr">
        <is>
          <t>페이스북/인스타그램</t>
        </is>
      </c>
      <c r="E8635" s="20" t="inlineStr">
        <is>
          <t>고체향수</t>
        </is>
      </c>
      <c r="K8635" s="20" t="n">
        <v>48497</v>
      </c>
    </row>
    <row r="8636">
      <c r="A8636" s="20" t="inlineStr">
        <is>
          <t>[다양한 키워드] 스테이포에버_이미지</t>
        </is>
      </c>
      <c r="B8636" s="27" t="n">
        <v>44333</v>
      </c>
      <c r="C8636" s="20" t="inlineStr">
        <is>
          <t>월</t>
        </is>
      </c>
      <c r="D8636" s="20" t="inlineStr">
        <is>
          <t>페이스북/인스타그램</t>
        </is>
      </c>
      <c r="E8636" s="20" t="inlineStr">
        <is>
          <t>고체향수</t>
        </is>
      </c>
      <c r="K8636" s="20" t="n">
        <v>124531</v>
      </c>
    </row>
    <row r="8637">
      <c r="A8637" s="20" t="inlineStr">
        <is>
          <t>[재입고]스테이포에버_이미지</t>
        </is>
      </c>
      <c r="B8637" s="27" t="n">
        <v>44333</v>
      </c>
      <c r="C8637" s="20" t="inlineStr">
        <is>
          <t>월</t>
        </is>
      </c>
      <c r="D8637" s="20" t="inlineStr">
        <is>
          <t>페이스북/인스타그램</t>
        </is>
      </c>
      <c r="E8637" s="20" t="inlineStr">
        <is>
          <t>고체향수</t>
        </is>
      </c>
      <c r="K8637" s="20" t="n">
        <v>47793</v>
      </c>
    </row>
    <row r="8638">
      <c r="A8638" s="20" t="inlineStr">
        <is>
          <t>[승무원]숏폼_영상</t>
        </is>
      </c>
      <c r="B8638" s="27" t="n">
        <v>44333</v>
      </c>
      <c r="C8638" s="20" t="inlineStr">
        <is>
          <t>월</t>
        </is>
      </c>
      <c r="D8638" s="20" t="inlineStr">
        <is>
          <t>페이스북/인스타그램</t>
        </is>
      </c>
      <c r="E8638" s="20" t="inlineStr">
        <is>
          <t>고체향수</t>
        </is>
      </c>
      <c r="K8638" s="20" t="n">
        <v>48088</v>
      </c>
    </row>
    <row r="8639">
      <c r="A8639" s="20" t="inlineStr">
        <is>
          <t>[재입고]스테이포에버_영상</t>
        </is>
      </c>
      <c r="B8639" s="27" t="n">
        <v>44333</v>
      </c>
      <c r="C8639" s="20" t="inlineStr">
        <is>
          <t>월</t>
        </is>
      </c>
      <c r="D8639" s="20" t="inlineStr">
        <is>
          <t>페이스북/인스타그램</t>
        </is>
      </c>
      <c r="E8639" s="20" t="inlineStr">
        <is>
          <t>고체향수</t>
        </is>
      </c>
      <c r="K8639" s="20" t="n">
        <v>190957</v>
      </c>
    </row>
    <row r="8640">
      <c r="A8640" s="20" t="inlineStr">
        <is>
          <t>[승무원]2019년썰 카드뉴스+ 향묘사_영상</t>
        </is>
      </c>
      <c r="B8640" s="27" t="n">
        <v>44333</v>
      </c>
      <c r="C8640" s="20" t="inlineStr">
        <is>
          <t>월</t>
        </is>
      </c>
      <c r="D8640" s="20" t="inlineStr">
        <is>
          <t>페이스북/인스타그램</t>
        </is>
      </c>
      <c r="E8640" s="20" t="inlineStr">
        <is>
          <t>고체향수</t>
        </is>
      </c>
      <c r="K8640" s="20" t="n">
        <v>28769</v>
      </c>
    </row>
    <row r="8641">
      <c r="A8641" s="20" t="inlineStr">
        <is>
          <t>[승무원어피]스테이포에버_이미지</t>
        </is>
      </c>
      <c r="B8641" s="27" t="n">
        <v>44333</v>
      </c>
      <c r="C8641" s="20" t="inlineStr">
        <is>
          <t>월</t>
        </is>
      </c>
      <c r="D8641" s="20" t="inlineStr">
        <is>
          <t>페이스북/인스타그램</t>
        </is>
      </c>
      <c r="E8641" s="20" t="inlineStr">
        <is>
          <t>고체향수</t>
        </is>
      </c>
      <c r="K8641" s="20" t="n">
        <v>143443</v>
      </c>
    </row>
    <row r="8642">
      <c r="A8642" s="20" t="inlineStr">
        <is>
          <t>[다현]스테이포에버_이미지</t>
        </is>
      </c>
      <c r="B8642" s="27" t="n">
        <v>44333</v>
      </c>
      <c r="C8642" s="20" t="inlineStr">
        <is>
          <t>월</t>
        </is>
      </c>
      <c r="D8642" s="20" t="inlineStr">
        <is>
          <t>페이스북/인스타그램</t>
        </is>
      </c>
      <c r="E8642" s="20" t="inlineStr">
        <is>
          <t>고체향수</t>
        </is>
      </c>
      <c r="K8642" s="20" t="n">
        <v>95958</v>
      </c>
    </row>
    <row r="8643">
      <c r="A8643" s="20" t="inlineStr">
        <is>
          <t>[후기타입]스테이포에버_영상</t>
        </is>
      </c>
      <c r="B8643" s="27" t="n">
        <v>44333</v>
      </c>
      <c r="C8643" s="20" t="inlineStr">
        <is>
          <t>월</t>
        </is>
      </c>
      <c r="D8643" s="20" t="inlineStr">
        <is>
          <t>페이스북/인스타그램</t>
        </is>
      </c>
      <c r="E8643" s="20" t="inlineStr">
        <is>
          <t>고체향수</t>
        </is>
      </c>
      <c r="K8643" s="20" t="n">
        <v>96307</v>
      </c>
    </row>
    <row r="8644">
      <c r="A8644" s="20" t="inlineStr">
        <is>
          <t>전환_스테이포에버</t>
        </is>
      </c>
      <c r="B8644" s="27" t="n">
        <v>44333</v>
      </c>
      <c r="C8644" s="20" t="inlineStr">
        <is>
          <t>월</t>
        </is>
      </c>
      <c r="D8644" s="20" t="inlineStr">
        <is>
          <t>페이스북/인스타그램</t>
        </is>
      </c>
      <c r="E8644" s="20" t="inlineStr">
        <is>
          <t>고체향수</t>
        </is>
      </c>
      <c r="K8644" s="20" t="n">
        <v>75480</v>
      </c>
    </row>
    <row r="8645">
      <c r="A8645" s="20" t="inlineStr">
        <is>
          <t>[권태기커플]스테이포에버_영상</t>
        </is>
      </c>
      <c r="B8645" s="27" t="n">
        <v>44333</v>
      </c>
      <c r="C8645" s="20" t="inlineStr">
        <is>
          <t>월</t>
        </is>
      </c>
      <c r="D8645" s="20" t="inlineStr">
        <is>
          <t>페이스북/인스타그램</t>
        </is>
      </c>
      <c r="E8645" s="20" t="inlineStr">
        <is>
          <t>고체향수</t>
        </is>
      </c>
      <c r="K8645" s="20" t="n">
        <v>28624</v>
      </c>
    </row>
    <row r="8646">
      <c r="A8646" s="20" t="inlineStr">
        <is>
          <t>웹사이트 트래픽 서치</t>
        </is>
      </c>
      <c r="B8646" s="27" t="n">
        <v>44333</v>
      </c>
      <c r="C8646" s="20" t="inlineStr">
        <is>
          <t>월</t>
        </is>
      </c>
      <c r="D8646" s="20" t="inlineStr">
        <is>
          <t>유튜브 광고</t>
        </is>
      </c>
      <c r="E8646" s="20" t="inlineStr">
        <is>
          <t>고체향수</t>
        </is>
      </c>
      <c r="K8646" s="20" t="n">
        <v>23152</v>
      </c>
    </row>
    <row r="8647">
      <c r="A8647" s="20" t="inlineStr">
        <is>
          <t>디스커버리 배너_승무원,할인_리마케팅</t>
        </is>
      </c>
      <c r="B8647" s="27" t="n">
        <v>44333</v>
      </c>
      <c r="C8647" s="20" t="inlineStr">
        <is>
          <t>월</t>
        </is>
      </c>
      <c r="D8647" s="20" t="inlineStr">
        <is>
          <t>유튜브 광고</t>
        </is>
      </c>
      <c r="E8647" s="20" t="inlineStr">
        <is>
          <t>고체향수</t>
        </is>
      </c>
      <c r="K8647" s="20" t="n">
        <v>486100</v>
      </c>
    </row>
    <row r="8648">
      <c r="A8648" s="20" t="inlineStr">
        <is>
          <t>[5화자] 동영상 캠페인_벨라의 비행일기</t>
        </is>
      </c>
      <c r="B8648" s="27" t="n">
        <v>44333</v>
      </c>
      <c r="C8648" s="20" t="inlineStr">
        <is>
          <t>월</t>
        </is>
      </c>
      <c r="D8648" s="20" t="inlineStr">
        <is>
          <t>유튜브 광고</t>
        </is>
      </c>
      <c r="E8648" s="20" t="inlineStr">
        <is>
          <t>고체향수</t>
        </is>
      </c>
      <c r="K8648" s="20" t="n">
        <v>303593</v>
      </c>
    </row>
    <row r="8649">
      <c r="A8649" s="20" t="inlineStr">
        <is>
          <t>[5화자] 동영상 캠페인_비행하고 여행하는 은선씨</t>
        </is>
      </c>
      <c r="B8649" s="27" t="n">
        <v>44333</v>
      </c>
      <c r="C8649" s="20" t="inlineStr">
        <is>
          <t>월</t>
        </is>
      </c>
      <c r="D8649" s="20" t="inlineStr">
        <is>
          <t>유튜브 광고</t>
        </is>
      </c>
      <c r="E8649" s="20" t="inlineStr">
        <is>
          <t>고체향수</t>
        </is>
      </c>
      <c r="K8649" s="20" t="n">
        <v>303873</v>
      </c>
    </row>
    <row r="8650">
      <c r="A8650" s="20" t="inlineStr">
        <is>
          <t>[5화자 재편집] 승무원_벨라_면세점에서 천만원</t>
        </is>
      </c>
      <c r="B8650" s="27" t="n">
        <v>44333</v>
      </c>
      <c r="C8650" s="20" t="inlineStr">
        <is>
          <t>월</t>
        </is>
      </c>
      <c r="D8650" s="20" t="inlineStr">
        <is>
          <t>유튜브 광고</t>
        </is>
      </c>
      <c r="E8650" s="20" t="inlineStr">
        <is>
          <t>고체향수</t>
        </is>
      </c>
      <c r="K8650" s="20" t="n">
        <v>404633</v>
      </c>
    </row>
    <row r="8651">
      <c r="A8651" s="20" t="inlineStr">
        <is>
          <t>동영상캠페인_유즈모먼트_면세점뒤졌는데</t>
        </is>
      </c>
      <c r="B8651" s="27" t="n">
        <v>44333</v>
      </c>
      <c r="C8651" s="20" t="inlineStr">
        <is>
          <t>월</t>
        </is>
      </c>
      <c r="D8651" s="20" t="inlineStr">
        <is>
          <t>유튜브 광고</t>
        </is>
      </c>
      <c r="E8651" s="20" t="inlineStr">
        <is>
          <t>고체향수</t>
        </is>
      </c>
      <c r="K8651" s="20" t="n">
        <v>303263</v>
      </c>
    </row>
    <row r="8652">
      <c r="A8652" s="20" t="inlineStr">
        <is>
          <t>메인키워드</t>
        </is>
      </c>
      <c r="B8652" s="27" t="n">
        <v>44333</v>
      </c>
      <c r="C8652" s="20" t="inlineStr">
        <is>
          <t>월</t>
        </is>
      </c>
      <c r="D8652" s="20" t="inlineStr">
        <is>
          <t>네이버 쇼핑검색</t>
        </is>
      </c>
      <c r="E8652" s="20" t="inlineStr">
        <is>
          <t>고체향수</t>
        </is>
      </c>
      <c r="K8652" s="20" t="n">
        <v>38000</v>
      </c>
    </row>
    <row r="8653">
      <c r="A8653" s="20" t="inlineStr">
        <is>
          <t>세부키워드1</t>
        </is>
      </c>
      <c r="B8653" s="27" t="n">
        <v>44333</v>
      </c>
      <c r="C8653" s="20" t="inlineStr">
        <is>
          <t>월</t>
        </is>
      </c>
      <c r="D8653" s="20" t="inlineStr">
        <is>
          <t>네이버 쇼핑검색</t>
        </is>
      </c>
      <c r="E8653" s="20" t="inlineStr">
        <is>
          <t>고체향수</t>
        </is>
      </c>
      <c r="K8653" s="20" t="n">
        <v>0</v>
      </c>
    </row>
    <row r="8654">
      <c r="A8654" s="20" t="inlineStr">
        <is>
          <t>세부키워드3</t>
        </is>
      </c>
      <c r="B8654" s="27" t="n">
        <v>44333</v>
      </c>
      <c r="C8654" s="20" t="inlineStr">
        <is>
          <t>월</t>
        </is>
      </c>
      <c r="D8654" s="20" t="inlineStr">
        <is>
          <t>네이버 쇼핑검색</t>
        </is>
      </c>
      <c r="E8654" s="20" t="inlineStr">
        <is>
          <t>고체향수</t>
        </is>
      </c>
      <c r="K8654" s="20" t="n">
        <v>98299.99999999999</v>
      </c>
    </row>
    <row r="8655">
      <c r="A8655" s="20" t="inlineStr">
        <is>
          <t>모바일 브검</t>
        </is>
      </c>
      <c r="B8655" s="27" t="n">
        <v>44333</v>
      </c>
      <c r="C8655" s="20" t="inlineStr">
        <is>
          <t>월</t>
        </is>
      </c>
      <c r="D8655" s="20" t="inlineStr">
        <is>
          <t>네이버 브랜드검색</t>
        </is>
      </c>
      <c r="E8655" s="20" t="inlineStr">
        <is>
          <t>브랜드</t>
        </is>
      </c>
      <c r="K8655" s="20" t="n">
        <v>88000</v>
      </c>
    </row>
    <row r="8656">
      <c r="A8656" s="20" t="inlineStr">
        <is>
          <t>PC 브랜드검색</t>
        </is>
      </c>
      <c r="B8656" s="27" t="n">
        <v>44333</v>
      </c>
      <c r="C8656" s="20" t="inlineStr">
        <is>
          <t>월</t>
        </is>
      </c>
      <c r="D8656" s="20" t="inlineStr">
        <is>
          <t>네이버 브랜드검색</t>
        </is>
      </c>
      <c r="E8656" s="20" t="inlineStr">
        <is>
          <t>브랜드</t>
        </is>
      </c>
      <c r="K8656" s="20" t="n">
        <v>16700</v>
      </c>
    </row>
    <row r="8657">
      <c r="A8657" s="20" t="inlineStr">
        <is>
          <t>고체향수_승무원 어피_Npay 추적</t>
        </is>
      </c>
      <c r="B8657" s="27" t="n">
        <v>44333</v>
      </c>
      <c r="C8657" s="20" t="inlineStr">
        <is>
          <t>월</t>
        </is>
      </c>
      <c r="D8657" s="20" t="inlineStr">
        <is>
          <t>카카오 배너</t>
        </is>
      </c>
      <c r="E8657" s="20" t="inlineStr">
        <is>
          <t>고체향수</t>
        </is>
      </c>
      <c r="K8657" s="20" t="n">
        <v>91019.99999999999</v>
      </c>
    </row>
    <row r="8658">
      <c r="A8658" s="20" t="inlineStr">
        <is>
          <t>고체향수_Npay 추적</t>
        </is>
      </c>
      <c r="B8658" s="27" t="n">
        <v>44333</v>
      </c>
      <c r="C8658" s="20" t="inlineStr">
        <is>
          <t>월</t>
        </is>
      </c>
      <c r="D8658" s="20" t="inlineStr">
        <is>
          <t>카카오 배너</t>
        </is>
      </c>
      <c r="E8658" s="20" t="inlineStr">
        <is>
          <t>고체향수</t>
        </is>
      </c>
      <c r="K8658" s="20" t="n">
        <v>728269.9999999999</v>
      </c>
    </row>
    <row r="8659">
      <c r="B8659" s="27" t="n">
        <v>44333</v>
      </c>
      <c r="C8659" s="20" t="inlineStr">
        <is>
          <t>월</t>
        </is>
      </c>
      <c r="E8659" s="20" t="inlineStr">
        <is>
          <t>고체향수</t>
        </is>
      </c>
      <c r="F8659" s="20" t="inlineStr">
        <is>
          <t>W컨셉</t>
        </is>
      </c>
      <c r="G8659" s="20" t="inlineStr">
        <is>
          <t>솔리드퍼퓸 이그나이트/스테이포에버 30ml (2종 택1)&lt;옵션1&gt;002 STAY FOREVER</t>
        </is>
      </c>
      <c r="H8659" s="20" t="n">
        <v>12</v>
      </c>
      <c r="I8659" s="20" t="inlineStr">
        <is>
          <t>스테이포에버</t>
        </is>
      </c>
      <c r="J8659" s="20" t="inlineStr">
        <is>
          <t>210501</t>
        </is>
      </c>
      <c r="L8659" s="20" t="n">
        <v>408000</v>
      </c>
      <c r="M8659" s="20" t="n">
        <v>285600</v>
      </c>
      <c r="N8659" s="20" t="n">
        <v>30648</v>
      </c>
      <c r="O8659" s="20" t="inlineStr">
        <is>
          <t>W컨셉고체향수솔리드퍼퓸 이그나이트/스테이포에버 30ml (2종 택1)&lt;옵션1&gt;002 STAY FOREVER210501</t>
        </is>
      </c>
    </row>
    <row r="8660">
      <c r="B8660" s="27" t="n">
        <v>44333</v>
      </c>
      <c r="C8660" s="20" t="inlineStr">
        <is>
          <t>월</t>
        </is>
      </c>
      <c r="E8660" s="20" t="inlineStr">
        <is>
          <t>고체향수</t>
        </is>
      </c>
      <c r="F8660" s="20" t="inlineStr">
        <is>
          <t>W컨셉</t>
        </is>
      </c>
      <c r="G8660" s="20" t="inlineStr">
        <is>
          <t>솔리드퍼퓸 이그나이트/스테이포에버 30ml (2종 택1)&lt;옵션1&gt;IGNITE + STAY FOREVER</t>
        </is>
      </c>
      <c r="H8660" s="20" t="n">
        <v>3</v>
      </c>
      <c r="I8660" s="20" t="inlineStr">
        <is>
          <t>이그나이트 + 스테이포에버</t>
        </is>
      </c>
      <c r="J8660" s="20" t="inlineStr">
        <is>
          <t>210501</t>
        </is>
      </c>
      <c r="L8660" s="20" t="n">
        <v>176400</v>
      </c>
      <c r="M8660" s="20" t="n">
        <v>141120</v>
      </c>
      <c r="N8660" s="20" t="n">
        <v>15537</v>
      </c>
      <c r="O8660" s="20" t="inlineStr">
        <is>
          <t>W컨셉고체향수솔리드퍼퓸 이그나이트/스테이포에버 30ml (2종 택1)&lt;옵션1&gt;IGNITE + STAY FOREVER210501</t>
        </is>
      </c>
    </row>
    <row r="8661">
      <c r="B8661" s="27" t="n">
        <v>44333</v>
      </c>
      <c r="C8661" s="20" t="inlineStr">
        <is>
          <t>월</t>
        </is>
      </c>
      <c r="E8661" s="20" t="inlineStr">
        <is>
          <t>고체향수</t>
        </is>
      </c>
      <c r="F8661" s="20" t="inlineStr">
        <is>
          <t>스마트스토어</t>
        </is>
      </c>
      <c r="G8661" s="20" t="inlineStr">
        <is>
          <t>유즈 고체향수 세트(유즈 스테이포에버, 유즈 이그나이트)고체향수: 스테이포에버 1개 + 이그나이트 1개</t>
        </is>
      </c>
      <c r="H8661" s="20" t="n">
        <v>5</v>
      </c>
      <c r="I8661" s="20" t="inlineStr">
        <is>
          <t>이그나이트 + 스테이포에버</t>
        </is>
      </c>
      <c r="J8661" s="20" t="inlineStr">
        <is>
          <t>210501</t>
        </is>
      </c>
      <c r="L8661" s="20" t="n">
        <v>294000</v>
      </c>
      <c r="M8661" s="20" t="n">
        <v>276801</v>
      </c>
      <c r="N8661" s="20" t="n">
        <v>25895</v>
      </c>
      <c r="O8661" s="20" t="inlineStr">
        <is>
          <t>스마트스토어고체향수유즈 고체향수 세트(유즈 스테이포에버, 유즈 이그나이트)고체향수: 스테이포에버 1개 + 이그나이트 1개210501</t>
        </is>
      </c>
    </row>
    <row r="8662">
      <c r="B8662" s="27" t="n">
        <v>44333</v>
      </c>
      <c r="C8662" s="20" t="inlineStr">
        <is>
          <t>월</t>
        </is>
      </c>
      <c r="E8662" s="20" t="inlineStr">
        <is>
          <t>고체향수</t>
        </is>
      </c>
      <c r="F8662" s="20" t="inlineStr">
        <is>
          <t>스마트스토어</t>
        </is>
      </c>
      <c r="G8662" s="20" t="inlineStr">
        <is>
          <t>유즈 고체향수 세트(유즈 스테이포에버, 유즈 이그나이트)고체향수: 스테이포에버 2개</t>
        </is>
      </c>
      <c r="H8662" s="20" t="n">
        <v>1</v>
      </c>
      <c r="I8662" s="20" t="inlineStr">
        <is>
          <t>스테이포에버 2set</t>
        </is>
      </c>
      <c r="J8662" s="20" t="inlineStr">
        <is>
          <t>210501</t>
        </is>
      </c>
      <c r="L8662" s="20" t="n">
        <v>58800</v>
      </c>
      <c r="M8662" s="20" t="n">
        <v>57624</v>
      </c>
      <c r="N8662" s="20" t="n">
        <v>5108</v>
      </c>
      <c r="O8662" s="20" t="inlineStr">
        <is>
          <t>스마트스토어고체향수유즈 고체향수 세트(유즈 스테이포에버, 유즈 이그나이트)고체향수: 스테이포에버 2개210501</t>
        </is>
      </c>
    </row>
    <row r="8663">
      <c r="B8663" s="27" t="n">
        <v>44333</v>
      </c>
      <c r="C8663" s="20" t="inlineStr">
        <is>
          <t>월</t>
        </is>
      </c>
      <c r="E8663" s="20" t="inlineStr">
        <is>
          <t>고체향수</t>
        </is>
      </c>
      <c r="F8663" s="20" t="inlineStr">
        <is>
          <t>스마트스토어</t>
        </is>
      </c>
      <c r="G8663" s="20" t="inlineStr">
        <is>
          <t>유즈 고체향수 스테이포에버 002고체향수: 스테이포에버 1개</t>
        </is>
      </c>
      <c r="H8663" s="20" t="n">
        <v>9</v>
      </c>
      <c r="I8663" s="20" t="inlineStr">
        <is>
          <t>스테이포에버</t>
        </is>
      </c>
      <c r="J8663" s="20" t="inlineStr">
        <is>
          <t>210501</t>
        </is>
      </c>
      <c r="L8663" s="20" t="n">
        <v>306000</v>
      </c>
      <c r="M8663" s="20" t="n">
        <v>299880</v>
      </c>
      <c r="N8663" s="20" t="n">
        <v>22986</v>
      </c>
      <c r="O8663" s="20" t="inlineStr">
        <is>
          <t>스마트스토어고체향수유즈 고체향수 스테이포에버 002고체향수: 스테이포에버 1개210501</t>
        </is>
      </c>
    </row>
    <row r="8664">
      <c r="B8664" s="27" t="n">
        <v>44333</v>
      </c>
      <c r="C8664" s="20" t="inlineStr">
        <is>
          <t>월</t>
        </is>
      </c>
      <c r="E8664" s="20" t="inlineStr">
        <is>
          <t>고체향수</t>
        </is>
      </c>
      <c r="F8664" s="20" t="inlineStr">
        <is>
          <t>카페24</t>
        </is>
      </c>
      <c r="G8664" s="20" t="inlineStr">
        <is>
          <t>솔리드퍼퓸 세트향=스테이포에버 002 SOLID PERFUME, 세트 선택=1개</t>
        </is>
      </c>
      <c r="H8664" s="20" t="n">
        <v>5</v>
      </c>
      <c r="I8664" s="20" t="inlineStr">
        <is>
          <t>스테이포에버</t>
        </is>
      </c>
      <c r="J8664" s="20" t="inlineStr">
        <is>
          <t>210501</t>
        </is>
      </c>
      <c r="L8664" s="20" t="n">
        <v>170000</v>
      </c>
      <c r="M8664" s="20" t="n">
        <v>160055</v>
      </c>
      <c r="N8664" s="20" t="n">
        <v>12770</v>
      </c>
      <c r="O8664" s="20" t="inlineStr">
        <is>
          <t>카페24고체향수솔리드퍼퓸 세트향=스테이포에버 002 SOLID PERFUME, 세트 선택=1개210501</t>
        </is>
      </c>
    </row>
    <row r="8665">
      <c r="B8665" s="27" t="n">
        <v>44333</v>
      </c>
      <c r="C8665" s="20" t="inlineStr">
        <is>
          <t>월</t>
        </is>
      </c>
      <c r="E8665" s="20" t="inlineStr">
        <is>
          <t>고체향수</t>
        </is>
      </c>
      <c r="F8665" s="20" t="inlineStr">
        <is>
          <t>카페24</t>
        </is>
      </c>
      <c r="G8665" s="20" t="inlineStr">
        <is>
          <t>솔리드퍼퓸 세트향=스테이포에버 002 SOLID PERFUME, 세트 선택=best 2개 (28% 할인)</t>
        </is>
      </c>
      <c r="H8665" s="20" t="n">
        <v>5</v>
      </c>
      <c r="I8665" s="20" t="inlineStr">
        <is>
          <t>스테이포에버 2set</t>
        </is>
      </c>
      <c r="J8665" s="20" t="inlineStr">
        <is>
          <t>210501</t>
        </is>
      </c>
      <c r="L8665" s="20" t="n">
        <v>294000</v>
      </c>
      <c r="M8665" s="20" t="n">
        <v>276801</v>
      </c>
      <c r="N8665" s="20" t="n">
        <v>25540</v>
      </c>
      <c r="O8665" s="20" t="inlineStr">
        <is>
          <t>카페24고체향수솔리드퍼퓸 세트향=스테이포에버 002 SOLID PERFUME, 세트 선택=best 2개 (28% 할인)210501</t>
        </is>
      </c>
    </row>
    <row r="8666">
      <c r="B8666" s="27" t="n">
        <v>44333</v>
      </c>
      <c r="C8666" s="20" t="inlineStr">
        <is>
          <t>월</t>
        </is>
      </c>
      <c r="E8666" s="20" t="inlineStr">
        <is>
          <t>고체향수</t>
        </is>
      </c>
      <c r="F8666" s="20" t="inlineStr">
        <is>
          <t>카페24</t>
        </is>
      </c>
      <c r="G8666" s="20" t="inlineStr">
        <is>
          <t>솔리드퍼퓸 세트향=커플세트(이그나이트 + 스테이포에버), 세트 선택=1 SET</t>
        </is>
      </c>
      <c r="H8666" s="20" t="n">
        <v>9</v>
      </c>
      <c r="I8666" s="20" t="inlineStr">
        <is>
          <t>이그나이트 + 스테이포에버</t>
        </is>
      </c>
      <c r="J8666" s="20" t="inlineStr">
        <is>
          <t>210501</t>
        </is>
      </c>
      <c r="L8666" s="20" t="n">
        <v>529200</v>
      </c>
      <c r="M8666" s="20" t="n">
        <v>498241.8</v>
      </c>
      <c r="N8666" s="20" t="n">
        <v>46611</v>
      </c>
      <c r="O8666" s="20" t="inlineStr">
        <is>
          <t>카페24고체향수솔리드퍼퓸 세트향=커플세트(이그나이트 + 스테이포에버), 세트 선택=1 SET210501</t>
        </is>
      </c>
    </row>
    <row r="8667">
      <c r="B8667" s="27" t="n">
        <v>44333</v>
      </c>
      <c r="C8667" s="20" t="inlineStr">
        <is>
          <t>월</t>
        </is>
      </c>
      <c r="E8667" s="20" t="inlineStr">
        <is>
          <t>고체향수</t>
        </is>
      </c>
      <c r="F8667" s="20" t="inlineStr">
        <is>
          <t>카페24</t>
        </is>
      </c>
      <c r="G8667" s="20" t="inlineStr">
        <is>
          <t>솔리드퍼퓸 스테이포에버 002제품선택=스테이포에버 1개</t>
        </is>
      </c>
      <c r="H8667" s="20" t="n">
        <v>160</v>
      </c>
      <c r="I8667" s="20" t="inlineStr">
        <is>
          <t>스테이포에버</t>
        </is>
      </c>
      <c r="J8667" s="20" t="inlineStr">
        <is>
          <t>210501</t>
        </is>
      </c>
      <c r="L8667" s="20" t="n">
        <v>5440000</v>
      </c>
      <c r="M8667" s="20" t="n">
        <v>5121760</v>
      </c>
      <c r="N8667" s="20" t="n">
        <v>408640</v>
      </c>
      <c r="O8667" s="20" t="inlineStr">
        <is>
          <t>카페24고체향수솔리드퍼퓸 스테이포에버 002제품선택=스테이포에버 1개210501</t>
        </is>
      </c>
    </row>
    <row r="8668">
      <c r="B8668" s="27" t="n">
        <v>44333</v>
      </c>
      <c r="C8668" s="20" t="inlineStr">
        <is>
          <t>월</t>
        </is>
      </c>
      <c r="E8668" s="20" t="inlineStr">
        <is>
          <t>고체향수</t>
        </is>
      </c>
      <c r="F8668" s="20" t="inlineStr">
        <is>
          <t>카페24</t>
        </is>
      </c>
      <c r="G8668" s="20" t="inlineStr">
        <is>
          <t>솔리드퍼퓸 스테이포에버 002제품선택=best스테이포에버 2개[28% 할인]</t>
        </is>
      </c>
      <c r="H8668" s="20" t="n">
        <v>98</v>
      </c>
      <c r="I8668" s="20" t="inlineStr">
        <is>
          <t>스테이포에버 2set</t>
        </is>
      </c>
      <c r="J8668" s="20" t="inlineStr">
        <is>
          <t>210501</t>
        </is>
      </c>
      <c r="L8668" s="20" t="n">
        <v>5762400</v>
      </c>
      <c r="M8668" s="20" t="n">
        <v>5425299.6</v>
      </c>
      <c r="N8668" s="20" t="n">
        <v>500584</v>
      </c>
      <c r="O8668" s="20" t="inlineStr">
        <is>
          <t>카페24고체향수솔리드퍼퓸 스테이포에버 002제품선택=best스테이포에버 2개[28% 할인]210501</t>
        </is>
      </c>
    </row>
    <row r="8669">
      <c r="B8669" s="27" t="n">
        <v>44333</v>
      </c>
      <c r="C8669" s="20" t="inlineStr">
        <is>
          <t>월</t>
        </is>
      </c>
      <c r="E8669" s="20" t="inlineStr">
        <is>
          <t>고체향수</t>
        </is>
      </c>
      <c r="F8669" s="20" t="inlineStr">
        <is>
          <t>카페24</t>
        </is>
      </c>
      <c r="G8669" s="20" t="inlineStr">
        <is>
          <t>솔리드퍼퓸 스테이포에버 002제품선택=커플추천스테이포에버 + 이그나이트 세트</t>
        </is>
      </c>
      <c r="H8669" s="20" t="n">
        <v>15</v>
      </c>
      <c r="I8669" s="20" t="inlineStr">
        <is>
          <t>이그나이트 + 스테이포에버</t>
        </is>
      </c>
      <c r="J8669" s="20" t="inlineStr">
        <is>
          <t>210501</t>
        </is>
      </c>
      <c r="L8669" s="20" t="n">
        <v>882000</v>
      </c>
      <c r="M8669" s="20" t="n">
        <v>830403</v>
      </c>
      <c r="N8669" s="20" t="n">
        <v>77685</v>
      </c>
      <c r="O8669" s="20" t="inlineStr">
        <is>
          <t>카페24고체향수솔리드퍼퓸 스테이포에버 002제품선택=커플추천스테이포에버 + 이그나이트 세트210501</t>
        </is>
      </c>
    </row>
    <row r="8670">
      <c r="B8670" s="27" t="n">
        <v>44333</v>
      </c>
      <c r="C8670" s="20" t="inlineStr">
        <is>
          <t>월</t>
        </is>
      </c>
      <c r="E8670" s="20" t="inlineStr">
        <is>
          <t>쇼핑백</t>
        </is>
      </c>
      <c r="F8670" s="20" t="inlineStr">
        <is>
          <t>카페24</t>
        </is>
      </c>
      <c r="G8670" s="20" t="inlineStr">
        <is>
          <t>솔리드퍼퓸 스테이포에버 002쇼핑백=선물용 쇼핑백</t>
        </is>
      </c>
      <c r="H8670" s="20" t="n">
        <v>10</v>
      </c>
      <c r="I8670" s="20" t="inlineStr">
        <is>
          <t>쇼핑백</t>
        </is>
      </c>
      <c r="J8670" s="20" t="inlineStr">
        <is>
          <t>210501</t>
        </is>
      </c>
      <c r="L8670" s="20" t="n">
        <v>20000</v>
      </c>
      <c r="M8670" s="20" t="n">
        <v>18830</v>
      </c>
      <c r="N8670" s="20" t="n">
        <v>8300</v>
      </c>
      <c r="O8670" s="20" t="inlineStr">
        <is>
          <t>카페24쇼핑백솔리드퍼퓸 스테이포에버 002쇼핑백=선물용 쇼핑백210501</t>
        </is>
      </c>
    </row>
    <row r="8671">
      <c r="B8671" s="27" t="n">
        <v>44333</v>
      </c>
      <c r="C8671" s="20" t="inlineStr">
        <is>
          <t>월</t>
        </is>
      </c>
      <c r="E8671" s="20" t="inlineStr">
        <is>
          <t>고체향수</t>
        </is>
      </c>
      <c r="F8671" s="20" t="inlineStr">
        <is>
          <t>카페24</t>
        </is>
      </c>
      <c r="G8671" s="20" t="inlineStr">
        <is>
          <t>솔리드퍼퓸 스페셜 기프트 세트제품 선택=Event 1솔리드퍼퓸 2종 set[40% 할인], 수량 선택=1개</t>
        </is>
      </c>
      <c r="H8671" s="20" t="n">
        <v>33</v>
      </c>
      <c r="I8671" s="20" t="inlineStr">
        <is>
          <t>5월 프로모션 이그나이트+스테이포에버</t>
        </is>
      </c>
      <c r="J8671" s="20" t="inlineStr">
        <is>
          <t>210501</t>
        </is>
      </c>
      <c r="L8671" s="20" t="n">
        <v>1663200</v>
      </c>
      <c r="M8671" s="20" t="n">
        <v>1565902.8</v>
      </c>
      <c r="N8671" s="20" t="n">
        <v>236346</v>
      </c>
      <c r="O8671" s="20" t="inlineStr">
        <is>
          <t>카페24고체향수솔리드퍼퓸 스페셜 기프트 세트제품 선택=Event 1솔리드퍼퓸 2종 set[40% 할인], 수량 선택=1개210501</t>
        </is>
      </c>
    </row>
    <row r="8672">
      <c r="B8672" s="27" t="n">
        <v>44333</v>
      </c>
      <c r="C8672" s="20" t="inlineStr">
        <is>
          <t>월</t>
        </is>
      </c>
      <c r="E8672" s="20" t="inlineStr">
        <is>
          <t>고체향수</t>
        </is>
      </c>
      <c r="F8672" s="20" t="inlineStr">
        <is>
          <t>카페24</t>
        </is>
      </c>
      <c r="G8672" s="20" t="inlineStr">
        <is>
          <t>솔리드퍼퓸 스페셜 기프트 세트제품 선택=Event 1솔리드퍼퓸 2종 set[40% 할인], 수량 선택=2개</t>
        </is>
      </c>
      <c r="H8672" s="20" t="n">
        <v>1</v>
      </c>
      <c r="I8672" s="20" t="inlineStr">
        <is>
          <t>5월 프로모션 이그나이트+스테이포에버 2 set</t>
        </is>
      </c>
      <c r="J8672" s="20" t="inlineStr">
        <is>
          <t>210501</t>
        </is>
      </c>
      <c r="L8672" s="20" t="n">
        <v>10800</v>
      </c>
      <c r="M8672" s="20" t="n">
        <v>10168.2</v>
      </c>
      <c r="N8672" s="20" t="n">
        <v>14324</v>
      </c>
      <c r="O8672" s="20" t="inlineStr">
        <is>
          <t>카페24고체향수솔리드퍼퓸 스페셜 기프트 세트제품 선택=Event 1솔리드퍼퓸 2종 set[40% 할인], 수량 선택=2개210501</t>
        </is>
      </c>
    </row>
    <row r="8673">
      <c r="B8673" s="27" t="n">
        <v>44333</v>
      </c>
      <c r="C8673" s="20" t="inlineStr">
        <is>
          <t>월</t>
        </is>
      </c>
      <c r="E8673" s="20" t="inlineStr">
        <is>
          <t>고체향수</t>
        </is>
      </c>
      <c r="F8673" s="20" t="inlineStr">
        <is>
          <t>카페24</t>
        </is>
      </c>
      <c r="G8673" s="20" t="inlineStr">
        <is>
          <t>솔리드퍼퓸 스페셜 기프트 세트제품 선택=Event 2✨스테이포에버 단품[35% 할인], 수량 선택=1개</t>
        </is>
      </c>
      <c r="H8673" s="20" t="n">
        <v>14</v>
      </c>
      <c r="I8673" s="20" t="inlineStr">
        <is>
          <t>5월 프로모션 스테이포에버</t>
        </is>
      </c>
      <c r="J8673" s="20" t="inlineStr">
        <is>
          <t>210501</t>
        </is>
      </c>
      <c r="L8673" s="20" t="n">
        <v>390600</v>
      </c>
      <c r="M8673" s="20" t="n">
        <v>367749.9</v>
      </c>
      <c r="N8673" s="20" t="n">
        <v>47376</v>
      </c>
      <c r="O8673" s="20" t="inlineStr">
        <is>
          <t>카페24고체향수솔리드퍼퓸 스페셜 기프트 세트제품 선택=Event 2✨스테이포에버 단품[35% 할인], 수량 선택=1개210501</t>
        </is>
      </c>
    </row>
    <row r="8674">
      <c r="B8674" s="27" t="n">
        <v>44333</v>
      </c>
      <c r="C8674" s="20" t="inlineStr">
        <is>
          <t>월</t>
        </is>
      </c>
      <c r="E8674" s="20" t="inlineStr">
        <is>
          <t>고체향수</t>
        </is>
      </c>
      <c r="F8674" s="20" t="inlineStr">
        <is>
          <t>카페24</t>
        </is>
      </c>
      <c r="G8674" s="20" t="inlineStr">
        <is>
          <t>솔리드퍼퓸 스페셜 기프트 세트제품 선택=Event 2✨스테이포에버 단품[35% 할인], 수량 선택=2개</t>
        </is>
      </c>
      <c r="H8674" s="20" t="n">
        <v>2</v>
      </c>
      <c r="I8674" s="20" t="inlineStr">
        <is>
          <t>5월 프로모션 스테이포에버 2set</t>
        </is>
      </c>
      <c r="J8674" s="20" t="inlineStr">
        <is>
          <t>210501</t>
        </is>
      </c>
      <c r="L8674" s="20" t="n">
        <v>111600</v>
      </c>
      <c r="M8674" s="20" t="n">
        <v>105071.4</v>
      </c>
      <c r="N8674" s="20" t="n">
        <v>13536</v>
      </c>
      <c r="O8674" s="20" t="inlineStr">
        <is>
          <t>카페24고체향수솔리드퍼퓸 스페셜 기프트 세트제품 선택=Event 2✨스테이포에버 단품[35% 할인], 수량 선택=2개210501</t>
        </is>
      </c>
    </row>
    <row r="8675">
      <c r="B8675" s="27" t="n">
        <v>44333</v>
      </c>
      <c r="C8675" s="20" t="inlineStr">
        <is>
          <t>월</t>
        </is>
      </c>
      <c r="E8675" s="20" t="inlineStr">
        <is>
          <t>고체향수</t>
        </is>
      </c>
      <c r="F8675" s="20" t="inlineStr">
        <is>
          <t>카페24</t>
        </is>
      </c>
      <c r="G8675" s="20" t="inlineStr">
        <is>
          <t>솔리드퍼퓸 이그나이트 001제품선택=이그나이트 솔리드퍼퓸 - 30ml</t>
        </is>
      </c>
      <c r="H8675" s="20" t="n">
        <v>1</v>
      </c>
      <c r="I8675" s="20" t="inlineStr">
        <is>
          <t>이그나이트</t>
        </is>
      </c>
      <c r="J8675" s="20" t="inlineStr">
        <is>
          <t>210501</t>
        </is>
      </c>
      <c r="L8675" s="20" t="n">
        <v>34000</v>
      </c>
      <c r="M8675" s="20" t="n">
        <v>32011</v>
      </c>
      <c r="N8675" s="20" t="n">
        <v>2625</v>
      </c>
      <c r="O8675" s="20" t="inlineStr">
        <is>
          <t>카페24고체향수솔리드퍼퓸 이그나이트 001제품선택=이그나이트 솔리드퍼퓸 - 30ml210501</t>
        </is>
      </c>
    </row>
    <row r="8676">
      <c r="B8676" s="27" t="n">
        <v>44333</v>
      </c>
      <c r="C8676" s="20" t="inlineStr">
        <is>
          <t>월</t>
        </is>
      </c>
      <c r="E8676" s="20" t="inlineStr">
        <is>
          <t>고체향수</t>
        </is>
      </c>
      <c r="F8676" s="20" t="inlineStr">
        <is>
          <t>카페24</t>
        </is>
      </c>
      <c r="G8676" s="20" t="inlineStr">
        <is>
          <t>솔리드퍼퓸 이그나이트 001제품선택=이그나이트 2개 세트</t>
        </is>
      </c>
      <c r="H8676" s="20" t="n">
        <v>1</v>
      </c>
      <c r="I8676" s="20" t="inlineStr">
        <is>
          <t>이그나이트 2set</t>
        </is>
      </c>
      <c r="J8676" s="20" t="inlineStr">
        <is>
          <t>210501</t>
        </is>
      </c>
      <c r="L8676" s="20" t="n">
        <v>58800</v>
      </c>
      <c r="M8676" s="20" t="n">
        <v>55360.2</v>
      </c>
      <c r="N8676" s="20" t="n">
        <v>5250</v>
      </c>
      <c r="O8676" s="20" t="inlineStr">
        <is>
          <t>카페24고체향수솔리드퍼퓸 이그나이트 001제품선택=이그나이트 2개 세트210501</t>
        </is>
      </c>
    </row>
    <row r="8677">
      <c r="A8677" s="20" t="inlineStr">
        <is>
          <t>고체향수</t>
        </is>
      </c>
      <c r="B8677" s="27" t="n">
        <v>44333</v>
      </c>
      <c r="C8677" s="20" t="inlineStr">
        <is>
          <t>월</t>
        </is>
      </c>
      <c r="D8677" s="20" t="inlineStr">
        <is>
          <t>네이버 배너</t>
        </is>
      </c>
      <c r="E8677" s="20" t="inlineStr">
        <is>
          <t>고체향수</t>
        </is>
      </c>
      <c r="K8677" s="20" t="n">
        <v>577449.0909090908</v>
      </c>
    </row>
    <row r="8678">
      <c r="B8678" s="27" t="n">
        <v>44333</v>
      </c>
      <c r="C8678" s="20" t="inlineStr">
        <is>
          <t>월</t>
        </is>
      </c>
      <c r="D8678" s="20" t="inlineStr">
        <is>
          <t>네이버 배너(대행사)</t>
        </is>
      </c>
      <c r="E8678" s="20" t="inlineStr">
        <is>
          <t>고체향수</t>
        </is>
      </c>
      <c r="K8678" s="20">
        <f>244840/1.1</f>
        <v/>
      </c>
    </row>
    <row r="8679">
      <c r="B8679" s="27" t="n">
        <v>44333</v>
      </c>
      <c r="E8679" s="19">
        <f>INDEX(매칭테이블!C:C,MATCH(RD!G8679,매칭테이블!D:D,0))</f>
        <v/>
      </c>
      <c r="F8679" s="20" t="inlineStr">
        <is>
          <t>올리브영</t>
        </is>
      </c>
      <c r="G8679" s="20" t="inlineStr">
        <is>
          <t>유즈 솔리드퍼퓸 001 이그나이트 30ml 30600 온라인</t>
        </is>
      </c>
      <c r="H8679" s="20" t="n">
        <v>1</v>
      </c>
      <c r="I8679" s="19">
        <f>VLOOKUP(G8679,매칭테이블!D:E,2,0)</f>
        <v/>
      </c>
      <c r="J8679" s="20" t="inlineStr">
        <is>
          <t>210501</t>
        </is>
      </c>
      <c r="L8679" s="19">
        <f>VLOOKUP($O8679,매칭테이블!$G:$J,2,0)*H8679</f>
        <v/>
      </c>
      <c r="M8679" s="19">
        <f>L8679-L8679*VLOOKUP($O8679,매칭테이블!$G:$J,3,0)</f>
        <v/>
      </c>
      <c r="N8679" s="19">
        <f>VLOOKUP($O8679,매칭테이블!$G:$J,4,0)*H8679</f>
        <v/>
      </c>
      <c r="O8679" s="19">
        <f>F8679&amp;E8679&amp;G8679&amp;J8679</f>
        <v/>
      </c>
    </row>
    <row r="8680">
      <c r="B8680" s="27" t="n">
        <v>44333</v>
      </c>
      <c r="E8680" s="19">
        <f>INDEX(매칭테이블!C:C,MATCH(RD!G8680,매칭테이블!D:D,0))</f>
        <v/>
      </c>
      <c r="F8680" s="20" t="inlineStr">
        <is>
          <t>올리브영</t>
        </is>
      </c>
      <c r="G8680" s="20" t="inlineStr">
        <is>
          <t>유즈 솔리드퍼퓸 002 스테이포에버 30ml 30600 온라인</t>
        </is>
      </c>
      <c r="H8680" s="20" t="n">
        <v>93</v>
      </c>
      <c r="I8680" s="19">
        <f>VLOOKUP(G8680,매칭테이블!D:E,2,0)</f>
        <v/>
      </c>
      <c r="J8680" s="20" t="inlineStr">
        <is>
          <t>210501</t>
        </is>
      </c>
      <c r="L8680" s="19">
        <f>VLOOKUP($O8680,매칭테이블!$G:$J,2,0)*H8680</f>
        <v/>
      </c>
      <c r="M8680" s="19">
        <f>L8680-L8680*VLOOKUP($O8680,매칭테이블!$G:$J,3,0)</f>
        <v/>
      </c>
      <c r="N8680" s="19">
        <f>VLOOKUP($O8680,매칭테이블!$G:$J,4,0)*H8680</f>
        <v/>
      </c>
      <c r="O8680" s="19">
        <f>F8680&amp;E8680&amp;G8680&amp;J8680</f>
        <v/>
      </c>
    </row>
    <row r="8681">
      <c r="A8681" s="20" t="inlineStr">
        <is>
          <t>[승희 TEST] 솔리드퍼퓸_카드뉴스</t>
        </is>
      </c>
      <c r="B8681" s="27" t="n">
        <v>44334</v>
      </c>
      <c r="C8681" s="20" t="inlineStr">
        <is>
          <t>화</t>
        </is>
      </c>
      <c r="D8681" s="19">
        <f>VLOOKUP($A8681,매칭테이블!$B$548:$D$1048576,2,0)</f>
        <v/>
      </c>
      <c r="E8681" s="20" t="inlineStr">
        <is>
          <t>고체향수</t>
        </is>
      </c>
      <c r="K8681" s="20" t="n">
        <v>13438</v>
      </c>
    </row>
    <row r="8682">
      <c r="A8682" s="20" t="inlineStr">
        <is>
          <t>[수현 TEST] 이그나이트_이미지</t>
        </is>
      </c>
      <c r="B8682" s="27" t="n">
        <v>44334</v>
      </c>
      <c r="C8682" s="20" t="inlineStr">
        <is>
          <t>화</t>
        </is>
      </c>
      <c r="D8682" s="20" t="inlineStr">
        <is>
          <t>페이스북/인스타그램</t>
        </is>
      </c>
      <c r="E8682" s="20" t="inlineStr">
        <is>
          <t>고체향수</t>
        </is>
      </c>
      <c r="K8682" s="20" t="n">
        <v>49864</v>
      </c>
    </row>
    <row r="8683">
      <c r="A8683" s="20" t="inlineStr">
        <is>
          <t>[5월 프로모션] 솔리드퍼퓸_영상</t>
        </is>
      </c>
      <c r="B8683" s="27" t="n">
        <v>44334</v>
      </c>
      <c r="C8683" s="20" t="inlineStr">
        <is>
          <t>화</t>
        </is>
      </c>
      <c r="D8683" s="20" t="inlineStr">
        <is>
          <t>페이스북/인스타그램</t>
        </is>
      </c>
      <c r="E8683" s="20" t="inlineStr">
        <is>
          <t>고체향수</t>
        </is>
      </c>
      <c r="K8683" s="20" t="n">
        <v>99063</v>
      </c>
    </row>
    <row r="8684">
      <c r="A8684" s="20" t="inlineStr">
        <is>
          <t>[수현 TEST] 스테이포에버_카드뉴스</t>
        </is>
      </c>
      <c r="B8684" s="27" t="n">
        <v>44334</v>
      </c>
      <c r="C8684" s="20" t="inlineStr">
        <is>
          <t>화</t>
        </is>
      </c>
      <c r="D8684" s="20" t="inlineStr">
        <is>
          <t>페이스북/인스타그램</t>
        </is>
      </c>
      <c r="E8684" s="20" t="inlineStr">
        <is>
          <t>고체향수</t>
        </is>
      </c>
      <c r="K8684" s="20" t="n">
        <v>11146</v>
      </c>
    </row>
    <row r="8685">
      <c r="A8685" s="20" t="inlineStr">
        <is>
          <t>[수현 TEST] 스테이포에버_이미지</t>
        </is>
      </c>
      <c r="B8685" s="27" t="n">
        <v>44334</v>
      </c>
      <c r="C8685" s="20" t="inlineStr">
        <is>
          <t>화</t>
        </is>
      </c>
      <c r="D8685" s="20" t="inlineStr">
        <is>
          <t>페이스북/인스타그램</t>
        </is>
      </c>
      <c r="E8685" s="20" t="inlineStr">
        <is>
          <t>고체향수</t>
        </is>
      </c>
      <c r="K8685" s="20" t="n">
        <v>29392</v>
      </c>
    </row>
    <row r="8686">
      <c r="A8686" s="20" t="inlineStr">
        <is>
          <t>[승은 TEST] 스테이포에버</t>
        </is>
      </c>
      <c r="B8686" s="27" t="n">
        <v>44334</v>
      </c>
      <c r="C8686" s="20" t="inlineStr">
        <is>
          <t>화</t>
        </is>
      </c>
      <c r="D8686" s="20" t="inlineStr">
        <is>
          <t>페이스북/인스타그램</t>
        </is>
      </c>
      <c r="E8686" s="20" t="inlineStr">
        <is>
          <t>고체향수</t>
        </is>
      </c>
      <c r="K8686" s="20" t="n">
        <v>59244</v>
      </c>
    </row>
    <row r="8687">
      <c r="A8687" s="20" t="inlineStr">
        <is>
          <t>[비누향 덕후] 스테이포에버_카드뉴스</t>
        </is>
      </c>
      <c r="B8687" s="27" t="n">
        <v>44334</v>
      </c>
      <c r="C8687" s="20" t="inlineStr">
        <is>
          <t>화</t>
        </is>
      </c>
      <c r="D8687" s="20" t="inlineStr">
        <is>
          <t>페이스북/인스타그램</t>
        </is>
      </c>
      <c r="E8687" s="20" t="inlineStr">
        <is>
          <t>고체향수</t>
        </is>
      </c>
      <c r="K8687" s="20" t="n">
        <v>144936</v>
      </c>
    </row>
    <row r="8688">
      <c r="A8688" s="20" t="inlineStr">
        <is>
          <t>[성민 TEST] 솔리드퍼퓸_이미지</t>
        </is>
      </c>
      <c r="B8688" s="27" t="n">
        <v>44334</v>
      </c>
      <c r="C8688" s="20" t="inlineStr">
        <is>
          <t>화</t>
        </is>
      </c>
      <c r="D8688" s="20" t="inlineStr">
        <is>
          <t>페이스북/인스타그램</t>
        </is>
      </c>
      <c r="E8688" s="20" t="inlineStr">
        <is>
          <t>고체향수</t>
        </is>
      </c>
      <c r="K8688" s="20" t="n">
        <v>29401</v>
      </c>
    </row>
    <row r="8689">
      <c r="A8689" s="20" t="inlineStr">
        <is>
          <t>[승무원]유튜브_스테이포에버_카드뉴스</t>
        </is>
      </c>
      <c r="B8689" s="27" t="n">
        <v>44334</v>
      </c>
      <c r="C8689" s="20" t="inlineStr">
        <is>
          <t>화</t>
        </is>
      </c>
      <c r="D8689" s="20" t="inlineStr">
        <is>
          <t>페이스북/인스타그램</t>
        </is>
      </c>
      <c r="E8689" s="20" t="inlineStr">
        <is>
          <t>고체향수</t>
        </is>
      </c>
      <c r="K8689" s="20" t="n">
        <v>93725</v>
      </c>
    </row>
    <row r="8690">
      <c r="A8690" s="20" t="inlineStr">
        <is>
          <t>[올리브영] 이그나이트_영상</t>
        </is>
      </c>
      <c r="B8690" s="27" t="n">
        <v>44334</v>
      </c>
      <c r="C8690" s="20" t="inlineStr">
        <is>
          <t>화</t>
        </is>
      </c>
      <c r="D8690" s="20" t="inlineStr">
        <is>
          <t>페이스북/인스타그램</t>
        </is>
      </c>
      <c r="E8690" s="20" t="inlineStr">
        <is>
          <t>고체향수</t>
        </is>
      </c>
      <c r="K8690" s="20" t="n">
        <v>29027</v>
      </c>
    </row>
    <row r="8691">
      <c r="A8691" s="20" t="inlineStr">
        <is>
          <t>[승희 TEST] 솔리드퍼퓸_이미지</t>
        </is>
      </c>
      <c r="B8691" s="27" t="n">
        <v>44334</v>
      </c>
      <c r="C8691" s="20" t="inlineStr">
        <is>
          <t>화</t>
        </is>
      </c>
      <c r="D8691" s="20" t="inlineStr">
        <is>
          <t>페이스북/인스타그램</t>
        </is>
      </c>
      <c r="E8691" s="20" t="inlineStr">
        <is>
          <t>고체향수</t>
        </is>
      </c>
      <c r="K8691" s="20" t="n">
        <v>165163</v>
      </c>
    </row>
    <row r="8692">
      <c r="A8692" s="20" t="inlineStr">
        <is>
          <t>[올리브영] 스테이포에버_영상</t>
        </is>
      </c>
      <c r="B8692" s="27" t="n">
        <v>44334</v>
      </c>
      <c r="C8692" s="20" t="inlineStr">
        <is>
          <t>화</t>
        </is>
      </c>
      <c r="D8692" s="20" t="inlineStr">
        <is>
          <t>페이스북/인스타그램</t>
        </is>
      </c>
      <c r="E8692" s="20" t="inlineStr">
        <is>
          <t>고체향수</t>
        </is>
      </c>
      <c r="K8692" s="20" t="n">
        <v>47806</v>
      </c>
    </row>
    <row r="8693">
      <c r="A8693" s="20" t="inlineStr">
        <is>
          <t>[올리브영] 스테이포에버_이미지</t>
        </is>
      </c>
      <c r="B8693" s="27" t="n">
        <v>44334</v>
      </c>
      <c r="C8693" s="20" t="inlineStr">
        <is>
          <t>화</t>
        </is>
      </c>
      <c r="D8693" s="20" t="inlineStr">
        <is>
          <t>페이스북/인스타그램</t>
        </is>
      </c>
      <c r="E8693" s="20" t="inlineStr">
        <is>
          <t>고체향수</t>
        </is>
      </c>
      <c r="K8693" s="20" t="n">
        <v>28782</v>
      </c>
    </row>
    <row r="8694">
      <c r="A8694" s="20" t="inlineStr">
        <is>
          <t>[승무원] 유튜브재편집_스테이포에버_영상</t>
        </is>
      </c>
      <c r="B8694" s="27" t="n">
        <v>44334</v>
      </c>
      <c r="C8694" s="20" t="inlineStr">
        <is>
          <t>화</t>
        </is>
      </c>
      <c r="D8694" s="20" t="inlineStr">
        <is>
          <t>페이스북/인스타그램</t>
        </is>
      </c>
      <c r="E8694" s="20" t="inlineStr">
        <is>
          <t>고체향수</t>
        </is>
      </c>
      <c r="K8694" s="20" t="n">
        <v>783617</v>
      </c>
    </row>
    <row r="8695">
      <c r="A8695" s="20" t="inlineStr">
        <is>
          <t>[승무원 면세점] 스테이포에버_카드뉴스</t>
        </is>
      </c>
      <c r="B8695" s="27" t="n">
        <v>44334</v>
      </c>
      <c r="C8695" s="20" t="inlineStr">
        <is>
          <t>화</t>
        </is>
      </c>
      <c r="D8695" s="20" t="inlineStr">
        <is>
          <t>페이스북/인스타그램</t>
        </is>
      </c>
      <c r="E8695" s="20" t="inlineStr">
        <is>
          <t>고체향수</t>
        </is>
      </c>
      <c r="K8695" s="20" t="n">
        <v>143193</v>
      </c>
    </row>
    <row r="8696">
      <c r="A8696" s="20" t="inlineStr">
        <is>
          <t>[카페알바] 스테이포에버_카드뉴스</t>
        </is>
      </c>
      <c r="B8696" s="27" t="n">
        <v>44334</v>
      </c>
      <c r="C8696" s="20" t="inlineStr">
        <is>
          <t>화</t>
        </is>
      </c>
      <c r="D8696" s="20" t="inlineStr">
        <is>
          <t>페이스북/인스타그램</t>
        </is>
      </c>
      <c r="E8696" s="20" t="inlineStr">
        <is>
          <t>고체향수</t>
        </is>
      </c>
      <c r="K8696" s="20" t="n">
        <v>191545</v>
      </c>
    </row>
    <row r="8697">
      <c r="A8697" s="20" t="inlineStr">
        <is>
          <t>[아줌마]스테이포에버_이미지</t>
        </is>
      </c>
      <c r="B8697" s="27" t="n">
        <v>44334</v>
      </c>
      <c r="C8697" s="20" t="inlineStr">
        <is>
          <t>화</t>
        </is>
      </c>
      <c r="D8697" s="20" t="inlineStr">
        <is>
          <t>페이스북/인스타그램</t>
        </is>
      </c>
      <c r="E8697" s="20" t="inlineStr">
        <is>
          <t>고체향수</t>
        </is>
      </c>
      <c r="K8697" s="20" t="n">
        <v>48183</v>
      </c>
    </row>
    <row r="8698">
      <c r="A8698" s="20" t="inlineStr">
        <is>
          <t>[다양한 키워드] 스테이포에버_이미지</t>
        </is>
      </c>
      <c r="B8698" s="27" t="n">
        <v>44334</v>
      </c>
      <c r="C8698" s="20" t="inlineStr">
        <is>
          <t>화</t>
        </is>
      </c>
      <c r="D8698" s="20" t="inlineStr">
        <is>
          <t>페이스북/인스타그램</t>
        </is>
      </c>
      <c r="E8698" s="20" t="inlineStr">
        <is>
          <t>고체향수</t>
        </is>
      </c>
      <c r="K8698" s="20" t="n">
        <v>127913</v>
      </c>
    </row>
    <row r="8699">
      <c r="A8699" s="20" t="inlineStr">
        <is>
          <t>[재입고]스테이포에버_이미지</t>
        </is>
      </c>
      <c r="B8699" s="27" t="n">
        <v>44334</v>
      </c>
      <c r="C8699" s="20" t="inlineStr">
        <is>
          <t>화</t>
        </is>
      </c>
      <c r="D8699" s="20" t="inlineStr">
        <is>
          <t>페이스북/인스타그램</t>
        </is>
      </c>
      <c r="E8699" s="20" t="inlineStr">
        <is>
          <t>고체향수</t>
        </is>
      </c>
      <c r="K8699" s="20" t="n">
        <v>36442</v>
      </c>
    </row>
    <row r="8700">
      <c r="A8700" s="20" t="inlineStr">
        <is>
          <t>[승무원]숏폼_영상</t>
        </is>
      </c>
      <c r="B8700" s="27" t="n">
        <v>44334</v>
      </c>
      <c r="C8700" s="20" t="inlineStr">
        <is>
          <t>화</t>
        </is>
      </c>
      <c r="D8700" s="20" t="inlineStr">
        <is>
          <t>페이스북/인스타그램</t>
        </is>
      </c>
      <c r="E8700" s="20" t="inlineStr">
        <is>
          <t>고체향수</t>
        </is>
      </c>
      <c r="K8700" s="20" t="n">
        <v>48726</v>
      </c>
    </row>
    <row r="8701">
      <c r="A8701" s="20" t="inlineStr">
        <is>
          <t>[재입고]스테이포에버_영상</t>
        </is>
      </c>
      <c r="B8701" s="27" t="n">
        <v>44334</v>
      </c>
      <c r="C8701" s="20" t="inlineStr">
        <is>
          <t>화</t>
        </is>
      </c>
      <c r="D8701" s="20" t="inlineStr">
        <is>
          <t>페이스북/인스타그램</t>
        </is>
      </c>
      <c r="E8701" s="20" t="inlineStr">
        <is>
          <t>고체향수</t>
        </is>
      </c>
      <c r="K8701" s="20" t="n">
        <v>197479</v>
      </c>
    </row>
    <row r="8702">
      <c r="A8702" s="20" t="inlineStr">
        <is>
          <t>[승무원]2019년썰 카드뉴스+ 향묘사_영상</t>
        </is>
      </c>
      <c r="B8702" s="27" t="n">
        <v>44334</v>
      </c>
      <c r="C8702" s="20" t="inlineStr">
        <is>
          <t>화</t>
        </is>
      </c>
      <c r="D8702" s="20" t="inlineStr">
        <is>
          <t>페이스북/인스타그램</t>
        </is>
      </c>
      <c r="E8702" s="20" t="inlineStr">
        <is>
          <t>고체향수</t>
        </is>
      </c>
      <c r="K8702" s="20" t="n">
        <v>29522</v>
      </c>
    </row>
    <row r="8703">
      <c r="A8703" s="20" t="inlineStr">
        <is>
          <t>[승무원어피]스테이포에버_이미지</t>
        </is>
      </c>
      <c r="B8703" s="27" t="n">
        <v>44334</v>
      </c>
      <c r="C8703" s="20" t="inlineStr">
        <is>
          <t>화</t>
        </is>
      </c>
      <c r="D8703" s="20" t="inlineStr">
        <is>
          <t>페이스북/인스타그램</t>
        </is>
      </c>
      <c r="E8703" s="20" t="inlineStr">
        <is>
          <t>고체향수</t>
        </is>
      </c>
      <c r="K8703" s="20" t="n">
        <v>146979</v>
      </c>
    </row>
    <row r="8704">
      <c r="A8704" s="20" t="inlineStr">
        <is>
          <t>[다현]스테이포에버_이미지</t>
        </is>
      </c>
      <c r="B8704" s="27" t="n">
        <v>44334</v>
      </c>
      <c r="C8704" s="20" t="inlineStr">
        <is>
          <t>화</t>
        </is>
      </c>
      <c r="D8704" s="20" t="inlineStr">
        <is>
          <t>페이스북/인스타그램</t>
        </is>
      </c>
      <c r="E8704" s="20" t="inlineStr">
        <is>
          <t>고체향수</t>
        </is>
      </c>
      <c r="K8704" s="20" t="n">
        <v>96882</v>
      </c>
    </row>
    <row r="8705">
      <c r="A8705" s="20" t="inlineStr">
        <is>
          <t>[후기타입]스테이포에버_영상</t>
        </is>
      </c>
      <c r="B8705" s="27" t="n">
        <v>44334</v>
      </c>
      <c r="C8705" s="20" t="inlineStr">
        <is>
          <t>화</t>
        </is>
      </c>
      <c r="D8705" s="20" t="inlineStr">
        <is>
          <t>페이스북/인스타그램</t>
        </is>
      </c>
      <c r="E8705" s="20" t="inlineStr">
        <is>
          <t>고체향수</t>
        </is>
      </c>
      <c r="K8705" s="20" t="n">
        <v>97166</v>
      </c>
    </row>
    <row r="8706">
      <c r="A8706" s="20" t="inlineStr">
        <is>
          <t>전환_스테이포에버</t>
        </is>
      </c>
      <c r="B8706" s="27" t="n">
        <v>44334</v>
      </c>
      <c r="C8706" s="20" t="inlineStr">
        <is>
          <t>화</t>
        </is>
      </c>
      <c r="D8706" s="20" t="inlineStr">
        <is>
          <t>페이스북/인스타그램</t>
        </is>
      </c>
      <c r="E8706" s="20" t="inlineStr">
        <is>
          <t>고체향수</t>
        </is>
      </c>
      <c r="K8706" s="20" t="n">
        <v>68626</v>
      </c>
    </row>
    <row r="8707">
      <c r="A8707" s="20" t="inlineStr">
        <is>
          <t>[권태기커플]스테이포에버_영상</t>
        </is>
      </c>
      <c r="B8707" s="27" t="n">
        <v>44334</v>
      </c>
      <c r="C8707" s="20" t="inlineStr">
        <is>
          <t>화</t>
        </is>
      </c>
      <c r="D8707" s="20" t="inlineStr">
        <is>
          <t>페이스북/인스타그램</t>
        </is>
      </c>
      <c r="E8707" s="20" t="inlineStr">
        <is>
          <t>고체향수</t>
        </is>
      </c>
      <c r="K8707" s="20" t="n">
        <v>29099</v>
      </c>
    </row>
    <row r="8708">
      <c r="A8708" s="20" t="inlineStr">
        <is>
          <t>[승희 TEST] 솔리드퍼퓸_카드뉴스</t>
        </is>
      </c>
      <c r="B8708" s="27" t="n">
        <v>44335</v>
      </c>
      <c r="C8708" s="20" t="inlineStr">
        <is>
          <t>수</t>
        </is>
      </c>
      <c r="D8708" s="19">
        <f>VLOOKUP($A8708,매칭테이블!$B$548:$D$1048576,2,0)</f>
        <v/>
      </c>
      <c r="E8708" s="20" t="inlineStr">
        <is>
          <t>고체향수</t>
        </is>
      </c>
      <c r="K8708" s="20" t="n">
        <v>19409</v>
      </c>
    </row>
    <row r="8709">
      <c r="A8709" s="20" t="inlineStr">
        <is>
          <t>[수현 TEST] 이그나이트_이미지</t>
        </is>
      </c>
      <c r="B8709" s="27" t="n">
        <v>44335</v>
      </c>
      <c r="C8709" s="20" t="inlineStr">
        <is>
          <t>수</t>
        </is>
      </c>
      <c r="D8709" s="20" t="inlineStr">
        <is>
          <t>페이스북/인스타그램</t>
        </is>
      </c>
      <c r="E8709" s="20" t="inlineStr">
        <is>
          <t>고체향수</t>
        </is>
      </c>
      <c r="K8709" s="20" t="n">
        <v>51226</v>
      </c>
    </row>
    <row r="8710">
      <c r="A8710" s="20" t="inlineStr">
        <is>
          <t>[5월 프로모션] 솔리드퍼퓸_영상</t>
        </is>
      </c>
      <c r="B8710" s="27" t="n">
        <v>44335</v>
      </c>
      <c r="C8710" s="20" t="inlineStr">
        <is>
          <t>수</t>
        </is>
      </c>
      <c r="D8710" s="20" t="inlineStr">
        <is>
          <t>페이스북/인스타그램</t>
        </is>
      </c>
      <c r="E8710" s="20" t="inlineStr">
        <is>
          <t>고체향수</t>
        </is>
      </c>
      <c r="K8710" s="20" t="n">
        <v>136777</v>
      </c>
    </row>
    <row r="8711">
      <c r="A8711" s="20" t="inlineStr">
        <is>
          <t>[수현 TEST] 스테이포에버_이미지</t>
        </is>
      </c>
      <c r="B8711" s="27" t="n">
        <v>44335</v>
      </c>
      <c r="C8711" s="20" t="inlineStr">
        <is>
          <t>수</t>
        </is>
      </c>
      <c r="D8711" s="20" t="inlineStr">
        <is>
          <t>페이스북/인스타그램</t>
        </is>
      </c>
      <c r="E8711" s="20" t="inlineStr">
        <is>
          <t>고체향수</t>
        </is>
      </c>
      <c r="K8711" s="20" t="n">
        <v>30162</v>
      </c>
    </row>
    <row r="8712">
      <c r="A8712" s="20" t="inlineStr">
        <is>
          <t>[승은 TEST] 스테이포에버</t>
        </is>
      </c>
      <c r="B8712" s="27" t="n">
        <v>44335</v>
      </c>
      <c r="C8712" s="20" t="inlineStr">
        <is>
          <t>수</t>
        </is>
      </c>
      <c r="D8712" s="20" t="inlineStr">
        <is>
          <t>페이스북/인스타그램</t>
        </is>
      </c>
      <c r="E8712" s="20" t="inlineStr">
        <is>
          <t>고체향수</t>
        </is>
      </c>
      <c r="K8712" s="20" t="n">
        <v>60550</v>
      </c>
    </row>
    <row r="8713">
      <c r="A8713" s="20" t="inlineStr">
        <is>
          <t>[비누향 덕후] 스테이포에버_카드뉴스</t>
        </is>
      </c>
      <c r="B8713" s="27" t="n">
        <v>44335</v>
      </c>
      <c r="C8713" s="20" t="inlineStr">
        <is>
          <t>수</t>
        </is>
      </c>
      <c r="D8713" s="20" t="inlineStr">
        <is>
          <t>페이스북/인스타그램</t>
        </is>
      </c>
      <c r="E8713" s="20" t="inlineStr">
        <is>
          <t>고체향수</t>
        </is>
      </c>
      <c r="K8713" s="20" t="n">
        <v>152043</v>
      </c>
    </row>
    <row r="8714">
      <c r="A8714" s="20" t="inlineStr">
        <is>
          <t>[성민 TEST] 솔리드퍼퓸_이미지</t>
        </is>
      </c>
      <c r="B8714" s="27" t="n">
        <v>44335</v>
      </c>
      <c r="C8714" s="20" t="inlineStr">
        <is>
          <t>수</t>
        </is>
      </c>
      <c r="D8714" s="20" t="inlineStr">
        <is>
          <t>페이스북/인스타그램</t>
        </is>
      </c>
      <c r="E8714" s="20" t="inlineStr">
        <is>
          <t>고체향수</t>
        </is>
      </c>
      <c r="K8714" s="20" t="n">
        <v>30235</v>
      </c>
    </row>
    <row r="8715">
      <c r="A8715" s="20" t="inlineStr">
        <is>
          <t>[승무원]유튜브_스테이포에버_카드뉴스</t>
        </is>
      </c>
      <c r="B8715" s="27" t="n">
        <v>44335</v>
      </c>
      <c r="C8715" s="20" t="inlineStr">
        <is>
          <t>수</t>
        </is>
      </c>
      <c r="D8715" s="20" t="inlineStr">
        <is>
          <t>페이스북/인스타그램</t>
        </is>
      </c>
      <c r="E8715" s="20" t="inlineStr">
        <is>
          <t>고체향수</t>
        </is>
      </c>
      <c r="K8715" s="20" t="n">
        <v>97587</v>
      </c>
    </row>
    <row r="8716">
      <c r="A8716" s="20" t="inlineStr">
        <is>
          <t>[올리브영] 이그나이트_영상</t>
        </is>
      </c>
      <c r="B8716" s="27" t="n">
        <v>44335</v>
      </c>
      <c r="C8716" s="20" t="inlineStr">
        <is>
          <t>수</t>
        </is>
      </c>
      <c r="D8716" s="20" t="inlineStr">
        <is>
          <t>페이스북/인스타그램</t>
        </is>
      </c>
      <c r="E8716" s="20" t="inlineStr">
        <is>
          <t>고체향수</t>
        </is>
      </c>
      <c r="K8716" s="20" t="n">
        <v>30556</v>
      </c>
    </row>
    <row r="8717">
      <c r="A8717" s="20" t="inlineStr">
        <is>
          <t>[승희 TEST] 솔리드퍼퓸_이미지</t>
        </is>
      </c>
      <c r="B8717" s="27" t="n">
        <v>44335</v>
      </c>
      <c r="C8717" s="20" t="inlineStr">
        <is>
          <t>수</t>
        </is>
      </c>
      <c r="D8717" s="20" t="inlineStr">
        <is>
          <t>페이스북/인스타그램</t>
        </is>
      </c>
      <c r="E8717" s="20" t="inlineStr">
        <is>
          <t>고체향수</t>
        </is>
      </c>
      <c r="K8717" s="20" t="n">
        <v>146663</v>
      </c>
    </row>
    <row r="8718">
      <c r="A8718" s="20" t="inlineStr">
        <is>
          <t>[올리브영] 스테이포에버_영상</t>
        </is>
      </c>
      <c r="B8718" s="27" t="n">
        <v>44335</v>
      </c>
      <c r="C8718" s="20" t="inlineStr">
        <is>
          <t>수</t>
        </is>
      </c>
      <c r="D8718" s="20" t="inlineStr">
        <is>
          <t>페이스북/인스타그램</t>
        </is>
      </c>
      <c r="E8718" s="20" t="inlineStr">
        <is>
          <t>고체향수</t>
        </is>
      </c>
      <c r="K8718" s="20" t="n">
        <v>51411</v>
      </c>
    </row>
    <row r="8719">
      <c r="A8719" s="20" t="inlineStr">
        <is>
          <t>[올리브영] 스테이포에버_이미지</t>
        </is>
      </c>
      <c r="B8719" s="27" t="n">
        <v>44335</v>
      </c>
      <c r="C8719" s="20" t="inlineStr">
        <is>
          <t>수</t>
        </is>
      </c>
      <c r="D8719" s="20" t="inlineStr">
        <is>
          <t>페이스북/인스타그램</t>
        </is>
      </c>
      <c r="E8719" s="20" t="inlineStr">
        <is>
          <t>고체향수</t>
        </is>
      </c>
      <c r="K8719" s="20" t="n">
        <v>30719</v>
      </c>
    </row>
    <row r="8720">
      <c r="A8720" s="20" t="inlineStr">
        <is>
          <t>[승무원] 유튜브재편집_스테이포에버_영상</t>
        </is>
      </c>
      <c r="B8720" s="27" t="n">
        <v>44335</v>
      </c>
      <c r="C8720" s="20" t="inlineStr">
        <is>
          <t>수</t>
        </is>
      </c>
      <c r="D8720" s="20" t="inlineStr">
        <is>
          <t>페이스북/인스타그램</t>
        </is>
      </c>
      <c r="E8720" s="20" t="inlineStr">
        <is>
          <t>고체향수</t>
        </is>
      </c>
      <c r="K8720" s="20" t="n">
        <v>804666</v>
      </c>
    </row>
    <row r="8721">
      <c r="A8721" s="20" t="inlineStr">
        <is>
          <t>[승무원 면세점] 스테이포에버_카드뉴스</t>
        </is>
      </c>
      <c r="B8721" s="27" t="n">
        <v>44335</v>
      </c>
      <c r="C8721" s="20" t="inlineStr">
        <is>
          <t>수</t>
        </is>
      </c>
      <c r="D8721" s="20" t="inlineStr">
        <is>
          <t>페이스북/인스타그램</t>
        </is>
      </c>
      <c r="E8721" s="20" t="inlineStr">
        <is>
          <t>고체향수</t>
        </is>
      </c>
      <c r="K8721" s="20" t="n">
        <v>149688</v>
      </c>
    </row>
    <row r="8722">
      <c r="A8722" s="20" t="inlineStr">
        <is>
          <t>[카페알바] 스테이포에버_카드뉴스</t>
        </is>
      </c>
      <c r="B8722" s="27" t="n">
        <v>44335</v>
      </c>
      <c r="C8722" s="20" t="inlineStr">
        <is>
          <t>수</t>
        </is>
      </c>
      <c r="D8722" s="20" t="inlineStr">
        <is>
          <t>페이스북/인스타그램</t>
        </is>
      </c>
      <c r="E8722" s="20" t="inlineStr">
        <is>
          <t>고체향수</t>
        </is>
      </c>
      <c r="K8722" s="20" t="n">
        <v>201549</v>
      </c>
    </row>
    <row r="8723">
      <c r="A8723" s="20" t="inlineStr">
        <is>
          <t>[아줌마]스테이포에버_이미지</t>
        </is>
      </c>
      <c r="B8723" s="27" t="n">
        <v>44335</v>
      </c>
      <c r="C8723" s="20" t="inlineStr">
        <is>
          <t>수</t>
        </is>
      </c>
      <c r="D8723" s="20" t="inlineStr">
        <is>
          <t>페이스북/인스타그램</t>
        </is>
      </c>
      <c r="E8723" s="20" t="inlineStr">
        <is>
          <t>고체향수</t>
        </is>
      </c>
      <c r="K8723" s="20" t="n">
        <v>50280</v>
      </c>
    </row>
    <row r="8724">
      <c r="A8724" s="20" t="inlineStr">
        <is>
          <t>[다양한 키워드] 스테이포에버_이미지</t>
        </is>
      </c>
      <c r="B8724" s="27" t="n">
        <v>44335</v>
      </c>
      <c r="C8724" s="20" t="inlineStr">
        <is>
          <t>수</t>
        </is>
      </c>
      <c r="D8724" s="20" t="inlineStr">
        <is>
          <t>페이스북/인스타그램</t>
        </is>
      </c>
      <c r="E8724" s="20" t="inlineStr">
        <is>
          <t>고체향수</t>
        </is>
      </c>
      <c r="K8724" s="20" t="n">
        <v>131664</v>
      </c>
    </row>
    <row r="8725">
      <c r="A8725" s="20" t="inlineStr">
        <is>
          <t>[재입고]스테이포에버_이미지</t>
        </is>
      </c>
      <c r="B8725" s="27" t="n">
        <v>44335</v>
      </c>
      <c r="C8725" s="20" t="inlineStr">
        <is>
          <t>수</t>
        </is>
      </c>
      <c r="D8725" s="20" t="inlineStr">
        <is>
          <t>페이스북/인스타그램</t>
        </is>
      </c>
      <c r="E8725" s="20" t="inlineStr">
        <is>
          <t>고체향수</t>
        </is>
      </c>
      <c r="K8725" s="20" t="n">
        <v>29465</v>
      </c>
    </row>
    <row r="8726">
      <c r="A8726" s="20" t="inlineStr">
        <is>
          <t>[승무원]숏폼_영상</t>
        </is>
      </c>
      <c r="B8726" s="27" t="n">
        <v>44335</v>
      </c>
      <c r="C8726" s="20" t="inlineStr">
        <is>
          <t>수</t>
        </is>
      </c>
      <c r="D8726" s="20" t="inlineStr">
        <is>
          <t>페이스북/인스타그램</t>
        </is>
      </c>
      <c r="E8726" s="20" t="inlineStr">
        <is>
          <t>고체향수</t>
        </is>
      </c>
      <c r="K8726" s="20" t="n">
        <v>50497</v>
      </c>
    </row>
    <row r="8727">
      <c r="A8727" s="20" t="inlineStr">
        <is>
          <t>[재입고]스테이포에버_영상</t>
        </is>
      </c>
      <c r="B8727" s="27" t="n">
        <v>44335</v>
      </c>
      <c r="C8727" s="20" t="inlineStr">
        <is>
          <t>수</t>
        </is>
      </c>
      <c r="D8727" s="20" t="inlineStr">
        <is>
          <t>페이스북/인스타그램</t>
        </is>
      </c>
      <c r="E8727" s="20" t="inlineStr">
        <is>
          <t>고체향수</t>
        </is>
      </c>
      <c r="K8727" s="20" t="n">
        <v>203638</v>
      </c>
    </row>
    <row r="8728">
      <c r="A8728" s="20" t="inlineStr">
        <is>
          <t>[승무원]2019년썰 카드뉴스+ 향묘사_영상</t>
        </is>
      </c>
      <c r="B8728" s="27" t="n">
        <v>44335</v>
      </c>
      <c r="C8728" s="20" t="inlineStr">
        <is>
          <t>수</t>
        </is>
      </c>
      <c r="D8728" s="20" t="inlineStr">
        <is>
          <t>페이스북/인스타그램</t>
        </is>
      </c>
      <c r="E8728" s="20" t="inlineStr">
        <is>
          <t>고체향수</t>
        </is>
      </c>
      <c r="K8728" s="20" t="n">
        <v>30339</v>
      </c>
    </row>
    <row r="8729">
      <c r="A8729" s="20" t="inlineStr">
        <is>
          <t>[승무원어피]스테이포에버_이미지</t>
        </is>
      </c>
      <c r="B8729" s="27" t="n">
        <v>44335</v>
      </c>
      <c r="C8729" s="20" t="inlineStr">
        <is>
          <t>수</t>
        </is>
      </c>
      <c r="D8729" s="20" t="inlineStr">
        <is>
          <t>페이스북/인스타그램</t>
        </is>
      </c>
      <c r="E8729" s="20" t="inlineStr">
        <is>
          <t>고체향수</t>
        </is>
      </c>
      <c r="K8729" s="20" t="n">
        <v>152029</v>
      </c>
    </row>
    <row r="8730">
      <c r="A8730" s="20" t="inlineStr">
        <is>
          <t>[다현]스테이포에버_이미지</t>
        </is>
      </c>
      <c r="B8730" s="27" t="n">
        <v>44335</v>
      </c>
      <c r="C8730" s="20" t="inlineStr">
        <is>
          <t>수</t>
        </is>
      </c>
      <c r="D8730" s="20" t="inlineStr">
        <is>
          <t>페이스북/인스타그램</t>
        </is>
      </c>
      <c r="E8730" s="20" t="inlineStr">
        <is>
          <t>고체향수</t>
        </is>
      </c>
      <c r="K8730" s="20" t="n">
        <v>101129</v>
      </c>
    </row>
    <row r="8731">
      <c r="A8731" s="20" t="inlineStr">
        <is>
          <t>[후기타입]스테이포에버_영상</t>
        </is>
      </c>
      <c r="B8731" s="27" t="n">
        <v>44335</v>
      </c>
      <c r="C8731" s="20" t="inlineStr">
        <is>
          <t>수</t>
        </is>
      </c>
      <c r="D8731" s="20" t="inlineStr">
        <is>
          <t>페이스북/인스타그램</t>
        </is>
      </c>
      <c r="E8731" s="20" t="inlineStr">
        <is>
          <t>고체향수</t>
        </is>
      </c>
      <c r="K8731" s="20" t="n">
        <v>100687</v>
      </c>
    </row>
    <row r="8732">
      <c r="A8732" s="20" t="inlineStr">
        <is>
          <t>전환_스테이포에버</t>
        </is>
      </c>
      <c r="B8732" s="27" t="n">
        <v>44335</v>
      </c>
      <c r="C8732" s="20" t="inlineStr">
        <is>
          <t>수</t>
        </is>
      </c>
      <c r="D8732" s="20" t="inlineStr">
        <is>
          <t>페이스북/인스타그램</t>
        </is>
      </c>
      <c r="E8732" s="20" t="inlineStr">
        <is>
          <t>고체향수</t>
        </is>
      </c>
      <c r="K8732" s="20" t="n">
        <v>68739</v>
      </c>
    </row>
    <row r="8733">
      <c r="A8733" s="20" t="inlineStr">
        <is>
          <t>[권태기커플]스테이포에버_영상</t>
        </is>
      </c>
      <c r="B8733" s="27" t="n">
        <v>44335</v>
      </c>
      <c r="C8733" s="20" t="inlineStr">
        <is>
          <t>수</t>
        </is>
      </c>
      <c r="D8733" s="20" t="inlineStr">
        <is>
          <t>페이스북/인스타그램</t>
        </is>
      </c>
      <c r="E8733" s="20" t="inlineStr">
        <is>
          <t>고체향수</t>
        </is>
      </c>
      <c r="K8733" s="20" t="n">
        <v>30520</v>
      </c>
    </row>
    <row r="8734">
      <c r="A8734" s="20" t="inlineStr">
        <is>
          <t>웹사이트 트래픽 서치</t>
        </is>
      </c>
      <c r="B8734" s="27" t="n">
        <v>44334</v>
      </c>
      <c r="C8734" s="20" t="inlineStr">
        <is>
          <t>화</t>
        </is>
      </c>
      <c r="D8734" s="20" t="inlineStr">
        <is>
          <t>유튜브 광고</t>
        </is>
      </c>
      <c r="E8734" s="20" t="inlineStr">
        <is>
          <t>고체향수</t>
        </is>
      </c>
      <c r="K8734" s="20" t="n">
        <v>25368</v>
      </c>
    </row>
    <row r="8735">
      <c r="A8735" s="20" t="inlineStr">
        <is>
          <t>디스커버리 배너_승무원,할인_리마케팅</t>
        </is>
      </c>
      <c r="B8735" s="27" t="n">
        <v>44334</v>
      </c>
      <c r="C8735" s="20" t="inlineStr">
        <is>
          <t>화</t>
        </is>
      </c>
      <c r="D8735" s="20" t="inlineStr">
        <is>
          <t>유튜브 광고</t>
        </is>
      </c>
      <c r="E8735" s="20" t="inlineStr">
        <is>
          <t>고체향수</t>
        </is>
      </c>
      <c r="K8735" s="20" t="n">
        <v>558671</v>
      </c>
    </row>
    <row r="8736">
      <c r="A8736" s="20" t="inlineStr">
        <is>
          <t>동영상캠페인_승무원_써니스카이</t>
        </is>
      </c>
      <c r="B8736" s="27" t="n">
        <v>44334</v>
      </c>
      <c r="C8736" s="20" t="inlineStr">
        <is>
          <t>화</t>
        </is>
      </c>
      <c r="D8736" s="20" t="inlineStr">
        <is>
          <t>유튜브 광고</t>
        </is>
      </c>
      <c r="E8736" s="20" t="inlineStr">
        <is>
          <t>고체향수</t>
        </is>
      </c>
      <c r="K8736" s="20" t="n">
        <v>129961</v>
      </c>
    </row>
    <row r="8737">
      <c r="A8737" s="20" t="inlineStr">
        <is>
          <t>[5화자] 동영상 캠페인_벨라의 비행일기</t>
        </is>
      </c>
      <c r="B8737" s="27" t="n">
        <v>44334</v>
      </c>
      <c r="C8737" s="20" t="inlineStr">
        <is>
          <t>화</t>
        </is>
      </c>
      <c r="D8737" s="20" t="inlineStr">
        <is>
          <t>유튜브 광고</t>
        </is>
      </c>
      <c r="E8737" s="20" t="inlineStr">
        <is>
          <t>고체향수</t>
        </is>
      </c>
      <c r="K8737" s="20" t="n">
        <v>399659</v>
      </c>
    </row>
    <row r="8738">
      <c r="A8738" s="20" t="inlineStr">
        <is>
          <t>[5화자] 동영상 캠페인_비행하고 여행하는 은선씨</t>
        </is>
      </c>
      <c r="B8738" s="27" t="n">
        <v>44334</v>
      </c>
      <c r="C8738" s="20" t="inlineStr">
        <is>
          <t>화</t>
        </is>
      </c>
      <c r="D8738" s="20" t="inlineStr">
        <is>
          <t>유튜브 광고</t>
        </is>
      </c>
      <c r="E8738" s="20" t="inlineStr">
        <is>
          <t>고체향수</t>
        </is>
      </c>
      <c r="K8738" s="20" t="n">
        <v>249816</v>
      </c>
    </row>
    <row r="8739">
      <c r="A8739" s="20" t="inlineStr">
        <is>
          <t>[5화자 재편집] 승무원_벨라_면세점에서 천만원</t>
        </is>
      </c>
      <c r="B8739" s="27" t="n">
        <v>44334</v>
      </c>
      <c r="C8739" s="20" t="inlineStr">
        <is>
          <t>화</t>
        </is>
      </c>
      <c r="D8739" s="20" t="inlineStr">
        <is>
          <t>유튜브 광고</t>
        </is>
      </c>
      <c r="E8739" s="20" t="inlineStr">
        <is>
          <t>고체향수</t>
        </is>
      </c>
      <c r="K8739" s="20" t="n">
        <v>400554</v>
      </c>
    </row>
    <row r="8740">
      <c r="A8740" s="20" t="inlineStr">
        <is>
          <t>동영상캠페인_유즈모먼트_면세점뒤졌는데</t>
        </is>
      </c>
      <c r="B8740" s="27" t="n">
        <v>44334</v>
      </c>
      <c r="C8740" s="20" t="inlineStr">
        <is>
          <t>화</t>
        </is>
      </c>
      <c r="D8740" s="20" t="inlineStr">
        <is>
          <t>유튜브 광고</t>
        </is>
      </c>
      <c r="E8740" s="20" t="inlineStr">
        <is>
          <t>고체향수</t>
        </is>
      </c>
      <c r="K8740" s="20" t="n">
        <v>300283</v>
      </c>
    </row>
    <row r="8741">
      <c r="A8741" s="20" t="inlineStr">
        <is>
          <t>웹사이트 트래픽 서치</t>
        </is>
      </c>
      <c r="B8741" s="27" t="n">
        <v>44335</v>
      </c>
      <c r="C8741" s="20" t="inlineStr">
        <is>
          <t>수</t>
        </is>
      </c>
      <c r="D8741" s="20" t="inlineStr">
        <is>
          <t>유튜브 광고</t>
        </is>
      </c>
      <c r="E8741" s="20" t="inlineStr">
        <is>
          <t>고체향수</t>
        </is>
      </c>
      <c r="K8741" s="20" t="n">
        <v>43954</v>
      </c>
    </row>
    <row r="8742">
      <c r="A8742" s="20" t="inlineStr">
        <is>
          <t>디스커버리 배너_승무원,할인_리마케팅</t>
        </is>
      </c>
      <c r="B8742" s="27" t="n">
        <v>44335</v>
      </c>
      <c r="C8742" s="20" t="inlineStr">
        <is>
          <t>수</t>
        </is>
      </c>
      <c r="D8742" s="20" t="inlineStr">
        <is>
          <t>유튜브 광고</t>
        </is>
      </c>
      <c r="E8742" s="20" t="inlineStr">
        <is>
          <t>고체향수</t>
        </is>
      </c>
      <c r="K8742" s="20" t="n">
        <v>1056175</v>
      </c>
    </row>
    <row r="8743">
      <c r="A8743" s="20" t="inlineStr">
        <is>
          <t>동영상캠페인_승무원_써니스카이</t>
        </is>
      </c>
      <c r="B8743" s="27" t="n">
        <v>44335</v>
      </c>
      <c r="C8743" s="20" t="inlineStr">
        <is>
          <t>수</t>
        </is>
      </c>
      <c r="D8743" s="20" t="inlineStr">
        <is>
          <t>유튜브 광고</t>
        </is>
      </c>
      <c r="E8743" s="20" t="inlineStr">
        <is>
          <t>고체향수</t>
        </is>
      </c>
      <c r="K8743" s="20" t="n">
        <v>132538</v>
      </c>
    </row>
    <row r="8744">
      <c r="A8744" s="20" t="inlineStr">
        <is>
          <t>[5화자] 동영상 캠페인_벨라의 비행일기</t>
        </is>
      </c>
      <c r="B8744" s="27" t="n">
        <v>44335</v>
      </c>
      <c r="C8744" s="20" t="inlineStr">
        <is>
          <t>수</t>
        </is>
      </c>
      <c r="D8744" s="20" t="inlineStr">
        <is>
          <t>유튜브 광고</t>
        </is>
      </c>
      <c r="E8744" s="20" t="inlineStr">
        <is>
          <t>고체향수</t>
        </is>
      </c>
      <c r="K8744" s="20" t="n">
        <v>408358</v>
      </c>
    </row>
    <row r="8745">
      <c r="A8745" s="20" t="inlineStr">
        <is>
          <t>[5화자] 동영상 캠페인_비행하고 여행하는 은선씨</t>
        </is>
      </c>
      <c r="B8745" s="27" t="n">
        <v>44335</v>
      </c>
      <c r="C8745" s="20" t="inlineStr">
        <is>
          <t>수</t>
        </is>
      </c>
      <c r="D8745" s="20" t="inlineStr">
        <is>
          <t>유튜브 광고</t>
        </is>
      </c>
      <c r="E8745" s="20" t="inlineStr">
        <is>
          <t>고체향수</t>
        </is>
      </c>
      <c r="K8745" s="20" t="n">
        <v>255130</v>
      </c>
    </row>
    <row r="8746">
      <c r="A8746" s="20" t="inlineStr">
        <is>
          <t>[5화자 재편집] 승무원_벨라_면세점에서 천만원</t>
        </is>
      </c>
      <c r="B8746" s="27" t="n">
        <v>44335</v>
      </c>
      <c r="C8746" s="20" t="inlineStr">
        <is>
          <t>수</t>
        </is>
      </c>
      <c r="D8746" s="20" t="inlineStr">
        <is>
          <t>유튜브 광고</t>
        </is>
      </c>
      <c r="E8746" s="20" t="inlineStr">
        <is>
          <t>고체향수</t>
        </is>
      </c>
      <c r="K8746" s="20" t="n">
        <v>408130</v>
      </c>
    </row>
    <row r="8747">
      <c r="A8747" s="20" t="inlineStr">
        <is>
          <t>동영상캠페인_유즈모먼트_면세점뒤졌는데</t>
        </is>
      </c>
      <c r="B8747" s="27" t="n">
        <v>44335</v>
      </c>
      <c r="C8747" s="20" t="inlineStr">
        <is>
          <t>수</t>
        </is>
      </c>
      <c r="D8747" s="20" t="inlineStr">
        <is>
          <t>유튜브 광고</t>
        </is>
      </c>
      <c r="E8747" s="20" t="inlineStr">
        <is>
          <t>고체향수</t>
        </is>
      </c>
      <c r="K8747" s="20" t="n">
        <v>305686</v>
      </c>
    </row>
    <row r="8748">
      <c r="A8748" s="20" t="inlineStr">
        <is>
          <t>메인키워드</t>
        </is>
      </c>
      <c r="B8748" s="27" t="n">
        <v>44335</v>
      </c>
      <c r="C8748" s="20" t="inlineStr">
        <is>
          <t>수</t>
        </is>
      </c>
      <c r="D8748" s="20" t="inlineStr">
        <is>
          <t>네이버 쇼핑검색</t>
        </is>
      </c>
      <c r="E8748" s="20" t="inlineStr">
        <is>
          <t>고체향수</t>
        </is>
      </c>
      <c r="K8748" s="20" t="n">
        <v>29400</v>
      </c>
    </row>
    <row r="8749">
      <c r="A8749" s="20" t="inlineStr">
        <is>
          <t>세부키워드1</t>
        </is>
      </c>
      <c r="B8749" s="27" t="n">
        <v>44335</v>
      </c>
      <c r="C8749" s="20" t="inlineStr">
        <is>
          <t>수</t>
        </is>
      </c>
      <c r="D8749" s="20" t="inlineStr">
        <is>
          <t>네이버 쇼핑검색</t>
        </is>
      </c>
      <c r="E8749" s="20" t="inlineStr">
        <is>
          <t>고체향수</t>
        </is>
      </c>
      <c r="K8749" s="20" t="n">
        <v>0</v>
      </c>
    </row>
    <row r="8750">
      <c r="A8750" s="20" t="inlineStr">
        <is>
          <t>세부키워드3</t>
        </is>
      </c>
      <c r="B8750" s="27" t="n">
        <v>44335</v>
      </c>
      <c r="C8750" s="20" t="inlineStr">
        <is>
          <t>수</t>
        </is>
      </c>
      <c r="D8750" s="20" t="inlineStr">
        <is>
          <t>네이버 쇼핑검색</t>
        </is>
      </c>
      <c r="E8750" s="20" t="inlineStr">
        <is>
          <t>고체향수</t>
        </is>
      </c>
      <c r="K8750" s="20" t="n">
        <v>107450</v>
      </c>
    </row>
    <row r="8751">
      <c r="A8751" s="20" t="inlineStr">
        <is>
          <t>모바일 브검</t>
        </is>
      </c>
      <c r="B8751" s="27" t="n">
        <v>44335</v>
      </c>
      <c r="C8751" s="20" t="inlineStr">
        <is>
          <t>수</t>
        </is>
      </c>
      <c r="D8751" s="20" t="inlineStr">
        <is>
          <t>네이버 브랜드검색</t>
        </is>
      </c>
      <c r="E8751" s="20" t="inlineStr">
        <is>
          <t>브랜드</t>
        </is>
      </c>
      <c r="K8751" s="20" t="n">
        <v>88000</v>
      </c>
    </row>
    <row r="8752">
      <c r="A8752" s="20" t="inlineStr">
        <is>
          <t>PC 브랜드검색</t>
        </is>
      </c>
      <c r="B8752" s="27" t="n">
        <v>44335</v>
      </c>
      <c r="C8752" s="20" t="inlineStr">
        <is>
          <t>수</t>
        </is>
      </c>
      <c r="D8752" s="20" t="inlineStr">
        <is>
          <t>네이버 브랜드검색</t>
        </is>
      </c>
      <c r="E8752" s="20" t="inlineStr">
        <is>
          <t>브랜드</t>
        </is>
      </c>
      <c r="K8752" s="20" t="n">
        <v>16700</v>
      </c>
    </row>
    <row r="8753">
      <c r="A8753" s="20" t="inlineStr">
        <is>
          <t>메인키워드</t>
        </is>
      </c>
      <c r="B8753" s="27" t="n">
        <v>44334</v>
      </c>
      <c r="C8753" s="20" t="inlineStr">
        <is>
          <t>화</t>
        </is>
      </c>
      <c r="D8753" s="20" t="inlineStr">
        <is>
          <t>네이버 쇼핑검색</t>
        </is>
      </c>
      <c r="E8753" s="20" t="inlineStr">
        <is>
          <t>고체향수</t>
        </is>
      </c>
      <c r="K8753" s="20" t="n">
        <v>35960</v>
      </c>
    </row>
    <row r="8754">
      <c r="A8754" s="20" t="inlineStr">
        <is>
          <t>세부키워드1</t>
        </is>
      </c>
      <c r="B8754" s="27" t="n">
        <v>44334</v>
      </c>
      <c r="C8754" s="20" t="inlineStr">
        <is>
          <t>화</t>
        </is>
      </c>
      <c r="D8754" s="20" t="inlineStr">
        <is>
          <t>네이버 쇼핑검색</t>
        </is>
      </c>
      <c r="E8754" s="20" t="inlineStr">
        <is>
          <t>고체향수</t>
        </is>
      </c>
      <c r="K8754" s="20" t="n">
        <v>0</v>
      </c>
    </row>
    <row r="8755">
      <c r="A8755" s="20" t="inlineStr">
        <is>
          <t>세부키워드3</t>
        </is>
      </c>
      <c r="B8755" s="27" t="n">
        <v>44334</v>
      </c>
      <c r="C8755" s="20" t="inlineStr">
        <is>
          <t>화</t>
        </is>
      </c>
      <c r="D8755" s="20" t="inlineStr">
        <is>
          <t>네이버 쇼핑검색</t>
        </is>
      </c>
      <c r="E8755" s="20" t="inlineStr">
        <is>
          <t>고체향수</t>
        </is>
      </c>
      <c r="K8755" s="20" t="n">
        <v>98589.99999999999</v>
      </c>
    </row>
    <row r="8756">
      <c r="A8756" s="20" t="inlineStr">
        <is>
          <t>모바일 브검</t>
        </is>
      </c>
      <c r="B8756" s="27" t="n">
        <v>44334</v>
      </c>
      <c r="C8756" s="20" t="inlineStr">
        <is>
          <t>화</t>
        </is>
      </c>
      <c r="D8756" s="20" t="inlineStr">
        <is>
          <t>네이버 브랜드검색</t>
        </is>
      </c>
      <c r="E8756" s="20" t="inlineStr">
        <is>
          <t>브랜드</t>
        </is>
      </c>
      <c r="K8756" s="20" t="n">
        <v>88000</v>
      </c>
    </row>
    <row r="8757">
      <c r="A8757" s="20" t="inlineStr">
        <is>
          <t>PC 브랜드검색</t>
        </is>
      </c>
      <c r="B8757" s="27" t="n">
        <v>44334</v>
      </c>
      <c r="C8757" s="20" t="inlineStr">
        <is>
          <t>화</t>
        </is>
      </c>
      <c r="D8757" s="20" t="inlineStr">
        <is>
          <t>네이버 브랜드검색</t>
        </is>
      </c>
      <c r="E8757" s="20" t="inlineStr">
        <is>
          <t>브랜드</t>
        </is>
      </c>
      <c r="K8757" s="20" t="n">
        <v>16700</v>
      </c>
    </row>
    <row r="8758">
      <c r="A8758" s="20" t="inlineStr">
        <is>
          <t>고체향수_승무원 어피_Npay 추적</t>
        </is>
      </c>
      <c r="B8758" s="27" t="n">
        <v>44334</v>
      </c>
      <c r="C8758" s="20" t="inlineStr">
        <is>
          <t>화</t>
        </is>
      </c>
      <c r="D8758" s="20" t="inlineStr">
        <is>
          <t>카카오 배너</t>
        </is>
      </c>
      <c r="E8758" s="20" t="inlineStr">
        <is>
          <t>고체향수</t>
        </is>
      </c>
      <c r="K8758" s="20" t="n">
        <v>90909.99999999999</v>
      </c>
    </row>
    <row r="8759">
      <c r="A8759" s="20" t="inlineStr">
        <is>
          <t>고체향수_Npay 추적</t>
        </is>
      </c>
      <c r="B8759" s="27" t="n">
        <v>44334</v>
      </c>
      <c r="C8759" s="20" t="inlineStr">
        <is>
          <t>화</t>
        </is>
      </c>
      <c r="D8759" s="20" t="inlineStr">
        <is>
          <t>카카오 배너</t>
        </is>
      </c>
      <c r="E8759" s="20" t="inlineStr">
        <is>
          <t>고체향수</t>
        </is>
      </c>
      <c r="K8759" s="20" t="n">
        <v>729719.9999999999</v>
      </c>
    </row>
    <row r="8760">
      <c r="A8760" s="20" t="inlineStr">
        <is>
          <t>고체향수_승무원 어피_Npay 추적</t>
        </is>
      </c>
      <c r="B8760" s="27" t="n">
        <v>44335</v>
      </c>
      <c r="C8760" s="20" t="inlineStr">
        <is>
          <t>수</t>
        </is>
      </c>
      <c r="D8760" s="20" t="inlineStr">
        <is>
          <t>카카오 배너</t>
        </is>
      </c>
      <c r="E8760" s="20" t="inlineStr">
        <is>
          <t>고체향수</t>
        </is>
      </c>
      <c r="K8760" s="20" t="n">
        <v>91019.99999999999</v>
      </c>
    </row>
    <row r="8761">
      <c r="A8761" s="20" t="inlineStr">
        <is>
          <t>고체향수_Npay 추적</t>
        </is>
      </c>
      <c r="B8761" s="27" t="n">
        <v>44335</v>
      </c>
      <c r="C8761" s="20" t="inlineStr">
        <is>
          <t>수</t>
        </is>
      </c>
      <c r="D8761" s="20" t="inlineStr">
        <is>
          <t>카카오 배너</t>
        </is>
      </c>
      <c r="E8761" s="20" t="inlineStr">
        <is>
          <t>고체향수</t>
        </is>
      </c>
      <c r="K8761" s="20" t="n">
        <v>729529.9999999999</v>
      </c>
    </row>
    <row r="8762">
      <c r="B8762" s="27" t="n">
        <v>44334</v>
      </c>
      <c r="C8762" s="20" t="inlineStr">
        <is>
          <t>화</t>
        </is>
      </c>
      <c r="E8762" s="20" t="inlineStr">
        <is>
          <t>고체향수</t>
        </is>
      </c>
      <c r="F8762" s="20" t="inlineStr">
        <is>
          <t>W컨셉</t>
        </is>
      </c>
      <c r="G8762" s="20" t="inlineStr">
        <is>
          <t>솔리드퍼퓸 이그나이트/스테이포에버 30ml (2종 택1)&lt;옵션1&gt;002 STAY FOREVER</t>
        </is>
      </c>
      <c r="H8762" s="20" t="n">
        <v>2</v>
      </c>
      <c r="I8762" s="20" t="inlineStr">
        <is>
          <t>스테이포에버</t>
        </is>
      </c>
      <c r="J8762" s="20" t="inlineStr">
        <is>
          <t>210501</t>
        </is>
      </c>
      <c r="L8762" s="20" t="n">
        <v>68000</v>
      </c>
      <c r="M8762" s="20" t="n">
        <v>47600</v>
      </c>
      <c r="N8762" s="20" t="n">
        <v>5108</v>
      </c>
      <c r="O8762" s="20" t="inlineStr">
        <is>
          <t>W컨셉고체향수솔리드퍼퓸 이그나이트/스테이포에버 30ml (2종 택1)&lt;옵션1&gt;002 STAY FOREVER210501</t>
        </is>
      </c>
    </row>
    <row r="8763">
      <c r="B8763" s="27" t="n">
        <v>44334</v>
      </c>
      <c r="C8763" s="20" t="inlineStr">
        <is>
          <t>화</t>
        </is>
      </c>
      <c r="E8763" s="20" t="inlineStr">
        <is>
          <t>고체향수</t>
        </is>
      </c>
      <c r="F8763" s="20" t="inlineStr">
        <is>
          <t>스마트스토어</t>
        </is>
      </c>
      <c r="G8763" s="20" t="inlineStr">
        <is>
          <t>유즈 고체향수 세트(유즈 스테이포에버, 유즈 이그나이트)고체향수: 스테이포에버 1개 + 이그나이트 1개</t>
        </is>
      </c>
      <c r="H8763" s="20" t="n">
        <v>1</v>
      </c>
      <c r="I8763" s="20" t="inlineStr">
        <is>
          <t>이그나이트 + 스테이포에버</t>
        </is>
      </c>
      <c r="J8763" s="20" t="inlineStr">
        <is>
          <t>210501</t>
        </is>
      </c>
      <c r="L8763" s="20" t="n">
        <v>58800</v>
      </c>
      <c r="M8763" s="20" t="n">
        <v>55360.2</v>
      </c>
      <c r="N8763" s="20" t="n">
        <v>5179</v>
      </c>
      <c r="O8763" s="20" t="inlineStr">
        <is>
          <t>스마트스토어고체향수유즈 고체향수 세트(유즈 스테이포에버, 유즈 이그나이트)고체향수: 스테이포에버 1개 + 이그나이트 1개210501</t>
        </is>
      </c>
    </row>
    <row r="8764">
      <c r="B8764" s="27" t="n">
        <v>44334</v>
      </c>
      <c r="C8764" s="20" t="inlineStr">
        <is>
          <t>화</t>
        </is>
      </c>
      <c r="E8764" s="20" t="inlineStr">
        <is>
          <t>고체향수</t>
        </is>
      </c>
      <c r="F8764" s="20" t="inlineStr">
        <is>
          <t>스마트스토어</t>
        </is>
      </c>
      <c r="G8764" s="20" t="inlineStr">
        <is>
          <t>유즈 고체향수 세트(유즈 스테이포에버, 유즈 이그나이트)고체향수: 스테이포에버 2개</t>
        </is>
      </c>
      <c r="H8764" s="20" t="n">
        <v>2</v>
      </c>
      <c r="I8764" s="20" t="inlineStr">
        <is>
          <t>스테이포에버 2set</t>
        </is>
      </c>
      <c r="J8764" s="20" t="inlineStr">
        <is>
          <t>210501</t>
        </is>
      </c>
      <c r="L8764" s="20" t="n">
        <v>117600</v>
      </c>
      <c r="M8764" s="20" t="n">
        <v>115248</v>
      </c>
      <c r="N8764" s="20" t="n">
        <v>10216</v>
      </c>
      <c r="O8764" s="20" t="inlineStr">
        <is>
          <t>스마트스토어고체향수유즈 고체향수 세트(유즈 스테이포에버, 유즈 이그나이트)고체향수: 스테이포에버 2개210501</t>
        </is>
      </c>
    </row>
    <row r="8765">
      <c r="B8765" s="27" t="n">
        <v>44334</v>
      </c>
      <c r="C8765" s="20" t="inlineStr">
        <is>
          <t>화</t>
        </is>
      </c>
      <c r="E8765" s="20" t="inlineStr">
        <is>
          <t>고체향수</t>
        </is>
      </c>
      <c r="F8765" s="20" t="inlineStr">
        <is>
          <t>스마트스토어</t>
        </is>
      </c>
      <c r="G8765" s="20" t="inlineStr">
        <is>
          <t>유즈 고체향수 스테이포에버 002고체향수: 스테이포에버 1개</t>
        </is>
      </c>
      <c r="H8765" s="20" t="n">
        <v>8</v>
      </c>
      <c r="I8765" s="20" t="inlineStr">
        <is>
          <t>스테이포에버</t>
        </is>
      </c>
      <c r="J8765" s="20" t="inlineStr">
        <is>
          <t>210501</t>
        </is>
      </c>
      <c r="L8765" s="20" t="n">
        <v>272000</v>
      </c>
      <c r="M8765" s="20" t="n">
        <v>266560</v>
      </c>
      <c r="N8765" s="20" t="n">
        <v>20432</v>
      </c>
      <c r="O8765" s="20" t="inlineStr">
        <is>
          <t>스마트스토어고체향수유즈 고체향수 스테이포에버 002고체향수: 스테이포에버 1개210501</t>
        </is>
      </c>
    </row>
    <row r="8766">
      <c r="B8766" s="27" t="n">
        <v>44334</v>
      </c>
      <c r="C8766" s="20" t="inlineStr">
        <is>
          <t>화</t>
        </is>
      </c>
      <c r="E8766" s="20" t="inlineStr">
        <is>
          <t>고체향수</t>
        </is>
      </c>
      <c r="F8766" s="20" t="inlineStr">
        <is>
          <t>카페24</t>
        </is>
      </c>
      <c r="G8766" s="20" t="inlineStr">
        <is>
          <t>솔리드퍼퓸 세트향=스테이포에버 002 SOLID PERFUME, 세트 선택=1개</t>
        </is>
      </c>
      <c r="H8766" s="20" t="n">
        <v>2</v>
      </c>
      <c r="I8766" s="20" t="inlineStr">
        <is>
          <t>스테이포에버</t>
        </is>
      </c>
      <c r="J8766" s="20" t="inlineStr">
        <is>
          <t>210501</t>
        </is>
      </c>
      <c r="L8766" s="20" t="n">
        <v>68000</v>
      </c>
      <c r="M8766" s="20" t="n">
        <v>64022</v>
      </c>
      <c r="N8766" s="20" t="n">
        <v>5108</v>
      </c>
      <c r="O8766" s="20" t="inlineStr">
        <is>
          <t>카페24고체향수솔리드퍼퓸 세트향=스테이포에버 002 SOLID PERFUME, 세트 선택=1개210501</t>
        </is>
      </c>
    </row>
    <row r="8767">
      <c r="B8767" s="27" t="n">
        <v>44334</v>
      </c>
      <c r="C8767" s="20" t="inlineStr">
        <is>
          <t>화</t>
        </is>
      </c>
      <c r="E8767" s="20" t="inlineStr">
        <is>
          <t>고체향수</t>
        </is>
      </c>
      <c r="F8767" s="20" t="inlineStr">
        <is>
          <t>카페24</t>
        </is>
      </c>
      <c r="G8767" s="20" t="inlineStr">
        <is>
          <t>솔리드퍼퓸 세트향=스테이포에버 002 SOLID PERFUME, 세트 선택=best 2개 (28% 할인)</t>
        </is>
      </c>
      <c r="H8767" s="20" t="n">
        <v>4</v>
      </c>
      <c r="I8767" s="20" t="inlineStr">
        <is>
          <t>스테이포에버 2set</t>
        </is>
      </c>
      <c r="J8767" s="20" t="inlineStr">
        <is>
          <t>210501</t>
        </is>
      </c>
      <c r="L8767" s="20" t="n">
        <v>235200</v>
      </c>
      <c r="M8767" s="20" t="n">
        <v>221440.8</v>
      </c>
      <c r="N8767" s="20" t="n">
        <v>20432</v>
      </c>
      <c r="O8767" s="20" t="inlineStr">
        <is>
          <t>카페24고체향수솔리드퍼퓸 세트향=스테이포에버 002 SOLID PERFUME, 세트 선택=best 2개 (28% 할인)210501</t>
        </is>
      </c>
    </row>
    <row r="8768">
      <c r="B8768" s="27" t="n">
        <v>44334</v>
      </c>
      <c r="C8768" s="20" t="inlineStr">
        <is>
          <t>화</t>
        </is>
      </c>
      <c r="E8768" s="20" t="inlineStr">
        <is>
          <t>고체향수</t>
        </is>
      </c>
      <c r="F8768" s="20" t="inlineStr">
        <is>
          <t>카페24</t>
        </is>
      </c>
      <c r="G8768" s="20" t="inlineStr">
        <is>
          <t>솔리드퍼퓸 세트향=커플세트(이그나이트 + 스테이포에버), 세트 선택=1 SET</t>
        </is>
      </c>
      <c r="H8768" s="20" t="n">
        <v>10</v>
      </c>
      <c r="I8768" s="20" t="inlineStr">
        <is>
          <t>이그나이트 + 스테이포에버</t>
        </is>
      </c>
      <c r="J8768" s="20" t="inlineStr">
        <is>
          <t>210501</t>
        </is>
      </c>
      <c r="L8768" s="20" t="n">
        <v>588000</v>
      </c>
      <c r="M8768" s="20" t="n">
        <v>553602</v>
      </c>
      <c r="N8768" s="20" t="n">
        <v>51790</v>
      </c>
      <c r="O8768" s="20" t="inlineStr">
        <is>
          <t>카페24고체향수솔리드퍼퓸 세트향=커플세트(이그나이트 + 스테이포에버), 세트 선택=1 SET210501</t>
        </is>
      </c>
    </row>
    <row r="8769">
      <c r="B8769" s="27" t="n">
        <v>44334</v>
      </c>
      <c r="C8769" s="20" t="inlineStr">
        <is>
          <t>화</t>
        </is>
      </c>
      <c r="E8769" s="20" t="inlineStr">
        <is>
          <t>고체향수</t>
        </is>
      </c>
      <c r="F8769" s="20" t="inlineStr">
        <is>
          <t>카페24</t>
        </is>
      </c>
      <c r="G8769" s="20" t="inlineStr">
        <is>
          <t>솔리드퍼퓸 세트향=커플세트(이그나이트 + 스테이포에버), 세트 선택=2 SET (42% 할인)</t>
        </is>
      </c>
      <c r="H8769" s="20" t="n">
        <v>3</v>
      </c>
      <c r="I8769" s="20" t="inlineStr">
        <is>
          <t>이그나이트 + 스테이포에버</t>
        </is>
      </c>
      <c r="J8769" s="20" t="inlineStr">
        <is>
          <t>210501</t>
        </is>
      </c>
      <c r="L8769" s="20" t="n">
        <v>176400</v>
      </c>
      <c r="M8769" s="20" t="n">
        <v>166080.6</v>
      </c>
      <c r="N8769" s="20" t="n">
        <v>15537</v>
      </c>
      <c r="O8769" s="20" t="inlineStr">
        <is>
          <t>카페24고체향수솔리드퍼퓸 세트향=커플세트(이그나이트 + 스테이포에버), 세트 선택=2 SET (42% 할인)210501</t>
        </is>
      </c>
    </row>
    <row r="8770">
      <c r="B8770" s="27" t="n">
        <v>44334</v>
      </c>
      <c r="C8770" s="20" t="inlineStr">
        <is>
          <t>화</t>
        </is>
      </c>
      <c r="E8770" s="20" t="inlineStr">
        <is>
          <t>고체향수</t>
        </is>
      </c>
      <c r="F8770" s="20" t="inlineStr">
        <is>
          <t>카페24</t>
        </is>
      </c>
      <c r="G8770" s="20" t="inlineStr">
        <is>
          <t>솔리드퍼퓸 스테이포에버 002제품선택=스테이포에버 1개</t>
        </is>
      </c>
      <c r="H8770" s="20" t="n">
        <v>153</v>
      </c>
      <c r="I8770" s="20" t="inlineStr">
        <is>
          <t>스테이포에버</t>
        </is>
      </c>
      <c r="J8770" s="20" t="inlineStr">
        <is>
          <t>210501</t>
        </is>
      </c>
      <c r="L8770" s="20" t="n">
        <v>5202000</v>
      </c>
      <c r="M8770" s="20" t="n">
        <v>4897683</v>
      </c>
      <c r="N8770" s="20" t="n">
        <v>390762</v>
      </c>
      <c r="O8770" s="20" t="inlineStr">
        <is>
          <t>카페24고체향수솔리드퍼퓸 스테이포에버 002제품선택=스테이포에버 1개210501</t>
        </is>
      </c>
    </row>
    <row r="8771">
      <c r="B8771" s="27" t="n">
        <v>44334</v>
      </c>
      <c r="C8771" s="20" t="inlineStr">
        <is>
          <t>화</t>
        </is>
      </c>
      <c r="E8771" s="20" t="inlineStr">
        <is>
          <t>고체향수</t>
        </is>
      </c>
      <c r="F8771" s="20" t="inlineStr">
        <is>
          <t>카페24</t>
        </is>
      </c>
      <c r="G8771" s="20" t="inlineStr">
        <is>
          <t>솔리드퍼퓸 스테이포에버 002제품선택=best스테이포에버 2개[28% 할인]</t>
        </is>
      </c>
      <c r="H8771" s="20" t="n">
        <v>94</v>
      </c>
      <c r="I8771" s="20" t="inlineStr">
        <is>
          <t>스테이포에버 2set</t>
        </is>
      </c>
      <c r="J8771" s="20" t="inlineStr">
        <is>
          <t>210501</t>
        </is>
      </c>
      <c r="L8771" s="20" t="n">
        <v>5527200</v>
      </c>
      <c r="M8771" s="20" t="n">
        <v>5203858.8</v>
      </c>
      <c r="N8771" s="20" t="n">
        <v>480152</v>
      </c>
      <c r="O8771" s="20" t="inlineStr">
        <is>
          <t>카페24고체향수솔리드퍼퓸 스테이포에버 002제품선택=best스테이포에버 2개[28% 할인]210501</t>
        </is>
      </c>
    </row>
    <row r="8772">
      <c r="B8772" s="27" t="n">
        <v>44334</v>
      </c>
      <c r="C8772" s="20" t="inlineStr">
        <is>
          <t>화</t>
        </is>
      </c>
      <c r="E8772" s="20" t="inlineStr">
        <is>
          <t>고체향수</t>
        </is>
      </c>
      <c r="F8772" s="20" t="inlineStr">
        <is>
          <t>카페24</t>
        </is>
      </c>
      <c r="G8772" s="20" t="inlineStr">
        <is>
          <t>솔리드퍼퓸 스테이포에버 002제품선택=커플추천스테이포에버 + 이그나이트 세트</t>
        </is>
      </c>
      <c r="H8772" s="20" t="n">
        <v>7</v>
      </c>
      <c r="I8772" s="20" t="inlineStr">
        <is>
          <t>이그나이트 + 스테이포에버</t>
        </is>
      </c>
      <c r="J8772" s="20" t="inlineStr">
        <is>
          <t>210501</t>
        </is>
      </c>
      <c r="L8772" s="20" t="n">
        <v>411600</v>
      </c>
      <c r="M8772" s="20" t="n">
        <v>387521.4</v>
      </c>
      <c r="N8772" s="20" t="n">
        <v>36253</v>
      </c>
      <c r="O8772" s="20" t="inlineStr">
        <is>
          <t>카페24고체향수솔리드퍼퓸 스테이포에버 002제품선택=커플추천스테이포에버 + 이그나이트 세트210501</t>
        </is>
      </c>
    </row>
    <row r="8773">
      <c r="B8773" s="27" t="n">
        <v>44334</v>
      </c>
      <c r="C8773" s="20" t="inlineStr">
        <is>
          <t>화</t>
        </is>
      </c>
      <c r="E8773" s="20" t="inlineStr">
        <is>
          <t>쇼핑백</t>
        </is>
      </c>
      <c r="F8773" s="20" t="inlineStr">
        <is>
          <t>카페24</t>
        </is>
      </c>
      <c r="G8773" s="20" t="inlineStr">
        <is>
          <t>솔리드퍼퓸 스테이포에버 002쇼핑백=선물용 쇼핑백</t>
        </is>
      </c>
      <c r="H8773" s="20" t="n">
        <v>10</v>
      </c>
      <c r="I8773" s="20" t="inlineStr">
        <is>
          <t>쇼핑백</t>
        </is>
      </c>
      <c r="J8773" s="20" t="inlineStr">
        <is>
          <t>210501</t>
        </is>
      </c>
      <c r="L8773" s="20" t="n">
        <v>20000</v>
      </c>
      <c r="M8773" s="20" t="n">
        <v>18830</v>
      </c>
      <c r="N8773" s="20" t="n">
        <v>8300</v>
      </c>
      <c r="O8773" s="20" t="inlineStr">
        <is>
          <t>카페24쇼핑백솔리드퍼퓸 스테이포에버 002쇼핑백=선물용 쇼핑백210501</t>
        </is>
      </c>
    </row>
    <row r="8774">
      <c r="B8774" s="27" t="n">
        <v>44334</v>
      </c>
      <c r="C8774" s="20" t="inlineStr">
        <is>
          <t>화</t>
        </is>
      </c>
      <c r="E8774" s="20" t="inlineStr">
        <is>
          <t>고체향수</t>
        </is>
      </c>
      <c r="F8774" s="20" t="inlineStr">
        <is>
          <t>카페24</t>
        </is>
      </c>
      <c r="G8774" s="20" t="inlineStr">
        <is>
          <t>솔리드퍼퓸 스페셜 기프트 세트제품 선택=Event 1솔리드퍼퓸 2종 set[40% 할인], 수량 선택=1개</t>
        </is>
      </c>
      <c r="H8774" s="20" t="n">
        <v>28</v>
      </c>
      <c r="I8774" s="20" t="inlineStr">
        <is>
          <t>5월 프로모션 이그나이트+스테이포에버</t>
        </is>
      </c>
      <c r="J8774" s="20" t="inlineStr">
        <is>
          <t>210501</t>
        </is>
      </c>
      <c r="L8774" s="20" t="n">
        <v>1411200</v>
      </c>
      <c r="M8774" s="20" t="n">
        <v>1328644.8</v>
      </c>
      <c r="N8774" s="20" t="n">
        <v>200536</v>
      </c>
      <c r="O8774" s="20" t="inlineStr">
        <is>
          <t>카페24고체향수솔리드퍼퓸 스페셜 기프트 세트제품 선택=Event 1솔리드퍼퓸 2종 set[40% 할인], 수량 선택=1개210501</t>
        </is>
      </c>
    </row>
    <row r="8775">
      <c r="B8775" s="27" t="n">
        <v>44334</v>
      </c>
      <c r="C8775" s="20" t="inlineStr">
        <is>
          <t>화</t>
        </is>
      </c>
      <c r="E8775" s="20" t="inlineStr">
        <is>
          <t>고체향수</t>
        </is>
      </c>
      <c r="F8775" s="20" t="inlineStr">
        <is>
          <t>카페24</t>
        </is>
      </c>
      <c r="G8775" s="20" t="inlineStr">
        <is>
          <t>솔리드퍼퓸 스페셜 기프트 세트제품 선택=Event 2✨스테이포에버 단품[35% 할인], 수량 선택=1개</t>
        </is>
      </c>
      <c r="H8775" s="20" t="n">
        <v>8</v>
      </c>
      <c r="I8775" s="20" t="inlineStr">
        <is>
          <t>5월 프로모션 스테이포에버</t>
        </is>
      </c>
      <c r="J8775" s="20" t="inlineStr">
        <is>
          <t>210501</t>
        </is>
      </c>
      <c r="L8775" s="20" t="n">
        <v>223200</v>
      </c>
      <c r="M8775" s="20" t="n">
        <v>210142.8</v>
      </c>
      <c r="N8775" s="20" t="n">
        <v>27072</v>
      </c>
      <c r="O8775" s="20" t="inlineStr">
        <is>
          <t>카페24고체향수솔리드퍼퓸 스페셜 기프트 세트제품 선택=Event 2✨스테이포에버 단품[35% 할인], 수량 선택=1개210501</t>
        </is>
      </c>
    </row>
    <row r="8776">
      <c r="B8776" s="27" t="n">
        <v>44334</v>
      </c>
      <c r="C8776" s="20" t="inlineStr">
        <is>
          <t>화</t>
        </is>
      </c>
      <c r="E8776" s="20" t="inlineStr">
        <is>
          <t>고체향수</t>
        </is>
      </c>
      <c r="F8776" s="20" t="inlineStr">
        <is>
          <t>카페24</t>
        </is>
      </c>
      <c r="G8776" s="20" t="inlineStr">
        <is>
          <t>솔리드퍼퓸 스페셜 기프트 세트제품 선택=Event 2✨스테이포에버 단품[35% 할인], 수량 선택=2개</t>
        </is>
      </c>
      <c r="H8776" s="20" t="n">
        <v>2</v>
      </c>
      <c r="I8776" s="20" t="inlineStr">
        <is>
          <t>5월 프로모션 스테이포에버 2set</t>
        </is>
      </c>
      <c r="J8776" s="20" t="inlineStr">
        <is>
          <t>210501</t>
        </is>
      </c>
      <c r="L8776" s="20" t="n">
        <v>111600</v>
      </c>
      <c r="M8776" s="20" t="n">
        <v>105071.4</v>
      </c>
      <c r="N8776" s="20" t="n">
        <v>13536</v>
      </c>
      <c r="O8776" s="20" t="inlineStr">
        <is>
          <t>카페24고체향수솔리드퍼퓸 스페셜 기프트 세트제품 선택=Event 2✨스테이포에버 단품[35% 할인], 수량 선택=2개210501</t>
        </is>
      </c>
    </row>
    <row r="8777">
      <c r="B8777" s="27" t="n">
        <v>44334</v>
      </c>
      <c r="C8777" s="20" t="inlineStr">
        <is>
          <t>화</t>
        </is>
      </c>
      <c r="E8777" s="20" t="inlineStr">
        <is>
          <t>고체향수</t>
        </is>
      </c>
      <c r="F8777" s="20" t="inlineStr">
        <is>
          <t>카페24</t>
        </is>
      </c>
      <c r="G8777" s="20" t="inlineStr">
        <is>
          <t>솔리드퍼퓸 스페셜 기프트 세트제품 선택=Event 2✨이그나이트 단품[35% 할인], 수량 선택=1개</t>
        </is>
      </c>
      <c r="H8777" s="20" t="n">
        <v>2</v>
      </c>
      <c r="I8777" s="20" t="inlineStr">
        <is>
          <t>5월 프로모션 이그나이트</t>
        </is>
      </c>
      <c r="J8777" s="20" t="inlineStr">
        <is>
          <t>210501</t>
        </is>
      </c>
      <c r="L8777" s="20" t="n">
        <v>55800</v>
      </c>
      <c r="M8777" s="20" t="n">
        <v>52535.7</v>
      </c>
      <c r="N8777" s="20" t="n">
        <v>6910</v>
      </c>
      <c r="O8777" s="20" t="inlineStr">
        <is>
          <t>카페24고체향수솔리드퍼퓸 스페셜 기프트 세트제품 선택=Event 2✨이그나이트 단품[35% 할인], 수량 선택=1개210501</t>
        </is>
      </c>
    </row>
    <row r="8778">
      <c r="B8778" s="27" t="n">
        <v>44334</v>
      </c>
      <c r="C8778" s="20" t="inlineStr">
        <is>
          <t>화</t>
        </is>
      </c>
      <c r="E8778" s="20" t="inlineStr">
        <is>
          <t>고체향수</t>
        </is>
      </c>
      <c r="F8778" s="20" t="inlineStr">
        <is>
          <t>카페24</t>
        </is>
      </c>
      <c r="G8778" s="20" t="inlineStr">
        <is>
          <t>솔리드퍼퓸 이그나이트 001제품선택=이그나이트 솔리드퍼퓸 - 30ml</t>
        </is>
      </c>
      <c r="H8778" s="20" t="n">
        <v>2</v>
      </c>
      <c r="I8778" s="20" t="inlineStr">
        <is>
          <t>이그나이트</t>
        </is>
      </c>
      <c r="J8778" s="20" t="inlineStr">
        <is>
          <t>210501</t>
        </is>
      </c>
      <c r="L8778" s="20" t="n">
        <v>68000</v>
      </c>
      <c r="M8778" s="20" t="n">
        <v>64022</v>
      </c>
      <c r="N8778" s="20" t="n">
        <v>5250</v>
      </c>
      <c r="O8778" s="20" t="inlineStr">
        <is>
          <t>카페24고체향수솔리드퍼퓸 이그나이트 001제품선택=이그나이트 솔리드퍼퓸 - 30ml210501</t>
        </is>
      </c>
    </row>
    <row r="8779">
      <c r="B8779" s="27" t="n">
        <v>44334</v>
      </c>
      <c r="C8779" s="20" t="inlineStr">
        <is>
          <t>화</t>
        </is>
      </c>
      <c r="E8779" s="20" t="inlineStr">
        <is>
          <t>고체향수</t>
        </is>
      </c>
      <c r="F8779" s="20" t="inlineStr">
        <is>
          <t>카페24</t>
        </is>
      </c>
      <c r="G8779" s="20" t="inlineStr">
        <is>
          <t>솔리드퍼퓸 이그나이트 001제품선택=이그나이트 2개 세트</t>
        </is>
      </c>
      <c r="H8779" s="20" t="n">
        <v>1</v>
      </c>
      <c r="I8779" s="20" t="inlineStr">
        <is>
          <t>이그나이트 2set</t>
        </is>
      </c>
      <c r="J8779" s="20" t="inlineStr">
        <is>
          <t>210501</t>
        </is>
      </c>
      <c r="L8779" s="20" t="n">
        <v>58800</v>
      </c>
      <c r="M8779" s="20" t="n">
        <v>55360.2</v>
      </c>
      <c r="N8779" s="20" t="n">
        <v>5250</v>
      </c>
      <c r="O8779" s="20" t="inlineStr">
        <is>
          <t>카페24고체향수솔리드퍼퓸 이그나이트 001제품선택=이그나이트 2개 세트210501</t>
        </is>
      </c>
    </row>
    <row r="8780">
      <c r="B8780" s="27" t="n">
        <v>44335</v>
      </c>
      <c r="C8780" s="20" t="inlineStr">
        <is>
          <t>수</t>
        </is>
      </c>
      <c r="E8780" s="20" t="inlineStr">
        <is>
          <t>고체향수</t>
        </is>
      </c>
      <c r="F8780" s="20" t="inlineStr">
        <is>
          <t>스마트스토어</t>
        </is>
      </c>
      <c r="G8780" s="20" t="inlineStr">
        <is>
          <t>유즈 고체향수 세트(유즈 스테이포에버, 유즈 이그나이트)고체향수: 스테이포에버 1개 + 이그나이트 1개</t>
        </is>
      </c>
      <c r="H8780" s="20" t="n">
        <v>1</v>
      </c>
      <c r="I8780" s="20" t="inlineStr">
        <is>
          <t>이그나이트 + 스테이포에버</t>
        </is>
      </c>
      <c r="J8780" s="20" t="inlineStr">
        <is>
          <t>210501</t>
        </is>
      </c>
      <c r="L8780" s="20" t="n">
        <v>58800</v>
      </c>
      <c r="M8780" s="20" t="n">
        <v>55360.2</v>
      </c>
      <c r="N8780" s="20" t="n">
        <v>5179</v>
      </c>
      <c r="O8780" s="20" t="inlineStr">
        <is>
          <t>스마트스토어고체향수유즈 고체향수 세트(유즈 스테이포에버, 유즈 이그나이트)고체향수: 스테이포에버 1개 + 이그나이트 1개210501</t>
        </is>
      </c>
    </row>
    <row r="8781">
      <c r="B8781" s="27" t="n">
        <v>44335</v>
      </c>
      <c r="C8781" s="20" t="inlineStr">
        <is>
          <t>수</t>
        </is>
      </c>
      <c r="E8781" s="20" t="inlineStr">
        <is>
          <t>고체향수</t>
        </is>
      </c>
      <c r="F8781" s="20" t="inlineStr">
        <is>
          <t>스마트스토어</t>
        </is>
      </c>
      <c r="G8781" s="20" t="inlineStr">
        <is>
          <t>유즈 고체향수 세트(유즈 스테이포에버, 유즈 이그나이트)고체향수: 스테이포에버 2개</t>
        </is>
      </c>
      <c r="H8781" s="20" t="n">
        <v>2</v>
      </c>
      <c r="I8781" s="20" t="inlineStr">
        <is>
          <t>스테이포에버 2set</t>
        </is>
      </c>
      <c r="J8781" s="20" t="inlineStr">
        <is>
          <t>210501</t>
        </is>
      </c>
      <c r="L8781" s="20" t="n">
        <v>117600</v>
      </c>
      <c r="M8781" s="20" t="n">
        <v>115248</v>
      </c>
      <c r="N8781" s="20" t="n">
        <v>10216</v>
      </c>
      <c r="O8781" s="20" t="inlineStr">
        <is>
          <t>스마트스토어고체향수유즈 고체향수 세트(유즈 스테이포에버, 유즈 이그나이트)고체향수: 스테이포에버 2개210501</t>
        </is>
      </c>
    </row>
    <row r="8782">
      <c r="B8782" s="27" t="n">
        <v>44335</v>
      </c>
      <c r="C8782" s="20" t="inlineStr">
        <is>
          <t>수</t>
        </is>
      </c>
      <c r="E8782" s="20" t="inlineStr">
        <is>
          <t>고체향수</t>
        </is>
      </c>
      <c r="F8782" s="20" t="inlineStr">
        <is>
          <t>스마트스토어</t>
        </is>
      </c>
      <c r="G8782" s="20" t="inlineStr">
        <is>
          <t>유즈 고체향수 스테이포에버 002고체향수: 스테이포에버 1개</t>
        </is>
      </c>
      <c r="H8782" s="20" t="n">
        <v>13</v>
      </c>
      <c r="I8782" s="20" t="inlineStr">
        <is>
          <t>스테이포에버</t>
        </is>
      </c>
      <c r="J8782" s="20" t="inlineStr">
        <is>
          <t>210501</t>
        </is>
      </c>
      <c r="L8782" s="20" t="n">
        <v>442000</v>
      </c>
      <c r="M8782" s="20" t="n">
        <v>433160</v>
      </c>
      <c r="N8782" s="20" t="n">
        <v>33202</v>
      </c>
      <c r="O8782" s="20" t="inlineStr">
        <is>
          <t>스마트스토어고체향수유즈 고체향수 스테이포에버 002고체향수: 스테이포에버 1개210501</t>
        </is>
      </c>
    </row>
    <row r="8783">
      <c r="B8783" s="27" t="n">
        <v>44335</v>
      </c>
      <c r="C8783" s="20" t="inlineStr">
        <is>
          <t>수</t>
        </is>
      </c>
      <c r="E8783" s="20" t="inlineStr">
        <is>
          <t>고체향수</t>
        </is>
      </c>
      <c r="F8783" s="20" t="inlineStr">
        <is>
          <t>카페24</t>
        </is>
      </c>
      <c r="G8783" s="20" t="inlineStr">
        <is>
          <t>솔리드퍼퓸 세트향=이그나이트 001 SOLID PERFUME, 세트 선택=best 2개 (28% 할인)</t>
        </is>
      </c>
      <c r="H8783" s="20" t="n">
        <v>2</v>
      </c>
      <c r="I8783" s="20" t="inlineStr">
        <is>
          <t>이그나이트 2set</t>
        </is>
      </c>
      <c r="J8783" s="20" t="inlineStr">
        <is>
          <t>210501</t>
        </is>
      </c>
      <c r="L8783" s="20" t="n">
        <v>117600</v>
      </c>
      <c r="M8783" s="20" t="n">
        <v>110720.4</v>
      </c>
      <c r="N8783" s="20" t="n">
        <v>10500</v>
      </c>
      <c r="O8783" s="20" t="inlineStr">
        <is>
          <t>카페24고체향수솔리드퍼퓸 세트향=이그나이트 001 SOLID PERFUME, 세트 선택=best 2개 (28% 할인)210501</t>
        </is>
      </c>
    </row>
    <row r="8784">
      <c r="B8784" s="27" t="n">
        <v>44335</v>
      </c>
      <c r="C8784" s="20" t="inlineStr">
        <is>
          <t>수</t>
        </is>
      </c>
      <c r="E8784" s="20" t="inlineStr">
        <is>
          <t>고체향수</t>
        </is>
      </c>
      <c r="F8784" s="20" t="inlineStr">
        <is>
          <t>카페24</t>
        </is>
      </c>
      <c r="G8784" s="20" t="inlineStr">
        <is>
          <t>솔리드퍼퓸 세트향=스테이포에버 002 SOLID PERFUME, 세트 선택=1개</t>
        </is>
      </c>
      <c r="H8784" s="20" t="n">
        <v>4</v>
      </c>
      <c r="I8784" s="20" t="inlineStr">
        <is>
          <t>스테이포에버</t>
        </is>
      </c>
      <c r="J8784" s="20" t="inlineStr">
        <is>
          <t>210501</t>
        </is>
      </c>
      <c r="L8784" s="20" t="n">
        <v>136000</v>
      </c>
      <c r="M8784" s="20" t="n">
        <v>128044</v>
      </c>
      <c r="N8784" s="20" t="n">
        <v>10216</v>
      </c>
      <c r="O8784" s="20" t="inlineStr">
        <is>
          <t>카페24고체향수솔리드퍼퓸 세트향=스테이포에버 002 SOLID PERFUME, 세트 선택=1개210501</t>
        </is>
      </c>
    </row>
    <row r="8785">
      <c r="B8785" s="27" t="n">
        <v>44335</v>
      </c>
      <c r="C8785" s="20" t="inlineStr">
        <is>
          <t>수</t>
        </is>
      </c>
      <c r="E8785" s="20" t="inlineStr">
        <is>
          <t>고체향수</t>
        </is>
      </c>
      <c r="F8785" s="20" t="inlineStr">
        <is>
          <t>카페24</t>
        </is>
      </c>
      <c r="G8785" s="20" t="inlineStr">
        <is>
          <t>솔리드퍼퓸 세트향=스테이포에버 002 SOLID PERFUME, 세트 선택=best 2개 (28% 할인)</t>
        </is>
      </c>
      <c r="H8785" s="20" t="n">
        <v>8</v>
      </c>
      <c r="I8785" s="20" t="inlineStr">
        <is>
          <t>스테이포에버 2set</t>
        </is>
      </c>
      <c r="J8785" s="20" t="inlineStr">
        <is>
          <t>210501</t>
        </is>
      </c>
      <c r="L8785" s="20" t="n">
        <v>470400</v>
      </c>
      <c r="M8785" s="20" t="n">
        <v>442881.6</v>
      </c>
      <c r="N8785" s="20" t="n">
        <v>40864</v>
      </c>
      <c r="O8785" s="20" t="inlineStr">
        <is>
          <t>카페24고체향수솔리드퍼퓸 세트향=스테이포에버 002 SOLID PERFUME, 세트 선택=best 2개 (28% 할인)210501</t>
        </is>
      </c>
    </row>
    <row r="8786">
      <c r="B8786" s="27" t="n">
        <v>44335</v>
      </c>
      <c r="C8786" s="20" t="inlineStr">
        <is>
          <t>수</t>
        </is>
      </c>
      <c r="E8786" s="20" t="inlineStr">
        <is>
          <t>고체향수</t>
        </is>
      </c>
      <c r="F8786" s="20" t="inlineStr">
        <is>
          <t>카페24</t>
        </is>
      </c>
      <c r="G8786" s="20" t="inlineStr">
        <is>
          <t>솔리드퍼퓸 세트향=커플세트(이그나이트 + 스테이포에버), 세트 선택=1 SET</t>
        </is>
      </c>
      <c r="H8786" s="20" t="n">
        <v>9</v>
      </c>
      <c r="I8786" s="20" t="inlineStr">
        <is>
          <t>이그나이트 + 스테이포에버</t>
        </is>
      </c>
      <c r="J8786" s="20" t="inlineStr">
        <is>
          <t>210501</t>
        </is>
      </c>
      <c r="L8786" s="20" t="n">
        <v>529200</v>
      </c>
      <c r="M8786" s="20" t="n">
        <v>498241.8</v>
      </c>
      <c r="N8786" s="20" t="n">
        <v>46611</v>
      </c>
      <c r="O8786" s="20" t="inlineStr">
        <is>
          <t>카페24고체향수솔리드퍼퓸 세트향=커플세트(이그나이트 + 스테이포에버), 세트 선택=1 SET210501</t>
        </is>
      </c>
    </row>
    <row r="8787">
      <c r="B8787" s="27" t="n">
        <v>44335</v>
      </c>
      <c r="C8787" s="20" t="inlineStr">
        <is>
          <t>수</t>
        </is>
      </c>
      <c r="E8787" s="20" t="inlineStr">
        <is>
          <t>고체향수</t>
        </is>
      </c>
      <c r="F8787" s="20" t="inlineStr">
        <is>
          <t>카페24</t>
        </is>
      </c>
      <c r="G8787" s="20" t="inlineStr">
        <is>
          <t>솔리드퍼퓸 세트향=커플세트(이그나이트 + 스테이포에버), 세트 선택=2 SET (42% 할인)</t>
        </is>
      </c>
      <c r="H8787" s="20" t="n">
        <v>2</v>
      </c>
      <c r="I8787" s="20" t="inlineStr">
        <is>
          <t>이그나이트 + 스테이포에버</t>
        </is>
      </c>
      <c r="J8787" s="20" t="inlineStr">
        <is>
          <t>210501</t>
        </is>
      </c>
      <c r="L8787" s="20" t="n">
        <v>117600</v>
      </c>
      <c r="M8787" s="20" t="n">
        <v>110720.4</v>
      </c>
      <c r="N8787" s="20" t="n">
        <v>10358</v>
      </c>
      <c r="O8787" s="20" t="inlineStr">
        <is>
          <t>카페24고체향수솔리드퍼퓸 세트향=커플세트(이그나이트 + 스테이포에버), 세트 선택=2 SET (42% 할인)210501</t>
        </is>
      </c>
    </row>
    <row r="8788">
      <c r="B8788" s="27" t="n">
        <v>44335</v>
      </c>
      <c r="C8788" s="20" t="inlineStr">
        <is>
          <t>수</t>
        </is>
      </c>
      <c r="E8788" s="20" t="inlineStr">
        <is>
          <t>고체향수</t>
        </is>
      </c>
      <c r="F8788" s="20" t="inlineStr">
        <is>
          <t>카페24</t>
        </is>
      </c>
      <c r="G8788" s="20" t="inlineStr">
        <is>
          <t>솔리드퍼퓸 스테이포에버 002제품선택=스테이포에버 1개</t>
        </is>
      </c>
      <c r="H8788" s="20" t="n">
        <v>188</v>
      </c>
      <c r="I8788" s="20" t="inlineStr">
        <is>
          <t>스테이포에버</t>
        </is>
      </c>
      <c r="J8788" s="20" t="inlineStr">
        <is>
          <t>210501</t>
        </is>
      </c>
      <c r="L8788" s="20" t="n">
        <v>6392000</v>
      </c>
      <c r="M8788" s="20" t="n">
        <v>6018068</v>
      </c>
      <c r="N8788" s="20" t="n">
        <v>480152</v>
      </c>
      <c r="O8788" s="20" t="inlineStr">
        <is>
          <t>카페24고체향수솔리드퍼퓸 스테이포에버 002제품선택=스테이포에버 1개210501</t>
        </is>
      </c>
    </row>
    <row r="8789">
      <c r="B8789" s="27" t="n">
        <v>44335</v>
      </c>
      <c r="C8789" s="20" t="inlineStr">
        <is>
          <t>수</t>
        </is>
      </c>
      <c r="E8789" s="20" t="inlineStr">
        <is>
          <t>고체향수</t>
        </is>
      </c>
      <c r="F8789" s="20" t="inlineStr">
        <is>
          <t>카페24</t>
        </is>
      </c>
      <c r="G8789" s="20" t="inlineStr">
        <is>
          <t>솔리드퍼퓸 스테이포에버 002제품선택=best스테이포에버 2개[28% 할인]</t>
        </is>
      </c>
      <c r="H8789" s="20" t="n">
        <v>105</v>
      </c>
      <c r="I8789" s="20" t="inlineStr">
        <is>
          <t>스테이포에버 2set</t>
        </is>
      </c>
      <c r="J8789" s="20" t="inlineStr">
        <is>
          <t>210501</t>
        </is>
      </c>
      <c r="L8789" s="20" t="n">
        <v>6174000</v>
      </c>
      <c r="M8789" s="20" t="n">
        <v>5812821</v>
      </c>
      <c r="N8789" s="20" t="n">
        <v>536340</v>
      </c>
      <c r="O8789" s="20" t="inlineStr">
        <is>
          <t>카페24고체향수솔리드퍼퓸 스테이포에버 002제품선택=best스테이포에버 2개[28% 할인]210501</t>
        </is>
      </c>
    </row>
    <row r="8790">
      <c r="B8790" s="27" t="n">
        <v>44335</v>
      </c>
      <c r="C8790" s="20" t="inlineStr">
        <is>
          <t>수</t>
        </is>
      </c>
      <c r="E8790" s="20" t="inlineStr">
        <is>
          <t>고체향수</t>
        </is>
      </c>
      <c r="F8790" s="20" t="inlineStr">
        <is>
          <t>카페24</t>
        </is>
      </c>
      <c r="G8790" s="20" t="inlineStr">
        <is>
          <t>솔리드퍼퓸 스테이포에버 002제품선택=커플추천스테이포에버 + 이그나이트 세트</t>
        </is>
      </c>
      <c r="H8790" s="20" t="n">
        <v>10</v>
      </c>
      <c r="I8790" s="20" t="inlineStr">
        <is>
          <t>이그나이트 + 스테이포에버</t>
        </is>
      </c>
      <c r="J8790" s="20" t="inlineStr">
        <is>
          <t>210501</t>
        </is>
      </c>
      <c r="L8790" s="20" t="n">
        <v>588000</v>
      </c>
      <c r="M8790" s="20" t="n">
        <v>553602</v>
      </c>
      <c r="N8790" s="20" t="n">
        <v>51790</v>
      </c>
      <c r="O8790" s="20" t="inlineStr">
        <is>
          <t>카페24고체향수솔리드퍼퓸 스테이포에버 002제품선택=커플추천스테이포에버 + 이그나이트 세트210501</t>
        </is>
      </c>
    </row>
    <row r="8791">
      <c r="B8791" s="27" t="n">
        <v>44335</v>
      </c>
      <c r="C8791" s="20" t="inlineStr">
        <is>
          <t>수</t>
        </is>
      </c>
      <c r="E8791" s="20" t="inlineStr">
        <is>
          <t>쇼핑백</t>
        </is>
      </c>
      <c r="F8791" s="20" t="inlineStr">
        <is>
          <t>카페24</t>
        </is>
      </c>
      <c r="G8791" s="20" t="inlineStr">
        <is>
          <t>솔리드퍼퓸 스테이포에버 002쇼핑백=선물용 쇼핑백</t>
        </is>
      </c>
      <c r="H8791" s="20" t="n">
        <v>12</v>
      </c>
      <c r="I8791" s="20" t="inlineStr">
        <is>
          <t>쇼핑백</t>
        </is>
      </c>
      <c r="J8791" s="20" t="inlineStr">
        <is>
          <t>210501</t>
        </is>
      </c>
      <c r="L8791" s="20" t="n">
        <v>24000</v>
      </c>
      <c r="M8791" s="20" t="n">
        <v>22596</v>
      </c>
      <c r="N8791" s="20" t="n">
        <v>9960</v>
      </c>
      <c r="O8791" s="20" t="inlineStr">
        <is>
          <t>카페24쇼핑백솔리드퍼퓸 스테이포에버 002쇼핑백=선물용 쇼핑백210501</t>
        </is>
      </c>
    </row>
    <row r="8792">
      <c r="B8792" s="27" t="n">
        <v>44335</v>
      </c>
      <c r="C8792" s="20" t="inlineStr">
        <is>
          <t>수</t>
        </is>
      </c>
      <c r="E8792" s="20" t="inlineStr">
        <is>
          <t>고체향수</t>
        </is>
      </c>
      <c r="F8792" s="20" t="inlineStr">
        <is>
          <t>카페24</t>
        </is>
      </c>
      <c r="G8792" s="20" t="inlineStr">
        <is>
          <t>솔리드퍼퓸 스페셜 기프트 세트제품 선택=Event 1솔리드퍼퓸 2종 set[40% 할인], 수량 선택=1개</t>
        </is>
      </c>
      <c r="H8792" s="20" t="n">
        <v>15</v>
      </c>
      <c r="I8792" s="20" t="inlineStr">
        <is>
          <t>5월 프로모션 이그나이트+스테이포에버</t>
        </is>
      </c>
      <c r="J8792" s="20" t="inlineStr">
        <is>
          <t>210501</t>
        </is>
      </c>
      <c r="L8792" s="20" t="n">
        <v>756000</v>
      </c>
      <c r="M8792" s="20" t="n">
        <v>711774</v>
      </c>
      <c r="N8792" s="20" t="n">
        <v>107430</v>
      </c>
      <c r="O8792" s="20" t="inlineStr">
        <is>
          <t>카페24고체향수솔리드퍼퓸 스페셜 기프트 세트제품 선택=Event 1솔리드퍼퓸 2종 set[40% 할인], 수량 선택=1개210501</t>
        </is>
      </c>
    </row>
    <row r="8793">
      <c r="B8793" s="27" t="n">
        <v>44335</v>
      </c>
      <c r="C8793" s="20" t="inlineStr">
        <is>
          <t>수</t>
        </is>
      </c>
      <c r="E8793" s="20" t="inlineStr">
        <is>
          <t>고체향수</t>
        </is>
      </c>
      <c r="F8793" s="20" t="inlineStr">
        <is>
          <t>카페24</t>
        </is>
      </c>
      <c r="G8793" s="20" t="inlineStr">
        <is>
          <t>솔리드퍼퓸 스페셜 기프트 세트제품 선택=Event 1솔리드퍼퓸 2종 set[40% 할인], 수량 선택=2개</t>
        </is>
      </c>
      <c r="H8793" s="20" t="n">
        <v>1</v>
      </c>
      <c r="I8793" s="20" t="inlineStr">
        <is>
          <t>5월 프로모션 이그나이트+스테이포에버 2 set</t>
        </is>
      </c>
      <c r="J8793" s="20" t="inlineStr">
        <is>
          <t>210501</t>
        </is>
      </c>
      <c r="L8793" s="20" t="n">
        <v>10800</v>
      </c>
      <c r="M8793" s="20" t="n">
        <v>10168.2</v>
      </c>
      <c r="N8793" s="20" t="n">
        <v>14324</v>
      </c>
      <c r="O8793" s="20" t="inlineStr">
        <is>
          <t>카페24고체향수솔리드퍼퓸 스페셜 기프트 세트제품 선택=Event 1솔리드퍼퓸 2종 set[40% 할인], 수량 선택=2개210501</t>
        </is>
      </c>
    </row>
    <row r="8794">
      <c r="B8794" s="27" t="n">
        <v>44335</v>
      </c>
      <c r="C8794" s="20" t="inlineStr">
        <is>
          <t>수</t>
        </is>
      </c>
      <c r="E8794" s="20" t="inlineStr">
        <is>
          <t>고체향수</t>
        </is>
      </c>
      <c r="F8794" s="20" t="inlineStr">
        <is>
          <t>카페24</t>
        </is>
      </c>
      <c r="G8794" s="20" t="inlineStr">
        <is>
          <t>솔리드퍼퓸 스페셜 기프트 세트제품 선택=Event 2✨스테이포에버 단품[35% 할인], 수량 선택=1개</t>
        </is>
      </c>
      <c r="H8794" s="20" t="n">
        <v>15</v>
      </c>
      <c r="I8794" s="20" t="inlineStr">
        <is>
          <t>5월 프로모션 스테이포에버</t>
        </is>
      </c>
      <c r="J8794" s="20" t="inlineStr">
        <is>
          <t>210501</t>
        </is>
      </c>
      <c r="L8794" s="20" t="n">
        <v>418500</v>
      </c>
      <c r="M8794" s="20" t="n">
        <v>394017.75</v>
      </c>
      <c r="N8794" s="20" t="n">
        <v>50760</v>
      </c>
      <c r="O8794" s="20" t="inlineStr">
        <is>
          <t>카페24고체향수솔리드퍼퓸 스페셜 기프트 세트제품 선택=Event 2✨스테이포에버 단품[35% 할인], 수량 선택=1개210501</t>
        </is>
      </c>
    </row>
    <row r="8795">
      <c r="B8795" s="27" t="n">
        <v>44335</v>
      </c>
      <c r="C8795" s="20" t="inlineStr">
        <is>
          <t>수</t>
        </is>
      </c>
      <c r="E8795" s="20" t="inlineStr">
        <is>
          <t>고체향수</t>
        </is>
      </c>
      <c r="F8795" s="20" t="inlineStr">
        <is>
          <t>카페24</t>
        </is>
      </c>
      <c r="G8795" s="20" t="inlineStr">
        <is>
          <t>솔리드퍼퓸 스페셜 기프트 세트제품 선택=Event 2✨스테이포에버 단품[35% 할인], 수량 선택=2개</t>
        </is>
      </c>
      <c r="H8795" s="20" t="n">
        <v>6</v>
      </c>
      <c r="I8795" s="20" t="inlineStr">
        <is>
          <t>5월 프로모션 스테이포에버 2set</t>
        </is>
      </c>
      <c r="J8795" s="20" t="inlineStr">
        <is>
          <t>210501</t>
        </is>
      </c>
      <c r="L8795" s="20" t="n">
        <v>334800</v>
      </c>
      <c r="M8795" s="20" t="n">
        <v>315214.2</v>
      </c>
      <c r="N8795" s="20" t="n">
        <v>40608</v>
      </c>
      <c r="O8795" s="20" t="inlineStr">
        <is>
          <t>카페24고체향수솔리드퍼퓸 스페셜 기프트 세트제품 선택=Event 2✨스테이포에버 단품[35% 할인], 수량 선택=2개210501</t>
        </is>
      </c>
    </row>
    <row r="8796">
      <c r="B8796" s="27" t="n">
        <v>44335</v>
      </c>
      <c r="C8796" s="20" t="inlineStr">
        <is>
          <t>수</t>
        </is>
      </c>
      <c r="E8796" s="20" t="inlineStr">
        <is>
          <t>고체향수</t>
        </is>
      </c>
      <c r="F8796" s="20" t="inlineStr">
        <is>
          <t>카페24</t>
        </is>
      </c>
      <c r="G8796" s="20" t="inlineStr">
        <is>
          <t>솔리드퍼퓸 스페셜 기프트 세트제품 선택=Event 2✨이그나이트 단품[35% 할인], 수량 선택=2개</t>
        </is>
      </c>
      <c r="H8796" s="20" t="n">
        <v>1</v>
      </c>
      <c r="I8796" s="20" t="inlineStr">
        <is>
          <t>5월 프로모션 이그나이트 2set</t>
        </is>
      </c>
      <c r="J8796" s="20" t="inlineStr">
        <is>
          <t>210501</t>
        </is>
      </c>
      <c r="L8796" s="20" t="n">
        <v>55800</v>
      </c>
      <c r="M8796" s="20" t="n">
        <v>52535.7</v>
      </c>
      <c r="N8796" s="20" t="n">
        <v>6910</v>
      </c>
      <c r="O8796" s="20" t="inlineStr">
        <is>
          <t>카페24고체향수솔리드퍼퓸 스페셜 기프트 세트제품 선택=Event 2✨이그나이트 단품[35% 할인], 수량 선택=2개210501</t>
        </is>
      </c>
    </row>
    <row r="8797">
      <c r="B8797" s="27" t="n">
        <v>44335</v>
      </c>
      <c r="C8797" s="20" t="inlineStr">
        <is>
          <t>수</t>
        </is>
      </c>
      <c r="E8797" s="20" t="inlineStr">
        <is>
          <t>고체향수</t>
        </is>
      </c>
      <c r="F8797" s="20" t="inlineStr">
        <is>
          <t>카페24</t>
        </is>
      </c>
      <c r="G8797" s="20" t="inlineStr">
        <is>
          <t>솔리드퍼퓸 이그나이트 001제품선택=이그나이트 솔리드퍼퓸 - 30ml</t>
        </is>
      </c>
      <c r="H8797" s="20" t="n">
        <v>2</v>
      </c>
      <c r="I8797" s="20" t="inlineStr">
        <is>
          <t>이그나이트</t>
        </is>
      </c>
      <c r="J8797" s="20" t="inlineStr">
        <is>
          <t>210501</t>
        </is>
      </c>
      <c r="L8797" s="20" t="n">
        <v>68000</v>
      </c>
      <c r="M8797" s="20" t="n">
        <v>64022</v>
      </c>
      <c r="N8797" s="20" t="n">
        <v>5250</v>
      </c>
      <c r="O8797" s="20" t="inlineStr">
        <is>
          <t>카페24고체향수솔리드퍼퓸 이그나이트 001제품선택=이그나이트 솔리드퍼퓸 - 30ml210501</t>
        </is>
      </c>
    </row>
    <row r="8798">
      <c r="A8798" s="20" t="inlineStr">
        <is>
          <t>고체향수</t>
        </is>
      </c>
      <c r="B8798" s="27" t="n">
        <v>44334</v>
      </c>
      <c r="C8798" s="20" t="inlineStr">
        <is>
          <t>화</t>
        </is>
      </c>
      <c r="D8798" s="20" t="inlineStr">
        <is>
          <t>네이버 배너</t>
        </is>
      </c>
      <c r="E8798" s="20" t="inlineStr">
        <is>
          <t>고체향수</t>
        </is>
      </c>
      <c r="K8798" s="20" t="n">
        <v>573095.4545454545</v>
      </c>
    </row>
    <row r="8799">
      <c r="A8799" s="20" t="inlineStr">
        <is>
          <t>고체향수</t>
        </is>
      </c>
      <c r="B8799" s="27" t="n">
        <v>44335</v>
      </c>
      <c r="C8799" s="20" t="inlineStr">
        <is>
          <t>수</t>
        </is>
      </c>
      <c r="D8799" s="20" t="inlineStr">
        <is>
          <t>네이버 배너</t>
        </is>
      </c>
      <c r="E8799" s="20" t="inlineStr">
        <is>
          <t>고체향수</t>
        </is>
      </c>
      <c r="K8799" s="20" t="n">
        <v>601486.3636363635</v>
      </c>
    </row>
    <row r="8800">
      <c r="B8800" s="27" t="n">
        <v>44334</v>
      </c>
      <c r="C8800" s="20" t="inlineStr">
        <is>
          <t>화</t>
        </is>
      </c>
      <c r="D8800" s="20" t="inlineStr">
        <is>
          <t>네이버 배너(대행사)</t>
        </is>
      </c>
      <c r="E8800" s="20" t="inlineStr">
        <is>
          <t>고체향수</t>
        </is>
      </c>
      <c r="K8800" s="20">
        <f>389927/1.1</f>
        <v/>
      </c>
    </row>
    <row r="8801">
      <c r="B8801" s="27" t="n">
        <v>44335</v>
      </c>
      <c r="C8801" s="20" t="inlineStr">
        <is>
          <t>수</t>
        </is>
      </c>
      <c r="D8801" s="20" t="inlineStr">
        <is>
          <t>네이버 배너(대행사)</t>
        </is>
      </c>
      <c r="E8801" s="20" t="inlineStr">
        <is>
          <t>고체향수</t>
        </is>
      </c>
      <c r="K8801" s="20">
        <f>412902/1.1</f>
        <v/>
      </c>
    </row>
    <row r="8802">
      <c r="B8802" s="27" t="n">
        <v>44334</v>
      </c>
      <c r="C8802" s="20" t="inlineStr">
        <is>
          <t>화</t>
        </is>
      </c>
      <c r="E8802" s="19">
        <f>INDEX(매칭테이블!C:C,MATCH(RD!G8802,매칭테이블!D:D,0))</f>
        <v/>
      </c>
      <c r="F8802" s="20" t="inlineStr">
        <is>
          <t>올리브영</t>
        </is>
      </c>
      <c r="G8802" s="20" t="inlineStr">
        <is>
          <t>유즈 솔리드퍼퓸 001 이그나이트 30ml 30600 온라인</t>
        </is>
      </c>
      <c r="H8802" s="20" t="n">
        <v>2</v>
      </c>
      <c r="I8802" s="19">
        <f>VLOOKUP(G8802,매칭테이블!D:E,2,0)</f>
        <v/>
      </c>
      <c r="J8802" s="20" t="inlineStr">
        <is>
          <t>210501</t>
        </is>
      </c>
      <c r="L8802" s="19">
        <f>VLOOKUP($O8802,매칭테이블!$G:$J,2,0)*H8802</f>
        <v/>
      </c>
      <c r="M8802" s="19">
        <f>L8802-L8802*VLOOKUP($O8802,매칭테이블!$G:$J,3,0)</f>
        <v/>
      </c>
      <c r="N8802" s="19">
        <f>VLOOKUP($O8802,매칭테이블!$G:$J,4,0)*H8802</f>
        <v/>
      </c>
      <c r="O8802" s="19">
        <f>F8802&amp;E8802&amp;G8802&amp;J8802</f>
        <v/>
      </c>
    </row>
    <row r="8803">
      <c r="B8803" s="27" t="n">
        <v>44334</v>
      </c>
      <c r="C8803" s="20" t="inlineStr">
        <is>
          <t>화</t>
        </is>
      </c>
      <c r="E8803" s="19">
        <f>INDEX(매칭테이블!C:C,MATCH(RD!G8803,매칭테이블!D:D,0))</f>
        <v/>
      </c>
      <c r="F8803" s="20" t="inlineStr">
        <is>
          <t>올리브영</t>
        </is>
      </c>
      <c r="G8803" s="20" t="inlineStr">
        <is>
          <t>유즈 솔리드퍼퓸 002 스테이포에버 30ml 30600 온라인</t>
        </is>
      </c>
      <c r="H8803" s="20" t="n">
        <v>111</v>
      </c>
      <c r="I8803" s="19">
        <f>VLOOKUP(G8803,매칭테이블!D:E,2,0)</f>
        <v/>
      </c>
      <c r="J8803" s="20" t="inlineStr">
        <is>
          <t>210501</t>
        </is>
      </c>
      <c r="L8803" s="19">
        <f>VLOOKUP($O8803,매칭테이블!$G:$J,2,0)*H8803</f>
        <v/>
      </c>
      <c r="M8803" s="19">
        <f>L8803-L8803*VLOOKUP($O8803,매칭테이블!$G:$J,3,0)</f>
        <v/>
      </c>
      <c r="N8803" s="19">
        <f>VLOOKUP($O8803,매칭테이블!$G:$J,4,0)*H8803</f>
        <v/>
      </c>
      <c r="O8803" s="19">
        <f>F8803&amp;E8803&amp;G8803&amp;J8803</f>
        <v/>
      </c>
    </row>
    <row r="8804">
      <c r="B8804" s="27" t="n">
        <v>44335</v>
      </c>
      <c r="C8804" s="20" t="inlineStr">
        <is>
          <t>수</t>
        </is>
      </c>
      <c r="E8804" s="19">
        <f>INDEX(매칭테이블!C:C,MATCH(RD!G8804,매칭테이블!D:D,0))</f>
        <v/>
      </c>
      <c r="F8804" s="20" t="inlineStr">
        <is>
          <t>올리브영</t>
        </is>
      </c>
      <c r="G8804" s="20" t="inlineStr">
        <is>
          <t>유즈 솔리드퍼퓸 001 이그나이트 30ml 30600 온라인</t>
        </is>
      </c>
      <c r="H8804" s="20" t="n">
        <v>1</v>
      </c>
      <c r="I8804" s="19">
        <f>VLOOKUP(G8804,매칭테이블!D:E,2,0)</f>
        <v/>
      </c>
      <c r="J8804" s="20" t="inlineStr">
        <is>
          <t>210501</t>
        </is>
      </c>
      <c r="L8804" s="19">
        <f>VLOOKUP($O8804,매칭테이블!$G:$J,2,0)*H8804</f>
        <v/>
      </c>
      <c r="M8804" s="19">
        <f>L8804-L8804*VLOOKUP($O8804,매칭테이블!$G:$J,3,0)</f>
        <v/>
      </c>
      <c r="N8804" s="19">
        <f>VLOOKUP($O8804,매칭테이블!$G:$J,4,0)*H8804</f>
        <v/>
      </c>
      <c r="O8804" s="19">
        <f>F8804&amp;E8804&amp;G8804&amp;J8804</f>
        <v/>
      </c>
    </row>
    <row r="8805">
      <c r="B8805" s="27" t="n">
        <v>44335</v>
      </c>
      <c r="C8805" s="20" t="inlineStr">
        <is>
          <t>수</t>
        </is>
      </c>
      <c r="E8805" s="19">
        <f>INDEX(매칭테이블!C:C,MATCH(RD!G8805,매칭테이블!D:D,0))</f>
        <v/>
      </c>
      <c r="F8805" s="20" t="inlineStr">
        <is>
          <t>올리브영</t>
        </is>
      </c>
      <c r="G8805" s="20" t="inlineStr">
        <is>
          <t>유즈 솔리드퍼퓸 002 스테이포에버 30ml 30600 온라인</t>
        </is>
      </c>
      <c r="H8805" s="20" t="n">
        <v>79</v>
      </c>
      <c r="I8805" s="19">
        <f>VLOOKUP(G8805,매칭테이블!D:E,2,0)</f>
        <v/>
      </c>
      <c r="J8805" s="20" t="inlineStr">
        <is>
          <t>210501</t>
        </is>
      </c>
      <c r="L8805" s="19">
        <f>VLOOKUP($O8805,매칭테이블!$G:$J,2,0)*H8805</f>
        <v/>
      </c>
      <c r="M8805" s="19">
        <f>L8805-L8805*VLOOKUP($O8805,매칭테이블!$G:$J,3,0)</f>
        <v/>
      </c>
      <c r="N8805" s="19">
        <f>VLOOKUP($O8805,매칭테이블!$G:$J,4,0)*H8805</f>
        <v/>
      </c>
      <c r="O8805" s="19">
        <f>F8805&amp;E8805&amp;G8805&amp;J8805</f>
        <v/>
      </c>
    </row>
    <row r="8806">
      <c r="A8806" s="20" t="inlineStr">
        <is>
          <t>[승희 TEST] 솔리드퍼퓸_카드뉴스</t>
        </is>
      </c>
      <c r="B8806" s="27" t="n">
        <v>44336</v>
      </c>
      <c r="C8806" s="20" t="inlineStr">
        <is>
          <t>목</t>
        </is>
      </c>
      <c r="D8806" s="20" t="inlineStr">
        <is>
          <t>페이스북/인스타그램</t>
        </is>
      </c>
      <c r="E8806" s="20" t="inlineStr">
        <is>
          <t>고체향수</t>
        </is>
      </c>
      <c r="K8806" s="20" t="n">
        <v>19479</v>
      </c>
    </row>
    <row r="8807">
      <c r="A8807" s="20" t="inlineStr">
        <is>
          <t>[수현 TEST] 이그나이트_이미지</t>
        </is>
      </c>
      <c r="B8807" s="27" t="n">
        <v>44336</v>
      </c>
      <c r="C8807" s="20" t="inlineStr">
        <is>
          <t>목</t>
        </is>
      </c>
      <c r="D8807" s="20" t="inlineStr">
        <is>
          <t>페이스북/인스타그램</t>
        </is>
      </c>
      <c r="E8807" s="20" t="inlineStr">
        <is>
          <t>고체향수</t>
        </is>
      </c>
      <c r="K8807" s="20" t="n">
        <v>34558</v>
      </c>
    </row>
    <row r="8808">
      <c r="A8808" s="20" t="inlineStr">
        <is>
          <t>[5월 프로모션] 솔리드퍼퓸_영상</t>
        </is>
      </c>
      <c r="B8808" s="27" t="n">
        <v>44336</v>
      </c>
      <c r="C8808" s="20" t="inlineStr">
        <is>
          <t>목</t>
        </is>
      </c>
      <c r="D8808" s="20" t="inlineStr">
        <is>
          <t>페이스북/인스타그램</t>
        </is>
      </c>
      <c r="E8808" s="20" t="inlineStr">
        <is>
          <t>고체향수</t>
        </is>
      </c>
      <c r="K8808" s="20" t="n">
        <v>142164</v>
      </c>
    </row>
    <row r="8809">
      <c r="A8809" s="20" t="inlineStr">
        <is>
          <t>[수현 TEST] 스테이포에버_카드뉴스</t>
        </is>
      </c>
      <c r="B8809" s="27" t="n">
        <v>44336</v>
      </c>
      <c r="C8809" s="20" t="inlineStr">
        <is>
          <t>목</t>
        </is>
      </c>
      <c r="D8809" s="20" t="inlineStr">
        <is>
          <t>페이스북/인스타그램</t>
        </is>
      </c>
      <c r="E8809" s="20" t="inlineStr">
        <is>
          <t>고체향수</t>
        </is>
      </c>
      <c r="K8809" s="20" t="n">
        <v>23184</v>
      </c>
    </row>
    <row r="8810">
      <c r="A8810" s="20" t="inlineStr">
        <is>
          <t>[수현 TEST] 스테이포에버_이미지</t>
        </is>
      </c>
      <c r="B8810" s="27" t="n">
        <v>44336</v>
      </c>
      <c r="C8810" s="20" t="inlineStr">
        <is>
          <t>목</t>
        </is>
      </c>
      <c r="D8810" s="20" t="inlineStr">
        <is>
          <t>페이스북/인스타그램</t>
        </is>
      </c>
      <c r="E8810" s="20" t="inlineStr">
        <is>
          <t>고체향수</t>
        </is>
      </c>
      <c r="K8810" s="20" t="n">
        <v>29715</v>
      </c>
    </row>
    <row r="8811">
      <c r="A8811" s="20" t="inlineStr">
        <is>
          <t>[승은 TEST] 스테이포에버</t>
        </is>
      </c>
      <c r="B8811" s="27" t="n">
        <v>44336</v>
      </c>
      <c r="C8811" s="20" t="inlineStr">
        <is>
          <t>목</t>
        </is>
      </c>
      <c r="D8811" s="20" t="inlineStr">
        <is>
          <t>페이스북/인스타그램</t>
        </is>
      </c>
      <c r="E8811" s="20" t="inlineStr">
        <is>
          <t>고체향수</t>
        </is>
      </c>
      <c r="K8811" s="20" t="n">
        <v>60014</v>
      </c>
    </row>
    <row r="8812">
      <c r="A8812" s="20" t="inlineStr">
        <is>
          <t>[비누향 덕후] 스테이포에버_카드뉴스</t>
        </is>
      </c>
      <c r="B8812" s="27" t="n">
        <v>44336</v>
      </c>
      <c r="C8812" s="20" t="inlineStr">
        <is>
          <t>목</t>
        </is>
      </c>
      <c r="D8812" s="20" t="inlineStr">
        <is>
          <t>페이스북/인스타그램</t>
        </is>
      </c>
      <c r="E8812" s="20" t="inlineStr">
        <is>
          <t>고체향수</t>
        </is>
      </c>
      <c r="K8812" s="20" t="n">
        <v>148253</v>
      </c>
    </row>
    <row r="8813">
      <c r="A8813" s="20" t="inlineStr">
        <is>
          <t>[성민 TEST] 솔리드퍼퓸_이미지</t>
        </is>
      </c>
      <c r="B8813" s="27" t="n">
        <v>44336</v>
      </c>
      <c r="C8813" s="20" t="inlineStr">
        <is>
          <t>목</t>
        </is>
      </c>
      <c r="D8813" s="20" t="inlineStr">
        <is>
          <t>페이스북/인스타그램</t>
        </is>
      </c>
      <c r="E8813" s="20" t="inlineStr">
        <is>
          <t>고체향수</t>
        </is>
      </c>
      <c r="K8813" s="20" t="n">
        <v>29647</v>
      </c>
    </row>
    <row r="8814">
      <c r="A8814" s="20" t="inlineStr">
        <is>
          <t>[승무원]유튜브_스테이포에버_카드뉴스</t>
        </is>
      </c>
      <c r="B8814" s="27" t="n">
        <v>44336</v>
      </c>
      <c r="C8814" s="20" t="inlineStr">
        <is>
          <t>목</t>
        </is>
      </c>
      <c r="D8814" s="20" t="inlineStr">
        <is>
          <t>페이스북/인스타그램</t>
        </is>
      </c>
      <c r="E8814" s="20" t="inlineStr">
        <is>
          <t>고체향수</t>
        </is>
      </c>
      <c r="K8814" s="20" t="n">
        <v>97637</v>
      </c>
    </row>
    <row r="8815">
      <c r="A8815" s="20" t="inlineStr">
        <is>
          <t>[올리브영] 이그나이트_영상</t>
        </is>
      </c>
      <c r="B8815" s="27" t="n">
        <v>44336</v>
      </c>
      <c r="C8815" s="20" t="inlineStr">
        <is>
          <t>목</t>
        </is>
      </c>
      <c r="D8815" s="20" t="inlineStr">
        <is>
          <t>페이스북/인스타그램</t>
        </is>
      </c>
      <c r="E8815" s="20" t="inlineStr">
        <is>
          <t>고체향수</t>
        </is>
      </c>
      <c r="K8815" s="20" t="n">
        <v>28981</v>
      </c>
    </row>
    <row r="8816">
      <c r="A8816" s="20" t="inlineStr">
        <is>
          <t>[승희 TEST] 솔리드퍼퓸_이미지</t>
        </is>
      </c>
      <c r="B8816" s="27" t="n">
        <v>44336</v>
      </c>
      <c r="C8816" s="20" t="inlineStr">
        <is>
          <t>목</t>
        </is>
      </c>
      <c r="D8816" s="20" t="inlineStr">
        <is>
          <t>페이스북/인스타그램</t>
        </is>
      </c>
      <c r="E8816" s="20" t="inlineStr">
        <is>
          <t>고체향수</t>
        </is>
      </c>
      <c r="K8816" s="20" t="n">
        <v>142169</v>
      </c>
    </row>
    <row r="8817">
      <c r="A8817" s="20" t="inlineStr">
        <is>
          <t>[올리브영] 스테이포에버_영상</t>
        </is>
      </c>
      <c r="B8817" s="27" t="n">
        <v>44336</v>
      </c>
      <c r="C8817" s="20" t="inlineStr">
        <is>
          <t>목</t>
        </is>
      </c>
      <c r="D8817" s="20" t="inlineStr">
        <is>
          <t>페이스북/인스타그램</t>
        </is>
      </c>
      <c r="E8817" s="20" t="inlineStr">
        <is>
          <t>고체향수</t>
        </is>
      </c>
      <c r="K8817" s="20" t="n">
        <v>49540</v>
      </c>
    </row>
    <row r="8818">
      <c r="A8818" s="20" t="inlineStr">
        <is>
          <t>[올리브영] 스테이포에버_이미지</t>
        </is>
      </c>
      <c r="B8818" s="27" t="n">
        <v>44336</v>
      </c>
      <c r="C8818" s="20" t="inlineStr">
        <is>
          <t>목</t>
        </is>
      </c>
      <c r="D8818" s="20" t="inlineStr">
        <is>
          <t>페이스북/인스타그램</t>
        </is>
      </c>
      <c r="E8818" s="20" t="inlineStr">
        <is>
          <t>고체향수</t>
        </is>
      </c>
      <c r="K8818" s="20" t="n">
        <v>29033</v>
      </c>
    </row>
    <row r="8819">
      <c r="A8819" s="20" t="inlineStr">
        <is>
          <t>[승무원] 유튜브재편집_스테이포에버_영상</t>
        </is>
      </c>
      <c r="B8819" s="27" t="n">
        <v>44336</v>
      </c>
      <c r="C8819" s="20" t="inlineStr">
        <is>
          <t>목</t>
        </is>
      </c>
      <c r="D8819" s="20" t="inlineStr">
        <is>
          <t>페이스북/인스타그램</t>
        </is>
      </c>
      <c r="E8819" s="20" t="inlineStr">
        <is>
          <t>고체향수</t>
        </is>
      </c>
      <c r="K8819" s="20" t="n">
        <v>721621</v>
      </c>
    </row>
    <row r="8820">
      <c r="A8820" s="20" t="inlineStr">
        <is>
          <t>[승무원 면세점] 스테이포에버_카드뉴스</t>
        </is>
      </c>
      <c r="B8820" s="27" t="n">
        <v>44336</v>
      </c>
      <c r="C8820" s="20" t="inlineStr">
        <is>
          <t>목</t>
        </is>
      </c>
      <c r="D8820" s="20" t="inlineStr">
        <is>
          <t>페이스북/인스타그램</t>
        </is>
      </c>
      <c r="E8820" s="20" t="inlineStr">
        <is>
          <t>고체향수</t>
        </is>
      </c>
      <c r="K8820" s="20" t="n">
        <v>144920</v>
      </c>
    </row>
    <row r="8821">
      <c r="A8821" s="20" t="inlineStr">
        <is>
          <t>[카페알바] 스테이포에버_카드뉴스</t>
        </is>
      </c>
      <c r="B8821" s="27" t="n">
        <v>44336</v>
      </c>
      <c r="C8821" s="20" t="inlineStr">
        <is>
          <t>목</t>
        </is>
      </c>
      <c r="D8821" s="20" t="inlineStr">
        <is>
          <t>페이스북/인스타그램</t>
        </is>
      </c>
      <c r="E8821" s="20" t="inlineStr">
        <is>
          <t>고체향수</t>
        </is>
      </c>
      <c r="K8821" s="20" t="n">
        <v>196272</v>
      </c>
    </row>
    <row r="8822">
      <c r="A8822" s="20" t="inlineStr">
        <is>
          <t>[아줌마]스테이포에버_이미지</t>
        </is>
      </c>
      <c r="B8822" s="27" t="n">
        <v>44336</v>
      </c>
      <c r="C8822" s="20" t="inlineStr">
        <is>
          <t>목</t>
        </is>
      </c>
      <c r="D8822" s="20" t="inlineStr">
        <is>
          <t>페이스북/인스타그램</t>
        </is>
      </c>
      <c r="E8822" s="20" t="inlineStr">
        <is>
          <t>고체향수</t>
        </is>
      </c>
      <c r="K8822" s="20" t="n">
        <v>49152</v>
      </c>
    </row>
    <row r="8823">
      <c r="A8823" s="20" t="inlineStr">
        <is>
          <t>[다양한 키워드] 스테이포에버_이미지</t>
        </is>
      </c>
      <c r="B8823" s="27" t="n">
        <v>44336</v>
      </c>
      <c r="C8823" s="20" t="inlineStr">
        <is>
          <t>목</t>
        </is>
      </c>
      <c r="D8823" s="20" t="inlineStr">
        <is>
          <t>페이스북/인스타그램</t>
        </is>
      </c>
      <c r="E8823" s="20" t="inlineStr">
        <is>
          <t>고체향수</t>
        </is>
      </c>
      <c r="K8823" s="20" t="n">
        <v>128341</v>
      </c>
    </row>
    <row r="8824">
      <c r="A8824" s="20" t="inlineStr">
        <is>
          <t>[재입고]스테이포에버_이미지</t>
        </is>
      </c>
      <c r="B8824" s="27" t="n">
        <v>44336</v>
      </c>
      <c r="C8824" s="20" t="inlineStr">
        <is>
          <t>목</t>
        </is>
      </c>
      <c r="D8824" s="20" t="inlineStr">
        <is>
          <t>페이스북/인스타그램</t>
        </is>
      </c>
      <c r="E8824" s="20" t="inlineStr">
        <is>
          <t>고체향수</t>
        </is>
      </c>
      <c r="K8824" s="20" t="n">
        <v>28957</v>
      </c>
    </row>
    <row r="8825">
      <c r="A8825" s="20" t="inlineStr">
        <is>
          <t>[승무원]숏폼_영상</t>
        </is>
      </c>
      <c r="B8825" s="27" t="n">
        <v>44336</v>
      </c>
      <c r="C8825" s="20" t="inlineStr">
        <is>
          <t>목</t>
        </is>
      </c>
      <c r="D8825" s="20" t="inlineStr">
        <is>
          <t>페이스북/인스타그램</t>
        </is>
      </c>
      <c r="E8825" s="20" t="inlineStr">
        <is>
          <t>고체향수</t>
        </is>
      </c>
      <c r="K8825" s="20" t="n">
        <v>49851</v>
      </c>
    </row>
    <row r="8826">
      <c r="A8826" s="20" t="inlineStr">
        <is>
          <t>[재입고]스테이포에버_영상</t>
        </is>
      </c>
      <c r="B8826" s="27" t="n">
        <v>44336</v>
      </c>
      <c r="C8826" s="20" t="inlineStr">
        <is>
          <t>목</t>
        </is>
      </c>
      <c r="D8826" s="20" t="inlineStr">
        <is>
          <t>페이스북/인스타그램</t>
        </is>
      </c>
      <c r="E8826" s="20" t="inlineStr">
        <is>
          <t>고체향수</t>
        </is>
      </c>
      <c r="K8826" s="20" t="n">
        <v>197148</v>
      </c>
    </row>
    <row r="8827">
      <c r="A8827" s="20" t="inlineStr">
        <is>
          <t>[승무원]2019년썰 카드뉴스+ 향묘사_영상</t>
        </is>
      </c>
      <c r="B8827" s="27" t="n">
        <v>44336</v>
      </c>
      <c r="C8827" s="20" t="inlineStr">
        <is>
          <t>목</t>
        </is>
      </c>
      <c r="D8827" s="20" t="inlineStr">
        <is>
          <t>페이스북/인스타그램</t>
        </is>
      </c>
      <c r="E8827" s="20" t="inlineStr">
        <is>
          <t>고체향수</t>
        </is>
      </c>
      <c r="K8827" s="20" t="n">
        <v>29519</v>
      </c>
    </row>
    <row r="8828">
      <c r="A8828" s="20" t="inlineStr">
        <is>
          <t>[승무원어피]스테이포에버_이미지</t>
        </is>
      </c>
      <c r="B8828" s="27" t="n">
        <v>44336</v>
      </c>
      <c r="C8828" s="20" t="inlineStr">
        <is>
          <t>목</t>
        </is>
      </c>
      <c r="D8828" s="20" t="inlineStr">
        <is>
          <t>페이스북/인스타그램</t>
        </is>
      </c>
      <c r="E8828" s="20" t="inlineStr">
        <is>
          <t>고체향수</t>
        </is>
      </c>
      <c r="K8828" s="20" t="n">
        <v>148485</v>
      </c>
    </row>
    <row r="8829">
      <c r="A8829" s="20" t="inlineStr">
        <is>
          <t>[다현]스테이포에버_이미지</t>
        </is>
      </c>
      <c r="B8829" s="27" t="n">
        <v>44336</v>
      </c>
      <c r="C8829" s="20" t="inlineStr">
        <is>
          <t>목</t>
        </is>
      </c>
      <c r="D8829" s="20" t="inlineStr">
        <is>
          <t>페이스북/인스타그램</t>
        </is>
      </c>
      <c r="E8829" s="20" t="inlineStr">
        <is>
          <t>고체향수</t>
        </is>
      </c>
      <c r="K8829" s="20" t="n">
        <v>98854</v>
      </c>
    </row>
    <row r="8830">
      <c r="A8830" s="20" t="inlineStr">
        <is>
          <t>[후기타입]스테이포에버_영상</t>
        </is>
      </c>
      <c r="B8830" s="27" t="n">
        <v>44336</v>
      </c>
      <c r="C8830" s="20" t="inlineStr">
        <is>
          <t>목</t>
        </is>
      </c>
      <c r="D8830" s="20" t="inlineStr">
        <is>
          <t>페이스북/인스타그램</t>
        </is>
      </c>
      <c r="E8830" s="20" t="inlineStr">
        <is>
          <t>고체향수</t>
        </is>
      </c>
      <c r="K8830" s="20" t="n">
        <v>99557</v>
      </c>
    </row>
    <row r="8831">
      <c r="A8831" s="20" t="inlineStr">
        <is>
          <t>전환_스테이포에버</t>
        </is>
      </c>
      <c r="B8831" s="27" t="n">
        <v>44336</v>
      </c>
      <c r="C8831" s="20" t="inlineStr">
        <is>
          <t>목</t>
        </is>
      </c>
      <c r="D8831" s="20" t="inlineStr">
        <is>
          <t>페이스북/인스타그램</t>
        </is>
      </c>
      <c r="E8831" s="20" t="inlineStr">
        <is>
          <t>고체향수</t>
        </is>
      </c>
      <c r="K8831" s="20" t="n">
        <v>67105</v>
      </c>
    </row>
    <row r="8832">
      <c r="A8832" s="20" t="inlineStr">
        <is>
          <t>[권태기커플]스테이포에버_영상</t>
        </is>
      </c>
      <c r="B8832" s="27" t="n">
        <v>44336</v>
      </c>
      <c r="C8832" s="20" t="inlineStr">
        <is>
          <t>목</t>
        </is>
      </c>
      <c r="D8832" s="20" t="inlineStr">
        <is>
          <t>페이스북/인스타그램</t>
        </is>
      </c>
      <c r="E8832" s="20" t="inlineStr">
        <is>
          <t>고체향수</t>
        </is>
      </c>
      <c r="K8832" s="20" t="n">
        <v>30147</v>
      </c>
    </row>
    <row r="8833">
      <c r="A8833" s="20" t="inlineStr">
        <is>
          <t>웹사이트 트래픽 서치</t>
        </is>
      </c>
      <c r="B8833" s="27" t="n">
        <v>44336</v>
      </c>
      <c r="C8833" s="20" t="inlineStr">
        <is>
          <t>목</t>
        </is>
      </c>
      <c r="D8833" s="20" t="inlineStr">
        <is>
          <t>유튜브 광고</t>
        </is>
      </c>
      <c r="E8833" s="20" t="inlineStr">
        <is>
          <t>고체향수</t>
        </is>
      </c>
      <c r="K8833" s="20" t="n">
        <v>51159</v>
      </c>
    </row>
    <row r="8834">
      <c r="A8834" s="20" t="inlineStr">
        <is>
          <t>디스커버리 배너_승무원,할인_리마케팅</t>
        </is>
      </c>
      <c r="B8834" s="27" t="n">
        <v>44336</v>
      </c>
      <c r="C8834" s="20" t="inlineStr">
        <is>
          <t>목</t>
        </is>
      </c>
      <c r="D8834" s="20" t="inlineStr">
        <is>
          <t>유튜브 광고</t>
        </is>
      </c>
      <c r="E8834" s="20" t="inlineStr">
        <is>
          <t>고체향수</t>
        </is>
      </c>
      <c r="K8834" s="20" t="n">
        <v>820421</v>
      </c>
    </row>
    <row r="8835">
      <c r="A8835" s="20" t="inlineStr">
        <is>
          <t>동영상캠페인_승무원_써니스카이</t>
        </is>
      </c>
      <c r="B8835" s="27" t="n">
        <v>44336</v>
      </c>
      <c r="C8835" s="20" t="inlineStr">
        <is>
          <t>목</t>
        </is>
      </c>
      <c r="D8835" s="20" t="inlineStr">
        <is>
          <t>유튜브 광고</t>
        </is>
      </c>
      <c r="E8835" s="20" t="inlineStr">
        <is>
          <t>고체향수</t>
        </is>
      </c>
      <c r="K8835" s="20" t="n">
        <v>101031</v>
      </c>
    </row>
    <row r="8836">
      <c r="A8836" s="20" t="inlineStr">
        <is>
          <t>[5화자] 동영상 캠페인_벨라의 비행일기</t>
        </is>
      </c>
      <c r="B8836" s="27" t="n">
        <v>44336</v>
      </c>
      <c r="C8836" s="20" t="inlineStr">
        <is>
          <t>목</t>
        </is>
      </c>
      <c r="D8836" s="20" t="inlineStr">
        <is>
          <t>유튜브 광고</t>
        </is>
      </c>
      <c r="E8836" s="20" t="inlineStr">
        <is>
          <t>고체향수</t>
        </is>
      </c>
      <c r="K8836" s="20" t="n">
        <v>403331</v>
      </c>
    </row>
    <row r="8837">
      <c r="A8837" s="20" t="inlineStr">
        <is>
          <t>[5화자] 동영상 캠페인_비행하고 여행하는 은선씨</t>
        </is>
      </c>
      <c r="B8837" s="27" t="n">
        <v>44336</v>
      </c>
      <c r="C8837" s="20" t="inlineStr">
        <is>
          <t>목</t>
        </is>
      </c>
      <c r="D8837" s="20" t="inlineStr">
        <is>
          <t>유튜브 광고</t>
        </is>
      </c>
      <c r="E8837" s="20" t="inlineStr">
        <is>
          <t>고체향수</t>
        </is>
      </c>
      <c r="K8837" s="20" t="n">
        <v>252155</v>
      </c>
    </row>
    <row r="8838">
      <c r="A8838" s="20" t="inlineStr">
        <is>
          <t>[5화자 재편집] 승무원_벨라_면세점에서 천만원</t>
        </is>
      </c>
      <c r="B8838" s="27" t="n">
        <v>44336</v>
      </c>
      <c r="C8838" s="20" t="inlineStr">
        <is>
          <t>목</t>
        </is>
      </c>
      <c r="D8838" s="20" t="inlineStr">
        <is>
          <t>유튜브 광고</t>
        </is>
      </c>
      <c r="E8838" s="20" t="inlineStr">
        <is>
          <t>고체향수</t>
        </is>
      </c>
      <c r="K8838" s="20" t="n">
        <v>403491</v>
      </c>
    </row>
    <row r="8839">
      <c r="A8839" s="20" t="inlineStr">
        <is>
          <t>동영상캠페인_유즈모먼트_면세점뒤졌는데</t>
        </is>
      </c>
      <c r="B8839" s="27" t="n">
        <v>44336</v>
      </c>
      <c r="C8839" s="20" t="inlineStr">
        <is>
          <t>목</t>
        </is>
      </c>
      <c r="D8839" s="20" t="inlineStr">
        <is>
          <t>유튜브 광고</t>
        </is>
      </c>
      <c r="E8839" s="20" t="inlineStr">
        <is>
          <t>고체향수</t>
        </is>
      </c>
      <c r="K8839" s="20" t="n">
        <v>303000</v>
      </c>
    </row>
    <row r="8840">
      <c r="A8840" s="20" t="inlineStr">
        <is>
          <t>메인키워드</t>
        </is>
      </c>
      <c r="B8840" s="27" t="n">
        <v>44336</v>
      </c>
      <c r="C8840" s="20" t="inlineStr">
        <is>
          <t>목</t>
        </is>
      </c>
      <c r="D8840" s="20" t="inlineStr">
        <is>
          <t>네이버 쇼핑검색</t>
        </is>
      </c>
      <c r="E8840" s="20" t="inlineStr">
        <is>
          <t>고체향수</t>
        </is>
      </c>
      <c r="K8840" s="20" t="n">
        <v>14670</v>
      </c>
    </row>
    <row r="8841">
      <c r="A8841" s="20" t="inlineStr">
        <is>
          <t>세부키워드1</t>
        </is>
      </c>
      <c r="B8841" s="27" t="n">
        <v>44336</v>
      </c>
      <c r="C8841" s="20" t="inlineStr">
        <is>
          <t>목</t>
        </is>
      </c>
      <c r="D8841" s="20" t="inlineStr">
        <is>
          <t>네이버 쇼핑검색</t>
        </is>
      </c>
      <c r="E8841" s="20" t="inlineStr">
        <is>
          <t>고체향수</t>
        </is>
      </c>
      <c r="K8841" s="20" t="n">
        <v>49.99999999999999</v>
      </c>
    </row>
    <row r="8842">
      <c r="A8842" s="20" t="inlineStr">
        <is>
          <t>세부키워드3</t>
        </is>
      </c>
      <c r="B8842" s="27" t="n">
        <v>44336</v>
      </c>
      <c r="C8842" s="20" t="inlineStr">
        <is>
          <t>목</t>
        </is>
      </c>
      <c r="D8842" s="20" t="inlineStr">
        <is>
          <t>네이버 쇼핑검색</t>
        </is>
      </c>
      <c r="E8842" s="20" t="inlineStr">
        <is>
          <t>고체향수</t>
        </is>
      </c>
      <c r="K8842" s="20" t="n">
        <v>114760</v>
      </c>
    </row>
    <row r="8843">
      <c r="A8843" s="20" t="inlineStr">
        <is>
          <t>모바일 브검</t>
        </is>
      </c>
      <c r="B8843" s="27" t="n">
        <v>44336</v>
      </c>
      <c r="C8843" s="20" t="inlineStr">
        <is>
          <t>목</t>
        </is>
      </c>
      <c r="D8843" s="20" t="inlineStr">
        <is>
          <t>네이버 브랜드검색</t>
        </is>
      </c>
      <c r="E8843" s="20" t="inlineStr">
        <is>
          <t>브랜드</t>
        </is>
      </c>
      <c r="K8843" s="20" t="n">
        <v>88000</v>
      </c>
    </row>
    <row r="8844">
      <c r="A8844" s="20" t="inlineStr">
        <is>
          <t>PC 브랜드검색</t>
        </is>
      </c>
      <c r="B8844" s="27" t="n">
        <v>44336</v>
      </c>
      <c r="C8844" s="20" t="inlineStr">
        <is>
          <t>목</t>
        </is>
      </c>
      <c r="D8844" s="20" t="inlineStr">
        <is>
          <t>네이버 브랜드검색</t>
        </is>
      </c>
      <c r="E8844" s="20" t="inlineStr">
        <is>
          <t>브랜드</t>
        </is>
      </c>
      <c r="K8844" s="20" t="n">
        <v>16700</v>
      </c>
    </row>
    <row r="8845">
      <c r="A8845" s="20" t="inlineStr">
        <is>
          <t>고체향수_승무원 어피_Npay 추적</t>
        </is>
      </c>
      <c r="B8845" s="27" t="n">
        <v>44336</v>
      </c>
      <c r="C8845" s="20" t="inlineStr">
        <is>
          <t>목</t>
        </is>
      </c>
      <c r="D8845" s="20" t="inlineStr">
        <is>
          <t>카카오 배너</t>
        </is>
      </c>
      <c r="E8845" s="20" t="inlineStr">
        <is>
          <t>고체향수</t>
        </is>
      </c>
      <c r="K8845" s="20" t="n">
        <v>91129.99999999999</v>
      </c>
    </row>
    <row r="8846">
      <c r="A8846" s="20" t="inlineStr">
        <is>
          <t>고체향수_Npay 추적</t>
        </is>
      </c>
      <c r="B8846" s="27" t="n">
        <v>44336</v>
      </c>
      <c r="C8846" s="20" t="inlineStr">
        <is>
          <t>목</t>
        </is>
      </c>
      <c r="D8846" s="20" t="inlineStr">
        <is>
          <t>카카오 배너</t>
        </is>
      </c>
      <c r="E8846" s="20" t="inlineStr">
        <is>
          <t>고체향수</t>
        </is>
      </c>
      <c r="K8846" s="20" t="n">
        <v>727629.9999999999</v>
      </c>
    </row>
    <row r="8847">
      <c r="B8847" s="27" t="n">
        <v>44336</v>
      </c>
      <c r="C8847" s="20" t="inlineStr">
        <is>
          <t>목</t>
        </is>
      </c>
      <c r="E8847" s="20" t="inlineStr">
        <is>
          <t>고체향수</t>
        </is>
      </c>
      <c r="F8847" s="20" t="inlineStr">
        <is>
          <t>W컨셉</t>
        </is>
      </c>
      <c r="G8847" s="20" t="inlineStr">
        <is>
          <t>솔리드퍼퓸 이그나이트/스테이포에버 30ml (2종 택1)&lt;옵션1&gt;002 STAY FOREVER</t>
        </is>
      </c>
      <c r="H8847" s="20" t="n">
        <v>8</v>
      </c>
      <c r="I8847" s="20" t="inlineStr">
        <is>
          <t>스테이포에버</t>
        </is>
      </c>
      <c r="J8847" s="20" t="inlineStr">
        <is>
          <t>210501</t>
        </is>
      </c>
      <c r="L8847" s="20" t="n">
        <v>272000</v>
      </c>
      <c r="M8847" s="20" t="n">
        <v>190400</v>
      </c>
      <c r="N8847" s="20" t="n">
        <v>20432</v>
      </c>
      <c r="O8847" s="20" t="inlineStr">
        <is>
          <t>W컨셉고체향수솔리드퍼퓸 이그나이트/스테이포에버 30ml (2종 택1)&lt;옵션1&gt;002 STAY FOREVER210501</t>
        </is>
      </c>
    </row>
    <row r="8848">
      <c r="B8848" s="27" t="n">
        <v>44336</v>
      </c>
      <c r="C8848" s="20" t="inlineStr">
        <is>
          <t>목</t>
        </is>
      </c>
      <c r="E8848" s="20" t="inlineStr">
        <is>
          <t>고체향수</t>
        </is>
      </c>
      <c r="F8848" s="20" t="inlineStr">
        <is>
          <t>W컨셉</t>
        </is>
      </c>
      <c r="G8848" s="20" t="inlineStr">
        <is>
          <t>솔리드퍼퓸 이그나이트/스테이포에버 30ml (2종 택1)&lt;옵션1&gt;IGNITE + STAY FOREVER</t>
        </is>
      </c>
      <c r="H8848" s="20" t="n">
        <v>2</v>
      </c>
      <c r="I8848" s="20" t="inlineStr">
        <is>
          <t>이그나이트 + 스테이포에버</t>
        </is>
      </c>
      <c r="J8848" s="20" t="inlineStr">
        <is>
          <t>210501</t>
        </is>
      </c>
      <c r="L8848" s="20" t="n">
        <v>117600</v>
      </c>
      <c r="M8848" s="20" t="n">
        <v>94080</v>
      </c>
      <c r="N8848" s="20" t="n">
        <v>10358</v>
      </c>
      <c r="O8848" s="20" t="inlineStr">
        <is>
          <t>W컨셉고체향수솔리드퍼퓸 이그나이트/스테이포에버 30ml (2종 택1)&lt;옵션1&gt;IGNITE + STAY FOREVER210501</t>
        </is>
      </c>
    </row>
    <row r="8849">
      <c r="B8849" s="27" t="n">
        <v>44336</v>
      </c>
      <c r="C8849" s="20" t="inlineStr">
        <is>
          <t>목</t>
        </is>
      </c>
      <c r="E8849" s="20" t="inlineStr">
        <is>
          <t>고체향수</t>
        </is>
      </c>
      <c r="F8849" s="20" t="inlineStr">
        <is>
          <t>스마트스토어</t>
        </is>
      </c>
      <c r="G8849" s="20" t="inlineStr">
        <is>
          <t>유즈 고체향수 세트(유즈 스테이포에버, 유즈 이그나이트)고체향수: 스테이포에버 1개 + 이그나이트 1개</t>
        </is>
      </c>
      <c r="H8849" s="20" t="n">
        <v>1</v>
      </c>
      <c r="I8849" s="20" t="inlineStr">
        <is>
          <t>이그나이트 + 스테이포에버</t>
        </is>
      </c>
      <c r="J8849" s="20" t="inlineStr">
        <is>
          <t>210501</t>
        </is>
      </c>
      <c r="L8849" s="20" t="n">
        <v>58800</v>
      </c>
      <c r="M8849" s="20" t="n">
        <v>55360.2</v>
      </c>
      <c r="N8849" s="20" t="n">
        <v>5179</v>
      </c>
      <c r="O8849" s="20" t="inlineStr">
        <is>
          <t>스마트스토어고체향수유즈 고체향수 세트(유즈 스테이포에버, 유즈 이그나이트)고체향수: 스테이포에버 1개 + 이그나이트 1개210501</t>
        </is>
      </c>
    </row>
    <row r="8850">
      <c r="B8850" s="27" t="n">
        <v>44336</v>
      </c>
      <c r="C8850" s="20" t="inlineStr">
        <is>
          <t>목</t>
        </is>
      </c>
      <c r="E8850" s="20" t="inlineStr">
        <is>
          <t>고체향수</t>
        </is>
      </c>
      <c r="F8850" s="20" t="inlineStr">
        <is>
          <t>스마트스토어</t>
        </is>
      </c>
      <c r="G8850" s="20" t="inlineStr">
        <is>
          <t>유즈 고체향수 스테이포에버 002고체향수: 스테이포에버 1개</t>
        </is>
      </c>
      <c r="H8850" s="20" t="n">
        <v>12</v>
      </c>
      <c r="I8850" s="20" t="inlineStr">
        <is>
          <t>스테이포에버</t>
        </is>
      </c>
      <c r="J8850" s="20" t="inlineStr">
        <is>
          <t>210501</t>
        </is>
      </c>
      <c r="L8850" s="20" t="n">
        <v>408000</v>
      </c>
      <c r="M8850" s="20" t="n">
        <v>399840</v>
      </c>
      <c r="N8850" s="20" t="n">
        <v>30648</v>
      </c>
      <c r="O8850" s="20" t="inlineStr">
        <is>
          <t>스마트스토어고체향수유즈 고체향수 스테이포에버 002고체향수: 스테이포에버 1개210501</t>
        </is>
      </c>
    </row>
    <row r="8851">
      <c r="B8851" s="27" t="n">
        <v>44336</v>
      </c>
      <c r="C8851" s="20" t="inlineStr">
        <is>
          <t>목</t>
        </is>
      </c>
      <c r="E8851" s="20" t="inlineStr">
        <is>
          <t>고체향수</t>
        </is>
      </c>
      <c r="F8851" s="20" t="inlineStr">
        <is>
          <t>카페24</t>
        </is>
      </c>
      <c r="G8851" s="20" t="inlineStr">
        <is>
          <t>솔리드퍼퓸 세트향=스테이포에버 002 SOLID PERFUME, 세트 선택=1개</t>
        </is>
      </c>
      <c r="H8851" s="20" t="n">
        <v>6</v>
      </c>
      <c r="I8851" s="20" t="inlineStr">
        <is>
          <t>스테이포에버</t>
        </is>
      </c>
      <c r="J8851" s="20" t="inlineStr">
        <is>
          <t>210501</t>
        </is>
      </c>
      <c r="L8851" s="20" t="n">
        <v>204000</v>
      </c>
      <c r="M8851" s="20" t="n">
        <v>192066</v>
      </c>
      <c r="N8851" s="20" t="n">
        <v>15324</v>
      </c>
      <c r="O8851" s="20" t="inlineStr">
        <is>
          <t>카페24고체향수솔리드퍼퓸 세트향=스테이포에버 002 SOLID PERFUME, 세트 선택=1개210501</t>
        </is>
      </c>
    </row>
    <row r="8852">
      <c r="B8852" s="27" t="n">
        <v>44336</v>
      </c>
      <c r="C8852" s="20" t="inlineStr">
        <is>
          <t>목</t>
        </is>
      </c>
      <c r="E8852" s="20" t="inlineStr">
        <is>
          <t>고체향수</t>
        </is>
      </c>
      <c r="F8852" s="20" t="inlineStr">
        <is>
          <t>카페24</t>
        </is>
      </c>
      <c r="G8852" s="20" t="inlineStr">
        <is>
          <t>솔리드퍼퓸 세트향=스테이포에버 002 SOLID PERFUME, 세트 선택=best 2개 (28% 할인)</t>
        </is>
      </c>
      <c r="H8852" s="20" t="n">
        <v>7</v>
      </c>
      <c r="I8852" s="20" t="inlineStr">
        <is>
          <t>스테이포에버 2set</t>
        </is>
      </c>
      <c r="J8852" s="20" t="inlineStr">
        <is>
          <t>210501</t>
        </is>
      </c>
      <c r="L8852" s="20" t="n">
        <v>411600</v>
      </c>
      <c r="M8852" s="20" t="n">
        <v>387521.4</v>
      </c>
      <c r="N8852" s="20" t="n">
        <v>35756</v>
      </c>
      <c r="O8852" s="20" t="inlineStr">
        <is>
          <t>카페24고체향수솔리드퍼퓸 세트향=스테이포에버 002 SOLID PERFUME, 세트 선택=best 2개 (28% 할인)210501</t>
        </is>
      </c>
    </row>
    <row r="8853">
      <c r="B8853" s="27" t="n">
        <v>44336</v>
      </c>
      <c r="C8853" s="20" t="inlineStr">
        <is>
          <t>목</t>
        </is>
      </c>
      <c r="E8853" s="20" t="inlineStr">
        <is>
          <t>고체향수</t>
        </is>
      </c>
      <c r="F8853" s="20" t="inlineStr">
        <is>
          <t>카페24</t>
        </is>
      </c>
      <c r="G8853" s="20" t="inlineStr">
        <is>
          <t>솔리드퍼퓸 세트향=커플세트(이그나이트 + 스테이포에버), 세트 선택=1 SET</t>
        </is>
      </c>
      <c r="H8853" s="20" t="n">
        <v>7</v>
      </c>
      <c r="I8853" s="20" t="inlineStr">
        <is>
          <t>이그나이트 + 스테이포에버</t>
        </is>
      </c>
      <c r="J8853" s="20" t="inlineStr">
        <is>
          <t>210501</t>
        </is>
      </c>
      <c r="L8853" s="20" t="n">
        <v>411600</v>
      </c>
      <c r="M8853" s="20" t="n">
        <v>387521.4</v>
      </c>
      <c r="N8853" s="20" t="n">
        <v>36253</v>
      </c>
      <c r="O8853" s="20" t="inlineStr">
        <is>
          <t>카페24고체향수솔리드퍼퓸 세트향=커플세트(이그나이트 + 스테이포에버), 세트 선택=1 SET210501</t>
        </is>
      </c>
    </row>
    <row r="8854">
      <c r="B8854" s="27" t="n">
        <v>44336</v>
      </c>
      <c r="C8854" s="20" t="inlineStr">
        <is>
          <t>목</t>
        </is>
      </c>
      <c r="E8854" s="20" t="inlineStr">
        <is>
          <t>고체향수</t>
        </is>
      </c>
      <c r="F8854" s="20" t="inlineStr">
        <is>
          <t>카페24</t>
        </is>
      </c>
      <c r="G8854" s="20" t="inlineStr">
        <is>
          <t>솔리드퍼퓸 세트향=커플세트(이그나이트 + 스테이포에버), 세트 선택=2 SET (42% 할인)</t>
        </is>
      </c>
      <c r="H8854" s="20" t="n">
        <v>2</v>
      </c>
      <c r="I8854" s="20" t="inlineStr">
        <is>
          <t>이그나이트 + 스테이포에버</t>
        </is>
      </c>
      <c r="J8854" s="20" t="inlineStr">
        <is>
          <t>210501</t>
        </is>
      </c>
      <c r="L8854" s="20" t="n">
        <v>117600</v>
      </c>
      <c r="M8854" s="20" t="n">
        <v>110720.4</v>
      </c>
      <c r="N8854" s="20" t="n">
        <v>10358</v>
      </c>
      <c r="O8854" s="20" t="inlineStr">
        <is>
          <t>카페24고체향수솔리드퍼퓸 세트향=커플세트(이그나이트 + 스테이포에버), 세트 선택=2 SET (42% 할인)210501</t>
        </is>
      </c>
    </row>
    <row r="8855">
      <c r="B8855" s="27" t="n">
        <v>44336</v>
      </c>
      <c r="C8855" s="20" t="inlineStr">
        <is>
          <t>목</t>
        </is>
      </c>
      <c r="E8855" s="20" t="inlineStr">
        <is>
          <t>고체향수</t>
        </is>
      </c>
      <c r="F8855" s="20" t="inlineStr">
        <is>
          <t>카페24</t>
        </is>
      </c>
      <c r="G8855" s="20" t="inlineStr">
        <is>
          <t>솔리드퍼퓸 스테이포에버 002제품선택=스테이포에버 1개</t>
        </is>
      </c>
      <c r="H8855" s="20" t="n">
        <v>152</v>
      </c>
      <c r="I8855" s="20" t="inlineStr">
        <is>
          <t>스테이포에버</t>
        </is>
      </c>
      <c r="J8855" s="20" t="inlineStr">
        <is>
          <t>210501</t>
        </is>
      </c>
      <c r="L8855" s="20" t="n">
        <v>5168000</v>
      </c>
      <c r="M8855" s="20" t="n">
        <v>4865672</v>
      </c>
      <c r="N8855" s="20" t="n">
        <v>388208</v>
      </c>
      <c r="O8855" s="20" t="inlineStr">
        <is>
          <t>카페24고체향수솔리드퍼퓸 스테이포에버 002제품선택=스테이포에버 1개210501</t>
        </is>
      </c>
    </row>
    <row r="8856">
      <c r="B8856" s="27" t="n">
        <v>44336</v>
      </c>
      <c r="C8856" s="20" t="inlineStr">
        <is>
          <t>목</t>
        </is>
      </c>
      <c r="E8856" s="20" t="inlineStr">
        <is>
          <t>고체향수</t>
        </is>
      </c>
      <c r="F8856" s="20" t="inlineStr">
        <is>
          <t>카페24</t>
        </is>
      </c>
      <c r="G8856" s="20" t="inlineStr">
        <is>
          <t>솔리드퍼퓸 스테이포에버 002제품선택=best스테이포에버 2개[28% 할인]</t>
        </is>
      </c>
      <c r="H8856" s="20" t="n">
        <v>121</v>
      </c>
      <c r="I8856" s="20" t="inlineStr">
        <is>
          <t>스테이포에버 2set</t>
        </is>
      </c>
      <c r="J8856" s="20" t="inlineStr">
        <is>
          <t>210501</t>
        </is>
      </c>
      <c r="L8856" s="20" t="n">
        <v>7114800</v>
      </c>
      <c r="M8856" s="20" t="n">
        <v>6698584.199999999</v>
      </c>
      <c r="N8856" s="20" t="n">
        <v>618068</v>
      </c>
      <c r="O8856" s="20" t="inlineStr">
        <is>
          <t>카페24고체향수솔리드퍼퓸 스테이포에버 002제품선택=best스테이포에버 2개[28% 할인]210501</t>
        </is>
      </c>
    </row>
    <row r="8857">
      <c r="B8857" s="27" t="n">
        <v>44336</v>
      </c>
      <c r="C8857" s="20" t="inlineStr">
        <is>
          <t>목</t>
        </is>
      </c>
      <c r="E8857" s="20" t="inlineStr">
        <is>
          <t>고체향수</t>
        </is>
      </c>
      <c r="F8857" s="20" t="inlineStr">
        <is>
          <t>카페24</t>
        </is>
      </c>
      <c r="G8857" s="20" t="inlineStr">
        <is>
          <t>솔리드퍼퓸 스테이포에버 002제품선택=커플추천스테이포에버 + 이그나이트 세트</t>
        </is>
      </c>
      <c r="H8857" s="20" t="n">
        <v>8</v>
      </c>
      <c r="I8857" s="20" t="inlineStr">
        <is>
          <t>이그나이트 + 스테이포에버</t>
        </is>
      </c>
      <c r="J8857" s="20" t="inlineStr">
        <is>
          <t>210501</t>
        </is>
      </c>
      <c r="L8857" s="20" t="n">
        <v>470400</v>
      </c>
      <c r="M8857" s="20" t="n">
        <v>442881.6</v>
      </c>
      <c r="N8857" s="20" t="n">
        <v>41432</v>
      </c>
      <c r="O8857" s="20" t="inlineStr">
        <is>
          <t>카페24고체향수솔리드퍼퓸 스테이포에버 002제품선택=커플추천스테이포에버 + 이그나이트 세트210501</t>
        </is>
      </c>
    </row>
    <row r="8858">
      <c r="B8858" s="27" t="n">
        <v>44336</v>
      </c>
      <c r="C8858" s="20" t="inlineStr">
        <is>
          <t>목</t>
        </is>
      </c>
      <c r="E8858" s="20" t="inlineStr">
        <is>
          <t>쇼핑백</t>
        </is>
      </c>
      <c r="F8858" s="20" t="inlineStr">
        <is>
          <t>카페24</t>
        </is>
      </c>
      <c r="G8858" s="20" t="inlineStr">
        <is>
          <t>솔리드퍼퓸 스테이포에버 002쇼핑백=선물용 쇼핑백</t>
        </is>
      </c>
      <c r="H8858" s="20" t="n">
        <v>7</v>
      </c>
      <c r="I8858" s="20" t="inlineStr">
        <is>
          <t>쇼핑백</t>
        </is>
      </c>
      <c r="J8858" s="20" t="inlineStr">
        <is>
          <t>210501</t>
        </is>
      </c>
      <c r="L8858" s="20" t="n">
        <v>14000</v>
      </c>
      <c r="M8858" s="20" t="n">
        <v>13181</v>
      </c>
      <c r="N8858" s="20" t="n">
        <v>5810</v>
      </c>
      <c r="O8858" s="20" t="inlineStr">
        <is>
          <t>카페24쇼핑백솔리드퍼퓸 스테이포에버 002쇼핑백=선물용 쇼핑백210501</t>
        </is>
      </c>
    </row>
    <row r="8859">
      <c r="B8859" s="27" t="n">
        <v>44336</v>
      </c>
      <c r="C8859" s="20" t="inlineStr">
        <is>
          <t>목</t>
        </is>
      </c>
      <c r="E8859" s="20" t="inlineStr">
        <is>
          <t>고체향수</t>
        </is>
      </c>
      <c r="F8859" s="20" t="inlineStr">
        <is>
          <t>카페24</t>
        </is>
      </c>
      <c r="G8859" s="20" t="inlineStr">
        <is>
          <t>솔리드퍼퓸 스페셜 기프트 세트제품 선택=Event 1솔리드퍼퓸 2종 set[40% 할인], 수량 선택=1개</t>
        </is>
      </c>
      <c r="H8859" s="20" t="n">
        <v>15</v>
      </c>
      <c r="I8859" s="20" t="inlineStr">
        <is>
          <t>5월 프로모션 이그나이트+스테이포에버</t>
        </is>
      </c>
      <c r="J8859" s="20" t="inlineStr">
        <is>
          <t>210501</t>
        </is>
      </c>
      <c r="L8859" s="20" t="n">
        <v>756000</v>
      </c>
      <c r="M8859" s="20" t="n">
        <v>711774</v>
      </c>
      <c r="N8859" s="20" t="n">
        <v>107430</v>
      </c>
      <c r="O8859" s="20" t="inlineStr">
        <is>
          <t>카페24고체향수솔리드퍼퓸 스페셜 기프트 세트제품 선택=Event 1솔리드퍼퓸 2종 set[40% 할인], 수량 선택=1개210501</t>
        </is>
      </c>
    </row>
    <row r="8860">
      <c r="B8860" s="27" t="n">
        <v>44336</v>
      </c>
      <c r="C8860" s="20" t="inlineStr">
        <is>
          <t>목</t>
        </is>
      </c>
      <c r="E8860" s="20" t="inlineStr">
        <is>
          <t>고체향수</t>
        </is>
      </c>
      <c r="F8860" s="20" t="inlineStr">
        <is>
          <t>카페24</t>
        </is>
      </c>
      <c r="G8860" s="20" t="inlineStr">
        <is>
          <t>솔리드퍼퓸 스페셜 기프트 세트제품 선택=Event 1솔리드퍼퓸 2종 set[40% 할인], 수량 선택=2개</t>
        </is>
      </c>
      <c r="H8860" s="20" t="n">
        <v>1</v>
      </c>
      <c r="I8860" s="20" t="inlineStr">
        <is>
          <t>5월 프로모션 이그나이트+스테이포에버 2 set</t>
        </is>
      </c>
      <c r="J8860" s="20" t="inlineStr">
        <is>
          <t>210501</t>
        </is>
      </c>
      <c r="L8860" s="20" t="n">
        <v>10800</v>
      </c>
      <c r="M8860" s="20" t="n">
        <v>10168.2</v>
      </c>
      <c r="N8860" s="20" t="n">
        <v>14324</v>
      </c>
      <c r="O8860" s="20" t="inlineStr">
        <is>
          <t>카페24고체향수솔리드퍼퓸 스페셜 기프트 세트제품 선택=Event 1솔리드퍼퓸 2종 set[40% 할인], 수량 선택=2개210501</t>
        </is>
      </c>
    </row>
    <row r="8861">
      <c r="B8861" s="27" t="n">
        <v>44336</v>
      </c>
      <c r="C8861" s="20" t="inlineStr">
        <is>
          <t>목</t>
        </is>
      </c>
      <c r="E8861" s="20" t="inlineStr">
        <is>
          <t>고체향수</t>
        </is>
      </c>
      <c r="F8861" s="20" t="inlineStr">
        <is>
          <t>카페24</t>
        </is>
      </c>
      <c r="G8861" s="20" t="inlineStr">
        <is>
          <t>솔리드퍼퓸 스페셜 기프트 세트제품 선택=Event 2✨스테이포에버 단품[35% 할인], 수량 선택=1개</t>
        </is>
      </c>
      <c r="H8861" s="20" t="n">
        <v>7</v>
      </c>
      <c r="I8861" s="20" t="inlineStr">
        <is>
          <t>5월 프로모션 스테이포에버</t>
        </is>
      </c>
      <c r="J8861" s="20" t="inlineStr">
        <is>
          <t>210501</t>
        </is>
      </c>
      <c r="L8861" s="20" t="n">
        <v>195300</v>
      </c>
      <c r="M8861" s="20" t="n">
        <v>183874.95</v>
      </c>
      <c r="N8861" s="20" t="n">
        <v>23688</v>
      </c>
      <c r="O8861" s="20" t="inlineStr">
        <is>
          <t>카페24고체향수솔리드퍼퓸 스페셜 기프트 세트제품 선택=Event 2✨스테이포에버 단품[35% 할인], 수량 선택=1개210501</t>
        </is>
      </c>
    </row>
    <row r="8862">
      <c r="B8862" s="27" t="n">
        <v>44336</v>
      </c>
      <c r="C8862" s="20" t="inlineStr">
        <is>
          <t>목</t>
        </is>
      </c>
      <c r="E8862" s="20" t="inlineStr">
        <is>
          <t>고체향수</t>
        </is>
      </c>
      <c r="F8862" s="20" t="inlineStr">
        <is>
          <t>카페24</t>
        </is>
      </c>
      <c r="G8862" s="20" t="inlineStr">
        <is>
          <t>솔리드퍼퓸 스페셜 기프트 세트제품 선택=Event 2✨스테이포에버 단품[35% 할인], 수량 선택=2개</t>
        </is>
      </c>
      <c r="H8862" s="20" t="n">
        <v>1</v>
      </c>
      <c r="I8862" s="20" t="inlineStr">
        <is>
          <t>5월 프로모션 스테이포에버 2set</t>
        </is>
      </c>
      <c r="J8862" s="20" t="inlineStr">
        <is>
          <t>210501</t>
        </is>
      </c>
      <c r="L8862" s="20" t="n">
        <v>55800</v>
      </c>
      <c r="M8862" s="20" t="n">
        <v>52535.7</v>
      </c>
      <c r="N8862" s="20" t="n">
        <v>6768</v>
      </c>
      <c r="O8862" s="20" t="inlineStr">
        <is>
          <t>카페24고체향수솔리드퍼퓸 스페셜 기프트 세트제품 선택=Event 2✨스테이포에버 단품[35% 할인], 수량 선택=2개210501</t>
        </is>
      </c>
    </row>
    <row r="8863">
      <c r="B8863" s="27" t="n">
        <v>44336</v>
      </c>
      <c r="C8863" s="20" t="inlineStr">
        <is>
          <t>목</t>
        </is>
      </c>
      <c r="E8863" s="20" t="inlineStr">
        <is>
          <t>고체향수</t>
        </is>
      </c>
      <c r="F8863" s="20" t="inlineStr">
        <is>
          <t>카페24</t>
        </is>
      </c>
      <c r="G8863" s="20" t="inlineStr">
        <is>
          <t>솔리드퍼퓸 스페셜 기프트 세트제품 선택=Event 2✨스테이포에버 단품[35% 할인], 수량 선택=3개</t>
        </is>
      </c>
      <c r="H8863" s="20" t="n">
        <v>2</v>
      </c>
      <c r="I8863" s="20" t="inlineStr">
        <is>
          <t>5월 프로모션 스테이포에버 3set</t>
        </is>
      </c>
      <c r="J8863" s="20" t="inlineStr">
        <is>
          <t>210501</t>
        </is>
      </c>
      <c r="L8863" s="20" t="n">
        <v>167400</v>
      </c>
      <c r="M8863" s="20" t="n">
        <v>157607.1</v>
      </c>
      <c r="N8863" s="20" t="n">
        <v>20304</v>
      </c>
      <c r="O8863" s="20" t="inlineStr">
        <is>
          <t>카페24고체향수솔리드퍼퓸 스페셜 기프트 세트제품 선택=Event 2✨스테이포에버 단품[35% 할인], 수량 선택=3개210501</t>
        </is>
      </c>
    </row>
    <row r="8864">
      <c r="B8864" s="27" t="n">
        <v>44336</v>
      </c>
      <c r="C8864" s="20" t="inlineStr">
        <is>
          <t>목</t>
        </is>
      </c>
      <c r="E8864" s="20" t="inlineStr">
        <is>
          <t>고체향수</t>
        </is>
      </c>
      <c r="F8864" s="20" t="inlineStr">
        <is>
          <t>카페24</t>
        </is>
      </c>
      <c r="G8864" s="20" t="inlineStr">
        <is>
          <t>솔리드퍼퓸 스페셜 기프트 세트제품 선택=Event 2✨이그나이트 단품[35% 할인], 수량 선택=1개</t>
        </is>
      </c>
      <c r="H8864" s="20" t="n">
        <v>2</v>
      </c>
      <c r="I8864" s="20" t="inlineStr">
        <is>
          <t>5월 프로모션 이그나이트</t>
        </is>
      </c>
      <c r="J8864" s="20" t="inlineStr">
        <is>
          <t>210501</t>
        </is>
      </c>
      <c r="L8864" s="20" t="n">
        <v>55800</v>
      </c>
      <c r="M8864" s="20" t="n">
        <v>52535.7</v>
      </c>
      <c r="N8864" s="20" t="n">
        <v>6910</v>
      </c>
      <c r="O8864" s="20" t="inlineStr">
        <is>
          <t>카페24고체향수솔리드퍼퓸 스페셜 기프트 세트제품 선택=Event 2✨이그나이트 단품[35% 할인], 수량 선택=1개210501</t>
        </is>
      </c>
    </row>
    <row r="8865">
      <c r="B8865" s="27" t="n">
        <v>44336</v>
      </c>
      <c r="C8865" s="20" t="inlineStr">
        <is>
          <t>목</t>
        </is>
      </c>
      <c r="E8865" s="20" t="inlineStr">
        <is>
          <t>고체향수</t>
        </is>
      </c>
      <c r="F8865" s="20" t="inlineStr">
        <is>
          <t>카페24</t>
        </is>
      </c>
      <c r="G8865" s="20" t="inlineStr">
        <is>
          <t>솔리드퍼퓸 이그나이트 001제품선택=이그나이트 2개 세트</t>
        </is>
      </c>
      <c r="H8865" s="20" t="n">
        <v>1</v>
      </c>
      <c r="I8865" s="20" t="inlineStr">
        <is>
          <t>이그나이트 2set</t>
        </is>
      </c>
      <c r="J8865" s="20" t="inlineStr">
        <is>
          <t>210501</t>
        </is>
      </c>
      <c r="L8865" s="20" t="n">
        <v>58800</v>
      </c>
      <c r="M8865" s="20" t="n">
        <v>55360.2</v>
      </c>
      <c r="N8865" s="20" t="n">
        <v>5250</v>
      </c>
      <c r="O8865" s="20" t="inlineStr">
        <is>
          <t>카페24고체향수솔리드퍼퓸 이그나이트 001제품선택=이그나이트 2개 세트210501</t>
        </is>
      </c>
    </row>
    <row r="8866">
      <c r="A8866" s="20" t="inlineStr">
        <is>
          <t>고체향수</t>
        </is>
      </c>
      <c r="B8866" s="27" t="n">
        <v>44336</v>
      </c>
      <c r="C8866" s="20" t="inlineStr">
        <is>
          <t>목</t>
        </is>
      </c>
      <c r="D8866" s="20" t="inlineStr">
        <is>
          <t>네이버 배너</t>
        </is>
      </c>
      <c r="E8866" s="20" t="inlineStr">
        <is>
          <t>고체향수</t>
        </is>
      </c>
      <c r="K8866" s="20" t="n">
        <v>617787.2727272727</v>
      </c>
    </row>
    <row r="8867">
      <c r="B8867" s="27" t="n">
        <v>44336</v>
      </c>
      <c r="C8867" s="20" t="inlineStr">
        <is>
          <t>목</t>
        </is>
      </c>
      <c r="D8867" s="20" t="inlineStr">
        <is>
          <t>네이버 배너(대행사)</t>
        </is>
      </c>
      <c r="K8867" s="20" t="n">
        <v>17136</v>
      </c>
    </row>
    <row r="8868">
      <c r="B8868" s="27" t="n">
        <v>44336</v>
      </c>
      <c r="C8868" s="20" t="inlineStr">
        <is>
          <t>목</t>
        </is>
      </c>
      <c r="E8868" s="19">
        <f>INDEX(매칭테이블!C:C,MATCH(RD!G8868,매칭테이블!D:D,0))</f>
        <v/>
      </c>
      <c r="F8868" s="20" t="inlineStr">
        <is>
          <t>올리브영</t>
        </is>
      </c>
      <c r="G8868" s="20" t="inlineStr">
        <is>
          <t>유즈 솔리드퍼퓸 001 이그나이트 30ml 30600 온라인</t>
        </is>
      </c>
      <c r="H8868" s="20" t="n">
        <v>3</v>
      </c>
      <c r="I8868" s="19">
        <f>VLOOKUP(G8868,매칭테이블!D:E,2,0)</f>
        <v/>
      </c>
      <c r="J8868" s="20" t="inlineStr">
        <is>
          <t>210501</t>
        </is>
      </c>
      <c r="L8868" s="19">
        <f>VLOOKUP($O8868,매칭테이블!$G:$J,2,0)*H8868</f>
        <v/>
      </c>
      <c r="M8868" s="19">
        <f>L8868-L8868*VLOOKUP($O8868,매칭테이블!$G:$J,3,0)</f>
        <v/>
      </c>
      <c r="N8868" s="19">
        <f>VLOOKUP($O8868,매칭테이블!$G:$J,4,0)*H8868</f>
        <v/>
      </c>
      <c r="O8868" s="19">
        <f>F8868&amp;E8868&amp;G8868&amp;J8868</f>
        <v/>
      </c>
    </row>
    <row r="8869">
      <c r="B8869" s="27" t="n">
        <v>44336</v>
      </c>
      <c r="C8869" s="20" t="inlineStr">
        <is>
          <t>목</t>
        </is>
      </c>
      <c r="E8869" s="19">
        <f>INDEX(매칭테이블!C:C,MATCH(RD!G8869,매칭테이블!D:D,0))</f>
        <v/>
      </c>
      <c r="F8869" s="20" t="inlineStr">
        <is>
          <t>올리브영</t>
        </is>
      </c>
      <c r="G8869" s="20" t="inlineStr">
        <is>
          <t>유즈 솔리드퍼퓸 002 스테이포에버 30ml 30600 온라인</t>
        </is>
      </c>
      <c r="H8869" s="20" t="n">
        <v>98</v>
      </c>
      <c r="I8869" s="19">
        <f>VLOOKUP(G8869,매칭테이블!D:E,2,0)</f>
        <v/>
      </c>
      <c r="J8869" s="20" t="inlineStr">
        <is>
          <t>210501</t>
        </is>
      </c>
      <c r="L8869" s="19">
        <f>VLOOKUP($O8869,매칭테이블!$G:$J,2,0)*H8869</f>
        <v/>
      </c>
      <c r="M8869" s="19">
        <f>L8869-L8869*VLOOKUP($O8869,매칭테이블!$G:$J,3,0)</f>
        <v/>
      </c>
      <c r="N8869" s="19">
        <f>VLOOKUP($O8869,매칭테이블!$G:$J,4,0)*H8869</f>
        <v/>
      </c>
      <c r="O8869" s="19">
        <f>F8869&amp;E8869&amp;G8869&amp;J8869</f>
        <v/>
      </c>
    </row>
    <row r="8870">
      <c r="A8870" s="20" t="inlineStr">
        <is>
          <t>[카페알바 라방] 스테이포에버_영상</t>
        </is>
      </c>
      <c r="B8870" s="27" t="n">
        <v>44337</v>
      </c>
      <c r="C8870" s="20" t="inlineStr">
        <is>
          <t>금</t>
        </is>
      </c>
      <c r="D8870" s="19">
        <f>VLOOKUP($A8870,매칭테이블!$B$548:$D$1048576,2,0)</f>
        <v/>
      </c>
      <c r="E8870" s="20" t="inlineStr">
        <is>
          <t>고체향수</t>
        </is>
      </c>
      <c r="K8870" s="20" t="n">
        <v>28459</v>
      </c>
    </row>
    <row r="8871">
      <c r="A8871" s="20" t="inlineStr">
        <is>
          <t>[승희 TEST] 솔리드퍼퓸_카드뉴스</t>
        </is>
      </c>
      <c r="B8871" s="27" t="n">
        <v>44337</v>
      </c>
      <c r="C8871" s="20" t="inlineStr">
        <is>
          <t>금</t>
        </is>
      </c>
      <c r="D8871" s="20" t="inlineStr">
        <is>
          <t>페이스북/인스타그램</t>
        </is>
      </c>
      <c r="E8871" s="20" t="inlineStr">
        <is>
          <t>고체향수</t>
        </is>
      </c>
      <c r="K8871" s="20" t="n">
        <v>19676</v>
      </c>
    </row>
    <row r="8872">
      <c r="A8872" s="20" t="inlineStr">
        <is>
          <t>[수현 TEST] 이그나이트_이미지</t>
        </is>
      </c>
      <c r="B8872" s="27" t="n">
        <v>44337</v>
      </c>
      <c r="C8872" s="20" t="inlineStr">
        <is>
          <t>금</t>
        </is>
      </c>
      <c r="D8872" s="20" t="inlineStr">
        <is>
          <t>페이스북/인스타그램</t>
        </is>
      </c>
      <c r="E8872" s="20" t="inlineStr">
        <is>
          <t>고체향수</t>
        </is>
      </c>
      <c r="K8872" s="20" t="n">
        <v>28375</v>
      </c>
    </row>
    <row r="8873">
      <c r="A8873" s="20" t="inlineStr">
        <is>
          <t>[5월 프로모션] 솔리드퍼퓸_영상</t>
        </is>
      </c>
      <c r="B8873" s="27" t="n">
        <v>44337</v>
      </c>
      <c r="C8873" s="20" t="inlineStr">
        <is>
          <t>금</t>
        </is>
      </c>
      <c r="D8873" s="20" t="inlineStr">
        <is>
          <t>페이스북/인스타그램</t>
        </is>
      </c>
      <c r="E8873" s="20" t="inlineStr">
        <is>
          <t>고체향수</t>
        </is>
      </c>
      <c r="K8873" s="20" t="n">
        <v>109881</v>
      </c>
    </row>
    <row r="8874">
      <c r="A8874" s="20" t="inlineStr">
        <is>
          <t>[수현 TEST] 스테이포에버_카드뉴스</t>
        </is>
      </c>
      <c r="B8874" s="27" t="n">
        <v>44337</v>
      </c>
      <c r="C8874" s="20" t="inlineStr">
        <is>
          <t>금</t>
        </is>
      </c>
      <c r="D8874" s="20" t="inlineStr">
        <is>
          <t>페이스북/인스타그램</t>
        </is>
      </c>
      <c r="E8874" s="20" t="inlineStr">
        <is>
          <t>고체향수</t>
        </is>
      </c>
      <c r="K8874" s="20" t="n">
        <v>41560</v>
      </c>
    </row>
    <row r="8875">
      <c r="A8875" s="20" t="inlineStr">
        <is>
          <t>[수현 TEST] 스테이포에버_이미지</t>
        </is>
      </c>
      <c r="B8875" s="27" t="n">
        <v>44337</v>
      </c>
      <c r="C8875" s="20" t="inlineStr">
        <is>
          <t>금</t>
        </is>
      </c>
      <c r="D8875" s="20" t="inlineStr">
        <is>
          <t>페이스북/인스타그램</t>
        </is>
      </c>
      <c r="E8875" s="20" t="inlineStr">
        <is>
          <t>고체향수</t>
        </is>
      </c>
      <c r="K8875" s="20" t="n">
        <v>29999</v>
      </c>
    </row>
    <row r="8876">
      <c r="A8876" s="20" t="inlineStr">
        <is>
          <t>[승은 TEST] 스테이포에버</t>
        </is>
      </c>
      <c r="B8876" s="27" t="n">
        <v>44337</v>
      </c>
      <c r="C8876" s="20" t="inlineStr">
        <is>
          <t>금</t>
        </is>
      </c>
      <c r="D8876" s="20" t="inlineStr">
        <is>
          <t>페이스북/인스타그램</t>
        </is>
      </c>
      <c r="E8876" s="20" t="inlineStr">
        <is>
          <t>고체향수</t>
        </is>
      </c>
      <c r="K8876" s="20" t="n">
        <v>59986</v>
      </c>
    </row>
    <row r="8877">
      <c r="A8877" s="20" t="inlineStr">
        <is>
          <t>[비누향 덕후] 스테이포에버_카드뉴스</t>
        </is>
      </c>
      <c r="B8877" s="27" t="n">
        <v>44337</v>
      </c>
      <c r="C8877" s="20" t="inlineStr">
        <is>
          <t>금</t>
        </is>
      </c>
      <c r="D8877" s="20" t="inlineStr">
        <is>
          <t>페이스북/인스타그램</t>
        </is>
      </c>
      <c r="E8877" s="20" t="inlineStr">
        <is>
          <t>고체향수</t>
        </is>
      </c>
      <c r="K8877" s="20" t="n">
        <v>151507</v>
      </c>
    </row>
    <row r="8878">
      <c r="A8878" s="20" t="inlineStr">
        <is>
          <t>[성민 TEST] 솔리드퍼퓸_이미지</t>
        </is>
      </c>
      <c r="B8878" s="27" t="n">
        <v>44337</v>
      </c>
      <c r="C8878" s="20" t="inlineStr">
        <is>
          <t>금</t>
        </is>
      </c>
      <c r="D8878" s="20" t="inlineStr">
        <is>
          <t>페이스북/인스타그램</t>
        </is>
      </c>
      <c r="E8878" s="20" t="inlineStr">
        <is>
          <t>고체향수</t>
        </is>
      </c>
      <c r="K8878" s="20" t="n">
        <v>30455</v>
      </c>
    </row>
    <row r="8879">
      <c r="A8879" s="20" t="inlineStr">
        <is>
          <t>[승무원]유튜브_스테이포에버_카드뉴스</t>
        </is>
      </c>
      <c r="B8879" s="27" t="n">
        <v>44337</v>
      </c>
      <c r="C8879" s="20" t="inlineStr">
        <is>
          <t>금</t>
        </is>
      </c>
      <c r="D8879" s="20" t="inlineStr">
        <is>
          <t>페이스북/인스타그램</t>
        </is>
      </c>
      <c r="E8879" s="20" t="inlineStr">
        <is>
          <t>고체향수</t>
        </is>
      </c>
      <c r="K8879" s="20" t="n">
        <v>96082</v>
      </c>
    </row>
    <row r="8880">
      <c r="A8880" s="20" t="inlineStr">
        <is>
          <t>[올리브영] 이그나이트_영상</t>
        </is>
      </c>
      <c r="B8880" s="27" t="n">
        <v>44337</v>
      </c>
      <c r="C8880" s="20" t="inlineStr">
        <is>
          <t>금</t>
        </is>
      </c>
      <c r="D8880" s="20" t="inlineStr">
        <is>
          <t>페이스북/인스타그램</t>
        </is>
      </c>
      <c r="E8880" s="20" t="inlineStr">
        <is>
          <t>고체향수</t>
        </is>
      </c>
      <c r="K8880" s="20" t="n">
        <v>30156</v>
      </c>
    </row>
    <row r="8881">
      <c r="A8881" s="20" t="inlineStr">
        <is>
          <t>[승희 TEST] 솔리드퍼퓸_이미지</t>
        </is>
      </c>
      <c r="B8881" s="27" t="n">
        <v>44337</v>
      </c>
      <c r="C8881" s="20" t="inlineStr">
        <is>
          <t>금</t>
        </is>
      </c>
      <c r="D8881" s="20" t="inlineStr">
        <is>
          <t>페이스북/인스타그램</t>
        </is>
      </c>
      <c r="E8881" s="20" t="inlineStr">
        <is>
          <t>고체향수</t>
        </is>
      </c>
      <c r="K8881" s="20" t="n">
        <v>119326</v>
      </c>
    </row>
    <row r="8882">
      <c r="A8882" s="20" t="inlineStr">
        <is>
          <t>[올리브영] 스테이포에버_영상</t>
        </is>
      </c>
      <c r="B8882" s="27" t="n">
        <v>44337</v>
      </c>
      <c r="C8882" s="20" t="inlineStr">
        <is>
          <t>금</t>
        </is>
      </c>
      <c r="D8882" s="20" t="inlineStr">
        <is>
          <t>페이스북/인스타그램</t>
        </is>
      </c>
      <c r="E8882" s="20" t="inlineStr">
        <is>
          <t>고체향수</t>
        </is>
      </c>
      <c r="K8882" s="20" t="n">
        <v>49525</v>
      </c>
    </row>
    <row r="8883">
      <c r="A8883" s="20" t="inlineStr">
        <is>
          <t>[올리브영] 스테이포에버_이미지</t>
        </is>
      </c>
      <c r="B8883" s="27" t="n">
        <v>44337</v>
      </c>
      <c r="C8883" s="20" t="inlineStr">
        <is>
          <t>금</t>
        </is>
      </c>
      <c r="D8883" s="20" t="inlineStr">
        <is>
          <t>페이스북/인스타그램</t>
        </is>
      </c>
      <c r="E8883" s="20" t="inlineStr">
        <is>
          <t>고체향수</t>
        </is>
      </c>
      <c r="K8883" s="20" t="n">
        <v>30873</v>
      </c>
    </row>
    <row r="8884">
      <c r="A8884" s="20" t="inlineStr">
        <is>
          <t>[승무원] 유튜브재편집_스테이포에버_영상</t>
        </is>
      </c>
      <c r="B8884" s="27" t="n">
        <v>44337</v>
      </c>
      <c r="C8884" s="20" t="inlineStr">
        <is>
          <t>금</t>
        </is>
      </c>
      <c r="D8884" s="20" t="inlineStr">
        <is>
          <t>페이스북/인스타그램</t>
        </is>
      </c>
      <c r="E8884" s="20" t="inlineStr">
        <is>
          <t>고체향수</t>
        </is>
      </c>
      <c r="K8884" s="20" t="n">
        <v>730760</v>
      </c>
    </row>
    <row r="8885">
      <c r="A8885" s="20" t="inlineStr">
        <is>
          <t>[승무원 면세점] 스테이포에버_카드뉴스</t>
        </is>
      </c>
      <c r="B8885" s="27" t="n">
        <v>44337</v>
      </c>
      <c r="C8885" s="20" t="inlineStr">
        <is>
          <t>금</t>
        </is>
      </c>
      <c r="D8885" s="20" t="inlineStr">
        <is>
          <t>페이스북/인스타그램</t>
        </is>
      </c>
      <c r="E8885" s="20" t="inlineStr">
        <is>
          <t>고체향수</t>
        </is>
      </c>
      <c r="K8885" s="20" t="n">
        <v>149986</v>
      </c>
    </row>
    <row r="8886">
      <c r="A8886" s="20" t="inlineStr">
        <is>
          <t>[카페알바] 스테이포에버_카드뉴스</t>
        </is>
      </c>
      <c r="B8886" s="27" t="n">
        <v>44337</v>
      </c>
      <c r="C8886" s="20" t="inlineStr">
        <is>
          <t>금</t>
        </is>
      </c>
      <c r="D8886" s="20" t="inlineStr">
        <is>
          <t>페이스북/인스타그램</t>
        </is>
      </c>
      <c r="E8886" s="20" t="inlineStr">
        <is>
          <t>고체향수</t>
        </is>
      </c>
      <c r="K8886" s="20" t="n">
        <v>199514</v>
      </c>
    </row>
    <row r="8887">
      <c r="A8887" s="20" t="inlineStr">
        <is>
          <t>[아줌마]스테이포에버_이미지</t>
        </is>
      </c>
      <c r="B8887" s="27" t="n">
        <v>44337</v>
      </c>
      <c r="C8887" s="20" t="inlineStr">
        <is>
          <t>금</t>
        </is>
      </c>
      <c r="D8887" s="20" t="inlineStr">
        <is>
          <t>페이스북/인스타그램</t>
        </is>
      </c>
      <c r="E8887" s="20" t="inlineStr">
        <is>
          <t>고체향수</t>
        </is>
      </c>
      <c r="K8887" s="20" t="n">
        <v>50638</v>
      </c>
    </row>
    <row r="8888">
      <c r="A8888" s="20" t="inlineStr">
        <is>
          <t>[다양한 키워드] 스테이포에버_이미지</t>
        </is>
      </c>
      <c r="B8888" s="27" t="n">
        <v>44337</v>
      </c>
      <c r="C8888" s="20" t="inlineStr">
        <is>
          <t>금</t>
        </is>
      </c>
      <c r="D8888" s="20" t="inlineStr">
        <is>
          <t>페이스북/인스타그램</t>
        </is>
      </c>
      <c r="E8888" s="20" t="inlineStr">
        <is>
          <t>고체향수</t>
        </is>
      </c>
      <c r="K8888" s="20" t="n">
        <v>130755</v>
      </c>
    </row>
    <row r="8889">
      <c r="A8889" s="20" t="inlineStr">
        <is>
          <t>[재입고]스테이포에버_이미지</t>
        </is>
      </c>
      <c r="B8889" s="27" t="n">
        <v>44337</v>
      </c>
      <c r="C8889" s="20" t="inlineStr">
        <is>
          <t>금</t>
        </is>
      </c>
      <c r="D8889" s="20" t="inlineStr">
        <is>
          <t>페이스북/인스타그램</t>
        </is>
      </c>
      <c r="E8889" s="20" t="inlineStr">
        <is>
          <t>고체향수</t>
        </is>
      </c>
      <c r="K8889" s="20" t="n">
        <v>29003</v>
      </c>
    </row>
    <row r="8890">
      <c r="A8890" s="20" t="inlineStr">
        <is>
          <t>[승무원]숏폼_영상</t>
        </is>
      </c>
      <c r="B8890" s="27" t="n">
        <v>44337</v>
      </c>
      <c r="C8890" s="20" t="inlineStr">
        <is>
          <t>금</t>
        </is>
      </c>
      <c r="D8890" s="20" t="inlineStr">
        <is>
          <t>페이스북/인스타그램</t>
        </is>
      </c>
      <c r="E8890" s="20" t="inlineStr">
        <is>
          <t>고체향수</t>
        </is>
      </c>
      <c r="K8890" s="20" t="n">
        <v>49206</v>
      </c>
    </row>
    <row r="8891">
      <c r="A8891" s="20" t="inlineStr">
        <is>
          <t>[재입고]스테이포에버_영상</t>
        </is>
      </c>
      <c r="B8891" s="27" t="n">
        <v>44337</v>
      </c>
      <c r="C8891" s="20" t="inlineStr">
        <is>
          <t>금</t>
        </is>
      </c>
      <c r="D8891" s="20" t="inlineStr">
        <is>
          <t>페이스북/인스타그램</t>
        </is>
      </c>
      <c r="E8891" s="20" t="inlineStr">
        <is>
          <t>고체향수</t>
        </is>
      </c>
      <c r="K8891" s="20" t="n">
        <v>202183</v>
      </c>
    </row>
    <row r="8892">
      <c r="A8892" s="20" t="inlineStr">
        <is>
          <t>[승무원]2019년썰 카드뉴스+ 향묘사_영상</t>
        </is>
      </c>
      <c r="B8892" s="27" t="n">
        <v>44337</v>
      </c>
      <c r="C8892" s="20" t="inlineStr">
        <is>
          <t>금</t>
        </is>
      </c>
      <c r="D8892" s="20" t="inlineStr">
        <is>
          <t>페이스북/인스타그램</t>
        </is>
      </c>
      <c r="E8892" s="20" t="inlineStr">
        <is>
          <t>고체향수</t>
        </is>
      </c>
      <c r="K8892" s="20" t="n">
        <v>30090</v>
      </c>
    </row>
    <row r="8893">
      <c r="A8893" s="20" t="inlineStr">
        <is>
          <t>[승무원어피]스테이포에버_이미지</t>
        </is>
      </c>
      <c r="B8893" s="27" t="n">
        <v>44337</v>
      </c>
      <c r="C8893" s="20" t="inlineStr">
        <is>
          <t>금</t>
        </is>
      </c>
      <c r="D8893" s="20" t="inlineStr">
        <is>
          <t>페이스북/인스타그램</t>
        </is>
      </c>
      <c r="E8893" s="20" t="inlineStr">
        <is>
          <t>고체향수</t>
        </is>
      </c>
      <c r="K8893" s="20" t="n">
        <v>150324</v>
      </c>
    </row>
    <row r="8894">
      <c r="A8894" s="20" t="inlineStr">
        <is>
          <t>[다현]스테이포에버_이미지</t>
        </is>
      </c>
      <c r="B8894" s="27" t="n">
        <v>44337</v>
      </c>
      <c r="C8894" s="20" t="inlineStr">
        <is>
          <t>금</t>
        </is>
      </c>
      <c r="D8894" s="20" t="inlineStr">
        <is>
          <t>페이스북/인스타그램</t>
        </is>
      </c>
      <c r="E8894" s="20" t="inlineStr">
        <is>
          <t>고체향수</t>
        </is>
      </c>
      <c r="K8894" s="20" t="n">
        <v>100853</v>
      </c>
    </row>
    <row r="8895">
      <c r="A8895" s="20" t="inlineStr">
        <is>
          <t>[후기타입]스테이포에버_영상</t>
        </is>
      </c>
      <c r="B8895" s="27" t="n">
        <v>44337</v>
      </c>
      <c r="C8895" s="20" t="inlineStr">
        <is>
          <t>금</t>
        </is>
      </c>
      <c r="D8895" s="20" t="inlineStr">
        <is>
          <t>페이스북/인스타그램</t>
        </is>
      </c>
      <c r="E8895" s="20" t="inlineStr">
        <is>
          <t>고체향수</t>
        </is>
      </c>
      <c r="K8895" s="20" t="n">
        <v>99885</v>
      </c>
    </row>
    <row r="8896">
      <c r="A8896" s="20" t="inlineStr">
        <is>
          <t>전환_스테이포에버</t>
        </is>
      </c>
      <c r="B8896" s="27" t="n">
        <v>44337</v>
      </c>
      <c r="C8896" s="20" t="inlineStr">
        <is>
          <t>금</t>
        </is>
      </c>
      <c r="D8896" s="20" t="inlineStr">
        <is>
          <t>페이스북/인스타그램</t>
        </is>
      </c>
      <c r="E8896" s="20" t="inlineStr">
        <is>
          <t>고체향수</t>
        </is>
      </c>
      <c r="K8896" s="20" t="n">
        <v>68559</v>
      </c>
    </row>
    <row r="8897">
      <c r="A8897" s="20" t="inlineStr">
        <is>
          <t>[권태기커플]스테이포에버_영상</t>
        </is>
      </c>
      <c r="B8897" s="27" t="n">
        <v>44337</v>
      </c>
      <c r="C8897" s="20" t="inlineStr">
        <is>
          <t>금</t>
        </is>
      </c>
      <c r="D8897" s="20" t="inlineStr">
        <is>
          <t>페이스북/인스타그램</t>
        </is>
      </c>
      <c r="E8897" s="20" t="inlineStr">
        <is>
          <t>고체향수</t>
        </is>
      </c>
      <c r="K8897" s="20" t="n">
        <v>29915</v>
      </c>
    </row>
    <row r="8898">
      <c r="A8898" s="20" t="inlineStr">
        <is>
          <t>[카페알바 라방] 스테이포에버_영상</t>
        </is>
      </c>
      <c r="B8898" s="27" t="n">
        <v>44338</v>
      </c>
      <c r="C8898" s="20" t="inlineStr">
        <is>
          <t>토</t>
        </is>
      </c>
      <c r="D8898" s="19">
        <f>VLOOKUP($A8898,매칭테이블!$B$548:$D$1048576,2,0)</f>
        <v/>
      </c>
      <c r="E8898" s="20" t="inlineStr">
        <is>
          <t>고체향수</t>
        </is>
      </c>
      <c r="K8898" s="20" t="n">
        <v>45778</v>
      </c>
    </row>
    <row r="8899">
      <c r="A8899" s="20" t="inlineStr">
        <is>
          <t>[승희 TEST] 솔리드퍼퓸_카드뉴스</t>
        </is>
      </c>
      <c r="B8899" s="27" t="n">
        <v>44338</v>
      </c>
      <c r="C8899" s="20" t="inlineStr">
        <is>
          <t>토</t>
        </is>
      </c>
      <c r="D8899" s="20" t="inlineStr">
        <is>
          <t>페이스북/인스타그램</t>
        </is>
      </c>
      <c r="E8899" s="20" t="inlineStr">
        <is>
          <t>고체향수</t>
        </is>
      </c>
      <c r="K8899" s="20" t="n">
        <v>16510</v>
      </c>
    </row>
    <row r="8900">
      <c r="A8900" s="20" t="inlineStr">
        <is>
          <t>[수현 TEST] 이그나이트_이미지</t>
        </is>
      </c>
      <c r="B8900" s="27" t="n">
        <v>44338</v>
      </c>
      <c r="C8900" s="20" t="inlineStr">
        <is>
          <t>토</t>
        </is>
      </c>
      <c r="D8900" s="20" t="inlineStr">
        <is>
          <t>페이스북/인스타그램</t>
        </is>
      </c>
      <c r="E8900" s="20" t="inlineStr">
        <is>
          <t>고체향수</t>
        </is>
      </c>
      <c r="K8900" s="20" t="n">
        <v>29398</v>
      </c>
    </row>
    <row r="8901">
      <c r="A8901" s="20" t="inlineStr">
        <is>
          <t>[5월 프로모션] 솔리드퍼퓸_영상</t>
        </is>
      </c>
      <c r="B8901" s="27" t="n">
        <v>44338</v>
      </c>
      <c r="C8901" s="20" t="inlineStr">
        <is>
          <t>토</t>
        </is>
      </c>
      <c r="D8901" s="20" t="inlineStr">
        <is>
          <t>페이스북/인스타그램</t>
        </is>
      </c>
      <c r="E8901" s="20" t="inlineStr">
        <is>
          <t>고체향수</t>
        </is>
      </c>
      <c r="K8901" s="20" t="n">
        <v>90312</v>
      </c>
    </row>
    <row r="8902">
      <c r="A8902" s="20" t="inlineStr">
        <is>
          <t>[수현 TEST] 스테이포에버_카드뉴스</t>
        </is>
      </c>
      <c r="B8902" s="27" t="n">
        <v>44338</v>
      </c>
      <c r="C8902" s="20" t="inlineStr">
        <is>
          <t>토</t>
        </is>
      </c>
      <c r="D8902" s="20" t="inlineStr">
        <is>
          <t>페이스북/인스타그램</t>
        </is>
      </c>
      <c r="E8902" s="20" t="inlineStr">
        <is>
          <t>고체향수</t>
        </is>
      </c>
      <c r="K8902" s="20" t="n">
        <v>45342</v>
      </c>
    </row>
    <row r="8903">
      <c r="A8903" s="20" t="inlineStr">
        <is>
          <t>[수현 TEST] 스테이포에버_이미지</t>
        </is>
      </c>
      <c r="B8903" s="27" t="n">
        <v>44338</v>
      </c>
      <c r="C8903" s="20" t="inlineStr">
        <is>
          <t>토</t>
        </is>
      </c>
      <c r="D8903" s="20" t="inlineStr">
        <is>
          <t>페이스북/인스타그램</t>
        </is>
      </c>
      <c r="E8903" s="20" t="inlineStr">
        <is>
          <t>고체향수</t>
        </is>
      </c>
      <c r="K8903" s="20" t="n">
        <v>31654</v>
      </c>
    </row>
    <row r="8904">
      <c r="A8904" s="20" t="inlineStr">
        <is>
          <t>[승은 TEST] 스테이포에버</t>
        </is>
      </c>
      <c r="B8904" s="27" t="n">
        <v>44338</v>
      </c>
      <c r="C8904" s="20" t="inlineStr">
        <is>
          <t>토</t>
        </is>
      </c>
      <c r="D8904" s="20" t="inlineStr">
        <is>
          <t>페이스북/인스타그램</t>
        </is>
      </c>
      <c r="E8904" s="20" t="inlineStr">
        <is>
          <t>고체향수</t>
        </is>
      </c>
      <c r="K8904" s="20" t="n">
        <v>61168</v>
      </c>
    </row>
    <row r="8905">
      <c r="A8905" s="20" t="inlineStr">
        <is>
          <t>[비누향 덕후] 스테이포에버_카드뉴스</t>
        </is>
      </c>
      <c r="B8905" s="27" t="n">
        <v>44338</v>
      </c>
      <c r="C8905" s="20" t="inlineStr">
        <is>
          <t>토</t>
        </is>
      </c>
      <c r="D8905" s="20" t="inlineStr">
        <is>
          <t>페이스북/인스타그램</t>
        </is>
      </c>
      <c r="E8905" s="20" t="inlineStr">
        <is>
          <t>고체향수</t>
        </is>
      </c>
      <c r="K8905" s="20" t="n">
        <v>158797</v>
      </c>
    </row>
    <row r="8906">
      <c r="A8906" s="20" t="inlineStr">
        <is>
          <t>[성민 TEST] 솔리드퍼퓸_이미지</t>
        </is>
      </c>
      <c r="B8906" s="27" t="n">
        <v>44338</v>
      </c>
      <c r="C8906" s="20" t="inlineStr">
        <is>
          <t>토</t>
        </is>
      </c>
      <c r="D8906" s="20" t="inlineStr">
        <is>
          <t>페이스북/인스타그램</t>
        </is>
      </c>
      <c r="E8906" s="20" t="inlineStr">
        <is>
          <t>고체향수</t>
        </is>
      </c>
      <c r="K8906" s="20" t="n">
        <v>30639</v>
      </c>
    </row>
    <row r="8907">
      <c r="A8907" s="20" t="inlineStr">
        <is>
          <t>[승무원]유튜브_스테이포에버_카드뉴스</t>
        </is>
      </c>
      <c r="B8907" s="27" t="n">
        <v>44338</v>
      </c>
      <c r="C8907" s="20" t="inlineStr">
        <is>
          <t>토</t>
        </is>
      </c>
      <c r="D8907" s="20" t="inlineStr">
        <is>
          <t>페이스북/인스타그램</t>
        </is>
      </c>
      <c r="E8907" s="20" t="inlineStr">
        <is>
          <t>고체향수</t>
        </is>
      </c>
      <c r="K8907" s="20" t="n">
        <v>100274</v>
      </c>
    </row>
    <row r="8908">
      <c r="A8908" s="20" t="inlineStr">
        <is>
          <t>[올리브영] 이그나이트_영상</t>
        </is>
      </c>
      <c r="B8908" s="27" t="n">
        <v>44338</v>
      </c>
      <c r="C8908" s="20" t="inlineStr">
        <is>
          <t>토</t>
        </is>
      </c>
      <c r="D8908" s="20" t="inlineStr">
        <is>
          <t>페이스북/인스타그램</t>
        </is>
      </c>
      <c r="E8908" s="20" t="inlineStr">
        <is>
          <t>고체향수</t>
        </is>
      </c>
      <c r="K8908" s="20" t="n">
        <v>32208</v>
      </c>
    </row>
    <row r="8909">
      <c r="A8909" s="20" t="inlineStr">
        <is>
          <t>[승희 TEST] 솔리드퍼퓸_이미지</t>
        </is>
      </c>
      <c r="B8909" s="27" t="n">
        <v>44338</v>
      </c>
      <c r="C8909" s="20" t="inlineStr">
        <is>
          <t>토</t>
        </is>
      </c>
      <c r="D8909" s="20" t="inlineStr">
        <is>
          <t>페이스북/인스타그램</t>
        </is>
      </c>
      <c r="E8909" s="20" t="inlineStr">
        <is>
          <t>고체향수</t>
        </is>
      </c>
      <c r="K8909" s="20" t="n">
        <v>95679</v>
      </c>
    </row>
    <row r="8910">
      <c r="A8910" s="20" t="inlineStr">
        <is>
          <t>[올리브영] 스테이포에버_영상</t>
        </is>
      </c>
      <c r="B8910" s="27" t="n">
        <v>44338</v>
      </c>
      <c r="C8910" s="20" t="inlineStr">
        <is>
          <t>토</t>
        </is>
      </c>
      <c r="D8910" s="20" t="inlineStr">
        <is>
          <t>페이스북/인스타그램</t>
        </is>
      </c>
      <c r="E8910" s="20" t="inlineStr">
        <is>
          <t>고체향수</t>
        </is>
      </c>
      <c r="K8910" s="20" t="n">
        <v>53393</v>
      </c>
    </row>
    <row r="8911">
      <c r="A8911" s="20" t="inlineStr">
        <is>
          <t>[올리브영] 스테이포에버_이미지</t>
        </is>
      </c>
      <c r="B8911" s="27" t="n">
        <v>44338</v>
      </c>
      <c r="C8911" s="20" t="inlineStr">
        <is>
          <t>토</t>
        </is>
      </c>
      <c r="D8911" s="20" t="inlineStr">
        <is>
          <t>페이스북/인스타그램</t>
        </is>
      </c>
      <c r="E8911" s="20" t="inlineStr">
        <is>
          <t>고체향수</t>
        </is>
      </c>
      <c r="K8911" s="20" t="n">
        <v>31203</v>
      </c>
    </row>
    <row r="8912">
      <c r="A8912" s="20" t="inlineStr">
        <is>
          <t>[승무원] 유튜브재편집_스테이포에버_영상</t>
        </is>
      </c>
      <c r="B8912" s="27" t="n">
        <v>44338</v>
      </c>
      <c r="C8912" s="20" t="inlineStr">
        <is>
          <t>토</t>
        </is>
      </c>
      <c r="D8912" s="20" t="inlineStr">
        <is>
          <t>페이스북/인스타그램</t>
        </is>
      </c>
      <c r="E8912" s="20" t="inlineStr">
        <is>
          <t>고체향수</t>
        </is>
      </c>
      <c r="K8912" s="20" t="n">
        <v>765816</v>
      </c>
    </row>
    <row r="8913">
      <c r="A8913" s="20" t="inlineStr">
        <is>
          <t>[승무원 면세점] 스테이포에버_카드뉴스</t>
        </is>
      </c>
      <c r="B8913" s="27" t="n">
        <v>44338</v>
      </c>
      <c r="C8913" s="20" t="inlineStr">
        <is>
          <t>토</t>
        </is>
      </c>
      <c r="D8913" s="20" t="inlineStr">
        <is>
          <t>페이스북/인스타그램</t>
        </is>
      </c>
      <c r="E8913" s="20" t="inlineStr">
        <is>
          <t>고체향수</t>
        </is>
      </c>
      <c r="K8913" s="20" t="n">
        <v>193518</v>
      </c>
    </row>
    <row r="8914">
      <c r="A8914" s="20" t="inlineStr">
        <is>
          <t>[카페알바] 스테이포에버_카드뉴스</t>
        </is>
      </c>
      <c r="B8914" s="27" t="n">
        <v>44338</v>
      </c>
      <c r="C8914" s="20" t="inlineStr">
        <is>
          <t>토</t>
        </is>
      </c>
      <c r="D8914" s="20" t="inlineStr">
        <is>
          <t>페이스북/인스타그램</t>
        </is>
      </c>
      <c r="E8914" s="20" t="inlineStr">
        <is>
          <t>고체향수</t>
        </is>
      </c>
      <c r="K8914" s="20" t="n">
        <v>206962</v>
      </c>
    </row>
    <row r="8915">
      <c r="A8915" s="20" t="inlineStr">
        <is>
          <t>[아줌마]스테이포에버_이미지</t>
        </is>
      </c>
      <c r="B8915" s="27" t="n">
        <v>44338</v>
      </c>
      <c r="C8915" s="20" t="inlineStr">
        <is>
          <t>토</t>
        </is>
      </c>
      <c r="D8915" s="20" t="inlineStr">
        <is>
          <t>페이스북/인스타그램</t>
        </is>
      </c>
      <c r="E8915" s="20" t="inlineStr">
        <is>
          <t>고체향수</t>
        </is>
      </c>
      <c r="K8915" s="20" t="n">
        <v>52902</v>
      </c>
    </row>
    <row r="8916">
      <c r="A8916" s="20" t="inlineStr">
        <is>
          <t>[다양한 키워드] 스테이포에버_이미지</t>
        </is>
      </c>
      <c r="B8916" s="27" t="n">
        <v>44338</v>
      </c>
      <c r="C8916" s="20" t="inlineStr">
        <is>
          <t>토</t>
        </is>
      </c>
      <c r="D8916" s="20" t="inlineStr">
        <is>
          <t>페이스북/인스타그램</t>
        </is>
      </c>
      <c r="E8916" s="20" t="inlineStr">
        <is>
          <t>고체향수</t>
        </is>
      </c>
      <c r="K8916" s="20" t="n">
        <v>135871</v>
      </c>
    </row>
    <row r="8917">
      <c r="A8917" s="20" t="inlineStr">
        <is>
          <t>[재입고]스테이포에버_이미지</t>
        </is>
      </c>
      <c r="B8917" s="27" t="n">
        <v>44338</v>
      </c>
      <c r="C8917" s="20" t="inlineStr">
        <is>
          <t>토</t>
        </is>
      </c>
      <c r="D8917" s="20" t="inlineStr">
        <is>
          <t>페이스북/인스타그램</t>
        </is>
      </c>
      <c r="E8917" s="20" t="inlineStr">
        <is>
          <t>고체향수</t>
        </is>
      </c>
      <c r="K8917" s="20" t="n">
        <v>30558</v>
      </c>
    </row>
    <row r="8918">
      <c r="A8918" s="20" t="inlineStr">
        <is>
          <t>[승무원]숏폼_영상</t>
        </is>
      </c>
      <c r="B8918" s="27" t="n">
        <v>44338</v>
      </c>
      <c r="C8918" s="20" t="inlineStr">
        <is>
          <t>토</t>
        </is>
      </c>
      <c r="D8918" s="20" t="inlineStr">
        <is>
          <t>페이스북/인스타그램</t>
        </is>
      </c>
      <c r="E8918" s="20" t="inlineStr">
        <is>
          <t>고체향수</t>
        </is>
      </c>
      <c r="K8918" s="20" t="n">
        <v>52419</v>
      </c>
    </row>
    <row r="8919">
      <c r="A8919" s="20" t="inlineStr">
        <is>
          <t>[재입고]스테이포에버_영상</t>
        </is>
      </c>
      <c r="B8919" s="27" t="n">
        <v>44338</v>
      </c>
      <c r="C8919" s="20" t="inlineStr">
        <is>
          <t>토</t>
        </is>
      </c>
      <c r="D8919" s="20" t="inlineStr">
        <is>
          <t>페이스북/인스타그램</t>
        </is>
      </c>
      <c r="E8919" s="20" t="inlineStr">
        <is>
          <t>고체향수</t>
        </is>
      </c>
      <c r="K8919" s="20" t="n">
        <v>206724</v>
      </c>
    </row>
    <row r="8920">
      <c r="A8920" s="20" t="inlineStr">
        <is>
          <t>[승무원]2019년썰 카드뉴스+ 향묘사_영상</t>
        </is>
      </c>
      <c r="B8920" s="27" t="n">
        <v>44338</v>
      </c>
      <c r="C8920" s="20" t="inlineStr">
        <is>
          <t>토</t>
        </is>
      </c>
      <c r="D8920" s="20" t="inlineStr">
        <is>
          <t>페이스북/인스타그램</t>
        </is>
      </c>
      <c r="E8920" s="20" t="inlineStr">
        <is>
          <t>고체향수</t>
        </is>
      </c>
      <c r="K8920" s="20" t="n">
        <v>31359</v>
      </c>
    </row>
    <row r="8921">
      <c r="A8921" s="20" t="inlineStr">
        <is>
          <t>[승무원어피]스테이포에버_이미지</t>
        </is>
      </c>
      <c r="B8921" s="27" t="n">
        <v>44338</v>
      </c>
      <c r="C8921" s="20" t="inlineStr">
        <is>
          <t>토</t>
        </is>
      </c>
      <c r="D8921" s="20" t="inlineStr">
        <is>
          <t>페이스북/인스타그램</t>
        </is>
      </c>
      <c r="E8921" s="20" t="inlineStr">
        <is>
          <t>고체향수</t>
        </is>
      </c>
      <c r="K8921" s="20" t="n">
        <v>156176</v>
      </c>
    </row>
    <row r="8922">
      <c r="A8922" s="20" t="inlineStr">
        <is>
          <t>[다현]스테이포에버_이미지</t>
        </is>
      </c>
      <c r="B8922" s="27" t="n">
        <v>44338</v>
      </c>
      <c r="C8922" s="20" t="inlineStr">
        <is>
          <t>토</t>
        </is>
      </c>
      <c r="D8922" s="20" t="inlineStr">
        <is>
          <t>페이스북/인스타그램</t>
        </is>
      </c>
      <c r="E8922" s="20" t="inlineStr">
        <is>
          <t>고체향수</t>
        </is>
      </c>
      <c r="K8922" s="20" t="n">
        <v>103944</v>
      </c>
    </row>
    <row r="8923">
      <c r="A8923" s="20" t="inlineStr">
        <is>
          <t>[후기타입]스테이포에버_영상</t>
        </is>
      </c>
      <c r="B8923" s="27" t="n">
        <v>44338</v>
      </c>
      <c r="C8923" s="20" t="inlineStr">
        <is>
          <t>토</t>
        </is>
      </c>
      <c r="D8923" s="20" t="inlineStr">
        <is>
          <t>페이스북/인스타그램</t>
        </is>
      </c>
      <c r="E8923" s="20" t="inlineStr">
        <is>
          <t>고체향수</t>
        </is>
      </c>
      <c r="K8923" s="20" t="n">
        <v>104932</v>
      </c>
    </row>
    <row r="8924">
      <c r="A8924" s="20" t="inlineStr">
        <is>
          <t>전환_스테이포에버</t>
        </is>
      </c>
      <c r="B8924" s="27" t="n">
        <v>44338</v>
      </c>
      <c r="C8924" s="20" t="inlineStr">
        <is>
          <t>토</t>
        </is>
      </c>
      <c r="D8924" s="20" t="inlineStr">
        <is>
          <t>페이스북/인스타그램</t>
        </is>
      </c>
      <c r="E8924" s="20" t="inlineStr">
        <is>
          <t>고체향수</t>
        </is>
      </c>
      <c r="K8924" s="20" t="n">
        <v>70663</v>
      </c>
    </row>
    <row r="8925">
      <c r="A8925" s="20" t="inlineStr">
        <is>
          <t>[권태기커플]스테이포에버_영상</t>
        </is>
      </c>
      <c r="B8925" s="27" t="n">
        <v>44338</v>
      </c>
      <c r="C8925" s="20" t="inlineStr">
        <is>
          <t>토</t>
        </is>
      </c>
      <c r="D8925" s="20" t="inlineStr">
        <is>
          <t>페이스북/인스타그램</t>
        </is>
      </c>
      <c r="E8925" s="20" t="inlineStr">
        <is>
          <t>고체향수</t>
        </is>
      </c>
      <c r="K8925" s="20" t="n">
        <v>31450</v>
      </c>
    </row>
    <row r="8926">
      <c r="A8926" s="20" t="inlineStr">
        <is>
          <t>[카페알바 라방] 스테이포에버_영상</t>
        </is>
      </c>
      <c r="B8926" s="27" t="n">
        <v>44339</v>
      </c>
      <c r="C8926" s="20" t="inlineStr">
        <is>
          <t>일</t>
        </is>
      </c>
      <c r="D8926" s="19">
        <f>VLOOKUP($A8926,매칭테이블!$B$548:$D$1048576,2,0)</f>
        <v/>
      </c>
      <c r="E8926" s="20" t="inlineStr">
        <is>
          <t>고체향수</t>
        </is>
      </c>
      <c r="K8926" s="20" t="n">
        <v>51076</v>
      </c>
    </row>
    <row r="8927">
      <c r="A8927" s="20" t="inlineStr">
        <is>
          <t>[수현 TEST] 이그나이트_이미지</t>
        </is>
      </c>
      <c r="B8927" s="27" t="n">
        <v>44339</v>
      </c>
      <c r="C8927" s="20" t="inlineStr">
        <is>
          <t>일</t>
        </is>
      </c>
      <c r="D8927" s="20" t="inlineStr">
        <is>
          <t>페이스북/인스타그램</t>
        </is>
      </c>
      <c r="E8927" s="20" t="inlineStr">
        <is>
          <t>고체향수</t>
        </is>
      </c>
      <c r="K8927" s="20" t="n">
        <v>31001</v>
      </c>
    </row>
    <row r="8928">
      <c r="A8928" s="20" t="inlineStr">
        <is>
          <t>[5월 프로모션] 솔리드퍼퓸_영상</t>
        </is>
      </c>
      <c r="B8928" s="27" t="n">
        <v>44339</v>
      </c>
      <c r="C8928" s="20" t="inlineStr">
        <is>
          <t>일</t>
        </is>
      </c>
      <c r="D8928" s="20" t="inlineStr">
        <is>
          <t>페이스북/인스타그램</t>
        </is>
      </c>
      <c r="E8928" s="20" t="inlineStr">
        <is>
          <t>고체향수</t>
        </is>
      </c>
      <c r="K8928" s="20" t="n">
        <v>100673</v>
      </c>
    </row>
    <row r="8929">
      <c r="A8929" s="20" t="inlineStr">
        <is>
          <t>[수현 TEST] 스테이포에버_카드뉴스</t>
        </is>
      </c>
      <c r="B8929" s="27" t="n">
        <v>44339</v>
      </c>
      <c r="C8929" s="20" t="inlineStr">
        <is>
          <t>일</t>
        </is>
      </c>
      <c r="D8929" s="20" t="inlineStr">
        <is>
          <t>페이스북/인스타그램</t>
        </is>
      </c>
      <c r="E8929" s="20" t="inlineStr">
        <is>
          <t>고체향수</t>
        </is>
      </c>
      <c r="K8929" s="20" t="n">
        <v>50540</v>
      </c>
    </row>
    <row r="8930">
      <c r="A8930" s="20" t="inlineStr">
        <is>
          <t>[수현 TEST] 스테이포에버_이미지</t>
        </is>
      </c>
      <c r="B8930" s="27" t="n">
        <v>44339</v>
      </c>
      <c r="C8930" s="20" t="inlineStr">
        <is>
          <t>일</t>
        </is>
      </c>
      <c r="D8930" s="20" t="inlineStr">
        <is>
          <t>페이스북/인스타그램</t>
        </is>
      </c>
      <c r="E8930" s="20" t="inlineStr">
        <is>
          <t>고체향수</t>
        </is>
      </c>
      <c r="K8930" s="20" t="n">
        <v>30346</v>
      </c>
    </row>
    <row r="8931">
      <c r="A8931" s="20" t="inlineStr">
        <is>
          <t>[승은 TEST] 스테이포에버</t>
        </is>
      </c>
      <c r="B8931" s="27" t="n">
        <v>44339</v>
      </c>
      <c r="C8931" s="20" t="inlineStr">
        <is>
          <t>일</t>
        </is>
      </c>
      <c r="D8931" s="20" t="inlineStr">
        <is>
          <t>페이스북/인스타그램</t>
        </is>
      </c>
      <c r="E8931" s="20" t="inlineStr">
        <is>
          <t>고체향수</t>
        </is>
      </c>
      <c r="K8931" s="20" t="n">
        <v>61211</v>
      </c>
    </row>
    <row r="8932">
      <c r="A8932" s="20" t="inlineStr">
        <is>
          <t>[비누향 덕후] 스테이포에버_카드뉴스</t>
        </is>
      </c>
      <c r="B8932" s="27" t="n">
        <v>44339</v>
      </c>
      <c r="C8932" s="20" t="inlineStr">
        <is>
          <t>일</t>
        </is>
      </c>
      <c r="D8932" s="20" t="inlineStr">
        <is>
          <t>페이스북/인스타그램</t>
        </is>
      </c>
      <c r="E8932" s="20" t="inlineStr">
        <is>
          <t>고체향수</t>
        </is>
      </c>
      <c r="K8932" s="20" t="n">
        <v>151082</v>
      </c>
    </row>
    <row r="8933">
      <c r="A8933" s="20" t="inlineStr">
        <is>
          <t>[성민 TEST] 솔리드퍼퓸_이미지</t>
        </is>
      </c>
      <c r="B8933" s="27" t="n">
        <v>44339</v>
      </c>
      <c r="C8933" s="20" t="inlineStr">
        <is>
          <t>일</t>
        </is>
      </c>
      <c r="D8933" s="20" t="inlineStr">
        <is>
          <t>페이스북/인스타그램</t>
        </is>
      </c>
      <c r="E8933" s="20" t="inlineStr">
        <is>
          <t>고체향수</t>
        </is>
      </c>
      <c r="K8933" s="20" t="n">
        <v>30574</v>
      </c>
    </row>
    <row r="8934">
      <c r="A8934" s="20" t="inlineStr">
        <is>
          <t>[승무원]유튜브_스테이포에버_카드뉴스</t>
        </is>
      </c>
      <c r="B8934" s="27" t="n">
        <v>44339</v>
      </c>
      <c r="C8934" s="20" t="inlineStr">
        <is>
          <t>일</t>
        </is>
      </c>
      <c r="D8934" s="20" t="inlineStr">
        <is>
          <t>페이스북/인스타그램</t>
        </is>
      </c>
      <c r="E8934" s="20" t="inlineStr">
        <is>
          <t>고체향수</t>
        </is>
      </c>
      <c r="K8934" s="20" t="n">
        <v>100570</v>
      </c>
    </row>
    <row r="8935">
      <c r="A8935" s="20" t="inlineStr">
        <is>
          <t>[올리브영] 이그나이트_영상</t>
        </is>
      </c>
      <c r="B8935" s="27" t="n">
        <v>44339</v>
      </c>
      <c r="C8935" s="20" t="inlineStr">
        <is>
          <t>일</t>
        </is>
      </c>
      <c r="D8935" s="20" t="inlineStr">
        <is>
          <t>페이스북/인스타그램</t>
        </is>
      </c>
      <c r="E8935" s="20" t="inlineStr">
        <is>
          <t>고체향수</t>
        </is>
      </c>
      <c r="K8935" s="20" t="n">
        <v>30436</v>
      </c>
    </row>
    <row r="8936">
      <c r="A8936" s="20" t="inlineStr">
        <is>
          <t>[승희 TEST] 솔리드퍼퓸_이미지</t>
        </is>
      </c>
      <c r="B8936" s="27" t="n">
        <v>44339</v>
      </c>
      <c r="C8936" s="20" t="inlineStr">
        <is>
          <t>일</t>
        </is>
      </c>
      <c r="D8936" s="20" t="inlineStr">
        <is>
          <t>페이스북/인스타그램</t>
        </is>
      </c>
      <c r="E8936" s="20" t="inlineStr">
        <is>
          <t>고체향수</t>
        </is>
      </c>
      <c r="K8936" s="20" t="n">
        <v>100668</v>
      </c>
    </row>
    <row r="8937">
      <c r="A8937" s="20" t="inlineStr">
        <is>
          <t>[올리브영] 스테이포에버_영상</t>
        </is>
      </c>
      <c r="B8937" s="27" t="n">
        <v>44339</v>
      </c>
      <c r="C8937" s="20" t="inlineStr">
        <is>
          <t>일</t>
        </is>
      </c>
      <c r="D8937" s="20" t="inlineStr">
        <is>
          <t>페이스북/인스타그램</t>
        </is>
      </c>
      <c r="E8937" s="20" t="inlineStr">
        <is>
          <t>고체향수</t>
        </is>
      </c>
      <c r="K8937" s="20" t="n">
        <v>50215</v>
      </c>
    </row>
    <row r="8938">
      <c r="A8938" s="20" t="inlineStr">
        <is>
          <t>[올리브영] 스테이포에버_이미지</t>
        </is>
      </c>
      <c r="B8938" s="27" t="n">
        <v>44339</v>
      </c>
      <c r="C8938" s="20" t="inlineStr">
        <is>
          <t>일</t>
        </is>
      </c>
      <c r="D8938" s="20" t="inlineStr">
        <is>
          <t>페이스북/인스타그램</t>
        </is>
      </c>
      <c r="E8938" s="20" t="inlineStr">
        <is>
          <t>고체향수</t>
        </is>
      </c>
      <c r="K8938" s="20" t="n">
        <v>30399</v>
      </c>
    </row>
    <row r="8939">
      <c r="A8939" s="20" t="inlineStr">
        <is>
          <t>[승무원] 유튜브재편집_스테이포에버_영상</t>
        </is>
      </c>
      <c r="B8939" s="27" t="n">
        <v>44339</v>
      </c>
      <c r="C8939" s="20" t="inlineStr">
        <is>
          <t>일</t>
        </is>
      </c>
      <c r="D8939" s="20" t="inlineStr">
        <is>
          <t>페이스북/인스타그램</t>
        </is>
      </c>
      <c r="E8939" s="20" t="inlineStr">
        <is>
          <t>고체향수</t>
        </is>
      </c>
      <c r="K8939" s="20" t="n">
        <v>755162</v>
      </c>
    </row>
    <row r="8940">
      <c r="A8940" s="20" t="inlineStr">
        <is>
          <t>[승무원 면세점] 스테이포에버_카드뉴스</t>
        </is>
      </c>
      <c r="B8940" s="27" t="n">
        <v>44339</v>
      </c>
      <c r="C8940" s="20" t="inlineStr">
        <is>
          <t>일</t>
        </is>
      </c>
      <c r="D8940" s="20" t="inlineStr">
        <is>
          <t>페이스북/인스타그램</t>
        </is>
      </c>
      <c r="E8940" s="20" t="inlineStr">
        <is>
          <t>고체향수</t>
        </is>
      </c>
      <c r="K8940" s="20" t="n">
        <v>201227</v>
      </c>
    </row>
    <row r="8941">
      <c r="A8941" s="20" t="inlineStr">
        <is>
          <t>[카페알바] 스테이포에버_카드뉴스</t>
        </is>
      </c>
      <c r="B8941" s="27" t="n">
        <v>44339</v>
      </c>
      <c r="C8941" s="20" t="inlineStr">
        <is>
          <t>일</t>
        </is>
      </c>
      <c r="D8941" s="20" t="inlineStr">
        <is>
          <t>페이스북/인스타그램</t>
        </is>
      </c>
      <c r="E8941" s="20" t="inlineStr">
        <is>
          <t>고체향수</t>
        </is>
      </c>
      <c r="K8941" s="20" t="n">
        <v>200582</v>
      </c>
    </row>
    <row r="8942">
      <c r="A8942" s="20" t="inlineStr">
        <is>
          <t>[아줌마]스테이포에버_이미지</t>
        </is>
      </c>
      <c r="B8942" s="27" t="n">
        <v>44339</v>
      </c>
      <c r="C8942" s="20" t="inlineStr">
        <is>
          <t>일</t>
        </is>
      </c>
      <c r="D8942" s="20" t="inlineStr">
        <is>
          <t>페이스북/인스타그램</t>
        </is>
      </c>
      <c r="E8942" s="20" t="inlineStr">
        <is>
          <t>고체향수</t>
        </is>
      </c>
      <c r="K8942" s="20" t="n">
        <v>51008</v>
      </c>
    </row>
    <row r="8943">
      <c r="A8943" s="20" t="inlineStr">
        <is>
          <t>[다양한 키워드] 스테이포에버_이미지</t>
        </is>
      </c>
      <c r="B8943" s="27" t="n">
        <v>44339</v>
      </c>
      <c r="C8943" s="20" t="inlineStr">
        <is>
          <t>일</t>
        </is>
      </c>
      <c r="D8943" s="20" t="inlineStr">
        <is>
          <t>페이스북/인스타그램</t>
        </is>
      </c>
      <c r="E8943" s="20" t="inlineStr">
        <is>
          <t>고체향수</t>
        </is>
      </c>
      <c r="K8943" s="20" t="n">
        <v>131733</v>
      </c>
    </row>
    <row r="8944">
      <c r="A8944" s="20" t="inlineStr">
        <is>
          <t>[재입고]스테이포에버_이미지</t>
        </is>
      </c>
      <c r="B8944" s="27" t="n">
        <v>44339</v>
      </c>
      <c r="C8944" s="20" t="inlineStr">
        <is>
          <t>일</t>
        </is>
      </c>
      <c r="D8944" s="20" t="inlineStr">
        <is>
          <t>페이스북/인스타그램</t>
        </is>
      </c>
      <c r="E8944" s="20" t="inlineStr">
        <is>
          <t>고체향수</t>
        </is>
      </c>
      <c r="K8944" s="20" t="n">
        <v>30453</v>
      </c>
    </row>
    <row r="8945">
      <c r="A8945" s="20" t="inlineStr">
        <is>
          <t>[승무원]숏폼_영상</t>
        </is>
      </c>
      <c r="B8945" s="27" t="n">
        <v>44339</v>
      </c>
      <c r="C8945" s="20" t="inlineStr">
        <is>
          <t>일</t>
        </is>
      </c>
      <c r="D8945" s="20" t="inlineStr">
        <is>
          <t>페이스북/인스타그램</t>
        </is>
      </c>
      <c r="E8945" s="20" t="inlineStr">
        <is>
          <t>고체향수</t>
        </is>
      </c>
      <c r="K8945" s="20" t="n">
        <v>50921</v>
      </c>
    </row>
    <row r="8946">
      <c r="A8946" s="20" t="inlineStr">
        <is>
          <t>[재입고]스테이포에버_영상</t>
        </is>
      </c>
      <c r="B8946" s="27" t="n">
        <v>44339</v>
      </c>
      <c r="C8946" s="20" t="inlineStr">
        <is>
          <t>일</t>
        </is>
      </c>
      <c r="D8946" s="20" t="inlineStr">
        <is>
          <t>페이스북/인스타그램</t>
        </is>
      </c>
      <c r="E8946" s="20" t="inlineStr">
        <is>
          <t>고체향수</t>
        </is>
      </c>
      <c r="K8946" s="20" t="n">
        <v>201209</v>
      </c>
    </row>
    <row r="8947">
      <c r="A8947" s="20" t="inlineStr">
        <is>
          <t>[승무원]2019년썰 카드뉴스+ 향묘사_영상</t>
        </is>
      </c>
      <c r="B8947" s="27" t="n">
        <v>44339</v>
      </c>
      <c r="C8947" s="20" t="inlineStr">
        <is>
          <t>일</t>
        </is>
      </c>
      <c r="D8947" s="20" t="inlineStr">
        <is>
          <t>페이스북/인스타그램</t>
        </is>
      </c>
      <c r="E8947" s="20" t="inlineStr">
        <is>
          <t>고체향수</t>
        </is>
      </c>
      <c r="K8947" s="20" t="n">
        <v>30417</v>
      </c>
    </row>
    <row r="8948">
      <c r="A8948" s="20" t="inlineStr">
        <is>
          <t>[승무원어피]스테이포에버_이미지</t>
        </is>
      </c>
      <c r="B8948" s="27" t="n">
        <v>44339</v>
      </c>
      <c r="C8948" s="20" t="inlineStr">
        <is>
          <t>일</t>
        </is>
      </c>
      <c r="D8948" s="20" t="inlineStr">
        <is>
          <t>페이스북/인스타그램</t>
        </is>
      </c>
      <c r="E8948" s="20" t="inlineStr">
        <is>
          <t>고체향수</t>
        </is>
      </c>
      <c r="K8948" s="20" t="n">
        <v>151246</v>
      </c>
    </row>
    <row r="8949">
      <c r="A8949" s="20" t="inlineStr">
        <is>
          <t>[다현]스테이포에버_이미지</t>
        </is>
      </c>
      <c r="B8949" s="27" t="n">
        <v>44339</v>
      </c>
      <c r="C8949" s="20" t="inlineStr">
        <is>
          <t>일</t>
        </is>
      </c>
      <c r="D8949" s="20" t="inlineStr">
        <is>
          <t>페이스북/인스타그램</t>
        </is>
      </c>
      <c r="E8949" s="20" t="inlineStr">
        <is>
          <t>고체향수</t>
        </is>
      </c>
      <c r="K8949" s="20" t="n">
        <v>101385</v>
      </c>
    </row>
    <row r="8950">
      <c r="A8950" s="20" t="inlineStr">
        <is>
          <t>[후기타입]스테이포에버_영상</t>
        </is>
      </c>
      <c r="B8950" s="27" t="n">
        <v>44339</v>
      </c>
      <c r="C8950" s="20" t="inlineStr">
        <is>
          <t>일</t>
        </is>
      </c>
      <c r="D8950" s="20" t="inlineStr">
        <is>
          <t>페이스북/인스타그램</t>
        </is>
      </c>
      <c r="E8950" s="20" t="inlineStr">
        <is>
          <t>고체향수</t>
        </is>
      </c>
      <c r="K8950" s="20" t="n">
        <v>100657</v>
      </c>
    </row>
    <row r="8951">
      <c r="A8951" s="20" t="inlineStr">
        <is>
          <t>전환_스테이포에버</t>
        </is>
      </c>
      <c r="B8951" s="27" t="n">
        <v>44339</v>
      </c>
      <c r="C8951" s="20" t="inlineStr">
        <is>
          <t>일</t>
        </is>
      </c>
      <c r="D8951" s="20" t="inlineStr">
        <is>
          <t>페이스북/인스타그램</t>
        </is>
      </c>
      <c r="E8951" s="20" t="inlineStr">
        <is>
          <t>고체향수</t>
        </is>
      </c>
      <c r="K8951" s="20" t="n">
        <v>70496</v>
      </c>
    </row>
    <row r="8952">
      <c r="A8952" s="20" t="inlineStr">
        <is>
          <t>[권태기커플]스테이포에버_영상</t>
        </is>
      </c>
      <c r="B8952" s="27" t="n">
        <v>44339</v>
      </c>
      <c r="C8952" s="20" t="inlineStr">
        <is>
          <t>일</t>
        </is>
      </c>
      <c r="D8952" s="20" t="inlineStr">
        <is>
          <t>페이스북/인스타그램</t>
        </is>
      </c>
      <c r="E8952" s="20" t="inlineStr">
        <is>
          <t>고체향수</t>
        </is>
      </c>
      <c r="K8952" s="20" t="n">
        <v>30204</v>
      </c>
    </row>
    <row r="8953">
      <c r="A8953" s="20" t="inlineStr">
        <is>
          <t>웹사이트 트래픽 서치</t>
        </is>
      </c>
      <c r="B8953" s="27" t="n">
        <v>44337</v>
      </c>
      <c r="C8953" s="20" t="inlineStr">
        <is>
          <t>금</t>
        </is>
      </c>
      <c r="D8953" s="20" t="inlineStr">
        <is>
          <t>유튜브 광고</t>
        </is>
      </c>
      <c r="E8953" s="20" t="inlineStr">
        <is>
          <t>고체향수</t>
        </is>
      </c>
      <c r="K8953" s="20" t="n">
        <v>52845</v>
      </c>
    </row>
    <row r="8954">
      <c r="A8954" s="20" t="inlineStr">
        <is>
          <t>디스커버리 배너_승무원,할인_리마케팅</t>
        </is>
      </c>
      <c r="B8954" s="27" t="n">
        <v>44337</v>
      </c>
      <c r="C8954" s="20" t="inlineStr">
        <is>
          <t>금</t>
        </is>
      </c>
      <c r="D8954" s="20" t="inlineStr">
        <is>
          <t>유튜브 광고</t>
        </is>
      </c>
      <c r="E8954" s="20" t="inlineStr">
        <is>
          <t>고체향수</t>
        </is>
      </c>
      <c r="K8954" s="20" t="n">
        <v>801498</v>
      </c>
    </row>
    <row r="8955">
      <c r="A8955" s="20" t="inlineStr">
        <is>
          <t>동영상캠페인_승무원_써니스카이</t>
        </is>
      </c>
      <c r="B8955" s="27" t="n">
        <v>44337</v>
      </c>
      <c r="C8955" s="20" t="inlineStr">
        <is>
          <t>금</t>
        </is>
      </c>
      <c r="D8955" s="20" t="inlineStr">
        <is>
          <t>유튜브 광고</t>
        </is>
      </c>
      <c r="E8955" s="20" t="inlineStr">
        <is>
          <t>고체향수</t>
        </is>
      </c>
      <c r="K8955" s="20" t="n">
        <v>27219</v>
      </c>
    </row>
    <row r="8956">
      <c r="A8956" s="20" t="inlineStr">
        <is>
          <t>[5화자] 동영상 캠페인_벨라의 비행일기</t>
        </is>
      </c>
      <c r="B8956" s="27" t="n">
        <v>44337</v>
      </c>
      <c r="C8956" s="20" t="inlineStr">
        <is>
          <t>금</t>
        </is>
      </c>
      <c r="D8956" s="20" t="inlineStr">
        <is>
          <t>유튜브 광고</t>
        </is>
      </c>
      <c r="E8956" s="20" t="inlineStr">
        <is>
          <t>고체향수</t>
        </is>
      </c>
      <c r="K8956" s="20" t="n">
        <v>402825</v>
      </c>
    </row>
    <row r="8957">
      <c r="A8957" s="20" t="inlineStr">
        <is>
          <t>[5화자] 동영상 캠페인_비행하고 여행하는 은선씨</t>
        </is>
      </c>
      <c r="B8957" s="27" t="n">
        <v>44337</v>
      </c>
      <c r="C8957" s="20" t="inlineStr">
        <is>
          <t>금</t>
        </is>
      </c>
      <c r="D8957" s="20" t="inlineStr">
        <is>
          <t>유튜브 광고</t>
        </is>
      </c>
      <c r="E8957" s="20" t="inlineStr">
        <is>
          <t>고체향수</t>
        </is>
      </c>
      <c r="K8957" s="20" t="n">
        <v>202155</v>
      </c>
    </row>
    <row r="8958">
      <c r="A8958" s="20" t="inlineStr">
        <is>
          <t>[5화자 재편집] 승무원_벨라_면세점에서 천만원</t>
        </is>
      </c>
      <c r="B8958" s="27" t="n">
        <v>44337</v>
      </c>
      <c r="C8958" s="20" t="inlineStr">
        <is>
          <t>금</t>
        </is>
      </c>
      <c r="D8958" s="20" t="inlineStr">
        <is>
          <t>유튜브 광고</t>
        </is>
      </c>
      <c r="E8958" s="20" t="inlineStr">
        <is>
          <t>고체향수</t>
        </is>
      </c>
      <c r="K8958" s="20" t="n">
        <v>402681</v>
      </c>
    </row>
    <row r="8959">
      <c r="A8959" s="20" t="inlineStr">
        <is>
          <t>동영상캠페인_유즈모먼트_면세점뒤졌는데</t>
        </is>
      </c>
      <c r="B8959" s="27" t="n">
        <v>44337</v>
      </c>
      <c r="C8959" s="20" t="inlineStr">
        <is>
          <t>금</t>
        </is>
      </c>
      <c r="D8959" s="20" t="inlineStr">
        <is>
          <t>유튜브 광고</t>
        </is>
      </c>
      <c r="E8959" s="20" t="inlineStr">
        <is>
          <t>고체향수</t>
        </is>
      </c>
      <c r="K8959" s="20" t="n">
        <v>302526</v>
      </c>
    </row>
    <row r="8960">
      <c r="A8960" s="20" t="inlineStr">
        <is>
          <t>웹사이트 트래픽 서치</t>
        </is>
      </c>
      <c r="B8960" s="27" t="n">
        <v>44338</v>
      </c>
      <c r="C8960" s="20" t="inlineStr">
        <is>
          <t>토</t>
        </is>
      </c>
      <c r="D8960" s="20" t="inlineStr">
        <is>
          <t>유튜브 광고</t>
        </is>
      </c>
      <c r="E8960" s="20" t="inlineStr">
        <is>
          <t>고체향수</t>
        </is>
      </c>
      <c r="K8960" s="20" t="n">
        <v>40574</v>
      </c>
    </row>
    <row r="8961">
      <c r="A8961" s="20" t="inlineStr">
        <is>
          <t>디스커버리 배너_승무원,할인_리마케팅</t>
        </is>
      </c>
      <c r="B8961" s="27" t="n">
        <v>44338</v>
      </c>
      <c r="C8961" s="20" t="inlineStr">
        <is>
          <t>토</t>
        </is>
      </c>
      <c r="D8961" s="20" t="inlineStr">
        <is>
          <t>유튜브 광고</t>
        </is>
      </c>
      <c r="E8961" s="20" t="inlineStr">
        <is>
          <t>고체향수</t>
        </is>
      </c>
      <c r="K8961" s="20" t="n">
        <v>800547</v>
      </c>
    </row>
    <row r="8962">
      <c r="A8962" s="20" t="inlineStr">
        <is>
          <t>[5화자] 동영상 캠페인_벨라의 비행일기</t>
        </is>
      </c>
      <c r="B8962" s="27" t="n">
        <v>44338</v>
      </c>
      <c r="C8962" s="20" t="inlineStr">
        <is>
          <t>토</t>
        </is>
      </c>
      <c r="D8962" s="20" t="inlineStr">
        <is>
          <t>유튜브 광고</t>
        </is>
      </c>
      <c r="E8962" s="20" t="inlineStr">
        <is>
          <t>고체향수</t>
        </is>
      </c>
      <c r="K8962" s="20" t="n">
        <v>398490</v>
      </c>
    </row>
    <row r="8963">
      <c r="A8963" s="20" t="inlineStr">
        <is>
          <t>[5화자] 동영상 캠페인_비행하고 여행하는 은선씨</t>
        </is>
      </c>
      <c r="B8963" s="27" t="n">
        <v>44338</v>
      </c>
      <c r="C8963" s="20" t="inlineStr">
        <is>
          <t>토</t>
        </is>
      </c>
      <c r="D8963" s="20" t="inlineStr">
        <is>
          <t>유튜브 광고</t>
        </is>
      </c>
      <c r="E8963" s="20" t="inlineStr">
        <is>
          <t>고체향수</t>
        </is>
      </c>
      <c r="K8963" s="20" t="n">
        <v>199637</v>
      </c>
    </row>
    <row r="8964">
      <c r="A8964" s="20" t="inlineStr">
        <is>
          <t>[5화자 재편집] 승무원_벨라_면세점에서 천만원</t>
        </is>
      </c>
      <c r="B8964" s="27" t="n">
        <v>44338</v>
      </c>
      <c r="C8964" s="20" t="inlineStr">
        <is>
          <t>토</t>
        </is>
      </c>
      <c r="D8964" s="20" t="inlineStr">
        <is>
          <t>유튜브 광고</t>
        </is>
      </c>
      <c r="E8964" s="20" t="inlineStr">
        <is>
          <t>고체향수</t>
        </is>
      </c>
      <c r="K8964" s="20" t="n">
        <v>398555</v>
      </c>
    </row>
    <row r="8965">
      <c r="A8965" s="20" t="inlineStr">
        <is>
          <t>동영상캠페인_유즈모먼트_면세점뒤졌는데</t>
        </is>
      </c>
      <c r="B8965" s="27" t="n">
        <v>44338</v>
      </c>
      <c r="C8965" s="20" t="inlineStr">
        <is>
          <t>토</t>
        </is>
      </c>
      <c r="D8965" s="20" t="inlineStr">
        <is>
          <t>유튜브 광고</t>
        </is>
      </c>
      <c r="E8965" s="20" t="inlineStr">
        <is>
          <t>고체향수</t>
        </is>
      </c>
      <c r="K8965" s="20" t="n">
        <v>299256</v>
      </c>
    </row>
    <row r="8966">
      <c r="A8966" s="20" t="inlineStr">
        <is>
          <t>웹사이트 트래픽 서치</t>
        </is>
      </c>
      <c r="B8966" s="27" t="n">
        <v>44339</v>
      </c>
      <c r="C8966" s="20" t="inlineStr">
        <is>
          <t>일</t>
        </is>
      </c>
      <c r="D8966" s="20" t="inlineStr">
        <is>
          <t>유튜브 광고</t>
        </is>
      </c>
      <c r="E8966" s="20" t="inlineStr">
        <is>
          <t>고체향수</t>
        </is>
      </c>
      <c r="K8966" s="20" t="n">
        <v>34216</v>
      </c>
    </row>
    <row r="8967">
      <c r="A8967" s="20" t="inlineStr">
        <is>
          <t>디스커버리 배너_승무원,할인_리마케팅</t>
        </is>
      </c>
      <c r="B8967" s="27" t="n">
        <v>44339</v>
      </c>
      <c r="C8967" s="20" t="inlineStr">
        <is>
          <t>일</t>
        </is>
      </c>
      <c r="D8967" s="20" t="inlineStr">
        <is>
          <t>유튜브 광고</t>
        </is>
      </c>
      <c r="E8967" s="20" t="inlineStr">
        <is>
          <t>고체향수</t>
        </is>
      </c>
      <c r="K8967" s="20" t="n">
        <v>870695</v>
      </c>
    </row>
    <row r="8968">
      <c r="A8968" s="20" t="inlineStr">
        <is>
          <t>[5화자] 동영상 캠페인_벨라의 비행일기</t>
        </is>
      </c>
      <c r="B8968" s="27" t="n">
        <v>44339</v>
      </c>
      <c r="C8968" s="20" t="inlineStr">
        <is>
          <t>일</t>
        </is>
      </c>
      <c r="D8968" s="20" t="inlineStr">
        <is>
          <t>유튜브 광고</t>
        </is>
      </c>
      <c r="E8968" s="20" t="inlineStr">
        <is>
          <t>고체향수</t>
        </is>
      </c>
      <c r="K8968" s="20" t="n">
        <v>399128</v>
      </c>
    </row>
    <row r="8969">
      <c r="A8969" s="20" t="inlineStr">
        <is>
          <t>[5화자] 동영상 캠페인_비행하고 여행하는 은선씨</t>
        </is>
      </c>
      <c r="B8969" s="27" t="n">
        <v>44339</v>
      </c>
      <c r="C8969" s="20" t="inlineStr">
        <is>
          <t>일</t>
        </is>
      </c>
      <c r="D8969" s="20" t="inlineStr">
        <is>
          <t>유튜브 광고</t>
        </is>
      </c>
      <c r="E8969" s="20" t="inlineStr">
        <is>
          <t>고체향수</t>
        </is>
      </c>
      <c r="K8969" s="20" t="n">
        <v>199825</v>
      </c>
    </row>
    <row r="8970">
      <c r="A8970" s="20" t="inlineStr">
        <is>
          <t>[5화자 재편집] 승무원_벨라_면세점에서 천만원</t>
        </is>
      </c>
      <c r="B8970" s="27" t="n">
        <v>44339</v>
      </c>
      <c r="C8970" s="20" t="inlineStr">
        <is>
          <t>일</t>
        </is>
      </c>
      <c r="D8970" s="20" t="inlineStr">
        <is>
          <t>유튜브 광고</t>
        </is>
      </c>
      <c r="E8970" s="20" t="inlineStr">
        <is>
          <t>고체향수</t>
        </is>
      </c>
      <c r="K8970" s="20" t="n">
        <v>398834</v>
      </c>
    </row>
    <row r="8971">
      <c r="A8971" s="20" t="inlineStr">
        <is>
          <t>동영상캠페인_유즈모먼트_면세점뒤졌는데</t>
        </is>
      </c>
      <c r="B8971" s="27" t="n">
        <v>44339</v>
      </c>
      <c r="C8971" s="20" t="inlineStr">
        <is>
          <t>일</t>
        </is>
      </c>
      <c r="D8971" s="20" t="inlineStr">
        <is>
          <t>유튜브 광고</t>
        </is>
      </c>
      <c r="E8971" s="20" t="inlineStr">
        <is>
          <t>고체향수</t>
        </is>
      </c>
      <c r="K8971" s="20" t="n">
        <v>299208</v>
      </c>
    </row>
    <row r="8972">
      <c r="A8972" s="20" t="inlineStr">
        <is>
          <t>메인키워드</t>
        </is>
      </c>
      <c r="B8972" s="27" t="n">
        <v>44339</v>
      </c>
      <c r="C8972" s="20" t="inlineStr">
        <is>
          <t>일</t>
        </is>
      </c>
      <c r="D8972" s="20" t="inlineStr">
        <is>
          <t>네이버 쇼핑검색</t>
        </is>
      </c>
      <c r="E8972" s="20" t="inlineStr">
        <is>
          <t>고체향수</t>
        </is>
      </c>
      <c r="K8972" s="20" t="n">
        <v>11330</v>
      </c>
    </row>
    <row r="8973">
      <c r="A8973" s="20" t="inlineStr">
        <is>
          <t>세부키워드1</t>
        </is>
      </c>
      <c r="B8973" s="27" t="n">
        <v>44339</v>
      </c>
      <c r="C8973" s="20" t="inlineStr">
        <is>
          <t>일</t>
        </is>
      </c>
      <c r="D8973" s="20" t="inlineStr">
        <is>
          <t>네이버 쇼핑검색</t>
        </is>
      </c>
      <c r="E8973" s="20" t="inlineStr">
        <is>
          <t>고체향수</t>
        </is>
      </c>
      <c r="K8973" s="20" t="n">
        <v>479.9999999999999</v>
      </c>
    </row>
    <row r="8974">
      <c r="A8974" s="20" t="inlineStr">
        <is>
          <t>세부키워드3</t>
        </is>
      </c>
      <c r="B8974" s="27" t="n">
        <v>44339</v>
      </c>
      <c r="C8974" s="20" t="inlineStr">
        <is>
          <t>일</t>
        </is>
      </c>
      <c r="D8974" s="20" t="inlineStr">
        <is>
          <t>네이버 쇼핑검색</t>
        </is>
      </c>
      <c r="E8974" s="20" t="inlineStr">
        <is>
          <t>고체향수</t>
        </is>
      </c>
      <c r="K8974" s="20" t="n">
        <v>124620</v>
      </c>
    </row>
    <row r="8975">
      <c r="A8975" s="20" t="inlineStr">
        <is>
          <t>모바일 브검</t>
        </is>
      </c>
      <c r="B8975" s="27" t="n">
        <v>44339</v>
      </c>
      <c r="C8975" s="20" t="inlineStr">
        <is>
          <t>일</t>
        </is>
      </c>
      <c r="D8975" s="20" t="inlineStr">
        <is>
          <t>네이버 브랜드검색</t>
        </is>
      </c>
      <c r="E8975" s="20" t="inlineStr">
        <is>
          <t>브랜드</t>
        </is>
      </c>
      <c r="K8975" s="20" t="n">
        <v>88000</v>
      </c>
    </row>
    <row r="8976">
      <c r="A8976" s="20" t="inlineStr">
        <is>
          <t>PC 브랜드검색</t>
        </is>
      </c>
      <c r="B8976" s="27" t="n">
        <v>44339</v>
      </c>
      <c r="C8976" s="20" t="inlineStr">
        <is>
          <t>일</t>
        </is>
      </c>
      <c r="D8976" s="20" t="inlineStr">
        <is>
          <t>네이버 브랜드검색</t>
        </is>
      </c>
      <c r="E8976" s="20" t="inlineStr">
        <is>
          <t>브랜드</t>
        </is>
      </c>
      <c r="K8976" s="20" t="n">
        <v>16700</v>
      </c>
    </row>
    <row r="8977">
      <c r="A8977" s="20" t="inlineStr">
        <is>
          <t>메인키워드</t>
        </is>
      </c>
      <c r="B8977" s="27" t="n">
        <v>44338</v>
      </c>
      <c r="C8977" s="20" t="inlineStr">
        <is>
          <t>토</t>
        </is>
      </c>
      <c r="D8977" s="20" t="inlineStr">
        <is>
          <t>네이버 쇼핑검색</t>
        </is>
      </c>
      <c r="E8977" s="20" t="inlineStr">
        <is>
          <t>고체향수</t>
        </is>
      </c>
      <c r="K8977" s="20" t="n">
        <v>19220</v>
      </c>
    </row>
    <row r="8978">
      <c r="A8978" s="20" t="inlineStr">
        <is>
          <t>세부키워드1</t>
        </is>
      </c>
      <c r="B8978" s="27" t="n">
        <v>44338</v>
      </c>
      <c r="C8978" s="20" t="inlineStr">
        <is>
          <t>토</t>
        </is>
      </c>
      <c r="D8978" s="20" t="inlineStr">
        <is>
          <t>네이버 쇼핑검색</t>
        </is>
      </c>
      <c r="E8978" s="20" t="inlineStr">
        <is>
          <t>고체향수</t>
        </is>
      </c>
      <c r="K8978" s="20" t="n">
        <v>479.9999999999999</v>
      </c>
    </row>
    <row r="8979">
      <c r="A8979" s="20" t="inlineStr">
        <is>
          <t>세부키워드3</t>
        </is>
      </c>
      <c r="B8979" s="27" t="n">
        <v>44338</v>
      </c>
      <c r="C8979" s="20" t="inlineStr">
        <is>
          <t>토</t>
        </is>
      </c>
      <c r="D8979" s="20" t="inlineStr">
        <is>
          <t>네이버 쇼핑검색</t>
        </is>
      </c>
      <c r="E8979" s="20" t="inlineStr">
        <is>
          <t>고체향수</t>
        </is>
      </c>
      <c r="K8979" s="20" t="n">
        <v>116080</v>
      </c>
    </row>
    <row r="8980">
      <c r="A8980" s="20" t="inlineStr">
        <is>
          <t>모바일 브검</t>
        </is>
      </c>
      <c r="B8980" s="27" t="n">
        <v>44338</v>
      </c>
      <c r="C8980" s="20" t="inlineStr">
        <is>
          <t>토</t>
        </is>
      </c>
      <c r="D8980" s="20" t="inlineStr">
        <is>
          <t>네이버 브랜드검색</t>
        </is>
      </c>
      <c r="E8980" s="20" t="inlineStr">
        <is>
          <t>브랜드</t>
        </is>
      </c>
      <c r="K8980" s="20" t="n">
        <v>88000</v>
      </c>
    </row>
    <row r="8981">
      <c r="A8981" s="20" t="inlineStr">
        <is>
          <t>PC 브랜드검색</t>
        </is>
      </c>
      <c r="B8981" s="27" t="n">
        <v>44338</v>
      </c>
      <c r="C8981" s="20" t="inlineStr">
        <is>
          <t>토</t>
        </is>
      </c>
      <c r="D8981" s="20" t="inlineStr">
        <is>
          <t>네이버 브랜드검색</t>
        </is>
      </c>
      <c r="E8981" s="20" t="inlineStr">
        <is>
          <t>브랜드</t>
        </is>
      </c>
      <c r="K8981" s="20" t="n">
        <v>16700</v>
      </c>
    </row>
    <row r="8982">
      <c r="A8982" s="20" t="inlineStr">
        <is>
          <t>메인키워드</t>
        </is>
      </c>
      <c r="B8982" s="27" t="n">
        <v>44337</v>
      </c>
      <c r="C8982" s="20" t="inlineStr">
        <is>
          <t>금</t>
        </is>
      </c>
      <c r="D8982" s="20" t="inlineStr">
        <is>
          <t>네이버 쇼핑검색</t>
        </is>
      </c>
      <c r="E8982" s="20" t="inlineStr">
        <is>
          <t>고체향수</t>
        </is>
      </c>
      <c r="K8982" s="20" t="n">
        <v>22530</v>
      </c>
    </row>
    <row r="8983">
      <c r="A8983" s="20" t="inlineStr">
        <is>
          <t>세부키워드1</t>
        </is>
      </c>
      <c r="B8983" s="27" t="n">
        <v>44337</v>
      </c>
      <c r="C8983" s="20" t="inlineStr">
        <is>
          <t>금</t>
        </is>
      </c>
      <c r="D8983" s="20" t="inlineStr">
        <is>
          <t>네이버 쇼핑검색</t>
        </is>
      </c>
      <c r="E8983" s="20" t="inlineStr">
        <is>
          <t>고체향수</t>
        </is>
      </c>
      <c r="K8983" s="20" t="n">
        <v>0</v>
      </c>
    </row>
    <row r="8984">
      <c r="A8984" s="20" t="inlineStr">
        <is>
          <t>세부키워드3</t>
        </is>
      </c>
      <c r="B8984" s="27" t="n">
        <v>44337</v>
      </c>
      <c r="C8984" s="20" t="inlineStr">
        <is>
          <t>금</t>
        </is>
      </c>
      <c r="D8984" s="20" t="inlineStr">
        <is>
          <t>네이버 쇼핑검색</t>
        </is>
      </c>
      <c r="E8984" s="20" t="inlineStr">
        <is>
          <t>고체향수</t>
        </is>
      </c>
      <c r="K8984" s="20" t="n">
        <v>113770</v>
      </c>
    </row>
    <row r="8985">
      <c r="A8985" s="20" t="inlineStr">
        <is>
          <t>모바일 브검</t>
        </is>
      </c>
      <c r="B8985" s="27" t="n">
        <v>44337</v>
      </c>
      <c r="C8985" s="20" t="inlineStr">
        <is>
          <t>금</t>
        </is>
      </c>
      <c r="D8985" s="20" t="inlineStr">
        <is>
          <t>네이버 브랜드검색</t>
        </is>
      </c>
      <c r="E8985" s="20" t="inlineStr">
        <is>
          <t>브랜드</t>
        </is>
      </c>
      <c r="K8985" s="20" t="n">
        <v>88000</v>
      </c>
    </row>
    <row r="8986">
      <c r="A8986" s="20" t="inlineStr">
        <is>
          <t>PC 브랜드검색</t>
        </is>
      </c>
      <c r="B8986" s="27" t="n">
        <v>44337</v>
      </c>
      <c r="C8986" s="20" t="inlineStr">
        <is>
          <t>금</t>
        </is>
      </c>
      <c r="D8986" s="20" t="inlineStr">
        <is>
          <t>네이버 브랜드검색</t>
        </is>
      </c>
      <c r="E8986" s="20" t="inlineStr">
        <is>
          <t>브랜드</t>
        </is>
      </c>
      <c r="K8986" s="20" t="n">
        <v>16700</v>
      </c>
    </row>
    <row r="8987">
      <c r="A8987" s="20" t="inlineStr">
        <is>
          <t>고체향수_승무원 어피_Npay 추적</t>
        </is>
      </c>
      <c r="B8987" s="27" t="n">
        <v>44337</v>
      </c>
      <c r="C8987" s="20" t="inlineStr">
        <is>
          <t>금</t>
        </is>
      </c>
      <c r="D8987" s="20" t="inlineStr">
        <is>
          <t>카카오 배너</t>
        </is>
      </c>
      <c r="E8987" s="20" t="inlineStr">
        <is>
          <t>고체향수</t>
        </is>
      </c>
      <c r="K8987" s="20" t="n">
        <v>91129.99999999999</v>
      </c>
    </row>
    <row r="8988">
      <c r="A8988" s="20" t="inlineStr">
        <is>
          <t>고체향수_Npay 추적</t>
        </is>
      </c>
      <c r="B8988" s="27" t="n">
        <v>44337</v>
      </c>
      <c r="C8988" s="20" t="inlineStr">
        <is>
          <t>금</t>
        </is>
      </c>
      <c r="D8988" s="20" t="inlineStr">
        <is>
          <t>카카오 배너</t>
        </is>
      </c>
      <c r="E8988" s="20" t="inlineStr">
        <is>
          <t>고체향수</t>
        </is>
      </c>
      <c r="K8988" s="20" t="n">
        <v>727789.9999999999</v>
      </c>
    </row>
    <row r="8989">
      <c r="A8989" s="20" t="inlineStr">
        <is>
          <t>고체향수_승무원 어피_Npay 추적</t>
        </is>
      </c>
      <c r="B8989" s="27" t="n">
        <v>44338</v>
      </c>
      <c r="C8989" s="20" t="inlineStr">
        <is>
          <t>토</t>
        </is>
      </c>
      <c r="D8989" s="20" t="inlineStr">
        <is>
          <t>카카오 배너</t>
        </is>
      </c>
      <c r="E8989" s="20" t="inlineStr">
        <is>
          <t>고체향수</t>
        </is>
      </c>
      <c r="K8989" s="20" t="n">
        <v>90989.99999999999</v>
      </c>
    </row>
    <row r="8990">
      <c r="A8990" s="20" t="inlineStr">
        <is>
          <t>고체향수_Npay 추적</t>
        </is>
      </c>
      <c r="B8990" s="27" t="n">
        <v>44338</v>
      </c>
      <c r="C8990" s="20" t="inlineStr">
        <is>
          <t>토</t>
        </is>
      </c>
      <c r="D8990" s="20" t="inlineStr">
        <is>
          <t>카카오 배너</t>
        </is>
      </c>
      <c r="E8990" s="20" t="inlineStr">
        <is>
          <t>고체향수</t>
        </is>
      </c>
      <c r="K8990" s="20" t="n">
        <v>727589.9999999999</v>
      </c>
    </row>
    <row r="8991">
      <c r="A8991" s="20" t="inlineStr">
        <is>
          <t>고체향수_승무원 어피_Npay 추적</t>
        </is>
      </c>
      <c r="B8991" s="27" t="n">
        <v>44339</v>
      </c>
      <c r="C8991" s="20" t="inlineStr">
        <is>
          <t>일</t>
        </is>
      </c>
      <c r="D8991" s="20" t="inlineStr">
        <is>
          <t>카카오 배너</t>
        </is>
      </c>
      <c r="E8991" s="20" t="inlineStr">
        <is>
          <t>고체향수</t>
        </is>
      </c>
      <c r="K8991" s="20" t="n">
        <v>91299.99999999999</v>
      </c>
    </row>
    <row r="8992">
      <c r="A8992" s="20" t="inlineStr">
        <is>
          <t>고체향수_Npay 추적</t>
        </is>
      </c>
      <c r="B8992" s="27" t="n">
        <v>44339</v>
      </c>
      <c r="C8992" s="20" t="inlineStr">
        <is>
          <t>일</t>
        </is>
      </c>
      <c r="D8992" s="20" t="inlineStr">
        <is>
          <t>카카오 배너</t>
        </is>
      </c>
      <c r="E8992" s="20" t="inlineStr">
        <is>
          <t>고체향수</t>
        </is>
      </c>
      <c r="K8992" s="20" t="n">
        <v>729809.9999999999</v>
      </c>
    </row>
    <row r="8993">
      <c r="B8993" s="27" t="n">
        <v>44337</v>
      </c>
      <c r="C8993" s="20" t="inlineStr">
        <is>
          <t>금</t>
        </is>
      </c>
      <c r="E8993" s="20" t="inlineStr">
        <is>
          <t>고체향수</t>
        </is>
      </c>
      <c r="F8993" s="20" t="inlineStr">
        <is>
          <t>W컨셉</t>
        </is>
      </c>
      <c r="G8993" s="20" t="inlineStr">
        <is>
          <t>솔리드퍼퓸 이그나이트/스테이포에버 30ml (2종 택1)&lt;옵션1&gt;001 IGNITE</t>
        </is>
      </c>
      <c r="H8993" s="20" t="n">
        <v>1</v>
      </c>
      <c r="I8993" s="20" t="inlineStr">
        <is>
          <t>이그나이트</t>
        </is>
      </c>
      <c r="J8993" s="20" t="inlineStr">
        <is>
          <t>210501</t>
        </is>
      </c>
      <c r="L8993" s="20" t="n">
        <v>34000</v>
      </c>
      <c r="M8993" s="20" t="n">
        <v>23800</v>
      </c>
      <c r="N8993" s="20" t="n">
        <v>2625</v>
      </c>
      <c r="O8993" s="20" t="inlineStr">
        <is>
          <t>W컨셉고체향수솔리드퍼퓸 이그나이트/스테이포에버 30ml (2종 택1)&lt;옵션1&gt;001 IGNITE210501</t>
        </is>
      </c>
    </row>
    <row r="8994">
      <c r="B8994" s="27" t="n">
        <v>44337</v>
      </c>
      <c r="C8994" s="20" t="inlineStr">
        <is>
          <t>금</t>
        </is>
      </c>
      <c r="E8994" s="20" t="inlineStr">
        <is>
          <t>고체향수</t>
        </is>
      </c>
      <c r="F8994" s="20" t="inlineStr">
        <is>
          <t>W컨셉</t>
        </is>
      </c>
      <c r="G8994" s="20" t="inlineStr">
        <is>
          <t>솔리드퍼퓸 이그나이트/스테이포에버 30ml (2종 택1)&lt;옵션1&gt;002 STAY FOREVER</t>
        </is>
      </c>
      <c r="H8994" s="20" t="n">
        <v>5</v>
      </c>
      <c r="I8994" s="20" t="inlineStr">
        <is>
          <t>스테이포에버</t>
        </is>
      </c>
      <c r="J8994" s="20" t="inlineStr">
        <is>
          <t>210501</t>
        </is>
      </c>
      <c r="L8994" s="20" t="n">
        <v>170000</v>
      </c>
      <c r="M8994" s="20" t="n">
        <v>119000</v>
      </c>
      <c r="N8994" s="20" t="n">
        <v>12770</v>
      </c>
      <c r="O8994" s="20" t="inlineStr">
        <is>
          <t>W컨셉고체향수솔리드퍼퓸 이그나이트/스테이포에버 30ml (2종 택1)&lt;옵션1&gt;002 STAY FOREVER210501</t>
        </is>
      </c>
    </row>
    <row r="8995">
      <c r="B8995" s="27" t="n">
        <v>44337</v>
      </c>
      <c r="C8995" s="20" t="inlineStr">
        <is>
          <t>금</t>
        </is>
      </c>
      <c r="E8995" s="20" t="inlineStr">
        <is>
          <t>고체향수</t>
        </is>
      </c>
      <c r="F8995" s="20" t="inlineStr">
        <is>
          <t>스마트스토어</t>
        </is>
      </c>
      <c r="G8995" s="20" t="inlineStr">
        <is>
          <t>유즈 고체향수 세트(유즈 스테이포에버, 유즈 이그나이트)고체향수: 스테이포에버 2개</t>
        </is>
      </c>
      <c r="H8995" s="20" t="n">
        <v>1</v>
      </c>
      <c r="I8995" s="20" t="inlineStr">
        <is>
          <t>스테이포에버 2set</t>
        </is>
      </c>
      <c r="J8995" s="20" t="inlineStr">
        <is>
          <t>210501</t>
        </is>
      </c>
      <c r="L8995" s="20" t="n">
        <v>58800</v>
      </c>
      <c r="M8995" s="20" t="n">
        <v>57624</v>
      </c>
      <c r="N8995" s="20" t="n">
        <v>5108</v>
      </c>
      <c r="O8995" s="20" t="inlineStr">
        <is>
          <t>스마트스토어고체향수유즈 고체향수 세트(유즈 스테이포에버, 유즈 이그나이트)고체향수: 스테이포에버 2개210501</t>
        </is>
      </c>
    </row>
    <row r="8996">
      <c r="B8996" s="27" t="n">
        <v>44337</v>
      </c>
      <c r="C8996" s="20" t="inlineStr">
        <is>
          <t>금</t>
        </is>
      </c>
      <c r="E8996" s="20" t="inlineStr">
        <is>
          <t>고체향수</t>
        </is>
      </c>
      <c r="F8996" s="20" t="inlineStr">
        <is>
          <t>스마트스토어</t>
        </is>
      </c>
      <c r="G8996" s="20" t="inlineStr">
        <is>
          <t>유즈 고체향수 스테이포에버 002고체향수: 스테이포에버 1개</t>
        </is>
      </c>
      <c r="H8996" s="20" t="n">
        <v>12</v>
      </c>
      <c r="I8996" s="20" t="inlineStr">
        <is>
          <t>스테이포에버</t>
        </is>
      </c>
      <c r="J8996" s="20" t="inlineStr">
        <is>
          <t>210501</t>
        </is>
      </c>
      <c r="L8996" s="20" t="n">
        <v>408000</v>
      </c>
      <c r="M8996" s="20" t="n">
        <v>399840</v>
      </c>
      <c r="N8996" s="20" t="n">
        <v>30648</v>
      </c>
      <c r="O8996" s="20" t="inlineStr">
        <is>
          <t>스마트스토어고체향수유즈 고체향수 스테이포에버 002고체향수: 스테이포에버 1개210501</t>
        </is>
      </c>
    </row>
    <row r="8997">
      <c r="B8997" s="27" t="n">
        <v>44337</v>
      </c>
      <c r="C8997" s="20" t="inlineStr">
        <is>
          <t>금</t>
        </is>
      </c>
      <c r="E8997" s="20" t="inlineStr">
        <is>
          <t>0</t>
        </is>
      </c>
      <c r="F8997" s="20" t="inlineStr">
        <is>
          <t>유즈 CS</t>
        </is>
      </c>
      <c r="G8997" s="20" t="inlineStr">
        <is>
          <t>솔리드퍼퓸 스페셜 기프트 세트</t>
        </is>
      </c>
      <c r="H8997" s="20" t="n">
        <v>1</v>
      </c>
      <c r="I8997" s="20" t="inlineStr">
        <is>
          <t>0</t>
        </is>
      </c>
      <c r="J8997" s="20" t="inlineStr">
        <is>
          <t>210501</t>
        </is>
      </c>
      <c r="L8997" s="20" t="n">
        <v>0</v>
      </c>
      <c r="M8997" s="20" t="n">
        <v>0</v>
      </c>
      <c r="N8997" s="20" t="n">
        <v>0</v>
      </c>
      <c r="O8997" s="20" t="inlineStr">
        <is>
          <t>유즈 CS0솔리드퍼퓸 스페셜 기프트 세트210501</t>
        </is>
      </c>
    </row>
    <row r="8998">
      <c r="B8998" s="27" t="n">
        <v>44337</v>
      </c>
      <c r="C8998" s="20" t="inlineStr">
        <is>
          <t>금</t>
        </is>
      </c>
      <c r="E8998" s="20" t="inlineStr">
        <is>
          <t>고체향수</t>
        </is>
      </c>
      <c r="F8998" s="20" t="inlineStr">
        <is>
          <t>카페24</t>
        </is>
      </c>
      <c r="G8998" s="20" t="inlineStr">
        <is>
          <t>솔리드퍼퓸 세트향=이그나이트 001 SOLID PERFUME, 세트 선택=1개</t>
        </is>
      </c>
      <c r="H8998" s="20" t="n">
        <v>1</v>
      </c>
      <c r="I8998" s="20" t="inlineStr">
        <is>
          <t>이그나이트</t>
        </is>
      </c>
      <c r="J8998" s="20" t="inlineStr">
        <is>
          <t>210501</t>
        </is>
      </c>
      <c r="L8998" s="20" t="n">
        <v>34000</v>
      </c>
      <c r="M8998" s="20" t="n">
        <v>32011</v>
      </c>
      <c r="N8998" s="20" t="n">
        <v>2625</v>
      </c>
      <c r="O8998" s="20" t="inlineStr">
        <is>
          <t>카페24고체향수솔리드퍼퓸 세트향=이그나이트 001 SOLID PERFUME, 세트 선택=1개210501</t>
        </is>
      </c>
    </row>
    <row r="8999">
      <c r="B8999" s="27" t="n">
        <v>44337</v>
      </c>
      <c r="C8999" s="20" t="inlineStr">
        <is>
          <t>금</t>
        </is>
      </c>
      <c r="E8999" s="20" t="inlineStr">
        <is>
          <t>고체향수</t>
        </is>
      </c>
      <c r="F8999" s="20" t="inlineStr">
        <is>
          <t>카페24</t>
        </is>
      </c>
      <c r="G8999" s="20" t="inlineStr">
        <is>
          <t>솔리드퍼퓸 세트향=스테이포에버 002 SOLID PERFUME, 세트 선택=1개</t>
        </is>
      </c>
      <c r="H8999" s="20" t="n">
        <v>4</v>
      </c>
      <c r="I8999" s="20" t="inlineStr">
        <is>
          <t>스테이포에버</t>
        </is>
      </c>
      <c r="J8999" s="20" t="inlineStr">
        <is>
          <t>210501</t>
        </is>
      </c>
      <c r="L8999" s="20" t="n">
        <v>136000</v>
      </c>
      <c r="M8999" s="20" t="n">
        <v>128044</v>
      </c>
      <c r="N8999" s="20" t="n">
        <v>10216</v>
      </c>
      <c r="O8999" s="20" t="inlineStr">
        <is>
          <t>카페24고체향수솔리드퍼퓸 세트향=스테이포에버 002 SOLID PERFUME, 세트 선택=1개210501</t>
        </is>
      </c>
    </row>
    <row r="9000">
      <c r="B9000" s="27" t="n">
        <v>44337</v>
      </c>
      <c r="C9000" s="20" t="inlineStr">
        <is>
          <t>금</t>
        </is>
      </c>
      <c r="E9000" s="20" t="inlineStr">
        <is>
          <t>고체향수</t>
        </is>
      </c>
      <c r="F9000" s="20" t="inlineStr">
        <is>
          <t>카페24</t>
        </is>
      </c>
      <c r="G9000" s="20" t="inlineStr">
        <is>
          <t>솔리드퍼퓸 세트향=스테이포에버 002 SOLID PERFUME, 세트 선택=best 2개 (28% 할인)</t>
        </is>
      </c>
      <c r="H9000" s="20" t="n">
        <v>6</v>
      </c>
      <c r="I9000" s="20" t="inlineStr">
        <is>
          <t>스테이포에버 2set</t>
        </is>
      </c>
      <c r="J9000" s="20" t="inlineStr">
        <is>
          <t>210501</t>
        </is>
      </c>
      <c r="L9000" s="20" t="n">
        <v>352800</v>
      </c>
      <c r="M9000" s="20" t="n">
        <v>332161.2</v>
      </c>
      <c r="N9000" s="20" t="n">
        <v>30648</v>
      </c>
      <c r="O9000" s="20" t="inlineStr">
        <is>
          <t>카페24고체향수솔리드퍼퓸 세트향=스테이포에버 002 SOLID PERFUME, 세트 선택=best 2개 (28% 할인)210501</t>
        </is>
      </c>
    </row>
    <row r="9001">
      <c r="B9001" s="27" t="n">
        <v>44337</v>
      </c>
      <c r="C9001" s="20" t="inlineStr">
        <is>
          <t>금</t>
        </is>
      </c>
      <c r="E9001" s="20" t="inlineStr">
        <is>
          <t>고체향수</t>
        </is>
      </c>
      <c r="F9001" s="20" t="inlineStr">
        <is>
          <t>카페24</t>
        </is>
      </c>
      <c r="G9001" s="20" t="inlineStr">
        <is>
          <t>솔리드퍼퓸 세트향=커플세트(이그나이트 + 스테이포에버), 세트 선택=1 SET</t>
        </is>
      </c>
      <c r="H9001" s="20" t="n">
        <v>9</v>
      </c>
      <c r="I9001" s="20" t="inlineStr">
        <is>
          <t>이그나이트 + 스테이포에버</t>
        </is>
      </c>
      <c r="J9001" s="20" t="inlineStr">
        <is>
          <t>210501</t>
        </is>
      </c>
      <c r="L9001" s="20" t="n">
        <v>529200</v>
      </c>
      <c r="M9001" s="20" t="n">
        <v>498241.8</v>
      </c>
      <c r="N9001" s="20" t="n">
        <v>46611</v>
      </c>
      <c r="O9001" s="20" t="inlineStr">
        <is>
          <t>카페24고체향수솔리드퍼퓸 세트향=커플세트(이그나이트 + 스테이포에버), 세트 선택=1 SET210501</t>
        </is>
      </c>
    </row>
    <row r="9002">
      <c r="B9002" s="27" t="n">
        <v>44337</v>
      </c>
      <c r="C9002" s="20" t="inlineStr">
        <is>
          <t>금</t>
        </is>
      </c>
      <c r="E9002" s="20" t="inlineStr">
        <is>
          <t>고체향수</t>
        </is>
      </c>
      <c r="F9002" s="20" t="inlineStr">
        <is>
          <t>카페24</t>
        </is>
      </c>
      <c r="G9002" s="20" t="inlineStr">
        <is>
          <t>솔리드퍼퓸 스테이포에버 002제품선택=스테이포에버 1개</t>
        </is>
      </c>
      <c r="H9002" s="20" t="n">
        <v>178</v>
      </c>
      <c r="I9002" s="20" t="inlineStr">
        <is>
          <t>스테이포에버</t>
        </is>
      </c>
      <c r="J9002" s="20" t="inlineStr">
        <is>
          <t>210501</t>
        </is>
      </c>
      <c r="L9002" s="20" t="n">
        <v>6052000</v>
      </c>
      <c r="M9002" s="20" t="n">
        <v>5697958</v>
      </c>
      <c r="N9002" s="20" t="n">
        <v>454612</v>
      </c>
      <c r="O9002" s="20" t="inlineStr">
        <is>
          <t>카페24고체향수솔리드퍼퓸 스테이포에버 002제품선택=스테이포에버 1개210501</t>
        </is>
      </c>
    </row>
    <row r="9003">
      <c r="B9003" s="27" t="n">
        <v>44337</v>
      </c>
      <c r="C9003" s="20" t="inlineStr">
        <is>
          <t>금</t>
        </is>
      </c>
      <c r="E9003" s="20" t="inlineStr">
        <is>
          <t>고체향수</t>
        </is>
      </c>
      <c r="F9003" s="20" t="inlineStr">
        <is>
          <t>카페24</t>
        </is>
      </c>
      <c r="G9003" s="20" t="inlineStr">
        <is>
          <t>솔리드퍼퓸 스테이포에버 002제품선택=best스테이포에버 2개[28% 할인]</t>
        </is>
      </c>
      <c r="H9003" s="20" t="n">
        <v>110</v>
      </c>
      <c r="I9003" s="20" t="inlineStr">
        <is>
          <t>스테이포에버 2set</t>
        </is>
      </c>
      <c r="J9003" s="20" t="inlineStr">
        <is>
          <t>210501</t>
        </is>
      </c>
      <c r="L9003" s="20" t="n">
        <v>6468000</v>
      </c>
      <c r="M9003" s="20" t="n">
        <v>6089622</v>
      </c>
      <c r="N9003" s="20" t="n">
        <v>561880</v>
      </c>
      <c r="O9003" s="20" t="inlineStr">
        <is>
          <t>카페24고체향수솔리드퍼퓸 스테이포에버 002제품선택=best스테이포에버 2개[28% 할인]210501</t>
        </is>
      </c>
    </row>
    <row r="9004">
      <c r="B9004" s="27" t="n">
        <v>44337</v>
      </c>
      <c r="C9004" s="20" t="inlineStr">
        <is>
          <t>금</t>
        </is>
      </c>
      <c r="E9004" s="20" t="inlineStr">
        <is>
          <t>고체향수</t>
        </is>
      </c>
      <c r="F9004" s="20" t="inlineStr">
        <is>
          <t>카페24</t>
        </is>
      </c>
      <c r="G9004" s="20" t="inlineStr">
        <is>
          <t>솔리드퍼퓸 스테이포에버 002제품선택=커플추천스테이포에버 + 이그나이트 세트</t>
        </is>
      </c>
      <c r="H9004" s="20" t="n">
        <v>7</v>
      </c>
      <c r="I9004" s="20" t="inlineStr">
        <is>
          <t>이그나이트 + 스테이포에버</t>
        </is>
      </c>
      <c r="J9004" s="20" t="inlineStr">
        <is>
          <t>210501</t>
        </is>
      </c>
      <c r="L9004" s="20" t="n">
        <v>411600</v>
      </c>
      <c r="M9004" s="20" t="n">
        <v>387521.4</v>
      </c>
      <c r="N9004" s="20" t="n">
        <v>36253</v>
      </c>
      <c r="O9004" s="20" t="inlineStr">
        <is>
          <t>카페24고체향수솔리드퍼퓸 스테이포에버 002제품선택=커플추천스테이포에버 + 이그나이트 세트210501</t>
        </is>
      </c>
    </row>
    <row r="9005">
      <c r="B9005" s="27" t="n">
        <v>44337</v>
      </c>
      <c r="C9005" s="20" t="inlineStr">
        <is>
          <t>금</t>
        </is>
      </c>
      <c r="E9005" s="20" t="inlineStr">
        <is>
          <t>쇼핑백</t>
        </is>
      </c>
      <c r="F9005" s="20" t="inlineStr">
        <is>
          <t>카페24</t>
        </is>
      </c>
      <c r="G9005" s="20" t="inlineStr">
        <is>
          <t>솔리드퍼퓸 스테이포에버 002쇼핑백=선물용 쇼핑백</t>
        </is>
      </c>
      <c r="H9005" s="20" t="n">
        <v>7</v>
      </c>
      <c r="I9005" s="20" t="inlineStr">
        <is>
          <t>쇼핑백</t>
        </is>
      </c>
      <c r="J9005" s="20" t="inlineStr">
        <is>
          <t>210501</t>
        </is>
      </c>
      <c r="L9005" s="20" t="n">
        <v>14000</v>
      </c>
      <c r="M9005" s="20" t="n">
        <v>13181</v>
      </c>
      <c r="N9005" s="20" t="n">
        <v>5810</v>
      </c>
      <c r="O9005" s="20" t="inlineStr">
        <is>
          <t>카페24쇼핑백솔리드퍼퓸 스테이포에버 002쇼핑백=선물용 쇼핑백210501</t>
        </is>
      </c>
    </row>
    <row r="9006">
      <c r="B9006" s="27" t="n">
        <v>44337</v>
      </c>
      <c r="C9006" s="20" t="inlineStr">
        <is>
          <t>금</t>
        </is>
      </c>
      <c r="E9006" s="20" t="inlineStr">
        <is>
          <t>고체향수</t>
        </is>
      </c>
      <c r="F9006" s="20" t="inlineStr">
        <is>
          <t>카페24</t>
        </is>
      </c>
      <c r="G9006" s="20" t="inlineStr">
        <is>
          <t>솔리드퍼퓸 스페셜 기프트 세트제품 선택=Event 2✨스테이포에버 단품[35% 할인]</t>
        </is>
      </c>
      <c r="H9006" s="20" t="n">
        <v>1</v>
      </c>
      <c r="I9006" s="20" t="inlineStr">
        <is>
          <t>5월 프로모션 스테이포에버</t>
        </is>
      </c>
      <c r="J9006" s="20" t="inlineStr">
        <is>
          <t>210501</t>
        </is>
      </c>
      <c r="L9006" s="20" t="n">
        <v>27900</v>
      </c>
      <c r="M9006" s="20" t="n">
        <v>26267.85</v>
      </c>
      <c r="N9006" s="20" t="n">
        <v>3384</v>
      </c>
      <c r="O9006" s="20" t="inlineStr">
        <is>
          <t>카페24고체향수솔리드퍼퓸 스페셜 기프트 세트제품 선택=Event 2✨스테이포에버 단품[35% 할인]210501</t>
        </is>
      </c>
    </row>
    <row r="9007">
      <c r="B9007" s="27" t="n">
        <v>44337</v>
      </c>
      <c r="C9007" s="20" t="inlineStr">
        <is>
          <t>금</t>
        </is>
      </c>
      <c r="E9007" s="20" t="inlineStr">
        <is>
          <t>고체향수</t>
        </is>
      </c>
      <c r="F9007" s="20" t="inlineStr">
        <is>
          <t>카페24</t>
        </is>
      </c>
      <c r="G9007" s="20" t="inlineStr">
        <is>
          <t>솔리드퍼퓸 스페셜 기프트 세트제품 선택=Event 1솔리드퍼퓸 2종 set[40% 할인], 수량 선택=1개</t>
        </is>
      </c>
      <c r="H9007" s="20" t="n">
        <v>30</v>
      </c>
      <c r="I9007" s="20" t="inlineStr">
        <is>
          <t>5월 프로모션 이그나이트+스테이포에버</t>
        </is>
      </c>
      <c r="J9007" s="20" t="inlineStr">
        <is>
          <t>210501</t>
        </is>
      </c>
      <c r="L9007" s="20" t="n">
        <v>1512000</v>
      </c>
      <c r="M9007" s="20" t="n">
        <v>1423548</v>
      </c>
      <c r="N9007" s="20" t="n">
        <v>214860</v>
      </c>
      <c r="O9007" s="20" t="inlineStr">
        <is>
          <t>카페24고체향수솔리드퍼퓸 스페셜 기프트 세트제품 선택=Event 1솔리드퍼퓸 2종 set[40% 할인], 수량 선택=1개210501</t>
        </is>
      </c>
    </row>
    <row r="9008">
      <c r="B9008" s="27" t="n">
        <v>44337</v>
      </c>
      <c r="C9008" s="20" t="inlineStr">
        <is>
          <t>금</t>
        </is>
      </c>
      <c r="E9008" s="20" t="inlineStr">
        <is>
          <t>고체향수</t>
        </is>
      </c>
      <c r="F9008" s="20" t="inlineStr">
        <is>
          <t>카페24</t>
        </is>
      </c>
      <c r="G9008" s="20" t="inlineStr">
        <is>
          <t>솔리드퍼퓸 스페셜 기프트 세트제품 선택=Event 1솔리드퍼퓸 2종 set[40% 할인], 수량 선택=2개</t>
        </is>
      </c>
      <c r="H9008" s="20" t="n">
        <v>1</v>
      </c>
      <c r="I9008" s="20" t="inlineStr">
        <is>
          <t>5월 프로모션 이그나이트+스테이포에버 2 set</t>
        </is>
      </c>
      <c r="J9008" s="20" t="inlineStr">
        <is>
          <t>210501</t>
        </is>
      </c>
      <c r="L9008" s="20" t="n">
        <v>10800</v>
      </c>
      <c r="M9008" s="20" t="n">
        <v>10168.2</v>
      </c>
      <c r="N9008" s="20" t="n">
        <v>14324</v>
      </c>
      <c r="O9008" s="20" t="inlineStr">
        <is>
          <t>카페24고체향수솔리드퍼퓸 스페셜 기프트 세트제품 선택=Event 1솔리드퍼퓸 2종 set[40% 할인], 수량 선택=2개210501</t>
        </is>
      </c>
    </row>
    <row r="9009">
      <c r="B9009" s="27" t="n">
        <v>44337</v>
      </c>
      <c r="C9009" s="20" t="inlineStr">
        <is>
          <t>금</t>
        </is>
      </c>
      <c r="E9009" s="20" t="inlineStr">
        <is>
          <t>고체향수</t>
        </is>
      </c>
      <c r="F9009" s="20" t="inlineStr">
        <is>
          <t>카페24</t>
        </is>
      </c>
      <c r="G9009" s="20" t="inlineStr">
        <is>
          <t>솔리드퍼퓸 스페셜 기프트 세트제품 선택=Event 2✨스테이포에버 단품[35% 할인], 수량 선택=1개</t>
        </is>
      </c>
      <c r="H9009" s="20" t="n">
        <v>10</v>
      </c>
      <c r="I9009" s="20" t="inlineStr">
        <is>
          <t>5월 프로모션 스테이포에버</t>
        </is>
      </c>
      <c r="J9009" s="20" t="inlineStr">
        <is>
          <t>210501</t>
        </is>
      </c>
      <c r="L9009" s="20" t="n">
        <v>279000</v>
      </c>
      <c r="M9009" s="20" t="n">
        <v>262678.5</v>
      </c>
      <c r="N9009" s="20" t="n">
        <v>33840</v>
      </c>
      <c r="O9009" s="20" t="inlineStr">
        <is>
          <t>카페24고체향수솔리드퍼퓸 스페셜 기프트 세트제품 선택=Event 2✨스테이포에버 단품[35% 할인], 수량 선택=1개210501</t>
        </is>
      </c>
    </row>
    <row r="9010">
      <c r="B9010" s="27" t="n">
        <v>44337</v>
      </c>
      <c r="C9010" s="20" t="inlineStr">
        <is>
          <t>금</t>
        </is>
      </c>
      <c r="E9010" s="20" t="inlineStr">
        <is>
          <t>고체향수</t>
        </is>
      </c>
      <c r="F9010" s="20" t="inlineStr">
        <is>
          <t>카페24</t>
        </is>
      </c>
      <c r="G9010" s="20" t="inlineStr">
        <is>
          <t>솔리드퍼퓸 스페셜 기프트 세트제품 선택=Event 2✨스테이포에버 단품[35% 할인], 수량 선택=2개</t>
        </is>
      </c>
      <c r="H9010" s="20" t="n">
        <v>2</v>
      </c>
      <c r="I9010" s="20" t="inlineStr">
        <is>
          <t>5월 프로모션 스테이포에버 2set</t>
        </is>
      </c>
      <c r="J9010" s="20" t="inlineStr">
        <is>
          <t>210501</t>
        </is>
      </c>
      <c r="L9010" s="20" t="n">
        <v>111600</v>
      </c>
      <c r="M9010" s="20" t="n">
        <v>105071.4</v>
      </c>
      <c r="N9010" s="20" t="n">
        <v>13536</v>
      </c>
      <c r="O9010" s="20" t="inlineStr">
        <is>
          <t>카페24고체향수솔리드퍼퓸 스페셜 기프트 세트제품 선택=Event 2✨스테이포에버 단품[35% 할인], 수량 선택=2개210501</t>
        </is>
      </c>
    </row>
    <row r="9011">
      <c r="B9011" s="27" t="n">
        <v>44337</v>
      </c>
      <c r="C9011" s="20" t="inlineStr">
        <is>
          <t>금</t>
        </is>
      </c>
      <c r="E9011" s="20" t="inlineStr">
        <is>
          <t>고체향수</t>
        </is>
      </c>
      <c r="F9011" s="20" t="inlineStr">
        <is>
          <t>카페24</t>
        </is>
      </c>
      <c r="G9011" s="20" t="inlineStr">
        <is>
          <t>솔리드퍼퓸 스페셜 기프트 세트제품 선택=Event 2✨이그나이트 단품[35% 할인], 수량 선택=1개</t>
        </is>
      </c>
      <c r="H9011" s="20" t="n">
        <v>1</v>
      </c>
      <c r="I9011" s="20" t="inlineStr">
        <is>
          <t>5월 프로모션 이그나이트</t>
        </is>
      </c>
      <c r="J9011" s="20" t="inlineStr">
        <is>
          <t>210501</t>
        </is>
      </c>
      <c r="L9011" s="20" t="n">
        <v>27900</v>
      </c>
      <c r="M9011" s="20" t="n">
        <v>26267.85</v>
      </c>
      <c r="N9011" s="20" t="n">
        <v>3455</v>
      </c>
      <c r="O9011" s="20" t="inlineStr">
        <is>
          <t>카페24고체향수솔리드퍼퓸 스페셜 기프트 세트제품 선택=Event 2✨이그나이트 단품[35% 할인], 수량 선택=1개210501</t>
        </is>
      </c>
    </row>
    <row r="9012">
      <c r="B9012" s="27" t="n">
        <v>44337</v>
      </c>
      <c r="C9012" s="20" t="inlineStr">
        <is>
          <t>금</t>
        </is>
      </c>
      <c r="E9012" s="20" t="inlineStr">
        <is>
          <t>고체향수</t>
        </is>
      </c>
      <c r="F9012" s="20" t="inlineStr">
        <is>
          <t>카페24</t>
        </is>
      </c>
      <c r="G9012" s="20" t="inlineStr">
        <is>
          <t>솔리드퍼퓸 이그나이트 001제품선택=이그나이트 솔리드퍼퓸 - 30ml</t>
        </is>
      </c>
      <c r="H9012" s="20" t="n">
        <v>3</v>
      </c>
      <c r="I9012" s="20" t="inlineStr">
        <is>
          <t>이그나이트</t>
        </is>
      </c>
      <c r="J9012" s="20" t="inlineStr">
        <is>
          <t>210501</t>
        </is>
      </c>
      <c r="L9012" s="20" t="n">
        <v>102000</v>
      </c>
      <c r="M9012" s="20" t="n">
        <v>96033</v>
      </c>
      <c r="N9012" s="20" t="n">
        <v>7875</v>
      </c>
      <c r="O9012" s="20" t="inlineStr">
        <is>
          <t>카페24고체향수솔리드퍼퓸 이그나이트 001제품선택=이그나이트 솔리드퍼퓸 - 30ml210501</t>
        </is>
      </c>
    </row>
    <row r="9013">
      <c r="B9013" s="27" t="n">
        <v>44338</v>
      </c>
      <c r="C9013" s="20" t="inlineStr">
        <is>
          <t>토</t>
        </is>
      </c>
      <c r="E9013" s="20" t="inlineStr">
        <is>
          <t>고체향수</t>
        </is>
      </c>
      <c r="F9013" s="20" t="inlineStr">
        <is>
          <t>스마트스토어</t>
        </is>
      </c>
      <c r="G9013" s="20" t="inlineStr">
        <is>
          <t>유즈 고체향수 세트(유즈 스테이포에버, 유즈 이그나이트)고체향수: 스테이포에버 1개 + 이그나이트 1개</t>
        </is>
      </c>
      <c r="H9013" s="20" t="n">
        <v>1</v>
      </c>
      <c r="I9013" s="20" t="inlineStr">
        <is>
          <t>이그나이트 + 스테이포에버</t>
        </is>
      </c>
      <c r="J9013" s="20" t="inlineStr">
        <is>
          <t>210501</t>
        </is>
      </c>
      <c r="L9013" s="20" t="n">
        <v>58800</v>
      </c>
      <c r="M9013" s="20" t="n">
        <v>55360.2</v>
      </c>
      <c r="N9013" s="20" t="n">
        <v>5179</v>
      </c>
      <c r="O9013" s="20" t="inlineStr">
        <is>
          <t>스마트스토어고체향수유즈 고체향수 세트(유즈 스테이포에버, 유즈 이그나이트)고체향수: 스테이포에버 1개 + 이그나이트 1개210501</t>
        </is>
      </c>
    </row>
    <row r="9014">
      <c r="B9014" s="27" t="n">
        <v>44338</v>
      </c>
      <c r="C9014" s="20" t="inlineStr">
        <is>
          <t>토</t>
        </is>
      </c>
      <c r="E9014" s="20" t="inlineStr">
        <is>
          <t>고체향수</t>
        </is>
      </c>
      <c r="F9014" s="20" t="inlineStr">
        <is>
          <t>스마트스토어</t>
        </is>
      </c>
      <c r="G9014" s="20" t="inlineStr">
        <is>
          <t>유즈 고체향수 세트(유즈 스테이포에버, 유즈 이그나이트)고체향수: 스테이포에버 2개</t>
        </is>
      </c>
      <c r="H9014" s="20" t="n">
        <v>1</v>
      </c>
      <c r="I9014" s="20" t="inlineStr">
        <is>
          <t>스테이포에버 2set</t>
        </is>
      </c>
      <c r="J9014" s="20" t="inlineStr">
        <is>
          <t>210501</t>
        </is>
      </c>
      <c r="L9014" s="20" t="n">
        <v>58800</v>
      </c>
      <c r="M9014" s="20" t="n">
        <v>57624</v>
      </c>
      <c r="N9014" s="20" t="n">
        <v>5108</v>
      </c>
      <c r="O9014" s="20" t="inlineStr">
        <is>
          <t>스마트스토어고체향수유즈 고체향수 세트(유즈 스테이포에버, 유즈 이그나이트)고체향수: 스테이포에버 2개210501</t>
        </is>
      </c>
    </row>
    <row r="9015">
      <c r="B9015" s="27" t="n">
        <v>44338</v>
      </c>
      <c r="C9015" s="20" t="inlineStr">
        <is>
          <t>토</t>
        </is>
      </c>
      <c r="E9015" s="20" t="inlineStr">
        <is>
          <t>고체향수</t>
        </is>
      </c>
      <c r="F9015" s="20" t="inlineStr">
        <is>
          <t>스마트스토어</t>
        </is>
      </c>
      <c r="G9015" s="20" t="inlineStr">
        <is>
          <t>유즈 고체향수 스테이포에버 002고체향수: 스테이포에버 1개</t>
        </is>
      </c>
      <c r="H9015" s="20" t="n">
        <v>11</v>
      </c>
      <c r="I9015" s="20" t="inlineStr">
        <is>
          <t>스테이포에버</t>
        </is>
      </c>
      <c r="J9015" s="20" t="inlineStr">
        <is>
          <t>210501</t>
        </is>
      </c>
      <c r="L9015" s="20" t="n">
        <v>374000</v>
      </c>
      <c r="M9015" s="20" t="n">
        <v>366520</v>
      </c>
      <c r="N9015" s="20" t="n">
        <v>28094</v>
      </c>
      <c r="O9015" s="20" t="inlineStr">
        <is>
          <t>스마트스토어고체향수유즈 고체향수 스테이포에버 002고체향수: 스테이포에버 1개210501</t>
        </is>
      </c>
    </row>
    <row r="9016">
      <c r="B9016" s="27" t="n">
        <v>44338</v>
      </c>
      <c r="C9016" s="20" t="inlineStr">
        <is>
          <t>토</t>
        </is>
      </c>
      <c r="E9016" s="20" t="inlineStr">
        <is>
          <t>고체향수</t>
        </is>
      </c>
      <c r="F9016" s="20" t="inlineStr">
        <is>
          <t>카페24</t>
        </is>
      </c>
      <c r="G9016" s="20" t="inlineStr">
        <is>
          <t>솔리드퍼퓸 세트향=이그나이트 001 SOLID PERFUME, 세트 선택=1개</t>
        </is>
      </c>
      <c r="H9016" s="20" t="n">
        <v>1</v>
      </c>
      <c r="I9016" s="20" t="inlineStr">
        <is>
          <t>이그나이트</t>
        </is>
      </c>
      <c r="J9016" s="20" t="inlineStr">
        <is>
          <t>210501</t>
        </is>
      </c>
      <c r="L9016" s="20" t="n">
        <v>34000</v>
      </c>
      <c r="M9016" s="20" t="n">
        <v>32011</v>
      </c>
      <c r="N9016" s="20" t="n">
        <v>2625</v>
      </c>
      <c r="O9016" s="20" t="inlineStr">
        <is>
          <t>카페24고체향수솔리드퍼퓸 세트향=이그나이트 001 SOLID PERFUME, 세트 선택=1개210501</t>
        </is>
      </c>
    </row>
    <row r="9017">
      <c r="B9017" s="27" t="n">
        <v>44338</v>
      </c>
      <c r="C9017" s="20" t="inlineStr">
        <is>
          <t>토</t>
        </is>
      </c>
      <c r="E9017" s="20" t="inlineStr">
        <is>
          <t>고체향수</t>
        </is>
      </c>
      <c r="F9017" s="20" t="inlineStr">
        <is>
          <t>카페24</t>
        </is>
      </c>
      <c r="G9017" s="20" t="inlineStr">
        <is>
          <t>솔리드퍼퓸 세트향=스테이포에버 002 SOLID PERFUME, 세트 선택=1개</t>
        </is>
      </c>
      <c r="H9017" s="20" t="n">
        <v>2</v>
      </c>
      <c r="I9017" s="20" t="inlineStr">
        <is>
          <t>스테이포에버</t>
        </is>
      </c>
      <c r="J9017" s="20" t="inlineStr">
        <is>
          <t>210501</t>
        </is>
      </c>
      <c r="L9017" s="20" t="n">
        <v>68000</v>
      </c>
      <c r="M9017" s="20" t="n">
        <v>64022</v>
      </c>
      <c r="N9017" s="20" t="n">
        <v>5108</v>
      </c>
      <c r="O9017" s="20" t="inlineStr">
        <is>
          <t>카페24고체향수솔리드퍼퓸 세트향=스테이포에버 002 SOLID PERFUME, 세트 선택=1개210501</t>
        </is>
      </c>
    </row>
    <row r="9018">
      <c r="B9018" s="27" t="n">
        <v>44338</v>
      </c>
      <c r="C9018" s="20" t="inlineStr">
        <is>
          <t>토</t>
        </is>
      </c>
      <c r="E9018" s="20" t="inlineStr">
        <is>
          <t>고체향수</t>
        </is>
      </c>
      <c r="F9018" s="20" t="inlineStr">
        <is>
          <t>카페24</t>
        </is>
      </c>
      <c r="G9018" s="20" t="inlineStr">
        <is>
          <t>솔리드퍼퓸 세트향=스테이포에버 002 SOLID PERFUME, 세트 선택=best 2개 (28% 할인)</t>
        </is>
      </c>
      <c r="H9018" s="20" t="n">
        <v>7</v>
      </c>
      <c r="I9018" s="20" t="inlineStr">
        <is>
          <t>스테이포에버 2set</t>
        </is>
      </c>
      <c r="J9018" s="20" t="inlineStr">
        <is>
          <t>210501</t>
        </is>
      </c>
      <c r="L9018" s="20" t="n">
        <v>411600</v>
      </c>
      <c r="M9018" s="20" t="n">
        <v>387521.4</v>
      </c>
      <c r="N9018" s="20" t="n">
        <v>35756</v>
      </c>
      <c r="O9018" s="20" t="inlineStr">
        <is>
          <t>카페24고체향수솔리드퍼퓸 세트향=스테이포에버 002 SOLID PERFUME, 세트 선택=best 2개 (28% 할인)210501</t>
        </is>
      </c>
    </row>
    <row r="9019">
      <c r="B9019" s="27" t="n">
        <v>44338</v>
      </c>
      <c r="C9019" s="20" t="inlineStr">
        <is>
          <t>토</t>
        </is>
      </c>
      <c r="E9019" s="20" t="inlineStr">
        <is>
          <t>고체향수</t>
        </is>
      </c>
      <c r="F9019" s="20" t="inlineStr">
        <is>
          <t>카페24</t>
        </is>
      </c>
      <c r="G9019" s="20" t="inlineStr">
        <is>
          <t>솔리드퍼퓸 세트향=커플세트(이그나이트 + 스테이포에버), 세트 선택=1 SET</t>
        </is>
      </c>
      <c r="H9019" s="20" t="n">
        <v>8</v>
      </c>
      <c r="I9019" s="20" t="inlineStr">
        <is>
          <t>이그나이트 + 스테이포에버</t>
        </is>
      </c>
      <c r="J9019" s="20" t="inlineStr">
        <is>
          <t>210501</t>
        </is>
      </c>
      <c r="L9019" s="20" t="n">
        <v>470400</v>
      </c>
      <c r="M9019" s="20" t="n">
        <v>442881.6</v>
      </c>
      <c r="N9019" s="20" t="n">
        <v>41432</v>
      </c>
      <c r="O9019" s="20" t="inlineStr">
        <is>
          <t>카페24고체향수솔리드퍼퓸 세트향=커플세트(이그나이트 + 스테이포에버), 세트 선택=1 SET210501</t>
        </is>
      </c>
    </row>
    <row r="9020">
      <c r="B9020" s="27" t="n">
        <v>44338</v>
      </c>
      <c r="C9020" s="20" t="inlineStr">
        <is>
          <t>토</t>
        </is>
      </c>
      <c r="E9020" s="20" t="inlineStr">
        <is>
          <t>고체향수</t>
        </is>
      </c>
      <c r="F9020" s="20" t="inlineStr">
        <is>
          <t>카페24</t>
        </is>
      </c>
      <c r="G9020" s="20" t="inlineStr">
        <is>
          <t>솔리드퍼퓸 세트향=커플세트(이그나이트 + 스테이포에버), 세트 선택=2 SET (42% 할인)</t>
        </is>
      </c>
      <c r="H9020" s="20" t="n">
        <v>3</v>
      </c>
      <c r="I9020" s="20" t="inlineStr">
        <is>
          <t>이그나이트 + 스테이포에버</t>
        </is>
      </c>
      <c r="J9020" s="20" t="inlineStr">
        <is>
          <t>210501</t>
        </is>
      </c>
      <c r="L9020" s="20" t="n">
        <v>176400</v>
      </c>
      <c r="M9020" s="20" t="n">
        <v>166080.6</v>
      </c>
      <c r="N9020" s="20" t="n">
        <v>15537</v>
      </c>
      <c r="O9020" s="20" t="inlineStr">
        <is>
          <t>카페24고체향수솔리드퍼퓸 세트향=커플세트(이그나이트 + 스테이포에버), 세트 선택=2 SET (42% 할인)210501</t>
        </is>
      </c>
    </row>
    <row r="9021">
      <c r="B9021" s="27" t="n">
        <v>44338</v>
      </c>
      <c r="C9021" s="20" t="inlineStr">
        <is>
          <t>토</t>
        </is>
      </c>
      <c r="E9021" s="20" t="inlineStr">
        <is>
          <t>고체향수</t>
        </is>
      </c>
      <c r="F9021" s="20" t="inlineStr">
        <is>
          <t>카페24</t>
        </is>
      </c>
      <c r="G9021" s="20" t="inlineStr">
        <is>
          <t>솔리드퍼퓸 스테이포에버 002제품선택=스테이포에버 1개</t>
        </is>
      </c>
      <c r="H9021" s="20" t="n">
        <v>183</v>
      </c>
      <c r="I9021" s="20" t="inlineStr">
        <is>
          <t>스테이포에버</t>
        </is>
      </c>
      <c r="J9021" s="20" t="inlineStr">
        <is>
          <t>210501</t>
        </is>
      </c>
      <c r="L9021" s="20" t="n">
        <v>6222000</v>
      </c>
      <c r="M9021" s="20" t="n">
        <v>5858013</v>
      </c>
      <c r="N9021" s="20" t="n">
        <v>467382</v>
      </c>
      <c r="O9021" s="20" t="inlineStr">
        <is>
          <t>카페24고체향수솔리드퍼퓸 스테이포에버 002제품선택=스테이포에버 1개210501</t>
        </is>
      </c>
    </row>
    <row r="9022">
      <c r="B9022" s="27" t="n">
        <v>44338</v>
      </c>
      <c r="C9022" s="20" t="inlineStr">
        <is>
          <t>토</t>
        </is>
      </c>
      <c r="E9022" s="20" t="inlineStr">
        <is>
          <t>고체향수</t>
        </is>
      </c>
      <c r="F9022" s="20" t="inlineStr">
        <is>
          <t>카페24</t>
        </is>
      </c>
      <c r="G9022" s="20" t="inlineStr">
        <is>
          <t>솔리드퍼퓸 스테이포에버 002제품선택=best스테이포에버 2개[28% 할인]</t>
        </is>
      </c>
      <c r="H9022" s="20" t="n">
        <v>121</v>
      </c>
      <c r="I9022" s="20" t="inlineStr">
        <is>
          <t>스테이포에버 2set</t>
        </is>
      </c>
      <c r="J9022" s="20" t="inlineStr">
        <is>
          <t>210501</t>
        </is>
      </c>
      <c r="L9022" s="20" t="n">
        <v>7114800</v>
      </c>
      <c r="M9022" s="20" t="n">
        <v>6698584.199999999</v>
      </c>
      <c r="N9022" s="20" t="n">
        <v>618068</v>
      </c>
      <c r="O9022" s="20" t="inlineStr">
        <is>
          <t>카페24고체향수솔리드퍼퓸 스테이포에버 002제품선택=best스테이포에버 2개[28% 할인]210501</t>
        </is>
      </c>
    </row>
    <row r="9023">
      <c r="B9023" s="27" t="n">
        <v>44338</v>
      </c>
      <c r="C9023" s="20" t="inlineStr">
        <is>
          <t>토</t>
        </is>
      </c>
      <c r="E9023" s="20" t="inlineStr">
        <is>
          <t>고체향수</t>
        </is>
      </c>
      <c r="F9023" s="20" t="inlineStr">
        <is>
          <t>카페24</t>
        </is>
      </c>
      <c r="G9023" s="20" t="inlineStr">
        <is>
          <t>솔리드퍼퓸 스테이포에버 002제품선택=커플추천스테이포에버 + 이그나이트 세트</t>
        </is>
      </c>
      <c r="H9023" s="20" t="n">
        <v>14</v>
      </c>
      <c r="I9023" s="20" t="inlineStr">
        <is>
          <t>이그나이트 + 스테이포에버</t>
        </is>
      </c>
      <c r="J9023" s="20" t="inlineStr">
        <is>
          <t>210501</t>
        </is>
      </c>
      <c r="L9023" s="20" t="n">
        <v>823200</v>
      </c>
      <c r="M9023" s="20" t="n">
        <v>775042.7999999999</v>
      </c>
      <c r="N9023" s="20" t="n">
        <v>72506</v>
      </c>
      <c r="O9023" s="20" t="inlineStr">
        <is>
          <t>카페24고체향수솔리드퍼퓸 스테이포에버 002제품선택=커플추천스테이포에버 + 이그나이트 세트210501</t>
        </is>
      </c>
    </row>
    <row r="9024">
      <c r="B9024" s="27" t="n">
        <v>44338</v>
      </c>
      <c r="C9024" s="20" t="inlineStr">
        <is>
          <t>토</t>
        </is>
      </c>
      <c r="E9024" s="20" t="inlineStr">
        <is>
          <t>쇼핑백</t>
        </is>
      </c>
      <c r="F9024" s="20" t="inlineStr">
        <is>
          <t>카페24</t>
        </is>
      </c>
      <c r="G9024" s="20" t="inlineStr">
        <is>
          <t>솔리드퍼퓸 스테이포에버 002쇼핑백=선물용 쇼핑백</t>
        </is>
      </c>
      <c r="H9024" s="20" t="n">
        <v>1</v>
      </c>
      <c r="I9024" s="20" t="inlineStr">
        <is>
          <t>쇼핑백</t>
        </is>
      </c>
      <c r="J9024" s="20" t="inlineStr">
        <is>
          <t>210501</t>
        </is>
      </c>
      <c r="L9024" s="20" t="n">
        <v>2000</v>
      </c>
      <c r="M9024" s="20" t="n">
        <v>1883</v>
      </c>
      <c r="N9024" s="20" t="n">
        <v>830</v>
      </c>
      <c r="O9024" s="20" t="inlineStr">
        <is>
          <t>카페24쇼핑백솔리드퍼퓸 스테이포에버 002쇼핑백=선물용 쇼핑백210501</t>
        </is>
      </c>
    </row>
    <row r="9025">
      <c r="B9025" s="27" t="n">
        <v>44338</v>
      </c>
      <c r="C9025" s="20" t="inlineStr">
        <is>
          <t>토</t>
        </is>
      </c>
      <c r="E9025" s="20" t="inlineStr">
        <is>
          <t>고체향수</t>
        </is>
      </c>
      <c r="F9025" s="20" t="inlineStr">
        <is>
          <t>카페24</t>
        </is>
      </c>
      <c r="G9025" s="20" t="inlineStr">
        <is>
          <t>솔리드퍼퓸 스페셜 기프트 세트제품 선택=Event 1솔리드퍼퓸 2종 set[40% 할인], 수량 선택=1개</t>
        </is>
      </c>
      <c r="H9025" s="20" t="n">
        <v>16</v>
      </c>
      <c r="I9025" s="20" t="inlineStr">
        <is>
          <t>5월 프로모션 이그나이트+스테이포에버</t>
        </is>
      </c>
      <c r="J9025" s="20" t="inlineStr">
        <is>
          <t>210501</t>
        </is>
      </c>
      <c r="L9025" s="20" t="n">
        <v>806400</v>
      </c>
      <c r="M9025" s="20" t="n">
        <v>759225.6</v>
      </c>
      <c r="N9025" s="20" t="n">
        <v>114592</v>
      </c>
      <c r="O9025" s="20" t="inlineStr">
        <is>
          <t>카페24고체향수솔리드퍼퓸 스페셜 기프트 세트제품 선택=Event 1솔리드퍼퓸 2종 set[40% 할인], 수량 선택=1개210501</t>
        </is>
      </c>
    </row>
    <row r="9026">
      <c r="B9026" s="27" t="n">
        <v>44338</v>
      </c>
      <c r="C9026" s="20" t="inlineStr">
        <is>
          <t>토</t>
        </is>
      </c>
      <c r="E9026" s="20" t="inlineStr">
        <is>
          <t>고체향수</t>
        </is>
      </c>
      <c r="F9026" s="20" t="inlineStr">
        <is>
          <t>카페24</t>
        </is>
      </c>
      <c r="G9026" s="20" t="inlineStr">
        <is>
          <t>솔리드퍼퓸 스페셜 기프트 세트제품 선택=Event 2✨스테이포에버 단품[35% 할인], 수량 선택=1개</t>
        </is>
      </c>
      <c r="H9026" s="20" t="n">
        <v>8</v>
      </c>
      <c r="I9026" s="20" t="inlineStr">
        <is>
          <t>5월 프로모션 스테이포에버</t>
        </is>
      </c>
      <c r="J9026" s="20" t="inlineStr">
        <is>
          <t>210501</t>
        </is>
      </c>
      <c r="L9026" s="20" t="n">
        <v>223200</v>
      </c>
      <c r="M9026" s="20" t="n">
        <v>210142.8</v>
      </c>
      <c r="N9026" s="20" t="n">
        <v>27072</v>
      </c>
      <c r="O9026" s="20" t="inlineStr">
        <is>
          <t>카페24고체향수솔리드퍼퓸 스페셜 기프트 세트제품 선택=Event 2✨스테이포에버 단품[35% 할인], 수량 선택=1개210501</t>
        </is>
      </c>
    </row>
    <row r="9027">
      <c r="B9027" s="27" t="n">
        <v>44338</v>
      </c>
      <c r="C9027" s="20" t="inlineStr">
        <is>
          <t>토</t>
        </is>
      </c>
      <c r="E9027" s="20" t="inlineStr">
        <is>
          <t>고체향수</t>
        </is>
      </c>
      <c r="F9027" s="20" t="inlineStr">
        <is>
          <t>카페24</t>
        </is>
      </c>
      <c r="G9027" s="20" t="inlineStr">
        <is>
          <t>솔리드퍼퓸 스페셜 기프트 세트제품 선택=Event 2✨스테이포에버 단품[35% 할인], 수량 선택=2개</t>
        </is>
      </c>
      <c r="H9027" s="20" t="n">
        <v>4</v>
      </c>
      <c r="I9027" s="20" t="inlineStr">
        <is>
          <t>5월 프로모션 스테이포에버 2set</t>
        </is>
      </c>
      <c r="J9027" s="20" t="inlineStr">
        <is>
          <t>210501</t>
        </is>
      </c>
      <c r="L9027" s="20" t="n">
        <v>223200</v>
      </c>
      <c r="M9027" s="20" t="n">
        <v>210142.8</v>
      </c>
      <c r="N9027" s="20" t="n">
        <v>27072</v>
      </c>
      <c r="O9027" s="20" t="inlineStr">
        <is>
          <t>카페24고체향수솔리드퍼퓸 스페셜 기프트 세트제품 선택=Event 2✨스테이포에버 단품[35% 할인], 수량 선택=2개210501</t>
        </is>
      </c>
    </row>
    <row r="9028">
      <c r="B9028" s="27" t="n">
        <v>44338</v>
      </c>
      <c r="C9028" s="20" t="inlineStr">
        <is>
          <t>토</t>
        </is>
      </c>
      <c r="E9028" s="20" t="inlineStr">
        <is>
          <t>고체향수</t>
        </is>
      </c>
      <c r="F9028" s="20" t="inlineStr">
        <is>
          <t>카페24</t>
        </is>
      </c>
      <c r="G9028" s="20" t="inlineStr">
        <is>
          <t>솔리드퍼퓸 스페셜 기프트 세트제품 선택=Event 2✨이그나이트 단품[35% 할인], 수량 선택=1개</t>
        </is>
      </c>
      <c r="H9028" s="20" t="n">
        <v>1</v>
      </c>
      <c r="I9028" s="20" t="inlineStr">
        <is>
          <t>5월 프로모션 이그나이트</t>
        </is>
      </c>
      <c r="J9028" s="20" t="inlineStr">
        <is>
          <t>210501</t>
        </is>
      </c>
      <c r="L9028" s="20" t="n">
        <v>27900</v>
      </c>
      <c r="M9028" s="20" t="n">
        <v>26267.85</v>
      </c>
      <c r="N9028" s="20" t="n">
        <v>3455</v>
      </c>
      <c r="O9028" s="20" t="inlineStr">
        <is>
          <t>카페24고체향수솔리드퍼퓸 스페셜 기프트 세트제품 선택=Event 2✨이그나이트 단품[35% 할인], 수량 선택=1개210501</t>
        </is>
      </c>
    </row>
    <row r="9029">
      <c r="B9029" s="27" t="n">
        <v>44338</v>
      </c>
      <c r="C9029" s="20" t="inlineStr">
        <is>
          <t>토</t>
        </is>
      </c>
      <c r="E9029" s="20" t="inlineStr">
        <is>
          <t>고체향수</t>
        </is>
      </c>
      <c r="F9029" s="20" t="inlineStr">
        <is>
          <t>카페24</t>
        </is>
      </c>
      <c r="G9029" s="20" t="inlineStr">
        <is>
          <t>솔리드퍼퓸 이그나이트 001제품선택=이그나이트 솔리드퍼퓸 - 30ml</t>
        </is>
      </c>
      <c r="H9029" s="20" t="n">
        <v>1</v>
      </c>
      <c r="I9029" s="20" t="inlineStr">
        <is>
          <t>이그나이트</t>
        </is>
      </c>
      <c r="J9029" s="20" t="inlineStr">
        <is>
          <t>210501</t>
        </is>
      </c>
      <c r="L9029" s="20" t="n">
        <v>34000</v>
      </c>
      <c r="M9029" s="20" t="n">
        <v>32011</v>
      </c>
      <c r="N9029" s="20" t="n">
        <v>2625</v>
      </c>
      <c r="O9029" s="20" t="inlineStr">
        <is>
          <t>카페24고체향수솔리드퍼퓸 이그나이트 001제품선택=이그나이트 솔리드퍼퓸 - 30ml210501</t>
        </is>
      </c>
    </row>
    <row r="9030">
      <c r="B9030" s="27" t="n">
        <v>44339</v>
      </c>
      <c r="C9030" s="20" t="inlineStr">
        <is>
          <t>일</t>
        </is>
      </c>
      <c r="E9030" s="20" t="inlineStr">
        <is>
          <t>고체향수</t>
        </is>
      </c>
      <c r="F9030" s="20" t="inlineStr">
        <is>
          <t>스마트스토어</t>
        </is>
      </c>
      <c r="G9030" s="20" t="inlineStr">
        <is>
          <t>유즈 고체향수 세트(유즈 스테이포에버, 유즈 이그나이트)고체향수: 스테이포에버 1개 + 이그나이트 1개</t>
        </is>
      </c>
      <c r="H9030" s="20" t="n">
        <v>1</v>
      </c>
      <c r="I9030" s="20" t="inlineStr">
        <is>
          <t>이그나이트 + 스테이포에버</t>
        </is>
      </c>
      <c r="J9030" s="20" t="inlineStr">
        <is>
          <t>210501</t>
        </is>
      </c>
      <c r="L9030" s="20" t="n">
        <v>58800</v>
      </c>
      <c r="M9030" s="20" t="n">
        <v>55360.2</v>
      </c>
      <c r="N9030" s="20" t="n">
        <v>5179</v>
      </c>
      <c r="O9030" s="20" t="inlineStr">
        <is>
          <t>스마트스토어고체향수유즈 고체향수 세트(유즈 스테이포에버, 유즈 이그나이트)고체향수: 스테이포에버 1개 + 이그나이트 1개210501</t>
        </is>
      </c>
    </row>
    <row r="9031">
      <c r="B9031" s="27" t="n">
        <v>44339</v>
      </c>
      <c r="C9031" s="20" t="inlineStr">
        <is>
          <t>일</t>
        </is>
      </c>
      <c r="E9031" s="20" t="inlineStr">
        <is>
          <t>고체향수</t>
        </is>
      </c>
      <c r="F9031" s="20" t="inlineStr">
        <is>
          <t>스마트스토어</t>
        </is>
      </c>
      <c r="G9031" s="20" t="inlineStr">
        <is>
          <t>유즈 고체향수 세트(유즈 스테이포에버, 유즈 이그나이트)고체향수: 스테이포에버 2개</t>
        </is>
      </c>
      <c r="H9031" s="20" t="n">
        <v>2</v>
      </c>
      <c r="I9031" s="20" t="inlineStr">
        <is>
          <t>스테이포에버 2set</t>
        </is>
      </c>
      <c r="J9031" s="20" t="inlineStr">
        <is>
          <t>210501</t>
        </is>
      </c>
      <c r="L9031" s="20" t="n">
        <v>117600</v>
      </c>
      <c r="M9031" s="20" t="n">
        <v>115248</v>
      </c>
      <c r="N9031" s="20" t="n">
        <v>10216</v>
      </c>
      <c r="O9031" s="20" t="inlineStr">
        <is>
          <t>스마트스토어고체향수유즈 고체향수 세트(유즈 스테이포에버, 유즈 이그나이트)고체향수: 스테이포에버 2개210501</t>
        </is>
      </c>
    </row>
    <row r="9032">
      <c r="B9032" s="27" t="n">
        <v>44339</v>
      </c>
      <c r="C9032" s="20" t="inlineStr">
        <is>
          <t>일</t>
        </is>
      </c>
      <c r="E9032" s="20" t="inlineStr">
        <is>
          <t>고체향수</t>
        </is>
      </c>
      <c r="F9032" s="20" t="inlineStr">
        <is>
          <t>스마트스토어</t>
        </is>
      </c>
      <c r="G9032" s="20" t="inlineStr">
        <is>
          <t>유즈 고체향수 스테이포에버 002고체향수: 스테이포에버 1개</t>
        </is>
      </c>
      <c r="H9032" s="20" t="n">
        <v>13</v>
      </c>
      <c r="I9032" s="20" t="inlineStr">
        <is>
          <t>스테이포에버</t>
        </is>
      </c>
      <c r="J9032" s="20" t="inlineStr">
        <is>
          <t>210501</t>
        </is>
      </c>
      <c r="L9032" s="20" t="n">
        <v>442000</v>
      </c>
      <c r="M9032" s="20" t="n">
        <v>433160</v>
      </c>
      <c r="N9032" s="20" t="n">
        <v>33202</v>
      </c>
      <c r="O9032" s="20" t="inlineStr">
        <is>
          <t>스마트스토어고체향수유즈 고체향수 스테이포에버 002고체향수: 스테이포에버 1개210501</t>
        </is>
      </c>
    </row>
    <row r="9033">
      <c r="B9033" s="27" t="n">
        <v>44339</v>
      </c>
      <c r="C9033" s="20" t="inlineStr">
        <is>
          <t>일</t>
        </is>
      </c>
      <c r="E9033" s="20" t="inlineStr">
        <is>
          <t>고체향수</t>
        </is>
      </c>
      <c r="F9033" s="20" t="inlineStr">
        <is>
          <t>카페24</t>
        </is>
      </c>
      <c r="G9033" s="20" t="inlineStr">
        <is>
          <t>솔리드퍼퓸 세트향=이그나이트 001 SOLID PERFUME, 세트 선택=1개</t>
        </is>
      </c>
      <c r="H9033" s="20" t="n">
        <v>2</v>
      </c>
      <c r="I9033" s="20" t="inlineStr">
        <is>
          <t>이그나이트</t>
        </is>
      </c>
      <c r="J9033" s="20" t="inlineStr">
        <is>
          <t>210501</t>
        </is>
      </c>
      <c r="L9033" s="20" t="n">
        <v>68000</v>
      </c>
      <c r="M9033" s="20" t="n">
        <v>64022</v>
      </c>
      <c r="N9033" s="20" t="n">
        <v>5250</v>
      </c>
      <c r="O9033" s="20" t="inlineStr">
        <is>
          <t>카페24고체향수솔리드퍼퓸 세트향=이그나이트 001 SOLID PERFUME, 세트 선택=1개210501</t>
        </is>
      </c>
    </row>
    <row r="9034">
      <c r="B9034" s="27" t="n">
        <v>44339</v>
      </c>
      <c r="C9034" s="20" t="inlineStr">
        <is>
          <t>일</t>
        </is>
      </c>
      <c r="E9034" s="20" t="inlineStr">
        <is>
          <t>고체향수</t>
        </is>
      </c>
      <c r="F9034" s="20" t="inlineStr">
        <is>
          <t>카페24</t>
        </is>
      </c>
      <c r="G9034" s="20" t="inlineStr">
        <is>
          <t>솔리드퍼퓸 세트향=스테이포에버 002 SOLID PERFUME, 세트 선택=1개</t>
        </is>
      </c>
      <c r="H9034" s="20" t="n">
        <v>3</v>
      </c>
      <c r="I9034" s="20" t="inlineStr">
        <is>
          <t>스테이포에버</t>
        </is>
      </c>
      <c r="J9034" s="20" t="inlineStr">
        <is>
          <t>210501</t>
        </is>
      </c>
      <c r="L9034" s="20" t="n">
        <v>102000</v>
      </c>
      <c r="M9034" s="20" t="n">
        <v>96033</v>
      </c>
      <c r="N9034" s="20" t="n">
        <v>7662</v>
      </c>
      <c r="O9034" s="20" t="inlineStr">
        <is>
          <t>카페24고체향수솔리드퍼퓸 세트향=스테이포에버 002 SOLID PERFUME, 세트 선택=1개210501</t>
        </is>
      </c>
    </row>
    <row r="9035">
      <c r="B9035" s="27" t="n">
        <v>44339</v>
      </c>
      <c r="C9035" s="20" t="inlineStr">
        <is>
          <t>일</t>
        </is>
      </c>
      <c r="E9035" s="20" t="inlineStr">
        <is>
          <t>고체향수</t>
        </is>
      </c>
      <c r="F9035" s="20" t="inlineStr">
        <is>
          <t>카페24</t>
        </is>
      </c>
      <c r="G9035" s="20" t="inlineStr">
        <is>
          <t>솔리드퍼퓸 세트향=스테이포에버 002 SOLID PERFUME, 세트 선택=best 2개 (28% 할인)</t>
        </is>
      </c>
      <c r="H9035" s="20" t="n">
        <v>5</v>
      </c>
      <c r="I9035" s="20" t="inlineStr">
        <is>
          <t>스테이포에버 2set</t>
        </is>
      </c>
      <c r="J9035" s="20" t="inlineStr">
        <is>
          <t>210501</t>
        </is>
      </c>
      <c r="L9035" s="20" t="n">
        <v>294000</v>
      </c>
      <c r="M9035" s="20" t="n">
        <v>276801</v>
      </c>
      <c r="N9035" s="20" t="n">
        <v>25540</v>
      </c>
      <c r="O9035" s="20" t="inlineStr">
        <is>
          <t>카페24고체향수솔리드퍼퓸 세트향=스테이포에버 002 SOLID PERFUME, 세트 선택=best 2개 (28% 할인)210501</t>
        </is>
      </c>
    </row>
    <row r="9036">
      <c r="B9036" s="27" t="n">
        <v>44339</v>
      </c>
      <c r="C9036" s="20" t="inlineStr">
        <is>
          <t>일</t>
        </is>
      </c>
      <c r="E9036" s="20" t="inlineStr">
        <is>
          <t>고체향수</t>
        </is>
      </c>
      <c r="F9036" s="20" t="inlineStr">
        <is>
          <t>카페24</t>
        </is>
      </c>
      <c r="G9036" s="20" t="inlineStr">
        <is>
          <t>솔리드퍼퓸 세트향=커플세트(이그나이트 + 스테이포에버), 세트 선택=1 SET</t>
        </is>
      </c>
      <c r="H9036" s="20" t="n">
        <v>6</v>
      </c>
      <c r="I9036" s="20" t="inlineStr">
        <is>
          <t>이그나이트 + 스테이포에버</t>
        </is>
      </c>
      <c r="J9036" s="20" t="inlineStr">
        <is>
          <t>210501</t>
        </is>
      </c>
      <c r="L9036" s="20" t="n">
        <v>352800</v>
      </c>
      <c r="M9036" s="20" t="n">
        <v>332161.2</v>
      </c>
      <c r="N9036" s="20" t="n">
        <v>31074</v>
      </c>
      <c r="O9036" s="20" t="inlineStr">
        <is>
          <t>카페24고체향수솔리드퍼퓸 세트향=커플세트(이그나이트 + 스테이포에버), 세트 선택=1 SET210501</t>
        </is>
      </c>
    </row>
    <row r="9037">
      <c r="B9037" s="27" t="n">
        <v>44339</v>
      </c>
      <c r="C9037" s="20" t="inlineStr">
        <is>
          <t>일</t>
        </is>
      </c>
      <c r="E9037" s="20" t="inlineStr">
        <is>
          <t>고체향수</t>
        </is>
      </c>
      <c r="F9037" s="20" t="inlineStr">
        <is>
          <t>카페24</t>
        </is>
      </c>
      <c r="G9037" s="20" t="inlineStr">
        <is>
          <t>솔리드퍼퓸 세트향=커플세트(이그나이트 + 스테이포에버), 세트 선택=2 SET (42% 할인)</t>
        </is>
      </c>
      <c r="H9037" s="20" t="n">
        <v>1</v>
      </c>
      <c r="I9037" s="20" t="inlineStr">
        <is>
          <t>이그나이트 + 스테이포에버</t>
        </is>
      </c>
      <c r="J9037" s="20" t="inlineStr">
        <is>
          <t>210501</t>
        </is>
      </c>
      <c r="L9037" s="20" t="n">
        <v>58800</v>
      </c>
      <c r="M9037" s="20" t="n">
        <v>55360.2</v>
      </c>
      <c r="N9037" s="20" t="n">
        <v>5179</v>
      </c>
      <c r="O9037" s="20" t="inlineStr">
        <is>
          <t>카페24고체향수솔리드퍼퓸 세트향=커플세트(이그나이트 + 스테이포에버), 세트 선택=2 SET (42% 할인)210501</t>
        </is>
      </c>
    </row>
    <row r="9038">
      <c r="B9038" s="27" t="n">
        <v>44339</v>
      </c>
      <c r="C9038" s="20" t="inlineStr">
        <is>
          <t>일</t>
        </is>
      </c>
      <c r="E9038" s="20" t="inlineStr">
        <is>
          <t>고체향수</t>
        </is>
      </c>
      <c r="F9038" s="20" t="inlineStr">
        <is>
          <t>카페24</t>
        </is>
      </c>
      <c r="G9038" s="20" t="inlineStr">
        <is>
          <t>솔리드퍼퓸 스테이포에버 002제품선택=스테이포에버 1개</t>
        </is>
      </c>
      <c r="H9038" s="20" t="n">
        <v>162</v>
      </c>
      <c r="I9038" s="20" t="inlineStr">
        <is>
          <t>스테이포에버</t>
        </is>
      </c>
      <c r="J9038" s="20" t="inlineStr">
        <is>
          <t>210501</t>
        </is>
      </c>
      <c r="L9038" s="20" t="n">
        <v>5508000</v>
      </c>
      <c r="M9038" s="20" t="n">
        <v>5185782</v>
      </c>
      <c r="N9038" s="20" t="n">
        <v>413748</v>
      </c>
      <c r="O9038" s="20" t="inlineStr">
        <is>
          <t>카페24고체향수솔리드퍼퓸 스테이포에버 002제품선택=스테이포에버 1개210501</t>
        </is>
      </c>
    </row>
    <row r="9039">
      <c r="B9039" s="27" t="n">
        <v>44339</v>
      </c>
      <c r="C9039" s="20" t="inlineStr">
        <is>
          <t>일</t>
        </is>
      </c>
      <c r="E9039" s="20" t="inlineStr">
        <is>
          <t>고체향수</t>
        </is>
      </c>
      <c r="F9039" s="20" t="inlineStr">
        <is>
          <t>카페24</t>
        </is>
      </c>
      <c r="G9039" s="20" t="inlineStr">
        <is>
          <t>솔리드퍼퓸 스테이포에버 002제품선택=best스테이포에버 2개[28% 할인]</t>
        </is>
      </c>
      <c r="H9039" s="20" t="n">
        <v>114</v>
      </c>
      <c r="I9039" s="20" t="inlineStr">
        <is>
          <t>스테이포에버 2set</t>
        </is>
      </c>
      <c r="J9039" s="20" t="inlineStr">
        <is>
          <t>210501</t>
        </is>
      </c>
      <c r="L9039" s="20" t="n">
        <v>6703200</v>
      </c>
      <c r="M9039" s="20" t="n">
        <v>6311062.8</v>
      </c>
      <c r="N9039" s="20" t="n">
        <v>582312</v>
      </c>
      <c r="O9039" s="20" t="inlineStr">
        <is>
          <t>카페24고체향수솔리드퍼퓸 스테이포에버 002제품선택=best스테이포에버 2개[28% 할인]210501</t>
        </is>
      </c>
    </row>
    <row r="9040">
      <c r="B9040" s="27" t="n">
        <v>44339</v>
      </c>
      <c r="C9040" s="20" t="inlineStr">
        <is>
          <t>일</t>
        </is>
      </c>
      <c r="E9040" s="20" t="inlineStr">
        <is>
          <t>고체향수</t>
        </is>
      </c>
      <c r="F9040" s="20" t="inlineStr">
        <is>
          <t>카페24</t>
        </is>
      </c>
      <c r="G9040" s="20" t="inlineStr">
        <is>
          <t>솔리드퍼퓸 스테이포에버 002제품선택=커플추천스테이포에버 + 이그나이트 세트</t>
        </is>
      </c>
      <c r="H9040" s="20" t="n">
        <v>13</v>
      </c>
      <c r="I9040" s="20" t="inlineStr">
        <is>
          <t>이그나이트 + 스테이포에버</t>
        </is>
      </c>
      <c r="J9040" s="20" t="inlineStr">
        <is>
          <t>210501</t>
        </is>
      </c>
      <c r="L9040" s="20" t="n">
        <v>764400</v>
      </c>
      <c r="M9040" s="20" t="n">
        <v>719682.6</v>
      </c>
      <c r="N9040" s="20" t="n">
        <v>67327</v>
      </c>
      <c r="O9040" s="20" t="inlineStr">
        <is>
          <t>카페24고체향수솔리드퍼퓸 스테이포에버 002제품선택=커플추천스테이포에버 + 이그나이트 세트210501</t>
        </is>
      </c>
    </row>
    <row r="9041">
      <c r="B9041" s="27" t="n">
        <v>44339</v>
      </c>
      <c r="C9041" s="20" t="inlineStr">
        <is>
          <t>일</t>
        </is>
      </c>
      <c r="E9041" s="20" t="inlineStr">
        <is>
          <t>쇼핑백</t>
        </is>
      </c>
      <c r="F9041" s="20" t="inlineStr">
        <is>
          <t>카페24</t>
        </is>
      </c>
      <c r="G9041" s="20" t="inlineStr">
        <is>
          <t>솔리드퍼퓸 스테이포에버 002쇼핑백=선물용 쇼핑백</t>
        </is>
      </c>
      <c r="H9041" s="20" t="n">
        <v>5</v>
      </c>
      <c r="I9041" s="20" t="inlineStr">
        <is>
          <t>쇼핑백</t>
        </is>
      </c>
      <c r="J9041" s="20" t="inlineStr">
        <is>
          <t>210501</t>
        </is>
      </c>
      <c r="L9041" s="20" t="n">
        <v>10000</v>
      </c>
      <c r="M9041" s="20" t="n">
        <v>9415</v>
      </c>
      <c r="N9041" s="20" t="n">
        <v>4150</v>
      </c>
      <c r="O9041" s="20" t="inlineStr">
        <is>
          <t>카페24쇼핑백솔리드퍼퓸 스테이포에버 002쇼핑백=선물용 쇼핑백210501</t>
        </is>
      </c>
    </row>
    <row r="9042">
      <c r="B9042" s="27" t="n">
        <v>44339</v>
      </c>
      <c r="C9042" s="20" t="inlineStr">
        <is>
          <t>일</t>
        </is>
      </c>
      <c r="E9042" s="20" t="inlineStr">
        <is>
          <t>고체향수</t>
        </is>
      </c>
      <c r="F9042" s="20" t="inlineStr">
        <is>
          <t>카페24</t>
        </is>
      </c>
      <c r="G9042" s="20" t="inlineStr">
        <is>
          <t>솔리드퍼퓸 스페셜 기프트 세트제품 선택=Event 1솔리드퍼퓸 2종 set[40% 할인], 수량 선택=1개</t>
        </is>
      </c>
      <c r="H9042" s="20" t="n">
        <v>22</v>
      </c>
      <c r="I9042" s="20" t="inlineStr">
        <is>
          <t>5월 프로모션 이그나이트+스테이포에버</t>
        </is>
      </c>
      <c r="J9042" s="20" t="inlineStr">
        <is>
          <t>210501</t>
        </is>
      </c>
      <c r="L9042" s="20" t="n">
        <v>1108800</v>
      </c>
      <c r="M9042" s="20" t="n">
        <v>1043935.2</v>
      </c>
      <c r="N9042" s="20" t="n">
        <v>157564</v>
      </c>
      <c r="O9042" s="20" t="inlineStr">
        <is>
          <t>카페24고체향수솔리드퍼퓸 스페셜 기프트 세트제품 선택=Event 1솔리드퍼퓸 2종 set[40% 할인], 수량 선택=1개210501</t>
        </is>
      </c>
    </row>
    <row r="9043">
      <c r="B9043" s="27" t="n">
        <v>44339</v>
      </c>
      <c r="C9043" s="20" t="inlineStr">
        <is>
          <t>일</t>
        </is>
      </c>
      <c r="E9043" s="20" t="inlineStr">
        <is>
          <t>고체향수</t>
        </is>
      </c>
      <c r="F9043" s="20" t="inlineStr">
        <is>
          <t>카페24</t>
        </is>
      </c>
      <c r="G9043" s="20" t="inlineStr">
        <is>
          <t>솔리드퍼퓸 스페셜 기프트 세트제품 선택=Event 1솔리드퍼퓸 2종 set[40% 할인], 수량 선택=2개</t>
        </is>
      </c>
      <c r="H9043" s="20" t="n">
        <v>3</v>
      </c>
      <c r="I9043" s="20" t="inlineStr">
        <is>
          <t>5월 프로모션 이그나이트+스테이포에버 2 set</t>
        </is>
      </c>
      <c r="J9043" s="20" t="inlineStr">
        <is>
          <t>210501</t>
        </is>
      </c>
      <c r="L9043" s="20" t="n">
        <v>32400</v>
      </c>
      <c r="M9043" s="20" t="n">
        <v>30504.6</v>
      </c>
      <c r="N9043" s="20" t="n">
        <v>42972</v>
      </c>
      <c r="O9043" s="20" t="inlineStr">
        <is>
          <t>카페24고체향수솔리드퍼퓸 스페셜 기프트 세트제품 선택=Event 1솔리드퍼퓸 2종 set[40% 할인], 수량 선택=2개210501</t>
        </is>
      </c>
    </row>
    <row r="9044">
      <c r="B9044" s="27" t="n">
        <v>44339</v>
      </c>
      <c r="C9044" s="20" t="inlineStr">
        <is>
          <t>일</t>
        </is>
      </c>
      <c r="E9044" s="20" t="inlineStr">
        <is>
          <t>고체향수</t>
        </is>
      </c>
      <c r="F9044" s="20" t="inlineStr">
        <is>
          <t>카페24</t>
        </is>
      </c>
      <c r="G9044" s="20" t="inlineStr">
        <is>
          <t>솔리드퍼퓸 스페셜 기프트 세트제품 선택=Event 1솔리드퍼퓸 2종 set[40% 할인], 수량 선택=3개</t>
        </is>
      </c>
      <c r="H9044" s="20" t="n">
        <v>1</v>
      </c>
      <c r="I9044" s="20" t="inlineStr">
        <is>
          <t>5월 프로모션 이그나이트+스테이포에버 3set</t>
        </is>
      </c>
      <c r="J9044" s="20" t="inlineStr">
        <is>
          <t>210501</t>
        </is>
      </c>
      <c r="L9044" s="20" t="n">
        <v>151200</v>
      </c>
      <c r="M9044" s="20" t="n">
        <v>142354.8</v>
      </c>
      <c r="N9044" s="20" t="n">
        <v>21486</v>
      </c>
      <c r="O9044" s="20" t="inlineStr">
        <is>
          <t>카페24고체향수솔리드퍼퓸 스페셜 기프트 세트제품 선택=Event 1솔리드퍼퓸 2종 set[40% 할인], 수량 선택=3개210501</t>
        </is>
      </c>
    </row>
    <row r="9045">
      <c r="B9045" s="27" t="n">
        <v>44339</v>
      </c>
      <c r="C9045" s="20" t="inlineStr">
        <is>
          <t>일</t>
        </is>
      </c>
      <c r="E9045" s="20" t="inlineStr">
        <is>
          <t>고체향수</t>
        </is>
      </c>
      <c r="F9045" s="20" t="inlineStr">
        <is>
          <t>카페24</t>
        </is>
      </c>
      <c r="G9045" s="20" t="inlineStr">
        <is>
          <t>솔리드퍼퓸 스페셜 기프트 세트제품 선택=Event 2✨스테이포에버 단품[35% 할인], 수량 선택=1개</t>
        </is>
      </c>
      <c r="H9045" s="20" t="n">
        <v>13</v>
      </c>
      <c r="I9045" s="20" t="inlineStr">
        <is>
          <t>5월 프로모션 스테이포에버</t>
        </is>
      </c>
      <c r="J9045" s="20" t="inlineStr">
        <is>
          <t>210501</t>
        </is>
      </c>
      <c r="L9045" s="20" t="n">
        <v>362700</v>
      </c>
      <c r="M9045" s="20" t="n">
        <v>341482.05</v>
      </c>
      <c r="N9045" s="20" t="n">
        <v>43992</v>
      </c>
      <c r="O9045" s="20" t="inlineStr">
        <is>
          <t>카페24고체향수솔리드퍼퓸 스페셜 기프트 세트제품 선택=Event 2✨스테이포에버 단품[35% 할인], 수량 선택=1개210501</t>
        </is>
      </c>
    </row>
    <row r="9046">
      <c r="B9046" s="27" t="n">
        <v>44339</v>
      </c>
      <c r="C9046" s="20" t="inlineStr">
        <is>
          <t>일</t>
        </is>
      </c>
      <c r="E9046" s="20" t="inlineStr">
        <is>
          <t>고체향수</t>
        </is>
      </c>
      <c r="F9046" s="20" t="inlineStr">
        <is>
          <t>카페24</t>
        </is>
      </c>
      <c r="G9046" s="20" t="inlineStr">
        <is>
          <t>솔리드퍼퓸 스페셜 기프트 세트제품 선택=Event 2✨스테이포에버 단품[35% 할인], 수량 선택=2개</t>
        </is>
      </c>
      <c r="H9046" s="20" t="n">
        <v>7</v>
      </c>
      <c r="I9046" s="20" t="inlineStr">
        <is>
          <t>5월 프로모션 스테이포에버 2set</t>
        </is>
      </c>
      <c r="J9046" s="20" t="inlineStr">
        <is>
          <t>210501</t>
        </is>
      </c>
      <c r="L9046" s="20" t="n">
        <v>390600</v>
      </c>
      <c r="M9046" s="20" t="n">
        <v>367749.9</v>
      </c>
      <c r="N9046" s="20" t="n">
        <v>47376</v>
      </c>
      <c r="O9046" s="20" t="inlineStr">
        <is>
          <t>카페24고체향수솔리드퍼퓸 스페셜 기프트 세트제품 선택=Event 2✨스테이포에버 단품[35% 할인], 수량 선택=2개210501</t>
        </is>
      </c>
    </row>
    <row r="9047">
      <c r="B9047" s="27" t="n">
        <v>44339</v>
      </c>
      <c r="C9047" s="20" t="inlineStr">
        <is>
          <t>일</t>
        </is>
      </c>
      <c r="E9047" s="20" t="inlineStr">
        <is>
          <t>고체향수</t>
        </is>
      </c>
      <c r="F9047" s="20" t="inlineStr">
        <is>
          <t>카페24</t>
        </is>
      </c>
      <c r="G9047" s="20" t="inlineStr">
        <is>
          <t>솔리드퍼퓸 이그나이트 001제품선택=이그나이트 솔리드퍼퓸 - 30ml</t>
        </is>
      </c>
      <c r="H9047" s="20" t="n">
        <v>2</v>
      </c>
      <c r="I9047" s="20" t="inlineStr">
        <is>
          <t>이그나이트</t>
        </is>
      </c>
      <c r="J9047" s="20" t="inlineStr">
        <is>
          <t>210501</t>
        </is>
      </c>
      <c r="L9047" s="20" t="n">
        <v>68000</v>
      </c>
      <c r="M9047" s="20" t="n">
        <v>64022</v>
      </c>
      <c r="N9047" s="20" t="n">
        <v>5250</v>
      </c>
      <c r="O9047" s="20" t="inlineStr">
        <is>
          <t>카페24고체향수솔리드퍼퓸 이그나이트 001제품선택=이그나이트 솔리드퍼퓸 - 30ml210501</t>
        </is>
      </c>
    </row>
    <row r="9048">
      <c r="B9048" s="27" t="n">
        <v>44339</v>
      </c>
      <c r="C9048" s="20" t="inlineStr">
        <is>
          <t>일</t>
        </is>
      </c>
      <c r="E9048" s="20" t="inlineStr">
        <is>
          <t>고체향수</t>
        </is>
      </c>
      <c r="F9048" s="20" t="inlineStr">
        <is>
          <t>카페24</t>
        </is>
      </c>
      <c r="G9048" s="20" t="inlineStr">
        <is>
          <t>솔리드퍼퓸 이그나이트 001제품선택=이그나이트 2개 세트</t>
        </is>
      </c>
      <c r="H9048" s="20" t="n">
        <v>1</v>
      </c>
      <c r="I9048" s="20" t="inlineStr">
        <is>
          <t>이그나이트 2set</t>
        </is>
      </c>
      <c r="J9048" s="20" t="inlineStr">
        <is>
          <t>210501</t>
        </is>
      </c>
      <c r="L9048" s="20" t="n">
        <v>58800</v>
      </c>
      <c r="M9048" s="20" t="n">
        <v>55360.2</v>
      </c>
      <c r="N9048" s="20" t="n">
        <v>5250</v>
      </c>
      <c r="O9048" s="20" t="inlineStr">
        <is>
          <t>카페24고체향수솔리드퍼퓸 이그나이트 001제품선택=이그나이트 2개 세트210501</t>
        </is>
      </c>
    </row>
    <row r="9049">
      <c r="A9049" s="20" t="inlineStr">
        <is>
          <t>고체향수</t>
        </is>
      </c>
      <c r="B9049" s="27" t="n">
        <v>44337</v>
      </c>
      <c r="C9049" s="20" t="inlineStr">
        <is>
          <t>금</t>
        </is>
      </c>
      <c r="D9049" s="20" t="inlineStr">
        <is>
          <t>네이버 배너</t>
        </is>
      </c>
      <c r="E9049" s="20" t="inlineStr">
        <is>
          <t>고체향수</t>
        </is>
      </c>
      <c r="K9049" s="20" t="n">
        <v>603623.6363636364</v>
      </c>
    </row>
    <row r="9050">
      <c r="B9050" s="27" t="n">
        <v>44337</v>
      </c>
      <c r="C9050" s="20" t="inlineStr">
        <is>
          <t>금</t>
        </is>
      </c>
      <c r="D9050" s="20" t="inlineStr">
        <is>
          <t>네이버 배너(대행사)</t>
        </is>
      </c>
      <c r="E9050" s="20" t="inlineStr">
        <is>
          <t>고체향수</t>
        </is>
      </c>
      <c r="K9050" s="20">
        <f>507591/1.1</f>
        <v/>
      </c>
    </row>
    <row r="9051">
      <c r="B9051" s="27" t="n">
        <v>44338</v>
      </c>
      <c r="C9051" s="20" t="inlineStr">
        <is>
          <t>토</t>
        </is>
      </c>
      <c r="D9051" s="20" t="inlineStr">
        <is>
          <t>네이버 배너(대행사)</t>
        </is>
      </c>
      <c r="E9051" s="20" t="inlineStr">
        <is>
          <t>고체향수</t>
        </is>
      </c>
      <c r="K9051" s="20">
        <f>670996/1.1</f>
        <v/>
      </c>
    </row>
    <row r="9052">
      <c r="B9052" s="27" t="n">
        <v>44339</v>
      </c>
      <c r="C9052" s="20" t="inlineStr">
        <is>
          <t>일</t>
        </is>
      </c>
      <c r="D9052" s="20" t="inlineStr">
        <is>
          <t>네이버 배너(대행사)</t>
        </is>
      </c>
      <c r="E9052" s="20" t="inlineStr">
        <is>
          <t>고체향수</t>
        </is>
      </c>
      <c r="K9052" s="20">
        <f>597866/1.1</f>
        <v/>
      </c>
    </row>
    <row r="9053">
      <c r="B9053" s="27" t="n">
        <v>44337</v>
      </c>
      <c r="C9053" s="20" t="inlineStr">
        <is>
          <t>금</t>
        </is>
      </c>
      <c r="E9053" s="19">
        <f>INDEX(매칭테이블!C:C,MATCH(RD!G9053,매칭테이블!D:D,0))</f>
        <v/>
      </c>
      <c r="F9053" s="20" t="inlineStr">
        <is>
          <t>올리브영</t>
        </is>
      </c>
      <c r="G9053" s="20" t="inlineStr">
        <is>
          <t>유즈 솔리드퍼퓸 001 이그나이트 30ml 30600 온라인</t>
        </is>
      </c>
      <c r="H9053" s="20" t="n">
        <v>5</v>
      </c>
      <c r="I9053" s="19">
        <f>VLOOKUP(G9053,매칭테이블!D:E,2,0)</f>
        <v/>
      </c>
      <c r="J9053" s="20" t="inlineStr">
        <is>
          <t>210501</t>
        </is>
      </c>
      <c r="L9053" s="19">
        <f>VLOOKUP($O9053,매칭테이블!$G:$J,2,0)*H9053</f>
        <v/>
      </c>
      <c r="M9053" s="19">
        <f>L9053-L9053*VLOOKUP($O9053,매칭테이블!$G:$J,3,0)</f>
        <v/>
      </c>
      <c r="N9053" s="19">
        <f>VLOOKUP($O9053,매칭테이블!$G:$J,4,0)*H9053</f>
        <v/>
      </c>
      <c r="O9053" s="19">
        <f>F9053&amp;E9053&amp;G9053&amp;J9053</f>
        <v/>
      </c>
    </row>
    <row r="9054">
      <c r="B9054" s="27" t="n">
        <v>44337</v>
      </c>
      <c r="C9054" s="20" t="inlineStr">
        <is>
          <t>금</t>
        </is>
      </c>
      <c r="E9054" s="19">
        <f>INDEX(매칭테이블!C:C,MATCH(RD!G9054,매칭테이블!D:D,0))</f>
        <v/>
      </c>
      <c r="F9054" s="20" t="inlineStr">
        <is>
          <t>올리브영</t>
        </is>
      </c>
      <c r="G9054" s="20" t="inlineStr">
        <is>
          <t>유즈 솔리드퍼퓸 002 스테이포에버 30ml 30600 온라인</t>
        </is>
      </c>
      <c r="H9054" s="20" t="n">
        <v>96</v>
      </c>
      <c r="I9054" s="19">
        <f>VLOOKUP(G9054,매칭테이블!D:E,2,0)</f>
        <v/>
      </c>
      <c r="J9054" s="20" t="inlineStr">
        <is>
          <t>210501</t>
        </is>
      </c>
      <c r="L9054" s="19">
        <f>VLOOKUP($O9054,매칭테이블!$G:$J,2,0)*H9054</f>
        <v/>
      </c>
      <c r="M9054" s="19">
        <f>L9054-L9054*VLOOKUP($O9054,매칭테이블!$G:$J,3,0)</f>
        <v/>
      </c>
      <c r="N9054" s="19">
        <f>VLOOKUP($O9054,매칭테이블!$G:$J,4,0)*H9054</f>
        <v/>
      </c>
      <c r="O9054" s="19">
        <f>F9054&amp;E9054&amp;G9054&amp;J9054</f>
        <v/>
      </c>
    </row>
    <row r="9055">
      <c r="B9055" s="27" t="n">
        <v>44338</v>
      </c>
      <c r="C9055" s="20" t="inlineStr">
        <is>
          <t>토</t>
        </is>
      </c>
      <c r="D9055" s="20" t="inlineStr">
        <is>
          <t>네이버 배너</t>
        </is>
      </c>
      <c r="E9055" s="20" t="inlineStr">
        <is>
          <t>고체향수</t>
        </is>
      </c>
      <c r="K9055" s="20">
        <f>656530/1.1</f>
        <v/>
      </c>
    </row>
    <row r="9056">
      <c r="B9056" s="27" t="n">
        <v>44339</v>
      </c>
      <c r="C9056" s="20" t="inlineStr">
        <is>
          <t>일</t>
        </is>
      </c>
      <c r="D9056" s="20" t="inlineStr">
        <is>
          <t>네이버 배너</t>
        </is>
      </c>
      <c r="E9056" s="20" t="inlineStr">
        <is>
          <t>고체향수</t>
        </is>
      </c>
      <c r="K9056" s="20">
        <f>665375/1.1</f>
        <v/>
      </c>
    </row>
    <row r="9057">
      <c r="A9057" s="20" t="inlineStr">
        <is>
          <t>[카페알바 라방] 스테이포에버_영상</t>
        </is>
      </c>
      <c r="B9057" s="27" t="n">
        <v>44340</v>
      </c>
      <c r="C9057" s="20" t="inlineStr">
        <is>
          <t>월</t>
        </is>
      </c>
      <c r="D9057" s="20" t="inlineStr">
        <is>
          <t>페이스북/인스타그램</t>
        </is>
      </c>
      <c r="E9057" s="20" t="inlineStr">
        <is>
          <t>고체향수</t>
        </is>
      </c>
      <c r="K9057" s="20" t="n">
        <v>48693</v>
      </c>
    </row>
    <row r="9058">
      <c r="A9058" s="20" t="inlineStr">
        <is>
          <t>[수현 TEST] 이그나이트_이미지</t>
        </is>
      </c>
      <c r="B9058" s="27" t="n">
        <v>44340</v>
      </c>
      <c r="C9058" s="20" t="inlineStr">
        <is>
          <t>월</t>
        </is>
      </c>
      <c r="D9058" s="20" t="inlineStr">
        <is>
          <t>페이스북/인스타그램</t>
        </is>
      </c>
      <c r="E9058" s="20" t="inlineStr">
        <is>
          <t>고체향수</t>
        </is>
      </c>
      <c r="K9058" s="20" t="n">
        <v>29757</v>
      </c>
    </row>
    <row r="9059">
      <c r="A9059" s="20" t="inlineStr">
        <is>
          <t>[5월 프로모션] 솔리드퍼퓸_영상</t>
        </is>
      </c>
      <c r="B9059" s="27" t="n">
        <v>44340</v>
      </c>
      <c r="C9059" s="20" t="inlineStr">
        <is>
          <t>월</t>
        </is>
      </c>
      <c r="D9059" s="20" t="inlineStr">
        <is>
          <t>페이스북/인스타그램</t>
        </is>
      </c>
      <c r="E9059" s="20" t="inlineStr">
        <is>
          <t>고체향수</t>
        </is>
      </c>
      <c r="K9059" s="20" t="n">
        <v>32774</v>
      </c>
    </row>
    <row r="9060">
      <c r="A9060" s="20" t="inlineStr">
        <is>
          <t>[수현 TEST] 스테이포에버_카드뉴스</t>
        </is>
      </c>
      <c r="B9060" s="27" t="n">
        <v>44340</v>
      </c>
      <c r="C9060" s="20" t="inlineStr">
        <is>
          <t>월</t>
        </is>
      </c>
      <c r="D9060" s="20" t="inlineStr">
        <is>
          <t>페이스북/인스타그램</t>
        </is>
      </c>
      <c r="E9060" s="20" t="inlineStr">
        <is>
          <t>고체향수</t>
        </is>
      </c>
      <c r="K9060" s="20" t="n">
        <v>48537</v>
      </c>
    </row>
    <row r="9061">
      <c r="A9061" s="20" t="inlineStr">
        <is>
          <t>[수현 TEST] 스테이포에버_이미지</t>
        </is>
      </c>
      <c r="B9061" s="27" t="n">
        <v>44340</v>
      </c>
      <c r="C9061" s="20" t="inlineStr">
        <is>
          <t>월</t>
        </is>
      </c>
      <c r="D9061" s="20" t="inlineStr">
        <is>
          <t>페이스북/인스타그램</t>
        </is>
      </c>
      <c r="E9061" s="20" t="inlineStr">
        <is>
          <t>고체향수</t>
        </is>
      </c>
      <c r="K9061" s="20" t="n">
        <v>29062</v>
      </c>
    </row>
    <row r="9062">
      <c r="A9062" s="20" t="inlineStr">
        <is>
          <t>[승은 TEST] 스테이포에버</t>
        </is>
      </c>
      <c r="B9062" s="27" t="n">
        <v>44340</v>
      </c>
      <c r="C9062" s="20" t="inlineStr">
        <is>
          <t>월</t>
        </is>
      </c>
      <c r="D9062" s="20" t="inlineStr">
        <is>
          <t>페이스북/인스타그램</t>
        </is>
      </c>
      <c r="E9062" s="20" t="inlineStr">
        <is>
          <t>고체향수</t>
        </is>
      </c>
      <c r="K9062" s="20" t="n">
        <v>58472</v>
      </c>
    </row>
    <row r="9063">
      <c r="A9063" s="20" t="inlineStr">
        <is>
          <t>[비누향 덕후] 스테이포에버_카드뉴스</t>
        </is>
      </c>
      <c r="B9063" s="27" t="n">
        <v>44340</v>
      </c>
      <c r="C9063" s="20" t="inlineStr">
        <is>
          <t>월</t>
        </is>
      </c>
      <c r="D9063" s="20" t="inlineStr">
        <is>
          <t>페이스북/인스타그램</t>
        </is>
      </c>
      <c r="E9063" s="20" t="inlineStr">
        <is>
          <t>고체향수</t>
        </is>
      </c>
      <c r="K9063" s="20" t="n">
        <v>146115</v>
      </c>
    </row>
    <row r="9064">
      <c r="A9064" s="20" t="inlineStr">
        <is>
          <t>[성민 TEST] 솔리드퍼퓸_이미지</t>
        </is>
      </c>
      <c r="B9064" s="27" t="n">
        <v>44340</v>
      </c>
      <c r="C9064" s="20" t="inlineStr">
        <is>
          <t>월</t>
        </is>
      </c>
      <c r="D9064" s="20" t="inlineStr">
        <is>
          <t>페이스북/인스타그램</t>
        </is>
      </c>
      <c r="E9064" s="20" t="inlineStr">
        <is>
          <t>고체향수</t>
        </is>
      </c>
      <c r="K9064" s="20" t="n">
        <v>29240</v>
      </c>
    </row>
    <row r="9065">
      <c r="A9065" s="20" t="inlineStr">
        <is>
          <t>[승무원]유튜브_스테이포에버_카드뉴스</t>
        </is>
      </c>
      <c r="B9065" s="27" t="n">
        <v>44340</v>
      </c>
      <c r="C9065" s="20" t="inlineStr">
        <is>
          <t>월</t>
        </is>
      </c>
      <c r="D9065" s="20" t="inlineStr">
        <is>
          <t>페이스북/인스타그램</t>
        </is>
      </c>
      <c r="E9065" s="20" t="inlineStr">
        <is>
          <t>고체향수</t>
        </is>
      </c>
      <c r="K9065" s="20" t="n">
        <v>96431</v>
      </c>
    </row>
    <row r="9066">
      <c r="A9066" s="20" t="inlineStr">
        <is>
          <t>[올리브영] 이그나이트_영상</t>
        </is>
      </c>
      <c r="B9066" s="27" t="n">
        <v>44340</v>
      </c>
      <c r="C9066" s="20" t="inlineStr">
        <is>
          <t>월</t>
        </is>
      </c>
      <c r="D9066" s="20" t="inlineStr">
        <is>
          <t>페이스북/인스타그램</t>
        </is>
      </c>
      <c r="E9066" s="20" t="inlineStr">
        <is>
          <t>고체향수</t>
        </is>
      </c>
      <c r="K9066" s="20" t="n">
        <v>28818</v>
      </c>
    </row>
    <row r="9067">
      <c r="A9067" s="20" t="inlineStr">
        <is>
          <t>[승희 TEST] 솔리드퍼퓸_이미지</t>
        </is>
      </c>
      <c r="B9067" s="27" t="n">
        <v>44340</v>
      </c>
      <c r="C9067" s="20" t="inlineStr">
        <is>
          <t>월</t>
        </is>
      </c>
      <c r="D9067" s="20" t="inlineStr">
        <is>
          <t>페이스북/인스타그램</t>
        </is>
      </c>
      <c r="E9067" s="20" t="inlineStr">
        <is>
          <t>고체향수</t>
        </is>
      </c>
      <c r="K9067" s="20" t="n">
        <v>96699</v>
      </c>
    </row>
    <row r="9068">
      <c r="A9068" s="20" t="inlineStr">
        <is>
          <t>[올리브영] 스테이포에버_영상</t>
        </is>
      </c>
      <c r="B9068" s="27" t="n">
        <v>44340</v>
      </c>
      <c r="C9068" s="20" t="inlineStr">
        <is>
          <t>월</t>
        </is>
      </c>
      <c r="D9068" s="20" t="inlineStr">
        <is>
          <t>페이스북/인스타그램</t>
        </is>
      </c>
      <c r="E9068" s="20" t="inlineStr">
        <is>
          <t>고체향수</t>
        </is>
      </c>
      <c r="K9068" s="20" t="n">
        <v>48128</v>
      </c>
    </row>
    <row r="9069">
      <c r="A9069" s="20" t="inlineStr">
        <is>
          <t>[올리브영] 스테이포에버_이미지</t>
        </is>
      </c>
      <c r="B9069" s="27" t="n">
        <v>44340</v>
      </c>
      <c r="C9069" s="20" t="inlineStr">
        <is>
          <t>월</t>
        </is>
      </c>
      <c r="D9069" s="20" t="inlineStr">
        <is>
          <t>페이스북/인스타그램</t>
        </is>
      </c>
      <c r="E9069" s="20" t="inlineStr">
        <is>
          <t>고체향수</t>
        </is>
      </c>
      <c r="K9069" s="20" t="n">
        <v>28591</v>
      </c>
    </row>
    <row r="9070">
      <c r="A9070" s="20" t="inlineStr">
        <is>
          <t>[승무원] 유튜브재편집_스테이포에버_영상</t>
        </is>
      </c>
      <c r="B9070" s="27" t="n">
        <v>44340</v>
      </c>
      <c r="C9070" s="20" t="inlineStr">
        <is>
          <t>월</t>
        </is>
      </c>
      <c r="D9070" s="20" t="inlineStr">
        <is>
          <t>페이스북/인스타그램</t>
        </is>
      </c>
      <c r="E9070" s="20" t="inlineStr">
        <is>
          <t>고체향수</t>
        </is>
      </c>
      <c r="K9070" s="20" t="n">
        <v>730940</v>
      </c>
    </row>
    <row r="9071">
      <c r="A9071" s="20" t="inlineStr">
        <is>
          <t>[승무원 면세점] 스테이포에버_카드뉴스</t>
        </is>
      </c>
      <c r="B9071" s="27" t="n">
        <v>44340</v>
      </c>
      <c r="C9071" s="20" t="inlineStr">
        <is>
          <t>월</t>
        </is>
      </c>
      <c r="D9071" s="20" t="inlineStr">
        <is>
          <t>페이스북/인스타그램</t>
        </is>
      </c>
      <c r="E9071" s="20" t="inlineStr">
        <is>
          <t>고체향수</t>
        </is>
      </c>
      <c r="K9071" s="20" t="n">
        <v>194536</v>
      </c>
    </row>
    <row r="9072">
      <c r="A9072" s="20" t="inlineStr">
        <is>
          <t>[카페알바] 스테이포에버_카드뉴스</t>
        </is>
      </c>
      <c r="B9072" s="27" t="n">
        <v>44340</v>
      </c>
      <c r="C9072" s="20" t="inlineStr">
        <is>
          <t>월</t>
        </is>
      </c>
      <c r="D9072" s="20" t="inlineStr">
        <is>
          <t>페이스북/인스타그램</t>
        </is>
      </c>
      <c r="E9072" s="20" t="inlineStr">
        <is>
          <t>고체향수</t>
        </is>
      </c>
      <c r="K9072" s="20" t="n">
        <v>193021</v>
      </c>
    </row>
    <row r="9073">
      <c r="A9073" s="20" t="inlineStr">
        <is>
          <t>[아줌마]스테이포에버_이미지</t>
        </is>
      </c>
      <c r="B9073" s="27" t="n">
        <v>44340</v>
      </c>
      <c r="C9073" s="20" t="inlineStr">
        <is>
          <t>월</t>
        </is>
      </c>
      <c r="D9073" s="20" t="inlineStr">
        <is>
          <t>페이스북/인스타그램</t>
        </is>
      </c>
      <c r="E9073" s="20" t="inlineStr">
        <is>
          <t>고체향수</t>
        </is>
      </c>
      <c r="K9073" s="20" t="n">
        <v>48543</v>
      </c>
    </row>
    <row r="9074">
      <c r="A9074" s="20" t="inlineStr">
        <is>
          <t>[다양한 키워드] 스테이포에버_이미지</t>
        </is>
      </c>
      <c r="B9074" s="27" t="n">
        <v>44340</v>
      </c>
      <c r="C9074" s="20" t="inlineStr">
        <is>
          <t>월</t>
        </is>
      </c>
      <c r="D9074" s="20" t="inlineStr">
        <is>
          <t>페이스북/인스타그램</t>
        </is>
      </c>
      <c r="E9074" s="20" t="inlineStr">
        <is>
          <t>고체향수</t>
        </is>
      </c>
      <c r="K9074" s="20" t="n">
        <v>126573</v>
      </c>
    </row>
    <row r="9075">
      <c r="A9075" s="20" t="inlineStr">
        <is>
          <t>[재입고]스테이포에버_이미지</t>
        </is>
      </c>
      <c r="B9075" s="27" t="n">
        <v>44340</v>
      </c>
      <c r="C9075" s="20" t="inlineStr">
        <is>
          <t>월</t>
        </is>
      </c>
      <c r="D9075" s="20" t="inlineStr">
        <is>
          <t>페이스북/인스타그램</t>
        </is>
      </c>
      <c r="E9075" s="20" t="inlineStr">
        <is>
          <t>고체향수</t>
        </is>
      </c>
      <c r="K9075" s="20" t="n">
        <v>28967</v>
      </c>
    </row>
    <row r="9076">
      <c r="A9076" s="20" t="inlineStr">
        <is>
          <t>[승무원]숏폼_영상</t>
        </is>
      </c>
      <c r="B9076" s="27" t="n">
        <v>44340</v>
      </c>
      <c r="C9076" s="20" t="inlineStr">
        <is>
          <t>월</t>
        </is>
      </c>
      <c r="D9076" s="20" t="inlineStr">
        <is>
          <t>페이스북/인스타그램</t>
        </is>
      </c>
      <c r="E9076" s="20" t="inlineStr">
        <is>
          <t>고체향수</t>
        </is>
      </c>
      <c r="K9076" s="20" t="n">
        <v>48651</v>
      </c>
    </row>
    <row r="9077">
      <c r="A9077" s="20" t="inlineStr">
        <is>
          <t>[재입고]스테이포에버_영상</t>
        </is>
      </c>
      <c r="B9077" s="27" t="n">
        <v>44340</v>
      </c>
      <c r="C9077" s="20" t="inlineStr">
        <is>
          <t>월</t>
        </is>
      </c>
      <c r="D9077" s="20" t="inlineStr">
        <is>
          <t>페이스북/인스타그램</t>
        </is>
      </c>
      <c r="E9077" s="20" t="inlineStr">
        <is>
          <t>고체향수</t>
        </is>
      </c>
      <c r="K9077" s="20" t="n">
        <v>195680</v>
      </c>
    </row>
    <row r="9078">
      <c r="A9078" s="20" t="inlineStr">
        <is>
          <t>[승무원]2019년썰 카드뉴스+ 향묘사_영상</t>
        </is>
      </c>
      <c r="B9078" s="27" t="n">
        <v>44340</v>
      </c>
      <c r="C9078" s="20" t="inlineStr">
        <is>
          <t>월</t>
        </is>
      </c>
      <c r="D9078" s="20" t="inlineStr">
        <is>
          <t>페이스북/인스타그램</t>
        </is>
      </c>
      <c r="E9078" s="20" t="inlineStr">
        <is>
          <t>고체향수</t>
        </is>
      </c>
      <c r="K9078" s="20" t="n">
        <v>29402</v>
      </c>
    </row>
    <row r="9079">
      <c r="A9079" s="20" t="inlineStr">
        <is>
          <t>[승무원어피]스테이포에버_이미지</t>
        </is>
      </c>
      <c r="B9079" s="27" t="n">
        <v>44340</v>
      </c>
      <c r="C9079" s="20" t="inlineStr">
        <is>
          <t>월</t>
        </is>
      </c>
      <c r="D9079" s="20" t="inlineStr">
        <is>
          <t>페이스북/인스타그램</t>
        </is>
      </c>
      <c r="E9079" s="20" t="inlineStr">
        <is>
          <t>고체향수</t>
        </is>
      </c>
      <c r="K9079" s="20" t="n">
        <v>145921</v>
      </c>
    </row>
    <row r="9080">
      <c r="A9080" s="20" t="inlineStr">
        <is>
          <t>[다현]스테이포에버_이미지</t>
        </is>
      </c>
      <c r="B9080" s="27" t="n">
        <v>44340</v>
      </c>
      <c r="C9080" s="20" t="inlineStr">
        <is>
          <t>월</t>
        </is>
      </c>
      <c r="D9080" s="20" t="inlineStr">
        <is>
          <t>페이스북/인스타그램</t>
        </is>
      </c>
      <c r="E9080" s="20" t="inlineStr">
        <is>
          <t>고체향수</t>
        </is>
      </c>
      <c r="K9080" s="20" t="n">
        <v>96621</v>
      </c>
    </row>
    <row r="9081">
      <c r="A9081" s="20" t="inlineStr">
        <is>
          <t>[후기타입]스테이포에버_영상</t>
        </is>
      </c>
      <c r="B9081" s="27" t="n">
        <v>44340</v>
      </c>
      <c r="C9081" s="20" t="inlineStr">
        <is>
          <t>월</t>
        </is>
      </c>
      <c r="D9081" s="20" t="inlineStr">
        <is>
          <t>페이스북/인스타그램</t>
        </is>
      </c>
      <c r="E9081" s="20" t="inlineStr">
        <is>
          <t>고체향수</t>
        </is>
      </c>
      <c r="K9081" s="20" t="n">
        <v>96875</v>
      </c>
    </row>
    <row r="9082">
      <c r="A9082" s="20" t="inlineStr">
        <is>
          <t>전환_스테이포에버</t>
        </is>
      </c>
      <c r="B9082" s="27" t="n">
        <v>44340</v>
      </c>
      <c r="C9082" s="20" t="inlineStr">
        <is>
          <t>월</t>
        </is>
      </c>
      <c r="D9082" s="20" t="inlineStr">
        <is>
          <t>페이스북/인스타그램</t>
        </is>
      </c>
      <c r="E9082" s="20" t="inlineStr">
        <is>
          <t>고체향수</t>
        </is>
      </c>
      <c r="K9082" s="20" t="n">
        <v>67721</v>
      </c>
    </row>
    <row r="9083">
      <c r="A9083" s="20" t="inlineStr">
        <is>
          <t>[권태기커플]스테이포에버_영상</t>
        </is>
      </c>
      <c r="B9083" s="27" t="n">
        <v>44340</v>
      </c>
      <c r="C9083" s="20" t="inlineStr">
        <is>
          <t>월</t>
        </is>
      </c>
      <c r="D9083" s="20" t="inlineStr">
        <is>
          <t>페이스북/인스타그램</t>
        </is>
      </c>
      <c r="E9083" s="20" t="inlineStr">
        <is>
          <t>고체향수</t>
        </is>
      </c>
      <c r="K9083" s="20" t="n">
        <v>29121</v>
      </c>
    </row>
    <row r="9084">
      <c r="A9084" s="20" t="inlineStr">
        <is>
          <t>웹사이트 트래픽 서치</t>
        </is>
      </c>
      <c r="B9084" s="27" t="n">
        <v>44340</v>
      </c>
      <c r="C9084" s="20" t="inlineStr">
        <is>
          <t>월</t>
        </is>
      </c>
      <c r="D9084" s="20" t="inlineStr">
        <is>
          <t>유튜브 광고</t>
        </is>
      </c>
      <c r="E9084" s="20" t="inlineStr">
        <is>
          <t>고체향수</t>
        </is>
      </c>
      <c r="K9084" s="20" t="n">
        <v>44446</v>
      </c>
    </row>
    <row r="9085">
      <c r="A9085" s="20" t="inlineStr">
        <is>
          <t>디스커버리 배너_승무원,할인_리마케팅</t>
        </is>
      </c>
      <c r="B9085" s="27" t="n">
        <v>44340</v>
      </c>
      <c r="C9085" s="20" t="inlineStr">
        <is>
          <t>월</t>
        </is>
      </c>
      <c r="D9085" s="20" t="inlineStr">
        <is>
          <t>유튜브 광고</t>
        </is>
      </c>
      <c r="E9085" s="20" t="inlineStr">
        <is>
          <t>고체향수</t>
        </is>
      </c>
      <c r="K9085" s="20" t="n">
        <v>797089</v>
      </c>
    </row>
    <row r="9086">
      <c r="A9086" s="20" t="inlineStr">
        <is>
          <t>동영상캠페인_승무원_전직승무원</t>
        </is>
      </c>
      <c r="B9086" s="27" t="n">
        <v>44340</v>
      </c>
      <c r="C9086" s="20" t="inlineStr">
        <is>
          <t>월</t>
        </is>
      </c>
      <c r="D9086" s="19">
        <f>VLOOKUP($A9086,매칭테이블!$B$548:$D$1048576,2,0)</f>
        <v/>
      </c>
      <c r="E9086" s="20" t="inlineStr">
        <is>
          <t>고체향수</t>
        </is>
      </c>
      <c r="K9086" s="20" t="n">
        <v>174782</v>
      </c>
    </row>
    <row r="9087">
      <c r="A9087" s="20" t="inlineStr">
        <is>
          <t>[5화자] 동영상 캠페인_벨라의 비행일기</t>
        </is>
      </c>
      <c r="B9087" s="27" t="n">
        <v>44340</v>
      </c>
      <c r="C9087" s="20" t="inlineStr">
        <is>
          <t>월</t>
        </is>
      </c>
      <c r="D9087" s="20" t="inlineStr">
        <is>
          <t>유튜브 광고</t>
        </is>
      </c>
      <c r="E9087" s="20" t="inlineStr">
        <is>
          <t>고체향수</t>
        </is>
      </c>
      <c r="K9087" s="20" t="n">
        <v>411223</v>
      </c>
    </row>
    <row r="9088">
      <c r="A9088" s="20" t="inlineStr">
        <is>
          <t>[5화자] 동영상 캠페인_비행하고 여행하는 은선씨</t>
        </is>
      </c>
      <c r="B9088" s="27" t="n">
        <v>44340</v>
      </c>
      <c r="C9088" s="20" t="inlineStr">
        <is>
          <t>월</t>
        </is>
      </c>
      <c r="D9088" s="20" t="inlineStr">
        <is>
          <t>유튜브 광고</t>
        </is>
      </c>
      <c r="E9088" s="20" t="inlineStr">
        <is>
          <t>고체향수</t>
        </is>
      </c>
      <c r="K9088" s="20" t="n">
        <v>205679</v>
      </c>
    </row>
    <row r="9089">
      <c r="A9089" s="20" t="inlineStr">
        <is>
          <t>[5화자 재편집] 승무원_벨라_면세점에서 천만원</t>
        </is>
      </c>
      <c r="B9089" s="27" t="n">
        <v>44340</v>
      </c>
      <c r="C9089" s="20" t="inlineStr">
        <is>
          <t>월</t>
        </is>
      </c>
      <c r="D9089" s="20" t="inlineStr">
        <is>
          <t>유튜브 광고</t>
        </is>
      </c>
      <c r="E9089" s="20" t="inlineStr">
        <is>
          <t>고체향수</t>
        </is>
      </c>
      <c r="K9089" s="20" t="n">
        <v>308692</v>
      </c>
    </row>
    <row r="9090">
      <c r="A9090" s="20" t="inlineStr">
        <is>
          <t>동영상캠페인_유즈모먼트_면세점뒤졌는데</t>
        </is>
      </c>
      <c r="B9090" s="27" t="n">
        <v>44340</v>
      </c>
      <c r="C9090" s="20" t="inlineStr">
        <is>
          <t>월</t>
        </is>
      </c>
      <c r="D9090" s="20" t="inlineStr">
        <is>
          <t>유튜브 광고</t>
        </is>
      </c>
      <c r="E9090" s="20" t="inlineStr">
        <is>
          <t>고체향수</t>
        </is>
      </c>
      <c r="K9090" s="20" t="n">
        <v>411683</v>
      </c>
    </row>
    <row r="9091">
      <c r="A9091" s="20" t="inlineStr">
        <is>
          <t>메인키워드</t>
        </is>
      </c>
      <c r="B9091" s="27" t="n">
        <v>44340</v>
      </c>
      <c r="C9091" s="20" t="inlineStr">
        <is>
          <t>월</t>
        </is>
      </c>
      <c r="D9091" s="20" t="inlineStr">
        <is>
          <t>네이버 쇼핑검색</t>
        </is>
      </c>
      <c r="E9091" s="20" t="inlineStr">
        <is>
          <t>고체향수</t>
        </is>
      </c>
      <c r="K9091" s="20" t="n">
        <v>10140</v>
      </c>
    </row>
    <row r="9092">
      <c r="A9092" s="20" t="inlineStr">
        <is>
          <t>세부키워드1</t>
        </is>
      </c>
      <c r="B9092" s="27" t="n">
        <v>44340</v>
      </c>
      <c r="C9092" s="20" t="inlineStr">
        <is>
          <t>월</t>
        </is>
      </c>
      <c r="D9092" s="20" t="inlineStr">
        <is>
          <t>네이버 쇼핑검색</t>
        </is>
      </c>
      <c r="E9092" s="20" t="inlineStr">
        <is>
          <t>고체향수</t>
        </is>
      </c>
      <c r="K9092" s="20" t="n">
        <v>749.9999999999999</v>
      </c>
    </row>
    <row r="9093">
      <c r="A9093" s="20" t="inlineStr">
        <is>
          <t>세부키워드3</t>
        </is>
      </c>
      <c r="B9093" s="27" t="n">
        <v>44340</v>
      </c>
      <c r="C9093" s="20" t="inlineStr">
        <is>
          <t>월</t>
        </is>
      </c>
      <c r="D9093" s="20" t="inlineStr">
        <is>
          <t>네이버 쇼핑검색</t>
        </is>
      </c>
      <c r="E9093" s="20" t="inlineStr">
        <is>
          <t>고체향수</t>
        </is>
      </c>
      <c r="K9093" s="20" t="n">
        <v>125090</v>
      </c>
    </row>
    <row r="9094">
      <c r="A9094" s="20" t="inlineStr">
        <is>
          <t>모바일 브검</t>
        </is>
      </c>
      <c r="B9094" s="27" t="n">
        <v>44340</v>
      </c>
      <c r="C9094" s="20" t="inlineStr">
        <is>
          <t>월</t>
        </is>
      </c>
      <c r="D9094" s="20" t="inlineStr">
        <is>
          <t>네이버 브랜드검색</t>
        </is>
      </c>
      <c r="E9094" s="20" t="inlineStr">
        <is>
          <t>브랜드</t>
        </is>
      </c>
      <c r="K9094" s="20" t="n">
        <v>88000</v>
      </c>
    </row>
    <row r="9095">
      <c r="A9095" s="20" t="inlineStr">
        <is>
          <t>PC 브랜드검색</t>
        </is>
      </c>
      <c r="B9095" s="27" t="n">
        <v>44340</v>
      </c>
      <c r="C9095" s="20" t="inlineStr">
        <is>
          <t>월</t>
        </is>
      </c>
      <c r="D9095" s="20" t="inlineStr">
        <is>
          <t>네이버 브랜드검색</t>
        </is>
      </c>
      <c r="E9095" s="20" t="inlineStr">
        <is>
          <t>브랜드</t>
        </is>
      </c>
      <c r="K9095" s="20" t="n">
        <v>16700</v>
      </c>
    </row>
    <row r="9096">
      <c r="A9096" s="20" t="inlineStr">
        <is>
          <t>고체향수_승무원 어피_Npay 추적</t>
        </is>
      </c>
      <c r="B9096" s="27" t="n">
        <v>44340</v>
      </c>
      <c r="C9096" s="20" t="inlineStr">
        <is>
          <t>월</t>
        </is>
      </c>
      <c r="D9096" s="20" t="inlineStr">
        <is>
          <t>카카오 배너</t>
        </is>
      </c>
      <c r="E9096" s="20" t="inlineStr">
        <is>
          <t>고체향수</t>
        </is>
      </c>
      <c r="K9096" s="20" t="n">
        <v>91319.99999999999</v>
      </c>
    </row>
    <row r="9097">
      <c r="A9097" s="20" t="inlineStr">
        <is>
          <t>고체향수_Npay 추적</t>
        </is>
      </c>
      <c r="B9097" s="27" t="n">
        <v>44340</v>
      </c>
      <c r="C9097" s="20" t="inlineStr">
        <is>
          <t>월</t>
        </is>
      </c>
      <c r="D9097" s="20" t="inlineStr">
        <is>
          <t>카카오 배너</t>
        </is>
      </c>
      <c r="E9097" s="20" t="inlineStr">
        <is>
          <t>고체향수</t>
        </is>
      </c>
      <c r="K9097" s="20" t="n">
        <v>728759.9999999999</v>
      </c>
    </row>
    <row r="9098">
      <c r="B9098" s="27" t="n">
        <v>44340</v>
      </c>
      <c r="C9098" s="20" t="inlineStr">
        <is>
          <t>월</t>
        </is>
      </c>
      <c r="E9098" s="20" t="inlineStr">
        <is>
          <t>고체향수</t>
        </is>
      </c>
      <c r="F9098" s="20" t="inlineStr">
        <is>
          <t>W컨셉</t>
        </is>
      </c>
      <c r="G9098" s="20" t="inlineStr">
        <is>
          <t>솔리드퍼퓸 이그나이트/스테이포에버 30ml (2종 택1)&lt;옵션1&gt;002 STAY FOREVER</t>
        </is>
      </c>
      <c r="H9098" s="20" t="n">
        <v>13</v>
      </c>
      <c r="I9098" s="20" t="inlineStr">
        <is>
          <t>스테이포에버</t>
        </is>
      </c>
      <c r="J9098" s="20" t="inlineStr">
        <is>
          <t>210501</t>
        </is>
      </c>
      <c r="L9098" s="20" t="n">
        <v>442000</v>
      </c>
      <c r="M9098" s="20" t="n">
        <v>309400</v>
      </c>
      <c r="N9098" s="20" t="n">
        <v>33202</v>
      </c>
      <c r="O9098" s="20" t="inlineStr">
        <is>
          <t>W컨셉고체향수솔리드퍼퓸 이그나이트/스테이포에버 30ml (2종 택1)&lt;옵션1&gt;002 STAY FOREVER210501</t>
        </is>
      </c>
    </row>
    <row r="9099">
      <c r="B9099" s="27" t="n">
        <v>44340</v>
      </c>
      <c r="C9099" s="20" t="inlineStr">
        <is>
          <t>월</t>
        </is>
      </c>
      <c r="E9099" s="20" t="inlineStr">
        <is>
          <t>고체향수</t>
        </is>
      </c>
      <c r="F9099" s="20" t="inlineStr">
        <is>
          <t>W컨셉</t>
        </is>
      </c>
      <c r="G9099" s="20" t="inlineStr">
        <is>
          <t>솔리드퍼퓸 이그나이트/스테이포에버 30ml (2종 택1)&lt;옵션1&gt;IGNITE + STAY FOREVER</t>
        </is>
      </c>
      <c r="H9099" s="20" t="n">
        <v>2</v>
      </c>
      <c r="I9099" s="20" t="inlineStr">
        <is>
          <t>이그나이트 + 스테이포에버</t>
        </is>
      </c>
      <c r="J9099" s="20" t="inlineStr">
        <is>
          <t>210501</t>
        </is>
      </c>
      <c r="L9099" s="20" t="n">
        <v>117600</v>
      </c>
      <c r="M9099" s="20" t="n">
        <v>94080</v>
      </c>
      <c r="N9099" s="20" t="n">
        <v>10358</v>
      </c>
      <c r="O9099" s="20" t="inlineStr">
        <is>
          <t>W컨셉고체향수솔리드퍼퓸 이그나이트/스테이포에버 30ml (2종 택1)&lt;옵션1&gt;IGNITE + STAY FOREVER210501</t>
        </is>
      </c>
    </row>
    <row r="9100">
      <c r="B9100" s="27" t="n">
        <v>44340</v>
      </c>
      <c r="C9100" s="20" t="inlineStr">
        <is>
          <t>월</t>
        </is>
      </c>
      <c r="E9100" s="20" t="inlineStr">
        <is>
          <t>고체향수</t>
        </is>
      </c>
      <c r="F9100" s="20" t="inlineStr">
        <is>
          <t>스마트스토어</t>
        </is>
      </c>
      <c r="G9100" s="20" t="inlineStr">
        <is>
          <t>유즈 고체향수 세트(유즈 스테이포에버, 유즈 이그나이트)고체향수: 스테이포에버 1개 + 이그나이트 1개</t>
        </is>
      </c>
      <c r="H9100" s="20" t="n">
        <v>1</v>
      </c>
      <c r="I9100" s="20" t="inlineStr">
        <is>
          <t>이그나이트 + 스테이포에버</t>
        </is>
      </c>
      <c r="J9100" s="20" t="inlineStr">
        <is>
          <t>210501</t>
        </is>
      </c>
      <c r="L9100" s="20" t="n">
        <v>58800</v>
      </c>
      <c r="M9100" s="20" t="n">
        <v>55360.2</v>
      </c>
      <c r="N9100" s="20" t="n">
        <v>5179</v>
      </c>
      <c r="O9100" s="20" t="inlineStr">
        <is>
          <t>스마트스토어고체향수유즈 고체향수 세트(유즈 스테이포에버, 유즈 이그나이트)고체향수: 스테이포에버 1개 + 이그나이트 1개210501</t>
        </is>
      </c>
    </row>
    <row r="9101">
      <c r="B9101" s="27" t="n">
        <v>44340</v>
      </c>
      <c r="C9101" s="20" t="inlineStr">
        <is>
          <t>월</t>
        </is>
      </c>
      <c r="E9101" s="20" t="inlineStr">
        <is>
          <t>고체향수</t>
        </is>
      </c>
      <c r="F9101" s="20" t="inlineStr">
        <is>
          <t>스마트스토어</t>
        </is>
      </c>
      <c r="G9101" s="20" t="inlineStr">
        <is>
          <t>유즈 고체향수 세트(유즈 스테이포에버, 유즈 이그나이트)고체향수: 스테이포에버 2개</t>
        </is>
      </c>
      <c r="H9101" s="20" t="n">
        <v>4</v>
      </c>
      <c r="I9101" s="20" t="inlineStr">
        <is>
          <t>스테이포에버 2set</t>
        </is>
      </c>
      <c r="J9101" s="20" t="inlineStr">
        <is>
          <t>210501</t>
        </is>
      </c>
      <c r="L9101" s="20" t="n">
        <v>235200</v>
      </c>
      <c r="M9101" s="20" t="n">
        <v>230496</v>
      </c>
      <c r="N9101" s="20" t="n">
        <v>20432</v>
      </c>
      <c r="O9101" s="20" t="inlineStr">
        <is>
          <t>스마트스토어고체향수유즈 고체향수 세트(유즈 스테이포에버, 유즈 이그나이트)고체향수: 스테이포에버 2개210501</t>
        </is>
      </c>
    </row>
    <row r="9102">
      <c r="B9102" s="27" t="n">
        <v>44340</v>
      </c>
      <c r="C9102" s="20" t="inlineStr">
        <is>
          <t>월</t>
        </is>
      </c>
      <c r="E9102" s="20" t="inlineStr">
        <is>
          <t>고체향수</t>
        </is>
      </c>
      <c r="F9102" s="20" t="inlineStr">
        <is>
          <t>스마트스토어</t>
        </is>
      </c>
      <c r="G9102" s="20" t="inlineStr">
        <is>
          <t>유즈 고체향수 스테이포에버 002고체향수: 스테이포에버 1개</t>
        </is>
      </c>
      <c r="H9102" s="20" t="n">
        <v>17</v>
      </c>
      <c r="I9102" s="20" t="inlineStr">
        <is>
          <t>스테이포에버</t>
        </is>
      </c>
      <c r="J9102" s="20" t="inlineStr">
        <is>
          <t>210501</t>
        </is>
      </c>
      <c r="L9102" s="20" t="n">
        <v>578000</v>
      </c>
      <c r="M9102" s="20" t="n">
        <v>566440</v>
      </c>
      <c r="N9102" s="20" t="n">
        <v>43418</v>
      </c>
      <c r="O9102" s="20" t="inlineStr">
        <is>
          <t>스마트스토어고체향수유즈 고체향수 스테이포에버 002고체향수: 스테이포에버 1개210501</t>
        </is>
      </c>
    </row>
    <row r="9103">
      <c r="B9103" s="27" t="n">
        <v>44340</v>
      </c>
      <c r="C9103" s="20" t="inlineStr">
        <is>
          <t>월</t>
        </is>
      </c>
      <c r="E9103" s="20" t="inlineStr">
        <is>
          <t>쇼핑백</t>
        </is>
      </c>
      <c r="F9103" s="20" t="inlineStr">
        <is>
          <t>카페24</t>
        </is>
      </c>
      <c r="G9103" s="20" t="inlineStr">
        <is>
          <t>선물용 쇼핑백</t>
        </is>
      </c>
      <c r="H9103" s="20" t="n">
        <v>1</v>
      </c>
      <c r="I9103" s="20" t="inlineStr">
        <is>
          <t>쇼핑백</t>
        </is>
      </c>
      <c r="J9103" s="20" t="inlineStr">
        <is>
          <t>210501</t>
        </is>
      </c>
      <c r="L9103" s="20" t="n">
        <v>2000</v>
      </c>
      <c r="M9103" s="20" t="n">
        <v>1883</v>
      </c>
      <c r="N9103" s="20" t="n">
        <v>830</v>
      </c>
      <c r="O9103" s="20" t="inlineStr">
        <is>
          <t>카페24쇼핑백선물용 쇼핑백210501</t>
        </is>
      </c>
    </row>
    <row r="9104">
      <c r="B9104" s="27" t="n">
        <v>44340</v>
      </c>
      <c r="C9104" s="20" t="inlineStr">
        <is>
          <t>월</t>
        </is>
      </c>
      <c r="E9104" s="20" t="inlineStr">
        <is>
          <t>고체향수</t>
        </is>
      </c>
      <c r="F9104" s="20" t="inlineStr">
        <is>
          <t>카페24</t>
        </is>
      </c>
      <c r="G9104" s="20" t="inlineStr">
        <is>
          <t>솔리드퍼퓸 세트향=이그나이트 001 SOLID PERFUME, 세트 선택=best 2개 (28% 할인)</t>
        </is>
      </c>
      <c r="H9104" s="20" t="n">
        <v>1</v>
      </c>
      <c r="I9104" s="20" t="inlineStr">
        <is>
          <t>이그나이트 2set</t>
        </is>
      </c>
      <c r="J9104" s="20" t="inlineStr">
        <is>
          <t>210501</t>
        </is>
      </c>
      <c r="L9104" s="20" t="n">
        <v>58800</v>
      </c>
      <c r="M9104" s="20" t="n">
        <v>55360.2</v>
      </c>
      <c r="N9104" s="20" t="n">
        <v>5250</v>
      </c>
      <c r="O9104" s="20" t="inlineStr">
        <is>
          <t>카페24고체향수솔리드퍼퓸 세트향=이그나이트 001 SOLID PERFUME, 세트 선택=best 2개 (28% 할인)210501</t>
        </is>
      </c>
    </row>
    <row r="9105">
      <c r="B9105" s="27" t="n">
        <v>44340</v>
      </c>
      <c r="C9105" s="20" t="inlineStr">
        <is>
          <t>월</t>
        </is>
      </c>
      <c r="E9105" s="20" t="inlineStr">
        <is>
          <t>고체향수</t>
        </is>
      </c>
      <c r="F9105" s="20" t="inlineStr">
        <is>
          <t>카페24</t>
        </is>
      </c>
      <c r="G9105" s="20" t="inlineStr">
        <is>
          <t>솔리드퍼퓸 세트향=스테이포에버 002 SOLID PERFUME, 세트 선택=1개</t>
        </is>
      </c>
      <c r="H9105" s="20" t="n">
        <v>2</v>
      </c>
      <c r="I9105" s="20" t="inlineStr">
        <is>
          <t>스테이포에버</t>
        </is>
      </c>
      <c r="J9105" s="20" t="inlineStr">
        <is>
          <t>210501</t>
        </is>
      </c>
      <c r="L9105" s="20" t="n">
        <v>68000</v>
      </c>
      <c r="M9105" s="20" t="n">
        <v>64022</v>
      </c>
      <c r="N9105" s="20" t="n">
        <v>5108</v>
      </c>
      <c r="O9105" s="20" t="inlineStr">
        <is>
          <t>카페24고체향수솔리드퍼퓸 세트향=스테이포에버 002 SOLID PERFUME, 세트 선택=1개210501</t>
        </is>
      </c>
    </row>
    <row r="9106">
      <c r="B9106" s="27" t="n">
        <v>44340</v>
      </c>
      <c r="C9106" s="20" t="inlineStr">
        <is>
          <t>월</t>
        </is>
      </c>
      <c r="E9106" s="20" t="inlineStr">
        <is>
          <t>고체향수</t>
        </is>
      </c>
      <c r="F9106" s="20" t="inlineStr">
        <is>
          <t>카페24</t>
        </is>
      </c>
      <c r="G9106" s="20" t="inlineStr">
        <is>
          <t>솔리드퍼퓸 세트향=스테이포에버 002 SOLID PERFUME, 세트 선택=best 2개 (28% 할인)</t>
        </is>
      </c>
      <c r="H9106" s="20" t="n">
        <v>2</v>
      </c>
      <c r="I9106" s="20" t="inlineStr">
        <is>
          <t>스테이포에버 2set</t>
        </is>
      </c>
      <c r="J9106" s="20" t="inlineStr">
        <is>
          <t>210501</t>
        </is>
      </c>
      <c r="L9106" s="20" t="n">
        <v>117600</v>
      </c>
      <c r="M9106" s="20" t="n">
        <v>110720.4</v>
      </c>
      <c r="N9106" s="20" t="n">
        <v>10216</v>
      </c>
      <c r="O9106" s="20" t="inlineStr">
        <is>
          <t>카페24고체향수솔리드퍼퓸 세트향=스테이포에버 002 SOLID PERFUME, 세트 선택=best 2개 (28% 할인)210501</t>
        </is>
      </c>
    </row>
    <row r="9107">
      <c r="B9107" s="27" t="n">
        <v>44340</v>
      </c>
      <c r="C9107" s="20" t="inlineStr">
        <is>
          <t>월</t>
        </is>
      </c>
      <c r="E9107" s="19">
        <f>INDEX(매칭테이블!C:C,MATCH(RD!G9107,매칭테이블!D:D,0))</f>
        <v/>
      </c>
      <c r="F9107" s="20" t="inlineStr">
        <is>
          <t>카페24</t>
        </is>
      </c>
      <c r="G9107" s="20" t="inlineStr">
        <is>
          <t>솔리드퍼퓸 세트향=스테이포에버 + 이그나이트 커플세트(기프트 박스), 세트 선택=1 SET (28% OFF)</t>
        </is>
      </c>
      <c r="H9107" s="20" t="n">
        <v>3</v>
      </c>
      <c r="I9107" s="19">
        <f>VLOOKUP(G9107,매칭테이블!D:E,2,0)</f>
        <v/>
      </c>
      <c r="J9107" s="20" t="inlineStr">
        <is>
          <t>210501</t>
        </is>
      </c>
      <c r="L9107" s="19">
        <f>VLOOKUP($O9107,매칭테이블!$G:$J,2,0)*H9107</f>
        <v/>
      </c>
      <c r="M9107" s="19">
        <f>L9107-L9107*VLOOKUP($O9107,매칭테이블!$G:$J,3,0)</f>
        <v/>
      </c>
      <c r="N9107" s="19">
        <f>VLOOKUP($O9107,매칭테이블!$G:$J,4,0)*H9107</f>
        <v/>
      </c>
      <c r="O9107" s="19">
        <f>F9107&amp;E9107&amp;G9107&amp;J9107</f>
        <v/>
      </c>
    </row>
    <row r="9108">
      <c r="B9108" s="27" t="n">
        <v>44340</v>
      </c>
      <c r="C9108" s="20" t="inlineStr">
        <is>
          <t>월</t>
        </is>
      </c>
      <c r="E9108" s="20" t="inlineStr">
        <is>
          <t>고체향수</t>
        </is>
      </c>
      <c r="F9108" s="20" t="inlineStr">
        <is>
          <t>카페24</t>
        </is>
      </c>
      <c r="G9108" s="20" t="inlineStr">
        <is>
          <t>솔리드퍼퓸 세트향=커플세트(이그나이트 + 스테이포에버), 세트 선택=1 SET</t>
        </is>
      </c>
      <c r="H9108" s="20" t="n">
        <v>6</v>
      </c>
      <c r="I9108" s="20" t="inlineStr">
        <is>
          <t>이그나이트 + 스테이포에버</t>
        </is>
      </c>
      <c r="J9108" s="20" t="inlineStr">
        <is>
          <t>210501</t>
        </is>
      </c>
      <c r="L9108" s="20" t="n">
        <v>352800</v>
      </c>
      <c r="M9108" s="20" t="n">
        <v>332161.2</v>
      </c>
      <c r="N9108" s="20" t="n">
        <v>31074</v>
      </c>
      <c r="O9108" s="20" t="inlineStr">
        <is>
          <t>카페24고체향수솔리드퍼퓸 세트향=커플세트(이그나이트 + 스테이포에버), 세트 선택=1 SET210501</t>
        </is>
      </c>
    </row>
    <row r="9109">
      <c r="B9109" s="27" t="n">
        <v>44340</v>
      </c>
      <c r="C9109" s="20" t="inlineStr">
        <is>
          <t>월</t>
        </is>
      </c>
      <c r="E9109" s="19">
        <f>INDEX(매칭테이블!C:C,MATCH(RD!G9109,매칭테이블!D:D,0))</f>
        <v/>
      </c>
      <c r="F9109" s="20" t="inlineStr">
        <is>
          <t>카페24</t>
        </is>
      </c>
      <c r="G9109" s="20" t="inlineStr">
        <is>
          <t>솔리드퍼퓸 세트향=스테이포에버 + 이그나이트 커플세트(기프트 박스), 세트 선택=2 SET (42% OFF)</t>
        </is>
      </c>
      <c r="H9109" s="20" t="n">
        <v>1</v>
      </c>
      <c r="I9109" s="19">
        <f>VLOOKUP(G9109,매칭테이블!D:E,2,0)</f>
        <v/>
      </c>
      <c r="J9109" s="20" t="inlineStr">
        <is>
          <t>210501</t>
        </is>
      </c>
      <c r="L9109" s="19">
        <f>VLOOKUP($O9109,매칭테이블!$G:$J,2,0)*H9109</f>
        <v/>
      </c>
      <c r="M9109" s="19">
        <f>L9109-L9109*VLOOKUP($O9109,매칭테이블!$G:$J,3,0)</f>
        <v/>
      </c>
      <c r="N9109" s="19">
        <f>VLOOKUP($O9109,매칭테이블!$G:$J,4,0)*H9109</f>
        <v/>
      </c>
      <c r="O9109" s="19">
        <f>F9109&amp;E9109&amp;G9109&amp;J9109</f>
        <v/>
      </c>
    </row>
    <row r="9110">
      <c r="B9110" s="27" t="n">
        <v>44340</v>
      </c>
      <c r="C9110" s="20" t="inlineStr">
        <is>
          <t>월</t>
        </is>
      </c>
      <c r="E9110" s="20" t="inlineStr">
        <is>
          <t>고체향수</t>
        </is>
      </c>
      <c r="F9110" s="20" t="inlineStr">
        <is>
          <t>카페24</t>
        </is>
      </c>
      <c r="G9110" s="20" t="inlineStr">
        <is>
          <t>솔리드퍼퓸 세트향=커플세트(이그나이트 + 스테이포에버), 세트 선택=2 SET (42% 할인)</t>
        </is>
      </c>
      <c r="H9110" s="20" t="n">
        <v>1</v>
      </c>
      <c r="I9110" s="20" t="inlineStr">
        <is>
          <t>이그나이트 + 스테이포에버</t>
        </is>
      </c>
      <c r="J9110" s="20" t="inlineStr">
        <is>
          <t>210501</t>
        </is>
      </c>
      <c r="L9110" s="20" t="n">
        <v>58800</v>
      </c>
      <c r="M9110" s="20" t="n">
        <v>55360.2</v>
      </c>
      <c r="N9110" s="20" t="n">
        <v>5179</v>
      </c>
      <c r="O9110" s="20" t="inlineStr">
        <is>
          <t>카페24고체향수솔리드퍼퓸 세트향=커플세트(이그나이트 + 스테이포에버), 세트 선택=2 SET (42% 할인)210501</t>
        </is>
      </c>
    </row>
    <row r="9111">
      <c r="B9111" s="27" t="n">
        <v>44340</v>
      </c>
      <c r="C9111" s="20" t="inlineStr">
        <is>
          <t>월</t>
        </is>
      </c>
      <c r="E9111" s="20" t="inlineStr">
        <is>
          <t>고체향수</t>
        </is>
      </c>
      <c r="F9111" s="20" t="inlineStr">
        <is>
          <t>카페24</t>
        </is>
      </c>
      <c r="G9111" s="20" t="inlineStr">
        <is>
          <t>솔리드퍼퓸 스테이포에버 002제품선택=스테이포에버 1개</t>
        </is>
      </c>
      <c r="H9111" s="20" t="n">
        <v>174</v>
      </c>
      <c r="I9111" s="20" t="inlineStr">
        <is>
          <t>스테이포에버</t>
        </is>
      </c>
      <c r="J9111" s="20" t="inlineStr">
        <is>
          <t>210501</t>
        </is>
      </c>
      <c r="L9111" s="20" t="n">
        <v>5916000</v>
      </c>
      <c r="M9111" s="20" t="n">
        <v>5569914</v>
      </c>
      <c r="N9111" s="20" t="n">
        <v>444396</v>
      </c>
      <c r="O9111" s="20" t="inlineStr">
        <is>
          <t>카페24고체향수솔리드퍼퓸 스테이포에버 002제품선택=스테이포에버 1개210501</t>
        </is>
      </c>
    </row>
    <row r="9112">
      <c r="B9112" s="27" t="n">
        <v>44340</v>
      </c>
      <c r="C9112" s="20" t="inlineStr">
        <is>
          <t>월</t>
        </is>
      </c>
      <c r="E9112" s="20" t="inlineStr">
        <is>
          <t>고체향수</t>
        </is>
      </c>
      <c r="F9112" s="20" t="inlineStr">
        <is>
          <t>카페24</t>
        </is>
      </c>
      <c r="G9112" s="20" t="inlineStr">
        <is>
          <t>솔리드퍼퓸 스테이포에버 002제품선택=best스테이포에버 2개[28% 할인]</t>
        </is>
      </c>
      <c r="H9112" s="20" t="n">
        <v>108</v>
      </c>
      <c r="I9112" s="20" t="inlineStr">
        <is>
          <t>스테이포에버 2set</t>
        </is>
      </c>
      <c r="J9112" s="20" t="inlineStr">
        <is>
          <t>210501</t>
        </is>
      </c>
      <c r="L9112" s="20" t="n">
        <v>6350400</v>
      </c>
      <c r="M9112" s="20" t="n">
        <v>5978901.6</v>
      </c>
      <c r="N9112" s="20" t="n">
        <v>551664</v>
      </c>
      <c r="O9112" s="20" t="inlineStr">
        <is>
          <t>카페24고체향수솔리드퍼퓸 스테이포에버 002제품선택=best스테이포에버 2개[28% 할인]210501</t>
        </is>
      </c>
    </row>
    <row r="9113">
      <c r="B9113" s="27" t="n">
        <v>44340</v>
      </c>
      <c r="C9113" s="20" t="inlineStr">
        <is>
          <t>월</t>
        </is>
      </c>
      <c r="E9113" s="20" t="inlineStr">
        <is>
          <t>고체향수</t>
        </is>
      </c>
      <c r="F9113" s="20" t="inlineStr">
        <is>
          <t>카페24</t>
        </is>
      </c>
      <c r="G9113" s="20" t="inlineStr">
        <is>
          <t>솔리드퍼퓸 스테이포에버 002제품선택=커플추천스테이포에버 + 이그나이트 세트</t>
        </is>
      </c>
      <c r="H9113" s="20" t="n">
        <v>13</v>
      </c>
      <c r="I9113" s="20" t="inlineStr">
        <is>
          <t>이그나이트 + 스테이포에버</t>
        </is>
      </c>
      <c r="J9113" s="20" t="inlineStr">
        <is>
          <t>210501</t>
        </is>
      </c>
      <c r="L9113" s="20" t="n">
        <v>764400</v>
      </c>
      <c r="M9113" s="20" t="n">
        <v>719682.6</v>
      </c>
      <c r="N9113" s="20" t="n">
        <v>67327</v>
      </c>
      <c r="O9113" s="20" t="inlineStr">
        <is>
          <t>카페24고체향수솔리드퍼퓸 스테이포에버 002제품선택=커플추천스테이포에버 + 이그나이트 세트210501</t>
        </is>
      </c>
    </row>
    <row r="9114">
      <c r="B9114" s="27" t="n">
        <v>44340</v>
      </c>
      <c r="C9114" s="20" t="inlineStr">
        <is>
          <t>월</t>
        </is>
      </c>
      <c r="E9114" s="20" t="inlineStr">
        <is>
          <t>쇼핑백</t>
        </is>
      </c>
      <c r="F9114" s="20" t="inlineStr">
        <is>
          <t>카페24</t>
        </is>
      </c>
      <c r="G9114" s="20" t="inlineStr">
        <is>
          <t>솔리드퍼퓸 스테이포에버 002쇼핑백=선물용 쇼핑백</t>
        </is>
      </c>
      <c r="H9114" s="20" t="n">
        <v>3</v>
      </c>
      <c r="I9114" s="20" t="inlineStr">
        <is>
          <t>쇼핑백</t>
        </is>
      </c>
      <c r="J9114" s="20" t="inlineStr">
        <is>
          <t>210501</t>
        </is>
      </c>
      <c r="L9114" s="20" t="n">
        <v>6000</v>
      </c>
      <c r="M9114" s="20" t="n">
        <v>5649</v>
      </c>
      <c r="N9114" s="20" t="n">
        <v>2490</v>
      </c>
      <c r="O9114" s="20" t="inlineStr">
        <is>
          <t>카페24쇼핑백솔리드퍼퓸 스테이포에버 002쇼핑백=선물용 쇼핑백210501</t>
        </is>
      </c>
    </row>
    <row r="9115">
      <c r="B9115" s="27" t="n">
        <v>44340</v>
      </c>
      <c r="C9115" s="20" t="inlineStr">
        <is>
          <t>월</t>
        </is>
      </c>
      <c r="E9115" s="20" t="inlineStr">
        <is>
          <t>고체향수</t>
        </is>
      </c>
      <c r="F9115" s="20" t="inlineStr">
        <is>
          <t>카페24</t>
        </is>
      </c>
      <c r="G9115" s="20" t="inlineStr">
        <is>
          <t>솔리드퍼퓸 스페셜 기프트 세트제품 선택=Event 1솔리드퍼퓸 2종 set[40% 할인], 수량 선택=1개</t>
        </is>
      </c>
      <c r="H9115" s="20" t="n">
        <v>7</v>
      </c>
      <c r="I9115" s="20" t="inlineStr">
        <is>
          <t>5월 프로모션 이그나이트+스테이포에버</t>
        </is>
      </c>
      <c r="J9115" s="20" t="inlineStr">
        <is>
          <t>210501</t>
        </is>
      </c>
      <c r="L9115" s="20" t="n">
        <v>352800</v>
      </c>
      <c r="M9115" s="20" t="n">
        <v>332161.2</v>
      </c>
      <c r="N9115" s="20" t="n">
        <v>50134</v>
      </c>
      <c r="O9115" s="20" t="inlineStr">
        <is>
          <t>카페24고체향수솔리드퍼퓸 스페셜 기프트 세트제품 선택=Event 1솔리드퍼퓸 2종 set[40% 할인], 수량 선택=1개210501</t>
        </is>
      </c>
    </row>
    <row r="9116">
      <c r="B9116" s="27" t="n">
        <v>44340</v>
      </c>
      <c r="C9116" s="20" t="inlineStr">
        <is>
          <t>월</t>
        </is>
      </c>
      <c r="E9116" s="20" t="inlineStr">
        <is>
          <t>고체향수</t>
        </is>
      </c>
      <c r="F9116" s="20" t="inlineStr">
        <is>
          <t>카페24</t>
        </is>
      </c>
      <c r="G9116" s="20" t="inlineStr">
        <is>
          <t>솔리드퍼퓸 스페셜 기프트 세트제품 선택=Event 2✨스테이포에버 단품[35% 할인], 수량 선택=1개</t>
        </is>
      </c>
      <c r="H9116" s="20" t="n">
        <v>8</v>
      </c>
      <c r="I9116" s="20" t="inlineStr">
        <is>
          <t>5월 프로모션 스테이포에버</t>
        </is>
      </c>
      <c r="J9116" s="20" t="inlineStr">
        <is>
          <t>210501</t>
        </is>
      </c>
      <c r="L9116" s="20" t="n">
        <v>223200</v>
      </c>
      <c r="M9116" s="20" t="n">
        <v>210142.8</v>
      </c>
      <c r="N9116" s="20" t="n">
        <v>27072</v>
      </c>
      <c r="O9116" s="20" t="inlineStr">
        <is>
          <t>카페24고체향수솔리드퍼퓸 스페셜 기프트 세트제품 선택=Event 2✨스테이포에버 단품[35% 할인], 수량 선택=1개210501</t>
        </is>
      </c>
    </row>
    <row r="9117">
      <c r="B9117" s="27" t="n">
        <v>44340</v>
      </c>
      <c r="C9117" s="20" t="inlineStr">
        <is>
          <t>월</t>
        </is>
      </c>
      <c r="E9117" s="20" t="inlineStr">
        <is>
          <t>0</t>
        </is>
      </c>
      <c r="F9117" s="20" t="inlineStr">
        <is>
          <t>카페24</t>
        </is>
      </c>
      <c r="G9117" s="20" t="inlineStr">
        <is>
          <t>솔리드퍼퓸 스페셜 기프트 세트(사용안함)향=세트</t>
        </is>
      </c>
      <c r="H9117" s="20" t="n">
        <v>1</v>
      </c>
      <c r="I9117" s="20" t="inlineStr">
        <is>
          <t>0</t>
        </is>
      </c>
      <c r="J9117" s="20" t="inlineStr">
        <is>
          <t>210501</t>
        </is>
      </c>
      <c r="L9117" s="20" t="n">
        <v>0</v>
      </c>
      <c r="M9117" s="20" t="n">
        <v>0</v>
      </c>
      <c r="N9117" s="20" t="n">
        <v>0</v>
      </c>
      <c r="O9117" s="20" t="inlineStr">
        <is>
          <t>카페240솔리드퍼퓸 스페셜 기프트 세트(사용안함)향=세트210501</t>
        </is>
      </c>
    </row>
    <row r="9118">
      <c r="A9118" s="20" t="inlineStr">
        <is>
          <t>고체향수</t>
        </is>
      </c>
      <c r="B9118" s="27" t="n">
        <v>44340</v>
      </c>
      <c r="C9118" s="20" t="inlineStr">
        <is>
          <t>월</t>
        </is>
      </c>
      <c r="D9118" s="20" t="inlineStr">
        <is>
          <t>네이버 배너</t>
        </is>
      </c>
      <c r="E9118" s="20" t="inlineStr">
        <is>
          <t>고체향수</t>
        </is>
      </c>
      <c r="K9118" s="20" t="n">
        <v>683734.5454545454</v>
      </c>
    </row>
    <row r="9119">
      <c r="B9119" s="27" t="n">
        <v>44340</v>
      </c>
      <c r="C9119" s="20" t="inlineStr">
        <is>
          <t>월</t>
        </is>
      </c>
      <c r="D9119" s="20" t="inlineStr">
        <is>
          <t>네이버 배너(대행사)</t>
        </is>
      </c>
      <c r="E9119" s="20" t="inlineStr">
        <is>
          <t>고체향수</t>
        </is>
      </c>
      <c r="K9119" s="20">
        <f>350004/1.1</f>
        <v/>
      </c>
    </row>
    <row r="9120">
      <c r="B9120" s="27" t="n">
        <v>44340</v>
      </c>
      <c r="C9120" s="20" t="inlineStr">
        <is>
          <t>월</t>
        </is>
      </c>
      <c r="E9120" s="19">
        <f>INDEX(매칭테이블!C:C,MATCH(RD!G9120,매칭테이블!D:D,0))</f>
        <v/>
      </c>
      <c r="F9120" s="20" t="inlineStr">
        <is>
          <t>올리브영</t>
        </is>
      </c>
      <c r="G9120" s="20" t="inlineStr">
        <is>
          <t>유즈 솔리드퍼퓸 001 이그나이트 30ml 30600 온라인</t>
        </is>
      </c>
      <c r="H9120" s="20" t="n">
        <v>4</v>
      </c>
      <c r="I9120" s="19">
        <f>VLOOKUP(G9120,매칭테이블!D:E,2,0)</f>
        <v/>
      </c>
      <c r="J9120" s="20" t="inlineStr">
        <is>
          <t>210501</t>
        </is>
      </c>
      <c r="L9120" s="19">
        <f>VLOOKUP($O9120,매칭테이블!$G:$J,2,0)*H9120</f>
        <v/>
      </c>
      <c r="M9120" s="19">
        <f>L9120-L9120*VLOOKUP($O9120,매칭테이블!$G:$J,3,0)</f>
        <v/>
      </c>
      <c r="N9120" s="19">
        <f>VLOOKUP($O9120,매칭테이블!$G:$J,4,0)*H9120</f>
        <v/>
      </c>
      <c r="O9120" s="19">
        <f>F9120&amp;E9120&amp;G9120&amp;J9120</f>
        <v/>
      </c>
    </row>
    <row r="9121">
      <c r="B9121" s="27" t="n">
        <v>44340</v>
      </c>
      <c r="C9121" s="20" t="inlineStr">
        <is>
          <t>월</t>
        </is>
      </c>
      <c r="E9121" s="19">
        <f>INDEX(매칭테이블!C:C,MATCH(RD!G9121,매칭테이블!D:D,0))</f>
        <v/>
      </c>
      <c r="F9121" s="20" t="inlineStr">
        <is>
          <t>올리브영</t>
        </is>
      </c>
      <c r="G9121" s="20" t="inlineStr">
        <is>
          <t>유즈 솔리드퍼퓸 002 스테이포에버 30ml 30600 온라인</t>
        </is>
      </c>
      <c r="H9121" s="20" t="n">
        <v>155</v>
      </c>
      <c r="I9121" s="19">
        <f>VLOOKUP(G9121,매칭테이블!D:E,2,0)</f>
        <v/>
      </c>
      <c r="J9121" s="20" t="inlineStr">
        <is>
          <t>210501</t>
        </is>
      </c>
      <c r="L9121" s="19">
        <f>VLOOKUP($O9121,매칭테이블!$G:$J,2,0)*H9121</f>
        <v/>
      </c>
      <c r="M9121" s="19">
        <f>L9121-L9121*VLOOKUP($O9121,매칭테이블!$G:$J,3,0)</f>
        <v/>
      </c>
      <c r="N9121" s="19">
        <f>VLOOKUP($O9121,매칭테이블!$G:$J,4,0)*H9121</f>
        <v/>
      </c>
      <c r="O9121" s="19">
        <f>F9121&amp;E9121&amp;G9121&amp;J9121</f>
        <v/>
      </c>
    </row>
    <row r="9122">
      <c r="A9122" s="20" t="inlineStr">
        <is>
          <t>[카페알바 라방] 스테이포에버_영상</t>
        </is>
      </c>
      <c r="B9122" s="27" t="n">
        <v>44341</v>
      </c>
      <c r="C9122" s="20" t="inlineStr">
        <is>
          <t>화</t>
        </is>
      </c>
      <c r="D9122" s="20" t="inlineStr">
        <is>
          <t>페이스북/인스타그램</t>
        </is>
      </c>
      <c r="E9122" s="20" t="inlineStr">
        <is>
          <t>고체향수</t>
        </is>
      </c>
      <c r="K9122" s="20" t="n">
        <v>16253</v>
      </c>
    </row>
    <row r="9123">
      <c r="A9123" s="20" t="inlineStr">
        <is>
          <t>[수현 TEST] 이그나이트_이미지</t>
        </is>
      </c>
      <c r="B9123" s="27" t="n">
        <v>44341</v>
      </c>
      <c r="C9123" s="20" t="inlineStr">
        <is>
          <t>화</t>
        </is>
      </c>
      <c r="D9123" s="20" t="inlineStr">
        <is>
          <t>페이스북/인스타그램</t>
        </is>
      </c>
      <c r="E9123" s="20" t="inlineStr">
        <is>
          <t>고체향수</t>
        </is>
      </c>
      <c r="K9123" s="20" t="n">
        <v>29041</v>
      </c>
    </row>
    <row r="9124">
      <c r="A9124" s="20" t="inlineStr">
        <is>
          <t>[수현 TEST] 스테이포에버_카드뉴스</t>
        </is>
      </c>
      <c r="B9124" s="27" t="n">
        <v>44341</v>
      </c>
      <c r="C9124" s="20" t="inlineStr">
        <is>
          <t>화</t>
        </is>
      </c>
      <c r="D9124" s="20" t="inlineStr">
        <is>
          <t>페이스북/인스타그램</t>
        </is>
      </c>
      <c r="E9124" s="20" t="inlineStr">
        <is>
          <t>고체향수</t>
        </is>
      </c>
      <c r="K9124" s="20" t="n">
        <v>49723</v>
      </c>
    </row>
    <row r="9125">
      <c r="A9125" s="20" t="inlineStr">
        <is>
          <t>[수현 TEST] 스테이포에버_이미지</t>
        </is>
      </c>
      <c r="B9125" s="27" t="n">
        <v>44341</v>
      </c>
      <c r="C9125" s="20" t="inlineStr">
        <is>
          <t>화</t>
        </is>
      </c>
      <c r="D9125" s="20" t="inlineStr">
        <is>
          <t>페이스북/인스타그램</t>
        </is>
      </c>
      <c r="E9125" s="20" t="inlineStr">
        <is>
          <t>고체향수</t>
        </is>
      </c>
      <c r="K9125" s="20" t="n">
        <v>23147</v>
      </c>
    </row>
    <row r="9126">
      <c r="A9126" s="20" t="inlineStr">
        <is>
          <t>[승은 TEST] 스테이포에버</t>
        </is>
      </c>
      <c r="B9126" s="27" t="n">
        <v>44341</v>
      </c>
      <c r="C9126" s="20" t="inlineStr">
        <is>
          <t>화</t>
        </is>
      </c>
      <c r="D9126" s="20" t="inlineStr">
        <is>
          <t>페이스북/인스타그램</t>
        </is>
      </c>
      <c r="E9126" s="20" t="inlineStr">
        <is>
          <t>고체향수</t>
        </is>
      </c>
      <c r="K9126" s="20" t="n">
        <v>59809</v>
      </c>
    </row>
    <row r="9127">
      <c r="A9127" s="20" t="inlineStr">
        <is>
          <t>[비누향 덕후] 스테이포에버_카드뉴스</t>
        </is>
      </c>
      <c r="B9127" s="27" t="n">
        <v>44341</v>
      </c>
      <c r="C9127" s="20" t="inlineStr">
        <is>
          <t>화</t>
        </is>
      </c>
      <c r="D9127" s="20" t="inlineStr">
        <is>
          <t>페이스북/인스타그램</t>
        </is>
      </c>
      <c r="E9127" s="20" t="inlineStr">
        <is>
          <t>고체향수</t>
        </is>
      </c>
      <c r="K9127" s="20" t="n">
        <v>149035</v>
      </c>
    </row>
    <row r="9128">
      <c r="A9128" s="20" t="inlineStr">
        <is>
          <t>[성민 TEST] 솔리드퍼퓸_이미지</t>
        </is>
      </c>
      <c r="B9128" s="27" t="n">
        <v>44341</v>
      </c>
      <c r="C9128" s="20" t="inlineStr">
        <is>
          <t>화</t>
        </is>
      </c>
      <c r="D9128" s="20" t="inlineStr">
        <is>
          <t>페이스북/인스타그램</t>
        </is>
      </c>
      <c r="E9128" s="20" t="inlineStr">
        <is>
          <t>고체향수</t>
        </is>
      </c>
      <c r="K9128" s="20" t="n">
        <v>29840</v>
      </c>
    </row>
    <row r="9129">
      <c r="A9129" s="20" t="inlineStr">
        <is>
          <t>[승무원]유튜브_스테이포에버_카드뉴스</t>
        </is>
      </c>
      <c r="B9129" s="27" t="n">
        <v>44341</v>
      </c>
      <c r="C9129" s="20" t="inlineStr">
        <is>
          <t>화</t>
        </is>
      </c>
      <c r="D9129" s="20" t="inlineStr">
        <is>
          <t>페이스북/인스타그램</t>
        </is>
      </c>
      <c r="E9129" s="20" t="inlineStr">
        <is>
          <t>고체향수</t>
        </is>
      </c>
      <c r="K9129" s="20" t="n">
        <v>98551</v>
      </c>
    </row>
    <row r="9130">
      <c r="A9130" s="20" t="inlineStr">
        <is>
          <t>[올리브영] 이그나이트_영상</t>
        </is>
      </c>
      <c r="B9130" s="27" t="n">
        <v>44341</v>
      </c>
      <c r="C9130" s="20" t="inlineStr">
        <is>
          <t>화</t>
        </is>
      </c>
      <c r="D9130" s="20" t="inlineStr">
        <is>
          <t>페이스북/인스타그램</t>
        </is>
      </c>
      <c r="E9130" s="20" t="inlineStr">
        <is>
          <t>고체향수</t>
        </is>
      </c>
      <c r="K9130" s="20" t="n">
        <v>30510</v>
      </c>
    </row>
    <row r="9131">
      <c r="A9131" s="20" t="inlineStr">
        <is>
          <t>[승희 TEST] 솔리드퍼퓸_이미지</t>
        </is>
      </c>
      <c r="B9131" s="27" t="n">
        <v>44341</v>
      </c>
      <c r="C9131" s="20" t="inlineStr">
        <is>
          <t>화</t>
        </is>
      </c>
      <c r="D9131" s="20" t="inlineStr">
        <is>
          <t>페이스북/인스타그램</t>
        </is>
      </c>
      <c r="E9131" s="20" t="inlineStr">
        <is>
          <t>고체향수</t>
        </is>
      </c>
      <c r="K9131" s="20" t="n">
        <v>100894</v>
      </c>
    </row>
    <row r="9132">
      <c r="A9132" s="20" t="inlineStr">
        <is>
          <t>[올리브영] 스테이포에버_영상</t>
        </is>
      </c>
      <c r="B9132" s="27" t="n">
        <v>44341</v>
      </c>
      <c r="C9132" s="20" t="inlineStr">
        <is>
          <t>화</t>
        </is>
      </c>
      <c r="D9132" s="20" t="inlineStr">
        <is>
          <t>페이스북/인스타그램</t>
        </is>
      </c>
      <c r="E9132" s="20" t="inlineStr">
        <is>
          <t>고체향수</t>
        </is>
      </c>
      <c r="K9132" s="20" t="n">
        <v>49666</v>
      </c>
    </row>
    <row r="9133">
      <c r="A9133" s="20" t="inlineStr">
        <is>
          <t>[올리브영] 스테이포에버_이미지</t>
        </is>
      </c>
      <c r="B9133" s="27" t="n">
        <v>44341</v>
      </c>
      <c r="C9133" s="20" t="inlineStr">
        <is>
          <t>화</t>
        </is>
      </c>
      <c r="D9133" s="20" t="inlineStr">
        <is>
          <t>페이스북/인스타그램</t>
        </is>
      </c>
      <c r="E9133" s="20" t="inlineStr">
        <is>
          <t>고체향수</t>
        </is>
      </c>
      <c r="K9133" s="20" t="n">
        <v>29265</v>
      </c>
    </row>
    <row r="9134">
      <c r="A9134" s="20" t="inlineStr">
        <is>
          <t>[승무원] 유튜브재편집_스테이포에버_영상</t>
        </is>
      </c>
      <c r="B9134" s="27" t="n">
        <v>44341</v>
      </c>
      <c r="C9134" s="20" t="inlineStr">
        <is>
          <t>화</t>
        </is>
      </c>
      <c r="D9134" s="20" t="inlineStr">
        <is>
          <t>페이스북/인스타그램</t>
        </is>
      </c>
      <c r="E9134" s="20" t="inlineStr">
        <is>
          <t>고체향수</t>
        </is>
      </c>
      <c r="K9134" s="20" t="n">
        <v>719411</v>
      </c>
    </row>
    <row r="9135">
      <c r="A9135" s="20" t="inlineStr">
        <is>
          <t>[승무원 면세점] 스테이포에버_카드뉴스</t>
        </is>
      </c>
      <c r="B9135" s="27" t="n">
        <v>44341</v>
      </c>
      <c r="C9135" s="20" t="inlineStr">
        <is>
          <t>화</t>
        </is>
      </c>
      <c r="D9135" s="20" t="inlineStr">
        <is>
          <t>페이스북/인스타그램</t>
        </is>
      </c>
      <c r="E9135" s="20" t="inlineStr">
        <is>
          <t>고체향수</t>
        </is>
      </c>
      <c r="K9135" s="20" t="n">
        <v>201253</v>
      </c>
    </row>
    <row r="9136">
      <c r="A9136" s="20" t="inlineStr">
        <is>
          <t>[카페알바] 스테이포에버_카드뉴스</t>
        </is>
      </c>
      <c r="B9136" s="27" t="n">
        <v>44341</v>
      </c>
      <c r="C9136" s="20" t="inlineStr">
        <is>
          <t>화</t>
        </is>
      </c>
      <c r="D9136" s="20" t="inlineStr">
        <is>
          <t>페이스북/인스타그램</t>
        </is>
      </c>
      <c r="E9136" s="20" t="inlineStr">
        <is>
          <t>고체향수</t>
        </is>
      </c>
      <c r="K9136" s="20" t="n">
        <v>198731</v>
      </c>
    </row>
    <row r="9137">
      <c r="A9137" s="20" t="inlineStr">
        <is>
          <t>[아줌마]스테이포에버_이미지</t>
        </is>
      </c>
      <c r="B9137" s="27" t="n">
        <v>44341</v>
      </c>
      <c r="C9137" s="20" t="inlineStr">
        <is>
          <t>화</t>
        </is>
      </c>
      <c r="D9137" s="20" t="inlineStr">
        <is>
          <t>페이스북/인스타그램</t>
        </is>
      </c>
      <c r="E9137" s="20" t="inlineStr">
        <is>
          <t>고체향수</t>
        </is>
      </c>
      <c r="K9137" s="20" t="n">
        <v>49961</v>
      </c>
    </row>
    <row r="9138">
      <c r="A9138" s="20" t="inlineStr">
        <is>
          <t>[다양한 키워드] 스테이포에버_이미지</t>
        </is>
      </c>
      <c r="B9138" s="27" t="n">
        <v>44341</v>
      </c>
      <c r="C9138" s="20" t="inlineStr">
        <is>
          <t>화</t>
        </is>
      </c>
      <c r="D9138" s="20" t="inlineStr">
        <is>
          <t>페이스북/인스타그램</t>
        </is>
      </c>
      <c r="E9138" s="20" t="inlineStr">
        <is>
          <t>고체향수</t>
        </is>
      </c>
      <c r="K9138" s="20" t="n">
        <v>116605</v>
      </c>
    </row>
    <row r="9139">
      <c r="A9139" s="20" t="inlineStr">
        <is>
          <t>[재입고]스테이포에버_이미지</t>
        </is>
      </c>
      <c r="B9139" s="27" t="n">
        <v>44341</v>
      </c>
      <c r="C9139" s="20" t="inlineStr">
        <is>
          <t>화</t>
        </is>
      </c>
      <c r="D9139" s="20" t="inlineStr">
        <is>
          <t>페이스북/인스타그램</t>
        </is>
      </c>
      <c r="E9139" s="20" t="inlineStr">
        <is>
          <t>고체향수</t>
        </is>
      </c>
      <c r="K9139" s="20" t="n">
        <v>30112</v>
      </c>
    </row>
    <row r="9140">
      <c r="A9140" s="20" t="inlineStr">
        <is>
          <t>[승무원]숏폼_영상</t>
        </is>
      </c>
      <c r="B9140" s="27" t="n">
        <v>44341</v>
      </c>
      <c r="C9140" s="20" t="inlineStr">
        <is>
          <t>화</t>
        </is>
      </c>
      <c r="D9140" s="20" t="inlineStr">
        <is>
          <t>페이스북/인스타그램</t>
        </is>
      </c>
      <c r="E9140" s="20" t="inlineStr">
        <is>
          <t>고체향수</t>
        </is>
      </c>
      <c r="K9140" s="20" t="n">
        <v>49714</v>
      </c>
    </row>
    <row r="9141">
      <c r="A9141" s="20" t="inlineStr">
        <is>
          <t>[재입고]스테이포에버_영상</t>
        </is>
      </c>
      <c r="B9141" s="27" t="n">
        <v>44341</v>
      </c>
      <c r="C9141" s="20" t="inlineStr">
        <is>
          <t>화</t>
        </is>
      </c>
      <c r="D9141" s="20" t="inlineStr">
        <is>
          <t>페이스북/인스타그램</t>
        </is>
      </c>
      <c r="E9141" s="20" t="inlineStr">
        <is>
          <t>고체향수</t>
        </is>
      </c>
      <c r="K9141" s="20" t="n">
        <v>198987</v>
      </c>
    </row>
    <row r="9142">
      <c r="A9142" s="20" t="inlineStr">
        <is>
          <t>[승무원]2019년썰 카드뉴스+ 향묘사_영상</t>
        </is>
      </c>
      <c r="B9142" s="27" t="n">
        <v>44341</v>
      </c>
      <c r="C9142" s="20" t="inlineStr">
        <is>
          <t>화</t>
        </is>
      </c>
      <c r="D9142" s="20" t="inlineStr">
        <is>
          <t>페이스북/인스타그램</t>
        </is>
      </c>
      <c r="E9142" s="20" t="inlineStr">
        <is>
          <t>고체향수</t>
        </is>
      </c>
      <c r="K9142" s="20" t="n">
        <v>30023</v>
      </c>
    </row>
    <row r="9143">
      <c r="A9143" s="20" t="inlineStr">
        <is>
          <t>[승무원어피]스테이포에버_이미지</t>
        </is>
      </c>
      <c r="B9143" s="27" t="n">
        <v>44341</v>
      </c>
      <c r="C9143" s="20" t="inlineStr">
        <is>
          <t>화</t>
        </is>
      </c>
      <c r="D9143" s="20" t="inlineStr">
        <is>
          <t>페이스북/인스타그램</t>
        </is>
      </c>
      <c r="E9143" s="20" t="inlineStr">
        <is>
          <t>고체향수</t>
        </is>
      </c>
      <c r="K9143" s="20" t="n">
        <v>115318</v>
      </c>
    </row>
    <row r="9144">
      <c r="A9144" s="20" t="inlineStr">
        <is>
          <t>[다현]스테이포에버_이미지</t>
        </is>
      </c>
      <c r="B9144" s="27" t="n">
        <v>44341</v>
      </c>
      <c r="C9144" s="20" t="inlineStr">
        <is>
          <t>화</t>
        </is>
      </c>
      <c r="D9144" s="20" t="inlineStr">
        <is>
          <t>페이스북/인스타그램</t>
        </is>
      </c>
      <c r="E9144" s="20" t="inlineStr">
        <is>
          <t>고체향수</t>
        </is>
      </c>
      <c r="K9144" s="20" t="n">
        <v>126488</v>
      </c>
    </row>
    <row r="9145">
      <c r="A9145" s="20" t="inlineStr">
        <is>
          <t>[후기타입]스테이포에버_영상</t>
        </is>
      </c>
      <c r="B9145" s="27" t="n">
        <v>44341</v>
      </c>
      <c r="C9145" s="20" t="inlineStr">
        <is>
          <t>화</t>
        </is>
      </c>
      <c r="D9145" s="20" t="inlineStr">
        <is>
          <t>페이스북/인스타그램</t>
        </is>
      </c>
      <c r="E9145" s="20" t="inlineStr">
        <is>
          <t>고체향수</t>
        </is>
      </c>
      <c r="K9145" s="20" t="n">
        <v>100432</v>
      </c>
    </row>
    <row r="9146">
      <c r="A9146" s="20" t="inlineStr">
        <is>
          <t>전환_스테이포에버</t>
        </is>
      </c>
      <c r="B9146" s="27" t="n">
        <v>44341</v>
      </c>
      <c r="C9146" s="20" t="inlineStr">
        <is>
          <t>화</t>
        </is>
      </c>
      <c r="D9146" s="20" t="inlineStr">
        <is>
          <t>페이스북/인스타그램</t>
        </is>
      </c>
      <c r="E9146" s="20" t="inlineStr">
        <is>
          <t>고체향수</t>
        </is>
      </c>
      <c r="K9146" s="20" t="n">
        <v>69961</v>
      </c>
    </row>
    <row r="9147">
      <c r="A9147" s="20" t="inlineStr">
        <is>
          <t>[권태기커플]스테이포에버_영상</t>
        </is>
      </c>
      <c r="B9147" s="27" t="n">
        <v>44341</v>
      </c>
      <c r="C9147" s="20" t="inlineStr">
        <is>
          <t>화</t>
        </is>
      </c>
      <c r="D9147" s="20" t="inlineStr">
        <is>
          <t>페이스북/인스타그램</t>
        </is>
      </c>
      <c r="E9147" s="20" t="inlineStr">
        <is>
          <t>고체향수</t>
        </is>
      </c>
      <c r="K9147" s="20" t="n">
        <v>30168</v>
      </c>
    </row>
    <row r="9148">
      <c r="A9148" s="20" t="inlineStr">
        <is>
          <t>웹사이트 트래픽 서치</t>
        </is>
      </c>
      <c r="B9148" s="27" t="n">
        <v>44341</v>
      </c>
      <c r="C9148" s="20" t="inlineStr">
        <is>
          <t>화</t>
        </is>
      </c>
      <c r="D9148" s="20" t="inlineStr">
        <is>
          <t>유튜브 광고</t>
        </is>
      </c>
      <c r="E9148" s="20" t="inlineStr">
        <is>
          <t>고체향수</t>
        </is>
      </c>
      <c r="K9148" s="20" t="n">
        <v>46821</v>
      </c>
    </row>
    <row r="9149">
      <c r="A9149" s="20" t="inlineStr">
        <is>
          <t>디스커버리 배너_승무원,할인_리마케팅</t>
        </is>
      </c>
      <c r="B9149" s="27" t="n">
        <v>44341</v>
      </c>
      <c r="C9149" s="20" t="inlineStr">
        <is>
          <t>화</t>
        </is>
      </c>
      <c r="D9149" s="20" t="inlineStr">
        <is>
          <t>유튜브 광고</t>
        </is>
      </c>
      <c r="E9149" s="20" t="inlineStr">
        <is>
          <t>고체향수</t>
        </is>
      </c>
      <c r="K9149" s="20" t="n">
        <v>1259435</v>
      </c>
    </row>
    <row r="9150">
      <c r="A9150" s="20" t="inlineStr">
        <is>
          <t>동영상캠페인_승무원_전직승무원</t>
        </is>
      </c>
      <c r="B9150" s="27" t="n">
        <v>44341</v>
      </c>
      <c r="C9150" s="20" t="inlineStr">
        <is>
          <t>화</t>
        </is>
      </c>
      <c r="D9150" s="20" t="inlineStr">
        <is>
          <t>유튜브 광고</t>
        </is>
      </c>
      <c r="E9150" s="20" t="inlineStr">
        <is>
          <t>고체향수</t>
        </is>
      </c>
      <c r="K9150" s="20" t="n">
        <v>308872</v>
      </c>
    </row>
    <row r="9151">
      <c r="A9151" s="20" t="inlineStr">
        <is>
          <t>[5화자] 동영상 캠페인_벨라의 비행일기</t>
        </is>
      </c>
      <c r="B9151" s="27" t="n">
        <v>44341</v>
      </c>
      <c r="C9151" s="20" t="inlineStr">
        <is>
          <t>화</t>
        </is>
      </c>
      <c r="D9151" s="20" t="inlineStr">
        <is>
          <t>유튜브 광고</t>
        </is>
      </c>
      <c r="E9151" s="20" t="inlineStr">
        <is>
          <t>고체향수</t>
        </is>
      </c>
      <c r="K9151" s="20" t="n">
        <v>514894</v>
      </c>
    </row>
    <row r="9152">
      <c r="A9152" s="20" t="inlineStr">
        <is>
          <t>[5화자] 동영상 캠페인_비행하고 여행하는 은선씨</t>
        </is>
      </c>
      <c r="B9152" s="27" t="n">
        <v>44341</v>
      </c>
      <c r="C9152" s="20" t="inlineStr">
        <is>
          <t>화</t>
        </is>
      </c>
      <c r="D9152" s="20" t="inlineStr">
        <is>
          <t>유튜브 광고</t>
        </is>
      </c>
      <c r="E9152" s="20" t="inlineStr">
        <is>
          <t>고체향수</t>
        </is>
      </c>
      <c r="K9152" s="20" t="n">
        <v>154508</v>
      </c>
    </row>
    <row r="9153">
      <c r="A9153" s="20" t="inlineStr">
        <is>
          <t>[5화자 재편집] 승무원_벨라_면세점에서 천만원</t>
        </is>
      </c>
      <c r="B9153" s="27" t="n">
        <v>44341</v>
      </c>
      <c r="C9153" s="20" t="inlineStr">
        <is>
          <t>화</t>
        </is>
      </c>
      <c r="D9153" s="20" t="inlineStr">
        <is>
          <t>유튜브 광고</t>
        </is>
      </c>
      <c r="E9153" s="20" t="inlineStr">
        <is>
          <t>고체향수</t>
        </is>
      </c>
      <c r="K9153" s="20" t="n">
        <v>308185</v>
      </c>
    </row>
    <row r="9154">
      <c r="A9154" s="20" t="inlineStr">
        <is>
          <t>동영상캠페인_유즈모먼트_면세점뒤졌는데</t>
        </is>
      </c>
      <c r="B9154" s="27" t="n">
        <v>44341</v>
      </c>
      <c r="C9154" s="20" t="inlineStr">
        <is>
          <t>화</t>
        </is>
      </c>
      <c r="D9154" s="20" t="inlineStr">
        <is>
          <t>유튜브 광고</t>
        </is>
      </c>
      <c r="E9154" s="20" t="inlineStr">
        <is>
          <t>고체향수</t>
        </is>
      </c>
      <c r="K9154" s="20" t="n">
        <v>410669</v>
      </c>
    </row>
    <row r="9155">
      <c r="A9155" s="20" t="inlineStr">
        <is>
          <t>메인키워드</t>
        </is>
      </c>
      <c r="B9155" s="27" t="n">
        <v>44341</v>
      </c>
      <c r="C9155" s="20" t="inlineStr">
        <is>
          <t>화</t>
        </is>
      </c>
      <c r="D9155" s="20" t="inlineStr">
        <is>
          <t>네이버 쇼핑검색</t>
        </is>
      </c>
      <c r="E9155" s="20" t="inlineStr">
        <is>
          <t>고체향수</t>
        </is>
      </c>
      <c r="K9155" s="20" t="n">
        <v>13930</v>
      </c>
    </row>
    <row r="9156">
      <c r="A9156" s="20" t="inlineStr">
        <is>
          <t>세부키워드1</t>
        </is>
      </c>
      <c r="B9156" s="27" t="n">
        <v>44341</v>
      </c>
      <c r="C9156" s="20" t="inlineStr">
        <is>
          <t>화</t>
        </is>
      </c>
      <c r="D9156" s="20" t="inlineStr">
        <is>
          <t>네이버 쇼핑검색</t>
        </is>
      </c>
      <c r="E9156" s="20" t="inlineStr">
        <is>
          <t>고체향수</t>
        </is>
      </c>
      <c r="K9156" s="20" t="n">
        <v>300</v>
      </c>
    </row>
    <row r="9157">
      <c r="A9157" s="20" t="inlineStr">
        <is>
          <t>세부키워드3</t>
        </is>
      </c>
      <c r="B9157" s="27" t="n">
        <v>44341</v>
      </c>
      <c r="C9157" s="20" t="inlineStr">
        <is>
          <t>화</t>
        </is>
      </c>
      <c r="D9157" s="20" t="inlineStr">
        <is>
          <t>네이버 쇼핑검색</t>
        </is>
      </c>
      <c r="E9157" s="20" t="inlineStr">
        <is>
          <t>고체향수</t>
        </is>
      </c>
      <c r="K9157" s="20" t="n">
        <v>119720</v>
      </c>
    </row>
    <row r="9158">
      <c r="A9158" s="20" t="inlineStr">
        <is>
          <t>모바일 브검</t>
        </is>
      </c>
      <c r="B9158" s="27" t="n">
        <v>44341</v>
      </c>
      <c r="C9158" s="20" t="inlineStr">
        <is>
          <t>화</t>
        </is>
      </c>
      <c r="D9158" s="20" t="inlineStr">
        <is>
          <t>네이버 브랜드검색</t>
        </is>
      </c>
      <c r="E9158" s="20" t="inlineStr">
        <is>
          <t>브랜드</t>
        </is>
      </c>
      <c r="K9158" s="20" t="n">
        <v>88000</v>
      </c>
    </row>
    <row r="9159">
      <c r="A9159" s="20" t="inlineStr">
        <is>
          <t>PC 브랜드검색</t>
        </is>
      </c>
      <c r="B9159" s="27" t="n">
        <v>44341</v>
      </c>
      <c r="C9159" s="20" t="inlineStr">
        <is>
          <t>화</t>
        </is>
      </c>
      <c r="D9159" s="20" t="inlineStr">
        <is>
          <t>네이버 브랜드검색</t>
        </is>
      </c>
      <c r="E9159" s="20" t="inlineStr">
        <is>
          <t>브랜드</t>
        </is>
      </c>
      <c r="K9159" s="20" t="n">
        <v>16700</v>
      </c>
    </row>
    <row r="9160">
      <c r="B9160" s="27" t="n">
        <v>44341</v>
      </c>
      <c r="C9160" s="20" t="inlineStr">
        <is>
          <t>화</t>
        </is>
      </c>
      <c r="E9160" s="20" t="inlineStr">
        <is>
          <t>고체향수</t>
        </is>
      </c>
      <c r="F9160" s="20" t="inlineStr">
        <is>
          <t>W컨셉</t>
        </is>
      </c>
      <c r="G9160" s="20" t="inlineStr">
        <is>
          <t>솔리드퍼퓸 이그나이트/스테이포에버 30ml (2종 택1)&lt;옵션1&gt;002 STAY FOREVER</t>
        </is>
      </c>
      <c r="H9160" s="20" t="n">
        <v>3</v>
      </c>
      <c r="I9160" s="20" t="inlineStr">
        <is>
          <t>스테이포에버</t>
        </is>
      </c>
      <c r="J9160" s="20" t="inlineStr">
        <is>
          <t>210501</t>
        </is>
      </c>
      <c r="L9160" s="20" t="n">
        <v>102000</v>
      </c>
      <c r="M9160" s="20" t="n">
        <v>71400</v>
      </c>
      <c r="N9160" s="20" t="n">
        <v>7662</v>
      </c>
      <c r="O9160" s="20" t="inlineStr">
        <is>
          <t>W컨셉고체향수솔리드퍼퓸 이그나이트/스테이포에버 30ml (2종 택1)&lt;옵션1&gt;002 STAY FOREVER210501</t>
        </is>
      </c>
    </row>
    <row r="9161">
      <c r="B9161" s="27" t="n">
        <v>44341</v>
      </c>
      <c r="C9161" s="20" t="inlineStr">
        <is>
          <t>화</t>
        </is>
      </c>
      <c r="E9161" s="20" t="inlineStr">
        <is>
          <t>고체향수</t>
        </is>
      </c>
      <c r="F9161" s="20" t="inlineStr">
        <is>
          <t>W컨셉</t>
        </is>
      </c>
      <c r="G9161" s="20" t="inlineStr">
        <is>
          <t>솔리드퍼퓸 이그나이트/스테이포에버 30ml (2종 택1)&lt;옵션1&gt;IGNITE + STAY FOREVER</t>
        </is>
      </c>
      <c r="H9161" s="20" t="n">
        <v>1</v>
      </c>
      <c r="I9161" s="20" t="inlineStr">
        <is>
          <t>이그나이트 + 스테이포에버</t>
        </is>
      </c>
      <c r="J9161" s="20" t="inlineStr">
        <is>
          <t>210501</t>
        </is>
      </c>
      <c r="L9161" s="20" t="n">
        <v>58800</v>
      </c>
      <c r="M9161" s="20" t="n">
        <v>47040</v>
      </c>
      <c r="N9161" s="20" t="n">
        <v>5179</v>
      </c>
      <c r="O9161" s="20" t="inlineStr">
        <is>
          <t>W컨셉고체향수솔리드퍼퓸 이그나이트/스테이포에버 30ml (2종 택1)&lt;옵션1&gt;IGNITE + STAY FOREVER210501</t>
        </is>
      </c>
    </row>
    <row r="9162">
      <c r="B9162" s="27" t="n">
        <v>44341</v>
      </c>
      <c r="C9162" s="20" t="inlineStr">
        <is>
          <t>화</t>
        </is>
      </c>
      <c r="E9162" s="20" t="inlineStr">
        <is>
          <t>고체향수</t>
        </is>
      </c>
      <c r="F9162" s="20" t="inlineStr">
        <is>
          <t>스마트스토어</t>
        </is>
      </c>
      <c r="G9162" s="20" t="inlineStr">
        <is>
          <t>유즈 고체향수 세트(유즈 스테이포에버, 유즈 이그나이트)고체향수: 스테이포에버 1개 + 이그나이트 1개</t>
        </is>
      </c>
      <c r="H9162" s="20" t="n">
        <v>2</v>
      </c>
      <c r="I9162" s="20" t="inlineStr">
        <is>
          <t>이그나이트 + 스테이포에버</t>
        </is>
      </c>
      <c r="J9162" s="20" t="inlineStr">
        <is>
          <t>210501</t>
        </is>
      </c>
      <c r="L9162" s="20" t="n">
        <v>117600</v>
      </c>
      <c r="M9162" s="20" t="n">
        <v>110720.4</v>
      </c>
      <c r="N9162" s="20" t="n">
        <v>10358</v>
      </c>
      <c r="O9162" s="20" t="inlineStr">
        <is>
          <t>스마트스토어고체향수유즈 고체향수 세트(유즈 스테이포에버, 유즈 이그나이트)고체향수: 스테이포에버 1개 + 이그나이트 1개210501</t>
        </is>
      </c>
    </row>
    <row r="9163">
      <c r="B9163" s="27" t="n">
        <v>44341</v>
      </c>
      <c r="C9163" s="20" t="inlineStr">
        <is>
          <t>화</t>
        </is>
      </c>
      <c r="E9163" s="20" t="inlineStr">
        <is>
          <t>고체향수</t>
        </is>
      </c>
      <c r="F9163" s="20" t="inlineStr">
        <is>
          <t>스마트스토어</t>
        </is>
      </c>
      <c r="G9163" s="20" t="inlineStr">
        <is>
          <t>유즈 고체향수 세트(유즈 스테이포에버, 유즈 이그나이트)고체향수: 스테이포에버 2개</t>
        </is>
      </c>
      <c r="H9163" s="20" t="n">
        <v>1</v>
      </c>
      <c r="I9163" s="20" t="inlineStr">
        <is>
          <t>스테이포에버 2set</t>
        </is>
      </c>
      <c r="J9163" s="20" t="inlineStr">
        <is>
          <t>210501</t>
        </is>
      </c>
      <c r="L9163" s="20" t="n">
        <v>58800</v>
      </c>
      <c r="M9163" s="20" t="n">
        <v>57624</v>
      </c>
      <c r="N9163" s="20" t="n">
        <v>5108</v>
      </c>
      <c r="O9163" s="20" t="inlineStr">
        <is>
          <t>스마트스토어고체향수유즈 고체향수 세트(유즈 스테이포에버, 유즈 이그나이트)고체향수: 스테이포에버 2개210501</t>
        </is>
      </c>
    </row>
    <row r="9164">
      <c r="B9164" s="27" t="n">
        <v>44341</v>
      </c>
      <c r="C9164" s="20" t="inlineStr">
        <is>
          <t>화</t>
        </is>
      </c>
      <c r="E9164" s="20" t="inlineStr">
        <is>
          <t>고체향수</t>
        </is>
      </c>
      <c r="F9164" s="20" t="inlineStr">
        <is>
          <t>스마트스토어</t>
        </is>
      </c>
      <c r="G9164" s="20" t="inlineStr">
        <is>
          <t>유즈 고체향수 스테이포에버 002고체향수: 스테이포에버 1개</t>
        </is>
      </c>
      <c r="H9164" s="20" t="n">
        <v>12</v>
      </c>
      <c r="I9164" s="20" t="inlineStr">
        <is>
          <t>스테이포에버</t>
        </is>
      </c>
      <c r="J9164" s="20" t="inlineStr">
        <is>
          <t>210501</t>
        </is>
      </c>
      <c r="L9164" s="20" t="n">
        <v>408000</v>
      </c>
      <c r="M9164" s="20" t="n">
        <v>399840</v>
      </c>
      <c r="N9164" s="20" t="n">
        <v>30648</v>
      </c>
      <c r="O9164" s="20" t="inlineStr">
        <is>
          <t>스마트스토어고체향수유즈 고체향수 스테이포에버 002고체향수: 스테이포에버 1개210501</t>
        </is>
      </c>
    </row>
    <row r="9165">
      <c r="B9165" s="27" t="n">
        <v>44341</v>
      </c>
      <c r="C9165" s="20" t="inlineStr">
        <is>
          <t>화</t>
        </is>
      </c>
      <c r="E9165" s="19">
        <f>INDEX(매칭테이블!C:C,MATCH(RD!G9165,매칭테이블!D:D,0))</f>
        <v/>
      </c>
      <c r="F9165" s="20" t="inlineStr">
        <is>
          <t>카페24</t>
        </is>
      </c>
      <c r="G9165" s="20" t="inlineStr">
        <is>
          <t>솔리드퍼퓸 세트향=이그나이트 001 SOLID PERFUME, 수량 선택=1개</t>
        </is>
      </c>
      <c r="H9165" s="20" t="n">
        <v>2</v>
      </c>
      <c r="I9165" s="19">
        <f>VLOOKUP(G9165,매칭테이블!D:E,2,0)</f>
        <v/>
      </c>
      <c r="J9165" s="20" t="inlineStr">
        <is>
          <t>210501</t>
        </is>
      </c>
      <c r="L9165" s="19">
        <f>VLOOKUP($O9165,매칭테이블!$G:$J,2,0)*H9165</f>
        <v/>
      </c>
      <c r="M9165" s="19">
        <f>L9165-L9165*VLOOKUP($O9165,매칭테이블!$G:$J,3,0)</f>
        <v/>
      </c>
      <c r="N9165" s="19">
        <f>VLOOKUP($O9165,매칭테이블!$G:$J,4,0)*H9165</f>
        <v/>
      </c>
      <c r="O9165" s="19">
        <f>F9165&amp;E9165&amp;G9165&amp;J9165</f>
        <v/>
      </c>
    </row>
    <row r="9166">
      <c r="B9166" s="27" t="n">
        <v>44341</v>
      </c>
      <c r="C9166" s="20" t="inlineStr">
        <is>
          <t>화</t>
        </is>
      </c>
      <c r="E9166" s="19">
        <f>INDEX(매칭테이블!C:C,MATCH(RD!G9166,매칭테이블!D:D,0))</f>
        <v/>
      </c>
      <c r="F9166" s="20" t="inlineStr">
        <is>
          <t>카페24</t>
        </is>
      </c>
      <c r="G9166" s="20" t="inlineStr">
        <is>
          <t>솔리드퍼퓸 세트향=스테이포에버 002 SOLID PERFUME, 수량 선택=1개</t>
        </is>
      </c>
      <c r="H9166" s="20" t="n">
        <v>1</v>
      </c>
      <c r="I9166" s="19">
        <f>VLOOKUP(G9166,매칭테이블!D:E,2,0)</f>
        <v/>
      </c>
      <c r="J9166" s="20" t="inlineStr">
        <is>
          <t>210501</t>
        </is>
      </c>
      <c r="L9166" s="19">
        <f>VLOOKUP($O9166,매칭테이블!$G:$J,2,0)*H9166</f>
        <v/>
      </c>
      <c r="M9166" s="19">
        <f>L9166-L9166*VLOOKUP($O9166,매칭테이블!$G:$J,3,0)</f>
        <v/>
      </c>
      <c r="N9166" s="19">
        <f>VLOOKUP($O9166,매칭테이블!$G:$J,4,0)*H9166</f>
        <v/>
      </c>
      <c r="O9166" s="19">
        <f>F9166&amp;E9166&amp;G9166&amp;J9166</f>
        <v/>
      </c>
    </row>
    <row r="9167">
      <c r="B9167" s="27" t="n">
        <v>44341</v>
      </c>
      <c r="C9167" s="20" t="inlineStr">
        <is>
          <t>화</t>
        </is>
      </c>
      <c r="E9167" s="20" t="inlineStr">
        <is>
          <t>고체향수</t>
        </is>
      </c>
      <c r="F9167" s="20" t="inlineStr">
        <is>
          <t>카페24</t>
        </is>
      </c>
      <c r="G9167" s="20" t="inlineStr">
        <is>
          <t>솔리드퍼퓸 세트향=스테이포에버 002 SOLID PERFUME, 세트 선택=best 2개 (28% 할인)</t>
        </is>
      </c>
      <c r="H9167" s="20" t="n">
        <v>1</v>
      </c>
      <c r="I9167" s="20" t="inlineStr">
        <is>
          <t>스테이포에버 2set</t>
        </is>
      </c>
      <c r="J9167" s="20" t="inlineStr">
        <is>
          <t>210501</t>
        </is>
      </c>
      <c r="L9167" s="20" t="n">
        <v>58800</v>
      </c>
      <c r="M9167" s="20" t="n">
        <v>55360.2</v>
      </c>
      <c r="N9167" s="20" t="n">
        <v>5108</v>
      </c>
      <c r="O9167" s="20" t="inlineStr">
        <is>
          <t>카페24고체향수솔리드퍼퓸 세트향=스테이포에버 002 SOLID PERFUME, 세트 선택=best 2개 (28% 할인)210501</t>
        </is>
      </c>
    </row>
    <row r="9168">
      <c r="B9168" s="27" t="n">
        <v>44341</v>
      </c>
      <c r="C9168" s="20" t="inlineStr">
        <is>
          <t>화</t>
        </is>
      </c>
      <c r="E9168" s="19">
        <f>INDEX(매칭테이블!C:C,MATCH(RD!G9168,매칭테이블!D:D,0))</f>
        <v/>
      </c>
      <c r="F9168" s="20" t="inlineStr">
        <is>
          <t>카페24</t>
        </is>
      </c>
      <c r="G9168" s="20" t="inlineStr">
        <is>
          <t>솔리드퍼퓸 세트향=스테이포에버 002 SOLID PERFUME, 수량 선택=best 2개 (28% 할인)</t>
        </is>
      </c>
      <c r="H9168" s="20" t="n">
        <v>2</v>
      </c>
      <c r="I9168" s="19">
        <f>VLOOKUP(G9168,매칭테이블!D:E,2,0)</f>
        <v/>
      </c>
      <c r="J9168" s="20" t="inlineStr">
        <is>
          <t>210501</t>
        </is>
      </c>
      <c r="L9168" s="19">
        <f>VLOOKUP($O9168,매칭테이블!$G:$J,2,0)*H9168</f>
        <v/>
      </c>
      <c r="M9168" s="19">
        <f>L9168-L9168*VLOOKUP($O9168,매칭테이블!$G:$J,3,0)</f>
        <v/>
      </c>
      <c r="N9168" s="19">
        <f>VLOOKUP($O9168,매칭테이블!$G:$J,4,0)*H9168</f>
        <v/>
      </c>
      <c r="O9168" s="19">
        <f>F9168&amp;E9168&amp;G9168&amp;J9168</f>
        <v/>
      </c>
    </row>
    <row r="9169">
      <c r="B9169" s="27" t="n">
        <v>44341</v>
      </c>
      <c r="C9169" s="20" t="inlineStr">
        <is>
          <t>화</t>
        </is>
      </c>
      <c r="E9169" s="20" t="inlineStr">
        <is>
          <t>고체향수</t>
        </is>
      </c>
      <c r="F9169" s="20" t="inlineStr">
        <is>
          <t>카페24</t>
        </is>
      </c>
      <c r="G9169" s="20" t="inlineStr">
        <is>
          <t>솔리드퍼퓸 세트향=스테이포에버 + 이그나이트 커플세트(기프트 박스), 세트 선택=1 SET (28% OFF)</t>
        </is>
      </c>
      <c r="H9169" s="20" t="n">
        <v>1</v>
      </c>
      <c r="I9169" s="20" t="inlineStr">
        <is>
          <t>이그나이트 + 스테이포에버(기프트 박스)</t>
        </is>
      </c>
      <c r="J9169" s="20" t="inlineStr">
        <is>
          <t>210501</t>
        </is>
      </c>
      <c r="L9169" s="20" t="n">
        <v>55800</v>
      </c>
      <c r="M9169" s="20" t="n">
        <v>52535.7</v>
      </c>
      <c r="N9169" s="20" t="n">
        <v>6351</v>
      </c>
      <c r="O9169" s="20" t="inlineStr">
        <is>
          <t>카페24고체향수솔리드퍼퓸 세트향=스테이포에버 + 이그나이트 커플세트(기프트 박스), 세트 선택=1 SET (28% OFF)210501</t>
        </is>
      </c>
    </row>
    <row r="9170">
      <c r="B9170" s="27" t="n">
        <v>44341</v>
      </c>
      <c r="C9170" s="20" t="inlineStr">
        <is>
          <t>화</t>
        </is>
      </c>
      <c r="E9170" s="19">
        <f>INDEX(매칭테이블!C:C,MATCH(RD!G9170,매칭테이블!D:D,0))</f>
        <v/>
      </c>
      <c r="F9170" s="20" t="inlineStr">
        <is>
          <t>카페24</t>
        </is>
      </c>
      <c r="G9170" s="20" t="inlineStr">
        <is>
          <t>솔리드퍼퓸 세트향=스테이포에버 + 이그나이트 커플세트(기프트 박스), 수량 선택=1 SET (28% OFF)</t>
        </is>
      </c>
      <c r="H9170" s="20" t="n">
        <v>5</v>
      </c>
      <c r="I9170" s="19">
        <f>VLOOKUP(G9170,매칭테이블!D:E,2,0)</f>
        <v/>
      </c>
      <c r="J9170" s="20" t="inlineStr">
        <is>
          <t>210501</t>
        </is>
      </c>
      <c r="L9170" s="19">
        <f>VLOOKUP($O9170,매칭테이블!$G:$J,2,0)*H9170</f>
        <v/>
      </c>
      <c r="M9170" s="19">
        <f>L9170-L9170*VLOOKUP($O9170,매칭테이블!$G:$J,3,0)</f>
        <v/>
      </c>
      <c r="N9170" s="19">
        <f>VLOOKUP($O9170,매칭테이블!$G:$J,4,0)*H9170</f>
        <v/>
      </c>
      <c r="O9170" s="19">
        <f>F9170&amp;E9170&amp;G9170&amp;J9170</f>
        <v/>
      </c>
    </row>
    <row r="9171">
      <c r="B9171" s="27" t="n">
        <v>44341</v>
      </c>
      <c r="C9171" s="20" t="inlineStr">
        <is>
          <t>화</t>
        </is>
      </c>
      <c r="E9171" s="19">
        <f>INDEX(매칭테이블!C:C,MATCH(RD!G9171,매칭테이블!D:D,0))</f>
        <v/>
      </c>
      <c r="F9171" s="20" t="inlineStr">
        <is>
          <t>카페24</t>
        </is>
      </c>
      <c r="G9171" s="20" t="inlineStr">
        <is>
          <t>솔리드퍼퓸 세트향=스테이포에버 + 이그나이트 커플세트(기프트 박스), 수량 선택=2 SET (42% OFF)</t>
        </is>
      </c>
      <c r="H9171" s="20" t="n">
        <v>2</v>
      </c>
      <c r="I9171" s="19">
        <f>VLOOKUP(G9171,매칭테이블!D:E,2,0)</f>
        <v/>
      </c>
      <c r="J9171" s="20" t="inlineStr">
        <is>
          <t>210501</t>
        </is>
      </c>
      <c r="L9171" s="19">
        <f>VLOOKUP($O9171,매칭테이블!$G:$J,2,0)*H9171</f>
        <v/>
      </c>
      <c r="M9171" s="19">
        <f>L9171-L9171*VLOOKUP($O9171,매칭테이블!$G:$J,3,0)</f>
        <v/>
      </c>
      <c r="N9171" s="19">
        <f>VLOOKUP($O9171,매칭테이블!$G:$J,4,0)*H9171</f>
        <v/>
      </c>
      <c r="O9171" s="19">
        <f>F9171&amp;E9171&amp;G9171&amp;J9171</f>
        <v/>
      </c>
    </row>
    <row r="9172">
      <c r="B9172" s="27" t="n">
        <v>44341</v>
      </c>
      <c r="C9172" s="20" t="inlineStr">
        <is>
          <t>화</t>
        </is>
      </c>
      <c r="E9172" s="20" t="inlineStr">
        <is>
          <t>고체향수</t>
        </is>
      </c>
      <c r="F9172" s="20" t="inlineStr">
        <is>
          <t>카페24</t>
        </is>
      </c>
      <c r="G9172" s="20" t="inlineStr">
        <is>
          <t>솔리드퍼퓸 스테이포에버 002제품선택=스테이포에버 1개</t>
        </is>
      </c>
      <c r="H9172" s="20" t="n">
        <v>195</v>
      </c>
      <c r="I9172" s="20" t="inlineStr">
        <is>
          <t>스테이포에버</t>
        </is>
      </c>
      <c r="J9172" s="20" t="inlineStr">
        <is>
          <t>210501</t>
        </is>
      </c>
      <c r="L9172" s="20" t="n">
        <v>6630000</v>
      </c>
      <c r="M9172" s="20" t="n">
        <v>6242145</v>
      </c>
      <c r="N9172" s="20" t="n">
        <v>498030</v>
      </c>
      <c r="O9172" s="20" t="inlineStr">
        <is>
          <t>카페24고체향수솔리드퍼퓸 스테이포에버 002제품선택=스테이포에버 1개210501</t>
        </is>
      </c>
    </row>
    <row r="9173">
      <c r="B9173" s="27" t="n">
        <v>44341</v>
      </c>
      <c r="C9173" s="20" t="inlineStr">
        <is>
          <t>화</t>
        </is>
      </c>
      <c r="E9173" s="20" t="inlineStr">
        <is>
          <t>고체향수</t>
        </is>
      </c>
      <c r="F9173" s="20" t="inlineStr">
        <is>
          <t>카페24</t>
        </is>
      </c>
      <c r="G9173" s="20" t="inlineStr">
        <is>
          <t>솔리드퍼퓸 스테이포에버 002제품선택=best스테이포에버 2개[28% 할인]</t>
        </is>
      </c>
      <c r="H9173" s="20" t="n">
        <v>114</v>
      </c>
      <c r="I9173" s="20" t="inlineStr">
        <is>
          <t>스테이포에버 2set</t>
        </is>
      </c>
      <c r="J9173" s="20" t="inlineStr">
        <is>
          <t>210501</t>
        </is>
      </c>
      <c r="L9173" s="20" t="n">
        <v>6703200</v>
      </c>
      <c r="M9173" s="20" t="n">
        <v>6311062.8</v>
      </c>
      <c r="N9173" s="20" t="n">
        <v>582312</v>
      </c>
      <c r="O9173" s="20" t="inlineStr">
        <is>
          <t>카페24고체향수솔리드퍼퓸 스테이포에버 002제품선택=best스테이포에버 2개[28% 할인]210501</t>
        </is>
      </c>
    </row>
    <row r="9174">
      <c r="B9174" s="27" t="n">
        <v>44341</v>
      </c>
      <c r="C9174" s="20" t="inlineStr">
        <is>
          <t>화</t>
        </is>
      </c>
      <c r="E9174" s="20" t="inlineStr">
        <is>
          <t>고체향수</t>
        </is>
      </c>
      <c r="F9174" s="20" t="inlineStr">
        <is>
          <t>카페24</t>
        </is>
      </c>
      <c r="G9174" s="20" t="inlineStr">
        <is>
          <t>솔리드퍼퓸 스테이포에버 002제품선택=커플추천스테이포에버 + 이그나이트 세트</t>
        </is>
      </c>
      <c r="H9174" s="20" t="n">
        <v>15</v>
      </c>
      <c r="I9174" s="20" t="inlineStr">
        <is>
          <t>이그나이트 + 스테이포에버</t>
        </is>
      </c>
      <c r="J9174" s="20" t="inlineStr">
        <is>
          <t>210501</t>
        </is>
      </c>
      <c r="L9174" s="20" t="n">
        <v>882000</v>
      </c>
      <c r="M9174" s="20" t="n">
        <v>830403</v>
      </c>
      <c r="N9174" s="20" t="n">
        <v>77685</v>
      </c>
      <c r="O9174" s="20" t="inlineStr">
        <is>
          <t>카페24고체향수솔리드퍼퓸 스테이포에버 002제품선택=커플추천스테이포에버 + 이그나이트 세트210501</t>
        </is>
      </c>
    </row>
    <row r="9175">
      <c r="B9175" s="27" t="n">
        <v>44341</v>
      </c>
      <c r="C9175" s="20" t="inlineStr">
        <is>
          <t>화</t>
        </is>
      </c>
      <c r="E9175" s="20" t="inlineStr">
        <is>
          <t>쇼핑백</t>
        </is>
      </c>
      <c r="F9175" s="20" t="inlineStr">
        <is>
          <t>카페24</t>
        </is>
      </c>
      <c r="G9175" s="20" t="inlineStr">
        <is>
          <t>솔리드퍼퓸 스테이포에버 002쇼핑백=선물용 쇼핑백</t>
        </is>
      </c>
      <c r="H9175" s="20" t="n">
        <v>6</v>
      </c>
      <c r="I9175" s="20" t="inlineStr">
        <is>
          <t>쇼핑백</t>
        </is>
      </c>
      <c r="J9175" s="20" t="inlineStr">
        <is>
          <t>210501</t>
        </is>
      </c>
      <c r="L9175" s="20" t="n">
        <v>12000</v>
      </c>
      <c r="M9175" s="20" t="n">
        <v>11298</v>
      </c>
      <c r="N9175" s="20" t="n">
        <v>4980</v>
      </c>
      <c r="O9175" s="20" t="inlineStr">
        <is>
          <t>카페24쇼핑백솔리드퍼퓸 스테이포에버 002쇼핑백=선물용 쇼핑백210501</t>
        </is>
      </c>
    </row>
    <row r="9176">
      <c r="B9176" s="27" t="n">
        <v>44341</v>
      </c>
      <c r="C9176" s="20" t="inlineStr">
        <is>
          <t>화</t>
        </is>
      </c>
      <c r="E9176" s="20" t="inlineStr">
        <is>
          <t>고체향수</t>
        </is>
      </c>
      <c r="F9176" s="20" t="inlineStr">
        <is>
          <t>카페24</t>
        </is>
      </c>
      <c r="G9176" s="20" t="inlineStr">
        <is>
          <t>솔리드퍼퓸 스페셜 기프트 세트제품 선택=Event 1솔리드퍼퓸 2종 set[40% 할인], 수량 선택=1개</t>
        </is>
      </c>
      <c r="H9176" s="20" t="n">
        <v>3</v>
      </c>
      <c r="I9176" s="20" t="inlineStr">
        <is>
          <t>5월 프로모션 이그나이트+스테이포에버</t>
        </is>
      </c>
      <c r="J9176" s="20" t="inlineStr">
        <is>
          <t>210501</t>
        </is>
      </c>
      <c r="L9176" s="20" t="n">
        <v>151200</v>
      </c>
      <c r="M9176" s="20" t="n">
        <v>142354.8</v>
      </c>
      <c r="N9176" s="20" t="n">
        <v>21486</v>
      </c>
      <c r="O9176" s="20" t="inlineStr">
        <is>
          <t>카페24고체향수솔리드퍼퓸 스페셜 기프트 세트제품 선택=Event 1솔리드퍼퓸 2종 set[40% 할인], 수량 선택=1개210501</t>
        </is>
      </c>
    </row>
    <row r="9177">
      <c r="B9177" s="27" t="n">
        <v>44341</v>
      </c>
      <c r="C9177" s="20" t="inlineStr">
        <is>
          <t>화</t>
        </is>
      </c>
      <c r="E9177" s="20" t="inlineStr">
        <is>
          <t>고체향수</t>
        </is>
      </c>
      <c r="F9177" s="20" t="inlineStr">
        <is>
          <t>카페24</t>
        </is>
      </c>
      <c r="G9177" s="20" t="inlineStr">
        <is>
          <t>솔리드퍼퓸 이그나이트 001제품선택=이그나이트 솔리드퍼퓸 - 30ml</t>
        </is>
      </c>
      <c r="H9177" s="20" t="n">
        <v>1</v>
      </c>
      <c r="I9177" s="20" t="inlineStr">
        <is>
          <t>이그나이트</t>
        </is>
      </c>
      <c r="J9177" s="20" t="inlineStr">
        <is>
          <t>210501</t>
        </is>
      </c>
      <c r="L9177" s="20" t="n">
        <v>34000</v>
      </c>
      <c r="M9177" s="20" t="n">
        <v>32011</v>
      </c>
      <c r="N9177" s="20" t="n">
        <v>2625</v>
      </c>
      <c r="O9177" s="20" t="inlineStr">
        <is>
          <t>카페24고체향수솔리드퍼퓸 이그나이트 001제품선택=이그나이트 솔리드퍼퓸 - 30ml210501</t>
        </is>
      </c>
    </row>
    <row r="9178">
      <c r="A9178" s="20" t="inlineStr">
        <is>
          <t>고체향수</t>
        </is>
      </c>
      <c r="B9178" s="27" t="n">
        <v>44341</v>
      </c>
      <c r="C9178" s="20" t="inlineStr">
        <is>
          <t>화</t>
        </is>
      </c>
      <c r="D9178" s="20" t="inlineStr">
        <is>
          <t>네이버 배너</t>
        </is>
      </c>
      <c r="E9178" s="20" t="inlineStr">
        <is>
          <t>고체향수</t>
        </is>
      </c>
      <c r="K9178" s="20" t="n">
        <v>513403.6363636363</v>
      </c>
    </row>
    <row r="9179">
      <c r="B9179" s="27" t="n">
        <v>44341</v>
      </c>
      <c r="C9179" s="20" t="inlineStr">
        <is>
          <t>화</t>
        </is>
      </c>
      <c r="D9179" s="20" t="inlineStr">
        <is>
          <t>네이버 배너(대행사)</t>
        </is>
      </c>
      <c r="E9179" s="20" t="inlineStr">
        <is>
          <t>고체향수</t>
        </is>
      </c>
      <c r="K9179" s="20">
        <f>250915/1.1</f>
        <v/>
      </c>
    </row>
    <row r="9180">
      <c r="B9180" s="27" t="n">
        <v>44341</v>
      </c>
      <c r="C9180" s="20" t="inlineStr">
        <is>
          <t>화</t>
        </is>
      </c>
      <c r="E9180" s="19">
        <f>INDEX(매칭테이블!C:C,MATCH(RD!G9180,매칭테이블!D:D,0))</f>
        <v/>
      </c>
      <c r="F9180" s="20" t="inlineStr">
        <is>
          <t>올리브영</t>
        </is>
      </c>
      <c r="G9180" s="20" t="inlineStr">
        <is>
          <t>유즈 솔리드퍼퓸 001 이그나이트 30ml 30600 온라인</t>
        </is>
      </c>
      <c r="H9180" s="20" t="n">
        <v>1</v>
      </c>
      <c r="I9180" s="19">
        <f>VLOOKUP(G9180,매칭테이블!D:E,2,0)</f>
        <v/>
      </c>
      <c r="J9180" s="20" t="inlineStr">
        <is>
          <t>210501</t>
        </is>
      </c>
      <c r="L9180" s="19">
        <f>VLOOKUP($O9180,매칭테이블!$G:$J,2,0)*H9180</f>
        <v/>
      </c>
      <c r="M9180" s="19">
        <f>L9180-L9180*VLOOKUP($O9180,매칭테이블!$G:$J,3,0)</f>
        <v/>
      </c>
      <c r="N9180" s="19">
        <f>VLOOKUP($O9180,매칭테이블!$G:$J,4,0)*H9180</f>
        <v/>
      </c>
      <c r="O9180" s="19">
        <f>F9180&amp;E9180&amp;G9180&amp;J9180</f>
        <v/>
      </c>
      <c r="P9180" s="19" t="n"/>
    </row>
    <row r="9181">
      <c r="B9181" s="27" t="n">
        <v>44341</v>
      </c>
      <c r="C9181" s="20" t="inlineStr">
        <is>
          <t>화</t>
        </is>
      </c>
      <c r="E9181" s="19">
        <f>INDEX(매칭테이블!C:C,MATCH(RD!G9181,매칭테이블!D:D,0))</f>
        <v/>
      </c>
      <c r="F9181" s="20" t="inlineStr">
        <is>
          <t>올리브영</t>
        </is>
      </c>
      <c r="G9181" s="20" t="inlineStr">
        <is>
          <t>유즈 솔리드퍼퓸 002 스테이포에버 30ml 30600 온라인</t>
        </is>
      </c>
      <c r="H9181" s="20" t="n">
        <v>123</v>
      </c>
      <c r="I9181" s="19">
        <f>VLOOKUP(G9181,매칭테이블!D:E,2,0)</f>
        <v/>
      </c>
      <c r="J9181" s="20" t="inlineStr">
        <is>
          <t>210501</t>
        </is>
      </c>
      <c r="L9181" s="19">
        <f>VLOOKUP($O9181,매칭테이블!$G:$J,2,0)*H9181</f>
        <v/>
      </c>
      <c r="M9181" s="19">
        <f>L9181-L9181*VLOOKUP($O9181,매칭테이블!$G:$J,3,0)</f>
        <v/>
      </c>
      <c r="N9181" s="19">
        <f>VLOOKUP($O9181,매칭테이블!$G:$J,4,0)*H9181</f>
        <v/>
      </c>
      <c r="O9181" s="19">
        <f>F9181&amp;E9181&amp;G9181&amp;J9181</f>
        <v/>
      </c>
      <c r="P9181" s="19" t="n"/>
    </row>
    <row r="9182">
      <c r="B9182" s="27" t="n">
        <v>44341</v>
      </c>
      <c r="C9182" s="20" t="inlineStr">
        <is>
          <t>화</t>
        </is>
      </c>
      <c r="D9182" s="20" t="inlineStr">
        <is>
          <t>카카오 배너</t>
        </is>
      </c>
      <c r="K9182" s="20">
        <f>905333/1.1</f>
        <v/>
      </c>
    </row>
    <row r="9183">
      <c r="A9183" s="20" t="inlineStr">
        <is>
          <t>[수현 TEST] 이그나이트_이미지</t>
        </is>
      </c>
      <c r="B9183" s="27" t="n">
        <v>44342</v>
      </c>
      <c r="C9183" s="20" t="inlineStr">
        <is>
          <t>수</t>
        </is>
      </c>
      <c r="D9183" s="20" t="inlineStr">
        <is>
          <t>페이스북/인스타그램</t>
        </is>
      </c>
      <c r="E9183" s="20" t="inlineStr">
        <is>
          <t>고체향수</t>
        </is>
      </c>
      <c r="K9183" s="20" t="n">
        <v>30021</v>
      </c>
    </row>
    <row r="9184">
      <c r="A9184" s="20" t="inlineStr">
        <is>
          <t>[수현 TEST] 스테이포에버_카드뉴스</t>
        </is>
      </c>
      <c r="B9184" s="27" t="n">
        <v>44342</v>
      </c>
      <c r="C9184" s="20" t="inlineStr">
        <is>
          <t>수</t>
        </is>
      </c>
      <c r="D9184" s="20" t="inlineStr">
        <is>
          <t>페이스북/인스타그램</t>
        </is>
      </c>
      <c r="E9184" s="20" t="inlineStr">
        <is>
          <t>고체향수</t>
        </is>
      </c>
      <c r="K9184" s="20" t="n">
        <v>50086</v>
      </c>
    </row>
    <row r="9185">
      <c r="A9185" s="20" t="inlineStr">
        <is>
          <t>[수현 TEST] 스테이포에버_이미지</t>
        </is>
      </c>
      <c r="B9185" s="27" t="n">
        <v>44342</v>
      </c>
      <c r="C9185" s="20" t="inlineStr">
        <is>
          <t>수</t>
        </is>
      </c>
      <c r="D9185" s="20" t="inlineStr">
        <is>
          <t>페이스북/인스타그램</t>
        </is>
      </c>
      <c r="E9185" s="20" t="inlineStr">
        <is>
          <t>고체향수</t>
        </is>
      </c>
      <c r="K9185" s="20" t="n">
        <v>31790</v>
      </c>
    </row>
    <row r="9186">
      <c r="A9186" s="20" t="inlineStr">
        <is>
          <t>[승은 TEST] 스테이포에버</t>
        </is>
      </c>
      <c r="B9186" s="27" t="n">
        <v>44342</v>
      </c>
      <c r="C9186" s="20" t="inlineStr">
        <is>
          <t>수</t>
        </is>
      </c>
      <c r="D9186" s="20" t="inlineStr">
        <is>
          <t>페이스북/인스타그램</t>
        </is>
      </c>
      <c r="E9186" s="20" t="inlineStr">
        <is>
          <t>고체향수</t>
        </is>
      </c>
      <c r="K9186" s="20" t="n">
        <v>59407</v>
      </c>
    </row>
    <row r="9187">
      <c r="A9187" s="20" t="inlineStr">
        <is>
          <t>[비누향 덕후] 스테이포에버_카드뉴스</t>
        </is>
      </c>
      <c r="B9187" s="27" t="n">
        <v>44342</v>
      </c>
      <c r="C9187" s="20" t="inlineStr">
        <is>
          <t>수</t>
        </is>
      </c>
      <c r="D9187" s="20" t="inlineStr">
        <is>
          <t>페이스북/인스타그램</t>
        </is>
      </c>
      <c r="E9187" s="20" t="inlineStr">
        <is>
          <t>고체향수</t>
        </is>
      </c>
      <c r="K9187" s="20" t="n">
        <v>147719</v>
      </c>
    </row>
    <row r="9188">
      <c r="A9188" s="20" t="inlineStr">
        <is>
          <t>[성민 TEST] 솔리드퍼퓸_이미지</t>
        </is>
      </c>
      <c r="B9188" s="27" t="n">
        <v>44342</v>
      </c>
      <c r="C9188" s="20" t="inlineStr">
        <is>
          <t>수</t>
        </is>
      </c>
      <c r="D9188" s="20" t="inlineStr">
        <is>
          <t>페이스북/인스타그램</t>
        </is>
      </c>
      <c r="E9188" s="20" t="inlineStr">
        <is>
          <t>고체향수</t>
        </is>
      </c>
      <c r="K9188" s="20" t="n">
        <v>29480</v>
      </c>
    </row>
    <row r="9189">
      <c r="A9189" s="20" t="inlineStr">
        <is>
          <t>[승무원]유튜브_스테이포에버_카드뉴스</t>
        </is>
      </c>
      <c r="B9189" s="27" t="n">
        <v>44342</v>
      </c>
      <c r="C9189" s="20" t="inlineStr">
        <is>
          <t>수</t>
        </is>
      </c>
      <c r="D9189" s="20" t="inlineStr">
        <is>
          <t>페이스북/인스타그램</t>
        </is>
      </c>
      <c r="E9189" s="20" t="inlineStr">
        <is>
          <t>고체향수</t>
        </is>
      </c>
      <c r="K9189" s="20" t="n">
        <v>98779</v>
      </c>
    </row>
    <row r="9190">
      <c r="A9190" s="20" t="inlineStr">
        <is>
          <t>[올리브영] 이그나이트_영상</t>
        </is>
      </c>
      <c r="B9190" s="27" t="n">
        <v>44342</v>
      </c>
      <c r="C9190" s="20" t="inlineStr">
        <is>
          <t>수</t>
        </is>
      </c>
      <c r="D9190" s="20" t="inlineStr">
        <is>
          <t>페이스북/인스타그램</t>
        </is>
      </c>
      <c r="E9190" s="20" t="inlineStr">
        <is>
          <t>고체향수</t>
        </is>
      </c>
      <c r="K9190" s="20" t="n">
        <v>28862</v>
      </c>
    </row>
    <row r="9191">
      <c r="A9191" s="20" t="inlineStr">
        <is>
          <t>[승희 TEST] 솔리드퍼퓸_이미지</t>
        </is>
      </c>
      <c r="B9191" s="27" t="n">
        <v>44342</v>
      </c>
      <c r="C9191" s="20" t="inlineStr">
        <is>
          <t>수</t>
        </is>
      </c>
      <c r="D9191" s="20" t="inlineStr">
        <is>
          <t>페이스북/인스타그램</t>
        </is>
      </c>
      <c r="E9191" s="20" t="inlineStr">
        <is>
          <t>고체향수</t>
        </is>
      </c>
      <c r="K9191" s="20" t="n">
        <v>99044</v>
      </c>
    </row>
    <row r="9192">
      <c r="A9192" s="20" t="inlineStr">
        <is>
          <t>[올리브영] 스테이포에버_영상</t>
        </is>
      </c>
      <c r="B9192" s="27" t="n">
        <v>44342</v>
      </c>
      <c r="C9192" s="20" t="inlineStr">
        <is>
          <t>수</t>
        </is>
      </c>
      <c r="D9192" s="20" t="inlineStr">
        <is>
          <t>페이스북/인스타그램</t>
        </is>
      </c>
      <c r="E9192" s="20" t="inlineStr">
        <is>
          <t>고체향수</t>
        </is>
      </c>
      <c r="K9192" s="20" t="n">
        <v>48129</v>
      </c>
    </row>
    <row r="9193">
      <c r="A9193" s="20" t="inlineStr">
        <is>
          <t>[올리브영] 스테이포에버_이미지</t>
        </is>
      </c>
      <c r="B9193" s="27" t="n">
        <v>44342</v>
      </c>
      <c r="C9193" s="20" t="inlineStr">
        <is>
          <t>수</t>
        </is>
      </c>
      <c r="D9193" s="20" t="inlineStr">
        <is>
          <t>페이스북/인스타그램</t>
        </is>
      </c>
      <c r="E9193" s="20" t="inlineStr">
        <is>
          <t>고체향수</t>
        </is>
      </c>
      <c r="K9193" s="20" t="n">
        <v>29159</v>
      </c>
    </row>
    <row r="9194">
      <c r="A9194" s="20" t="inlineStr">
        <is>
          <t>[승무원] 유튜브재편집_스테이포에버_영상</t>
        </is>
      </c>
      <c r="B9194" s="27" t="n">
        <v>44342</v>
      </c>
      <c r="C9194" s="20" t="inlineStr">
        <is>
          <t>수</t>
        </is>
      </c>
      <c r="D9194" s="20" t="inlineStr">
        <is>
          <t>페이스북/인스타그램</t>
        </is>
      </c>
      <c r="E9194" s="20" t="inlineStr">
        <is>
          <t>고체향수</t>
        </is>
      </c>
      <c r="K9194" s="20" t="n">
        <v>687148</v>
      </c>
    </row>
    <row r="9195">
      <c r="A9195" s="20" t="inlineStr">
        <is>
          <t>[승무원 면세점] 스테이포에버_카드뉴스</t>
        </is>
      </c>
      <c r="B9195" s="27" t="n">
        <v>44342</v>
      </c>
      <c r="C9195" s="20" t="inlineStr">
        <is>
          <t>수</t>
        </is>
      </c>
      <c r="D9195" s="20" t="inlineStr">
        <is>
          <t>페이스북/인스타그램</t>
        </is>
      </c>
      <c r="E9195" s="20" t="inlineStr">
        <is>
          <t>고체향수</t>
        </is>
      </c>
      <c r="K9195" s="20" t="n">
        <v>197452</v>
      </c>
    </row>
    <row r="9196">
      <c r="A9196" s="20" t="inlineStr">
        <is>
          <t>[카페알바] 스테이포에버_카드뉴스</t>
        </is>
      </c>
      <c r="B9196" s="27" t="n">
        <v>44342</v>
      </c>
      <c r="C9196" s="20" t="inlineStr">
        <is>
          <t>수</t>
        </is>
      </c>
      <c r="D9196" s="20" t="inlineStr">
        <is>
          <t>페이스북/인스타그램</t>
        </is>
      </c>
      <c r="E9196" s="20" t="inlineStr">
        <is>
          <t>고체향수</t>
        </is>
      </c>
      <c r="K9196" s="20" t="n">
        <v>200642</v>
      </c>
    </row>
    <row r="9197">
      <c r="A9197" s="20" t="inlineStr">
        <is>
          <t>[아줌마]스테이포에버_이미지</t>
        </is>
      </c>
      <c r="B9197" s="27" t="n">
        <v>44342</v>
      </c>
      <c r="C9197" s="20" t="inlineStr">
        <is>
          <t>수</t>
        </is>
      </c>
      <c r="D9197" s="20" t="inlineStr">
        <is>
          <t>페이스북/인스타그램</t>
        </is>
      </c>
      <c r="E9197" s="20" t="inlineStr">
        <is>
          <t>고체향수</t>
        </is>
      </c>
      <c r="K9197" s="20" t="n">
        <v>49055</v>
      </c>
    </row>
    <row r="9198">
      <c r="A9198" s="20" t="inlineStr">
        <is>
          <t>[다양한 키워드] 스테이포에버_이미지</t>
        </is>
      </c>
      <c r="B9198" s="27" t="n">
        <v>44342</v>
      </c>
      <c r="C9198" s="20" t="inlineStr">
        <is>
          <t>수</t>
        </is>
      </c>
      <c r="D9198" s="20" t="inlineStr">
        <is>
          <t>페이스북/인스타그램</t>
        </is>
      </c>
      <c r="E9198" s="20" t="inlineStr">
        <is>
          <t>고체향수</t>
        </is>
      </c>
      <c r="K9198" s="20" t="n">
        <v>108444</v>
      </c>
    </row>
    <row r="9199">
      <c r="A9199" s="20" t="inlineStr">
        <is>
          <t>[재입고]스테이포에버_이미지</t>
        </is>
      </c>
      <c r="B9199" s="27" t="n">
        <v>44342</v>
      </c>
      <c r="C9199" s="20" t="inlineStr">
        <is>
          <t>수</t>
        </is>
      </c>
      <c r="D9199" s="20" t="inlineStr">
        <is>
          <t>페이스북/인스타그램</t>
        </is>
      </c>
      <c r="E9199" s="20" t="inlineStr">
        <is>
          <t>고체향수</t>
        </is>
      </c>
      <c r="K9199" s="20" t="n">
        <v>29764</v>
      </c>
    </row>
    <row r="9200">
      <c r="A9200" s="20" t="inlineStr">
        <is>
          <t>[승무원]숏폼_영상</t>
        </is>
      </c>
      <c r="B9200" s="27" t="n">
        <v>44342</v>
      </c>
      <c r="C9200" s="20" t="inlineStr">
        <is>
          <t>수</t>
        </is>
      </c>
      <c r="D9200" s="20" t="inlineStr">
        <is>
          <t>페이스북/인스타그램</t>
        </is>
      </c>
      <c r="E9200" s="20" t="inlineStr">
        <is>
          <t>고체향수</t>
        </is>
      </c>
      <c r="K9200" s="20" t="n">
        <v>49633</v>
      </c>
    </row>
    <row r="9201">
      <c r="A9201" s="20" t="inlineStr">
        <is>
          <t>[재입고]스테이포에버_영상</t>
        </is>
      </c>
      <c r="B9201" s="27" t="n">
        <v>44342</v>
      </c>
      <c r="C9201" s="20" t="inlineStr">
        <is>
          <t>수</t>
        </is>
      </c>
      <c r="D9201" s="20" t="inlineStr">
        <is>
          <t>페이스북/인스타그램</t>
        </is>
      </c>
      <c r="E9201" s="20" t="inlineStr">
        <is>
          <t>고체향수</t>
        </is>
      </c>
      <c r="K9201" s="20" t="n">
        <v>197503</v>
      </c>
    </row>
    <row r="9202">
      <c r="A9202" s="20" t="inlineStr">
        <is>
          <t>[승무원]2019년썰 카드뉴스+ 향묘사_영상</t>
        </is>
      </c>
      <c r="B9202" s="27" t="n">
        <v>44342</v>
      </c>
      <c r="C9202" s="20" t="inlineStr">
        <is>
          <t>수</t>
        </is>
      </c>
      <c r="D9202" s="20" t="inlineStr">
        <is>
          <t>페이스북/인스타그램</t>
        </is>
      </c>
      <c r="E9202" s="20" t="inlineStr">
        <is>
          <t>고체향수</t>
        </is>
      </c>
      <c r="K9202" s="20" t="n">
        <v>29973</v>
      </c>
    </row>
    <row r="9203">
      <c r="A9203" s="20" t="inlineStr">
        <is>
          <t>[승무원어피]스테이포에버_이미지</t>
        </is>
      </c>
      <c r="B9203" s="27" t="n">
        <v>44342</v>
      </c>
      <c r="C9203" s="20" t="inlineStr">
        <is>
          <t>수</t>
        </is>
      </c>
      <c r="D9203" s="20" t="inlineStr">
        <is>
          <t>페이스북/인스타그램</t>
        </is>
      </c>
      <c r="E9203" s="20" t="inlineStr">
        <is>
          <t>고체향수</t>
        </is>
      </c>
      <c r="K9203" s="20" t="n">
        <v>96811</v>
      </c>
    </row>
    <row r="9204">
      <c r="A9204" s="20" t="inlineStr">
        <is>
          <t>[다현]스테이포에버_이미지</t>
        </is>
      </c>
      <c r="B9204" s="27" t="n">
        <v>44342</v>
      </c>
      <c r="C9204" s="20" t="inlineStr">
        <is>
          <t>수</t>
        </is>
      </c>
      <c r="D9204" s="20" t="inlineStr">
        <is>
          <t>페이스북/인스타그램</t>
        </is>
      </c>
      <c r="E9204" s="20" t="inlineStr">
        <is>
          <t>고체향수</t>
        </is>
      </c>
      <c r="K9204" s="20" t="n">
        <v>147116</v>
      </c>
    </row>
    <row r="9205">
      <c r="A9205" s="20" t="inlineStr">
        <is>
          <t>[후기타입]스테이포에버_영상</t>
        </is>
      </c>
      <c r="B9205" s="27" t="n">
        <v>44342</v>
      </c>
      <c r="C9205" s="20" t="inlineStr">
        <is>
          <t>수</t>
        </is>
      </c>
      <c r="D9205" s="20" t="inlineStr">
        <is>
          <t>페이스북/인스타그램</t>
        </is>
      </c>
      <c r="E9205" s="20" t="inlineStr">
        <is>
          <t>고체향수</t>
        </is>
      </c>
      <c r="K9205" s="20" t="n">
        <v>98143</v>
      </c>
    </row>
    <row r="9206">
      <c r="A9206" s="20" t="inlineStr">
        <is>
          <t>전환_스테이포에버</t>
        </is>
      </c>
      <c r="B9206" s="27" t="n">
        <v>44342</v>
      </c>
      <c r="C9206" s="20" t="inlineStr">
        <is>
          <t>수</t>
        </is>
      </c>
      <c r="D9206" s="20" t="inlineStr">
        <is>
          <t>페이스북/인스타그램</t>
        </is>
      </c>
      <c r="E9206" s="20" t="inlineStr">
        <is>
          <t>고체향수</t>
        </is>
      </c>
      <c r="K9206" s="20" t="n">
        <v>68962</v>
      </c>
    </row>
    <row r="9207">
      <c r="A9207" s="20" t="inlineStr">
        <is>
          <t>[권태기커플]스테이포에버_영상</t>
        </is>
      </c>
      <c r="B9207" s="27" t="n">
        <v>44342</v>
      </c>
      <c r="C9207" s="20" t="inlineStr">
        <is>
          <t>수</t>
        </is>
      </c>
      <c r="D9207" s="20" t="inlineStr">
        <is>
          <t>페이스북/인스타그램</t>
        </is>
      </c>
      <c r="E9207" s="20" t="inlineStr">
        <is>
          <t>고체향수</t>
        </is>
      </c>
      <c r="K9207" s="20" t="n">
        <v>29806</v>
      </c>
    </row>
    <row r="9208">
      <c r="A9208" s="20" t="inlineStr">
        <is>
          <t>웹사이트 트래픽 서치</t>
        </is>
      </c>
      <c r="B9208" s="27" t="n">
        <v>44342</v>
      </c>
      <c r="C9208" s="20" t="inlineStr">
        <is>
          <t>수</t>
        </is>
      </c>
      <c r="D9208" s="20" t="inlineStr">
        <is>
          <t>유튜브 광고</t>
        </is>
      </c>
      <c r="E9208" s="20" t="inlineStr">
        <is>
          <t>고체향수</t>
        </is>
      </c>
      <c r="K9208" s="20" t="n">
        <v>25514</v>
      </c>
    </row>
    <row r="9209">
      <c r="A9209" s="20" t="inlineStr">
        <is>
          <t>디스커버리 배너_승무원,할인_리마케팅</t>
        </is>
      </c>
      <c r="B9209" s="27" t="n">
        <v>44342</v>
      </c>
      <c r="C9209" s="20" t="inlineStr">
        <is>
          <t>수</t>
        </is>
      </c>
      <c r="D9209" s="20" t="inlineStr">
        <is>
          <t>유튜브 광고</t>
        </is>
      </c>
      <c r="E9209" s="20" t="inlineStr">
        <is>
          <t>고체향수</t>
        </is>
      </c>
      <c r="K9209" s="20" t="n">
        <v>1017302</v>
      </c>
    </row>
    <row r="9210">
      <c r="A9210" s="20" t="inlineStr">
        <is>
          <t>동영상캠페인_승무원_써니스카이</t>
        </is>
      </c>
      <c r="B9210" s="27" t="n">
        <v>44342</v>
      </c>
      <c r="C9210" s="20" t="inlineStr">
        <is>
          <t>수</t>
        </is>
      </c>
      <c r="D9210" s="20" t="inlineStr">
        <is>
          <t>유튜브 광고</t>
        </is>
      </c>
      <c r="E9210" s="20" t="inlineStr">
        <is>
          <t>고체향수</t>
        </is>
      </c>
      <c r="K9210" s="20" t="n">
        <v>151264</v>
      </c>
    </row>
    <row r="9211">
      <c r="A9211" s="20" t="inlineStr">
        <is>
          <t>[5화자] 동영상 캠페인_벨라의 비행일기</t>
        </is>
      </c>
      <c r="B9211" s="27" t="n">
        <v>44342</v>
      </c>
      <c r="C9211" s="20" t="inlineStr">
        <is>
          <t>수</t>
        </is>
      </c>
      <c r="D9211" s="20" t="inlineStr">
        <is>
          <t>유튜브 광고</t>
        </is>
      </c>
      <c r="E9211" s="20" t="inlineStr">
        <is>
          <t>고체향수</t>
        </is>
      </c>
      <c r="K9211" s="20" t="n">
        <v>502255</v>
      </c>
    </row>
    <row r="9212">
      <c r="A9212" s="20" t="inlineStr">
        <is>
          <t>[5화자] 동영상 캠페인_비행하고 여행하는 은선씨</t>
        </is>
      </c>
      <c r="B9212" s="27" t="n">
        <v>44342</v>
      </c>
      <c r="C9212" s="20" t="inlineStr">
        <is>
          <t>수</t>
        </is>
      </c>
      <c r="D9212" s="20" t="inlineStr">
        <is>
          <t>유튜브 광고</t>
        </is>
      </c>
      <c r="E9212" s="20" t="inlineStr">
        <is>
          <t>고체향수</t>
        </is>
      </c>
      <c r="K9212" s="20" t="n">
        <v>107751</v>
      </c>
    </row>
    <row r="9213">
      <c r="A9213" s="20" t="inlineStr">
        <is>
          <t>[5화자 재편집] 승무원_벨라_면세점에서 천만원</t>
        </is>
      </c>
      <c r="B9213" s="27" t="n">
        <v>44342</v>
      </c>
      <c r="C9213" s="20" t="inlineStr">
        <is>
          <t>수</t>
        </is>
      </c>
      <c r="D9213" s="20" t="inlineStr">
        <is>
          <t>유튜브 광고</t>
        </is>
      </c>
      <c r="E9213" s="20" t="inlineStr">
        <is>
          <t>고체향수</t>
        </is>
      </c>
      <c r="K9213" s="20" t="n">
        <v>300666</v>
      </c>
    </row>
    <row r="9214">
      <c r="A9214" s="20" t="inlineStr">
        <is>
          <t>동영상캠페인_유즈모먼트_면세점뒤졌는데</t>
        </is>
      </c>
      <c r="B9214" s="27" t="n">
        <v>44342</v>
      </c>
      <c r="C9214" s="20" t="inlineStr">
        <is>
          <t>수</t>
        </is>
      </c>
      <c r="D9214" s="20" t="inlineStr">
        <is>
          <t>유튜브 광고</t>
        </is>
      </c>
      <c r="E9214" s="20" t="inlineStr">
        <is>
          <t>고체향수</t>
        </is>
      </c>
      <c r="K9214" s="20" t="n">
        <v>400216</v>
      </c>
    </row>
    <row r="9215">
      <c r="A9215" s="20" t="inlineStr">
        <is>
          <t>동영상캠페인_파우치털기&amp;결혼썰</t>
        </is>
      </c>
      <c r="B9215" s="27" t="n">
        <v>44342</v>
      </c>
      <c r="C9215" s="20" t="inlineStr">
        <is>
          <t>수</t>
        </is>
      </c>
      <c r="D9215" s="19">
        <f>VLOOKUP($A9215,매칭테이블!$B$548:$D$1048576,2,0)</f>
        <v/>
      </c>
      <c r="E9215" s="20" t="n"/>
      <c r="K9215" s="20" t="n">
        <v>151679</v>
      </c>
    </row>
    <row r="9216">
      <c r="A9216" s="20" t="inlineStr">
        <is>
          <t>메인키워드</t>
        </is>
      </c>
      <c r="B9216" s="27" t="n">
        <v>44342</v>
      </c>
      <c r="C9216" s="20" t="inlineStr">
        <is>
          <t>수</t>
        </is>
      </c>
      <c r="D9216" s="20" t="inlineStr">
        <is>
          <t>네이버 쇼핑검색</t>
        </is>
      </c>
      <c r="E9216" s="20" t="inlineStr">
        <is>
          <t>고체향수</t>
        </is>
      </c>
      <c r="K9216" s="20" t="n">
        <v>17060</v>
      </c>
    </row>
    <row r="9217">
      <c r="A9217" s="20" t="inlineStr">
        <is>
          <t>세부키워드1</t>
        </is>
      </c>
      <c r="B9217" s="27" t="n">
        <v>44342</v>
      </c>
      <c r="C9217" s="20" t="inlineStr">
        <is>
          <t>수</t>
        </is>
      </c>
      <c r="D9217" s="20" t="inlineStr">
        <is>
          <t>네이버 쇼핑검색</t>
        </is>
      </c>
      <c r="E9217" s="20" t="inlineStr">
        <is>
          <t>고체향수</t>
        </is>
      </c>
      <c r="K9217" s="20" t="n">
        <v>0</v>
      </c>
    </row>
    <row r="9218">
      <c r="A9218" s="20" t="inlineStr">
        <is>
          <t>세부키워드3</t>
        </is>
      </c>
      <c r="B9218" s="27" t="n">
        <v>44342</v>
      </c>
      <c r="C9218" s="20" t="inlineStr">
        <is>
          <t>수</t>
        </is>
      </c>
      <c r="D9218" s="20" t="inlineStr">
        <is>
          <t>네이버 쇼핑검색</t>
        </is>
      </c>
      <c r="E9218" s="20" t="inlineStr">
        <is>
          <t>고체향수</t>
        </is>
      </c>
      <c r="K9218" s="20" t="n">
        <v>118690</v>
      </c>
    </row>
    <row r="9219">
      <c r="A9219" s="20" t="inlineStr">
        <is>
          <t>모바일 브검</t>
        </is>
      </c>
      <c r="B9219" s="27" t="n">
        <v>44342</v>
      </c>
      <c r="C9219" s="20" t="inlineStr">
        <is>
          <t>수</t>
        </is>
      </c>
      <c r="D9219" s="20" t="inlineStr">
        <is>
          <t>네이버 브랜드검색</t>
        </is>
      </c>
      <c r="E9219" s="20" t="inlineStr">
        <is>
          <t>브랜드</t>
        </is>
      </c>
      <c r="K9219" s="20" t="n">
        <v>88000</v>
      </c>
    </row>
    <row r="9220">
      <c r="A9220" s="20" t="inlineStr">
        <is>
          <t>PC 브랜드검색</t>
        </is>
      </c>
      <c r="B9220" s="27" t="n">
        <v>44342</v>
      </c>
      <c r="C9220" s="20" t="inlineStr">
        <is>
          <t>수</t>
        </is>
      </c>
      <c r="D9220" s="20" t="inlineStr">
        <is>
          <t>네이버 브랜드검색</t>
        </is>
      </c>
      <c r="E9220" s="20" t="inlineStr">
        <is>
          <t>브랜드</t>
        </is>
      </c>
      <c r="K9220" s="20" t="n">
        <v>16700</v>
      </c>
    </row>
    <row r="9221">
      <c r="B9221" s="27" t="n">
        <v>44342</v>
      </c>
      <c r="C9221" s="20" t="inlineStr">
        <is>
          <t>수</t>
        </is>
      </c>
      <c r="E9221" s="20" t="inlineStr">
        <is>
          <t>고체향수</t>
        </is>
      </c>
      <c r="F9221" s="20" t="inlineStr">
        <is>
          <t>W컨셉</t>
        </is>
      </c>
      <c r="G9221" s="20" t="inlineStr">
        <is>
          <t>솔리드퍼퓸 이그나이트/스테이포에버 30ml (2종 택1)&lt;옵션1&gt;002 STAY FOREVER</t>
        </is>
      </c>
      <c r="H9221" s="20" t="n">
        <v>1</v>
      </c>
      <c r="I9221" s="20" t="inlineStr">
        <is>
          <t>스테이포에버</t>
        </is>
      </c>
      <c r="J9221" s="20" t="inlineStr">
        <is>
          <t>210501</t>
        </is>
      </c>
      <c r="L9221" s="20" t="n">
        <v>34000</v>
      </c>
      <c r="M9221" s="20" t="n">
        <v>23800</v>
      </c>
      <c r="N9221" s="20" t="n">
        <v>2554</v>
      </c>
      <c r="O9221" s="20" t="inlineStr">
        <is>
          <t>W컨셉고체향수솔리드퍼퓸 이그나이트/스테이포에버 30ml (2종 택1)&lt;옵션1&gt;002 STAY FOREVER210501</t>
        </is>
      </c>
    </row>
    <row r="9222">
      <c r="B9222" s="27" t="n">
        <v>44342</v>
      </c>
      <c r="C9222" s="20" t="inlineStr">
        <is>
          <t>수</t>
        </is>
      </c>
      <c r="E9222" s="20" t="inlineStr">
        <is>
          <t>고체향수</t>
        </is>
      </c>
      <c r="F9222" s="20" t="inlineStr">
        <is>
          <t>W컨셉</t>
        </is>
      </c>
      <c r="G9222" s="20" t="inlineStr">
        <is>
          <t>솔리드퍼퓸 이그나이트/스테이포에버 30ml (2종 택1)&lt;옵션1&gt;IGNITE + STAY FOREVER</t>
        </is>
      </c>
      <c r="H9222" s="20" t="n">
        <v>1</v>
      </c>
      <c r="I9222" s="20" t="inlineStr">
        <is>
          <t>이그나이트 + 스테이포에버</t>
        </is>
      </c>
      <c r="J9222" s="20" t="inlineStr">
        <is>
          <t>210501</t>
        </is>
      </c>
      <c r="L9222" s="20" t="n">
        <v>58800</v>
      </c>
      <c r="M9222" s="20" t="n">
        <v>47040</v>
      </c>
      <c r="N9222" s="20" t="n">
        <v>5179</v>
      </c>
      <c r="O9222" s="20" t="inlineStr">
        <is>
          <t>W컨셉고체향수솔리드퍼퓸 이그나이트/스테이포에버 30ml (2종 택1)&lt;옵션1&gt;IGNITE + STAY FOREVER210501</t>
        </is>
      </c>
    </row>
    <row r="9223">
      <c r="B9223" s="27" t="n">
        <v>44342</v>
      </c>
      <c r="C9223" s="20" t="inlineStr">
        <is>
          <t>수</t>
        </is>
      </c>
      <c r="E9223" s="20" t="inlineStr">
        <is>
          <t>고체향수</t>
        </is>
      </c>
      <c r="F9223" s="20" t="inlineStr">
        <is>
          <t>스마트스토어</t>
        </is>
      </c>
      <c r="G9223" s="20" t="inlineStr">
        <is>
          <t>유즈 고체향수 세트(유즈 스테이포에버, 유즈 이그나이트)고체향수: 스테이포에버 1개 + 이그나이트 1개</t>
        </is>
      </c>
      <c r="H9223" s="20" t="n">
        <v>1</v>
      </c>
      <c r="I9223" s="20" t="inlineStr">
        <is>
          <t>이그나이트 + 스테이포에버</t>
        </is>
      </c>
      <c r="J9223" s="20" t="inlineStr">
        <is>
          <t>210501</t>
        </is>
      </c>
      <c r="L9223" s="20" t="n">
        <v>58800</v>
      </c>
      <c r="M9223" s="20" t="n">
        <v>55360.2</v>
      </c>
      <c r="N9223" s="20" t="n">
        <v>5179</v>
      </c>
      <c r="O9223" s="20" t="inlineStr">
        <is>
          <t>스마트스토어고체향수유즈 고체향수 세트(유즈 스테이포에버, 유즈 이그나이트)고체향수: 스테이포에버 1개 + 이그나이트 1개210501</t>
        </is>
      </c>
    </row>
    <row r="9224">
      <c r="B9224" s="27" t="n">
        <v>44342</v>
      </c>
      <c r="C9224" s="20" t="inlineStr">
        <is>
          <t>수</t>
        </is>
      </c>
      <c r="E9224" s="20" t="inlineStr">
        <is>
          <t>고체향수</t>
        </is>
      </c>
      <c r="F9224" s="20" t="inlineStr">
        <is>
          <t>스마트스토어</t>
        </is>
      </c>
      <c r="G9224" s="20" t="inlineStr">
        <is>
          <t>유즈 고체향수 세트(유즈 스테이포에버, 유즈 이그나이트)고체향수: 스테이포에버 2개</t>
        </is>
      </c>
      <c r="H9224" s="20" t="n">
        <v>2</v>
      </c>
      <c r="I9224" s="20" t="inlineStr">
        <is>
          <t>스테이포에버 2set</t>
        </is>
      </c>
      <c r="J9224" s="20" t="inlineStr">
        <is>
          <t>210501</t>
        </is>
      </c>
      <c r="L9224" s="20" t="n">
        <v>117600</v>
      </c>
      <c r="M9224" s="20" t="n">
        <v>115248</v>
      </c>
      <c r="N9224" s="20" t="n">
        <v>10216</v>
      </c>
      <c r="O9224" s="20" t="inlineStr">
        <is>
          <t>스마트스토어고체향수유즈 고체향수 세트(유즈 스테이포에버, 유즈 이그나이트)고체향수: 스테이포에버 2개210501</t>
        </is>
      </c>
    </row>
    <row r="9225">
      <c r="B9225" s="27" t="n">
        <v>44342</v>
      </c>
      <c r="C9225" s="20" t="inlineStr">
        <is>
          <t>수</t>
        </is>
      </c>
      <c r="E9225" s="20" t="inlineStr">
        <is>
          <t>고체향수</t>
        </is>
      </c>
      <c r="F9225" s="20" t="inlineStr">
        <is>
          <t>스마트스토어</t>
        </is>
      </c>
      <c r="G9225" s="20" t="inlineStr">
        <is>
          <t>유즈 고체향수 스테이포에버 002고체향수: 스테이포에버 1개</t>
        </is>
      </c>
      <c r="H9225" s="20" t="n">
        <v>15</v>
      </c>
      <c r="I9225" s="20" t="inlineStr">
        <is>
          <t>스테이포에버</t>
        </is>
      </c>
      <c r="J9225" s="20" t="inlineStr">
        <is>
          <t>210501</t>
        </is>
      </c>
      <c r="L9225" s="20" t="n">
        <v>510000</v>
      </c>
      <c r="M9225" s="20" t="n">
        <v>499800</v>
      </c>
      <c r="N9225" s="20" t="n">
        <v>38310</v>
      </c>
      <c r="O9225" s="20" t="inlineStr">
        <is>
          <t>스마트스토어고체향수유즈 고체향수 스테이포에버 002고체향수: 스테이포에버 1개210501</t>
        </is>
      </c>
    </row>
    <row r="9226">
      <c r="B9226" s="27" t="n">
        <v>44342</v>
      </c>
      <c r="C9226" s="20" t="inlineStr">
        <is>
          <t>수</t>
        </is>
      </c>
      <c r="E9226" s="20" t="inlineStr">
        <is>
          <t>고체향수</t>
        </is>
      </c>
      <c r="F9226" s="20" t="inlineStr">
        <is>
          <t>카페24</t>
        </is>
      </c>
      <c r="G9226" s="20" t="inlineStr">
        <is>
          <t>솔리드퍼퓸 세트향=이그나이트 001 SOLID PERFUME, 수량 선택=1개</t>
        </is>
      </c>
      <c r="H9226" s="20" t="n">
        <v>1</v>
      </c>
      <c r="I9226" s="20" t="inlineStr">
        <is>
          <t>이그나이트</t>
        </is>
      </c>
      <c r="J9226" s="20" t="inlineStr">
        <is>
          <t>210501</t>
        </is>
      </c>
      <c r="L9226" s="20" t="n">
        <v>34000</v>
      </c>
      <c r="M9226" s="20" t="n">
        <v>32011</v>
      </c>
      <c r="N9226" s="20" t="n">
        <v>2625</v>
      </c>
      <c r="O9226" s="20" t="inlineStr">
        <is>
          <t>카페24고체향수솔리드퍼퓸 세트향=이그나이트 001 SOLID PERFUME, 수량 선택=1개210501</t>
        </is>
      </c>
    </row>
    <row r="9227">
      <c r="B9227" s="27" t="n">
        <v>44342</v>
      </c>
      <c r="C9227" s="20" t="inlineStr">
        <is>
          <t>수</t>
        </is>
      </c>
      <c r="E9227" s="20" t="inlineStr">
        <is>
          <t>고체향수</t>
        </is>
      </c>
      <c r="F9227" s="20" t="inlineStr">
        <is>
          <t>카페24</t>
        </is>
      </c>
      <c r="G9227" s="20" t="inlineStr">
        <is>
          <t>솔리드퍼퓸 세트향=스테이포에버 002 SOLID PERFUME, 수량 선택=1개</t>
        </is>
      </c>
      <c r="H9227" s="20" t="n">
        <v>1</v>
      </c>
      <c r="I9227" s="20" t="inlineStr">
        <is>
          <t>스테이포에버</t>
        </is>
      </c>
      <c r="J9227" s="20" t="inlineStr">
        <is>
          <t>210501</t>
        </is>
      </c>
      <c r="L9227" s="20" t="n">
        <v>34000</v>
      </c>
      <c r="M9227" s="20" t="n">
        <v>32011</v>
      </c>
      <c r="N9227" s="20" t="n">
        <v>2554</v>
      </c>
      <c r="O9227" s="20" t="inlineStr">
        <is>
          <t>카페24고체향수솔리드퍼퓸 세트향=스테이포에버 002 SOLID PERFUME, 수량 선택=1개210501</t>
        </is>
      </c>
    </row>
    <row r="9228">
      <c r="B9228" s="27" t="n">
        <v>44342</v>
      </c>
      <c r="C9228" s="20" t="inlineStr">
        <is>
          <t>수</t>
        </is>
      </c>
      <c r="E9228" s="20" t="inlineStr">
        <is>
          <t>고체향수</t>
        </is>
      </c>
      <c r="F9228" s="20" t="inlineStr">
        <is>
          <t>카페24</t>
        </is>
      </c>
      <c r="G9228" s="20" t="inlineStr">
        <is>
          <t>솔리드퍼퓸 세트향=스테이포에버 002 SOLID PERFUME, 수량 선택=best 2개 (28% 할인)</t>
        </is>
      </c>
      <c r="H9228" s="20" t="n">
        <v>3</v>
      </c>
      <c r="I9228" s="20" t="inlineStr">
        <is>
          <t>스테이포에버 2set</t>
        </is>
      </c>
      <c r="J9228" s="20" t="inlineStr">
        <is>
          <t>210501</t>
        </is>
      </c>
      <c r="L9228" s="20" t="n">
        <v>176400</v>
      </c>
      <c r="M9228" s="20" t="n">
        <v>166080.6</v>
      </c>
      <c r="N9228" s="20" t="n">
        <v>15324</v>
      </c>
      <c r="O9228" s="20" t="inlineStr">
        <is>
          <t>카페24고체향수솔리드퍼퓸 세트향=스테이포에버 002 SOLID PERFUME, 수량 선택=best 2개 (28% 할인)210501</t>
        </is>
      </c>
    </row>
    <row r="9229">
      <c r="B9229" s="27" t="n">
        <v>44342</v>
      </c>
      <c r="C9229" s="20" t="inlineStr">
        <is>
          <t>수</t>
        </is>
      </c>
      <c r="E9229" s="20" t="inlineStr">
        <is>
          <t>고체향수</t>
        </is>
      </c>
      <c r="F9229" s="20" t="inlineStr">
        <is>
          <t>카페24</t>
        </is>
      </c>
      <c r="G9229" s="20" t="inlineStr">
        <is>
          <t>솔리드퍼퓸 세트향=스테이포에버 + 이그나이트 커플세트(기프트 박스), 수량 선택=1 SET (28% OFF)</t>
        </is>
      </c>
      <c r="H9229" s="20" t="n">
        <v>9</v>
      </c>
      <c r="I9229" s="20" t="inlineStr">
        <is>
          <t>이그나이트 + 스테이포에버(기프트 박스)</t>
        </is>
      </c>
      <c r="J9229" s="20" t="inlineStr">
        <is>
          <t>210501</t>
        </is>
      </c>
      <c r="L9229" s="20" t="n">
        <v>502200</v>
      </c>
      <c r="M9229" s="20" t="n">
        <v>472821.3</v>
      </c>
      <c r="N9229" s="20" t="n">
        <v>57159</v>
      </c>
      <c r="O9229" s="20" t="inlineStr">
        <is>
          <t>카페24고체향수솔리드퍼퓸 세트향=스테이포에버 + 이그나이트 커플세트(기프트 박스), 수량 선택=1 SET (28% OFF)210501</t>
        </is>
      </c>
    </row>
    <row r="9230">
      <c r="B9230" s="27" t="n">
        <v>44342</v>
      </c>
      <c r="C9230" s="20" t="inlineStr">
        <is>
          <t>수</t>
        </is>
      </c>
      <c r="E9230" s="20" t="inlineStr">
        <is>
          <t>고체향수</t>
        </is>
      </c>
      <c r="F9230" s="20" t="inlineStr">
        <is>
          <t>카페24</t>
        </is>
      </c>
      <c r="G9230" s="20" t="inlineStr">
        <is>
          <t>솔리드퍼퓸 세트향=스테이포에버 + 이그나이트 커플세트(기프트 박스), 수량 선택=2 SET (42% OFF)</t>
        </is>
      </c>
      <c r="H9230" s="20" t="n">
        <v>1</v>
      </c>
      <c r="I9230" s="20" t="inlineStr">
        <is>
          <t>이그나이트 + 스테이포에버(기프트 박스) 2set</t>
        </is>
      </c>
      <c r="J9230" s="20" t="inlineStr">
        <is>
          <t>210501</t>
        </is>
      </c>
      <c r="L9230" s="20" t="n">
        <v>94800</v>
      </c>
      <c r="M9230" s="20" t="n">
        <v>89254.2</v>
      </c>
      <c r="N9230" s="20" t="n">
        <v>12702</v>
      </c>
      <c r="O9230" s="20" t="inlineStr">
        <is>
          <t>카페24고체향수솔리드퍼퓸 세트향=스테이포에버 + 이그나이트 커플세트(기프트 박스), 수량 선택=2 SET (42% OFF)210501</t>
        </is>
      </c>
    </row>
    <row r="9231">
      <c r="B9231" s="27" t="n">
        <v>44342</v>
      </c>
      <c r="C9231" s="20" t="inlineStr">
        <is>
          <t>수</t>
        </is>
      </c>
      <c r="E9231" s="20" t="inlineStr">
        <is>
          <t>고체향수</t>
        </is>
      </c>
      <c r="F9231" s="20" t="inlineStr">
        <is>
          <t>카페24</t>
        </is>
      </c>
      <c r="G9231" s="20" t="inlineStr">
        <is>
          <t>솔리드퍼퓸 스테이포에버 002제품선택=스테이포에버 1개</t>
        </is>
      </c>
      <c r="H9231" s="20" t="n">
        <v>184</v>
      </c>
      <c r="I9231" s="20" t="inlineStr">
        <is>
          <t>스테이포에버</t>
        </is>
      </c>
      <c r="J9231" s="20" t="inlineStr">
        <is>
          <t>210501</t>
        </is>
      </c>
      <c r="L9231" s="20" t="n">
        <v>6256000</v>
      </c>
      <c r="M9231" s="20" t="n">
        <v>5890024</v>
      </c>
      <c r="N9231" s="20" t="n">
        <v>469936</v>
      </c>
      <c r="O9231" s="20" t="inlineStr">
        <is>
          <t>카페24고체향수솔리드퍼퓸 스테이포에버 002제품선택=스테이포에버 1개210501</t>
        </is>
      </c>
    </row>
    <row r="9232">
      <c r="B9232" s="27" t="n">
        <v>44342</v>
      </c>
      <c r="C9232" s="20" t="inlineStr">
        <is>
          <t>수</t>
        </is>
      </c>
      <c r="E9232" s="20" t="inlineStr">
        <is>
          <t>고체향수</t>
        </is>
      </c>
      <c r="F9232" s="20" t="inlineStr">
        <is>
          <t>카페24</t>
        </is>
      </c>
      <c r="G9232" s="20" t="inlineStr">
        <is>
          <t>솔리드퍼퓸 스테이포에버 002제품선택=best스테이포에버 2개[28% 할인]</t>
        </is>
      </c>
      <c r="H9232" s="20" t="n">
        <v>106</v>
      </c>
      <c r="I9232" s="20" t="inlineStr">
        <is>
          <t>스테이포에버 2set</t>
        </is>
      </c>
      <c r="J9232" s="20" t="inlineStr">
        <is>
          <t>210501</t>
        </is>
      </c>
      <c r="L9232" s="20" t="n">
        <v>6232800</v>
      </c>
      <c r="M9232" s="20" t="n">
        <v>5868181.199999999</v>
      </c>
      <c r="N9232" s="20" t="n">
        <v>541448</v>
      </c>
      <c r="O9232" s="20" t="inlineStr">
        <is>
          <t>카페24고체향수솔리드퍼퓸 스테이포에버 002제품선택=best스테이포에버 2개[28% 할인]210501</t>
        </is>
      </c>
    </row>
    <row r="9233">
      <c r="B9233" s="27" t="n">
        <v>44342</v>
      </c>
      <c r="C9233" s="20" t="inlineStr">
        <is>
          <t>수</t>
        </is>
      </c>
      <c r="E9233" s="20" t="inlineStr">
        <is>
          <t>고체향수</t>
        </is>
      </c>
      <c r="F9233" s="20" t="inlineStr">
        <is>
          <t>카페24</t>
        </is>
      </c>
      <c r="G9233" s="20" t="inlineStr">
        <is>
          <t>솔리드퍼퓸 스테이포에버 002제품선택=커플추천스테이포에버 + 이그나이트 세트</t>
        </is>
      </c>
      <c r="H9233" s="20" t="n">
        <v>11</v>
      </c>
      <c r="I9233" s="20" t="inlineStr">
        <is>
          <t>이그나이트 + 스테이포에버</t>
        </is>
      </c>
      <c r="J9233" s="20" t="inlineStr">
        <is>
          <t>210501</t>
        </is>
      </c>
      <c r="L9233" s="20" t="n">
        <v>646800</v>
      </c>
      <c r="M9233" s="20" t="n">
        <v>608962.2</v>
      </c>
      <c r="N9233" s="20" t="n">
        <v>56969</v>
      </c>
      <c r="O9233" s="20" t="inlineStr">
        <is>
          <t>카페24고체향수솔리드퍼퓸 스테이포에버 002제품선택=커플추천스테이포에버 + 이그나이트 세트210501</t>
        </is>
      </c>
    </row>
    <row r="9234">
      <c r="B9234" s="27" t="n">
        <v>44342</v>
      </c>
      <c r="C9234" s="20" t="inlineStr">
        <is>
          <t>수</t>
        </is>
      </c>
      <c r="E9234" s="20" t="inlineStr">
        <is>
          <t>쇼핑백</t>
        </is>
      </c>
      <c r="F9234" s="20" t="inlineStr">
        <is>
          <t>카페24</t>
        </is>
      </c>
      <c r="G9234" s="20" t="inlineStr">
        <is>
          <t>솔리드퍼퓸 스테이포에버 002쇼핑백=선물용 쇼핑백</t>
        </is>
      </c>
      <c r="H9234" s="20" t="n">
        <v>2</v>
      </c>
      <c r="I9234" s="20" t="inlineStr">
        <is>
          <t>쇼핑백</t>
        </is>
      </c>
      <c r="J9234" s="20" t="inlineStr">
        <is>
          <t>210501</t>
        </is>
      </c>
      <c r="L9234" s="20" t="n">
        <v>4000</v>
      </c>
      <c r="M9234" s="20" t="n">
        <v>3766</v>
      </c>
      <c r="N9234" s="20" t="n">
        <v>1660</v>
      </c>
      <c r="O9234" s="20" t="inlineStr">
        <is>
          <t>카페24쇼핑백솔리드퍼퓸 스테이포에버 002쇼핑백=선물용 쇼핑백210501</t>
        </is>
      </c>
    </row>
    <row r="9235">
      <c r="B9235" s="27" t="n">
        <v>44342</v>
      </c>
      <c r="C9235" s="20" t="inlineStr">
        <is>
          <t>수</t>
        </is>
      </c>
      <c r="E9235" s="20" t="inlineStr">
        <is>
          <t>고체향수</t>
        </is>
      </c>
      <c r="F9235" s="20" t="inlineStr">
        <is>
          <t>카페24</t>
        </is>
      </c>
      <c r="G9235" s="20" t="inlineStr">
        <is>
          <t>솔리드퍼퓸 이그나이트 001제품선택=이그나이트 솔리드퍼퓸 - 30ml</t>
        </is>
      </c>
      <c r="H9235" s="20" t="n">
        <v>2</v>
      </c>
      <c r="I9235" s="20" t="inlineStr">
        <is>
          <t>이그나이트</t>
        </is>
      </c>
      <c r="J9235" s="20" t="inlineStr">
        <is>
          <t>210501</t>
        </is>
      </c>
      <c r="L9235" s="20" t="n">
        <v>68000</v>
      </c>
      <c r="M9235" s="20" t="n">
        <v>64022</v>
      </c>
      <c r="N9235" s="20" t="n">
        <v>5250</v>
      </c>
      <c r="O9235" s="20" t="inlineStr">
        <is>
          <t>카페24고체향수솔리드퍼퓸 이그나이트 001제품선택=이그나이트 솔리드퍼퓸 - 30ml210501</t>
        </is>
      </c>
    </row>
    <row r="9236">
      <c r="A9236" s="20" t="inlineStr">
        <is>
          <t>고체향수</t>
        </is>
      </c>
      <c r="B9236" s="27" t="n">
        <v>44342</v>
      </c>
      <c r="C9236" s="20" t="inlineStr">
        <is>
          <t>수</t>
        </is>
      </c>
      <c r="D9236" s="20" t="inlineStr">
        <is>
          <t>네이버 배너</t>
        </is>
      </c>
      <c r="E9236" s="20" t="inlineStr">
        <is>
          <t>고체향수</t>
        </is>
      </c>
      <c r="K9236" s="20" t="n">
        <v>490638.1818181818</v>
      </c>
    </row>
    <row r="9237">
      <c r="B9237" s="27" t="n">
        <v>44342</v>
      </c>
      <c r="C9237" s="20" t="inlineStr">
        <is>
          <t>수</t>
        </is>
      </c>
      <c r="D9237" s="20" t="inlineStr">
        <is>
          <t>네이버 배너(대행사)</t>
        </is>
      </c>
      <c r="E9237" s="20" t="inlineStr">
        <is>
          <t>고체향수</t>
        </is>
      </c>
      <c r="K9237" s="20">
        <f>218022/1.1</f>
        <v/>
      </c>
    </row>
    <row r="9238">
      <c r="B9238" s="27" t="n">
        <v>44342</v>
      </c>
      <c r="C9238" s="20" t="inlineStr">
        <is>
          <t>수</t>
        </is>
      </c>
      <c r="E9238" s="19">
        <f>INDEX(매칭테이블!C:C,MATCH(RD!G9238,매칭테이블!D:D,0))</f>
        <v/>
      </c>
      <c r="F9238" s="20" t="inlineStr">
        <is>
          <t>올리브영</t>
        </is>
      </c>
      <c r="G9238" s="20" t="inlineStr">
        <is>
          <t>유즈 솔리드퍼퓸 001 이그나이트 30ml 30600 온라인</t>
        </is>
      </c>
      <c r="H9238" s="20" t="n">
        <v>4</v>
      </c>
      <c r="I9238" s="19">
        <f>VLOOKUP(G9238,매칭테이블!D:E,2,0)</f>
        <v/>
      </c>
      <c r="J9238" s="20" t="inlineStr">
        <is>
          <t>210501</t>
        </is>
      </c>
      <c r="L9238" s="19">
        <f>VLOOKUP($O9238,매칭테이블!$G:$J,2,0)*H9238</f>
        <v/>
      </c>
      <c r="M9238" s="19">
        <f>L9238-L9238*VLOOKUP($O9238,매칭테이블!$G:$J,3,0)</f>
        <v/>
      </c>
      <c r="N9238" s="19">
        <f>VLOOKUP($O9238,매칭테이블!$G:$J,4,0)*H9238</f>
        <v/>
      </c>
      <c r="O9238" s="19">
        <f>F9238&amp;E9238&amp;G9238&amp;J9238</f>
        <v/>
      </c>
    </row>
    <row r="9239">
      <c r="B9239" s="27" t="n">
        <v>44342</v>
      </c>
      <c r="C9239" s="20" t="inlineStr">
        <is>
          <t>수</t>
        </is>
      </c>
      <c r="E9239" s="19">
        <f>INDEX(매칭테이블!C:C,MATCH(RD!G9239,매칭테이블!D:D,0))</f>
        <v/>
      </c>
      <c r="F9239" s="20" t="inlineStr">
        <is>
          <t>올리브영</t>
        </is>
      </c>
      <c r="G9239" s="20" t="inlineStr">
        <is>
          <t>유즈 솔리드퍼퓸 002 스테이포에버 30ml 30600 온라인</t>
        </is>
      </c>
      <c r="H9239" s="20" t="n">
        <v>63</v>
      </c>
      <c r="I9239" s="19">
        <f>VLOOKUP(G9239,매칭테이블!D:E,2,0)</f>
        <v/>
      </c>
      <c r="J9239" s="20" t="inlineStr">
        <is>
          <t>210501</t>
        </is>
      </c>
      <c r="L9239" s="19">
        <f>VLOOKUP($O9239,매칭테이블!$G:$J,2,0)*H9239</f>
        <v/>
      </c>
      <c r="M9239" s="19">
        <f>L9239-L9239*VLOOKUP($O9239,매칭테이블!$G:$J,3,0)</f>
        <v/>
      </c>
      <c r="N9239" s="19">
        <f>VLOOKUP($O9239,매칭테이블!$G:$J,4,0)*H9239</f>
        <v/>
      </c>
      <c r="O9239" s="19">
        <f>F9239&amp;E9239&amp;G9239&amp;J9239</f>
        <v/>
      </c>
    </row>
    <row r="9240">
      <c r="B9240" s="27" t="n">
        <v>44342</v>
      </c>
      <c r="C9240" s="20" t="inlineStr">
        <is>
          <t>수</t>
        </is>
      </c>
      <c r="D9240" s="20" t="inlineStr">
        <is>
          <t>카카오 배너</t>
        </is>
      </c>
      <c r="E9240" s="20" t="inlineStr">
        <is>
          <t>고체향수</t>
        </is>
      </c>
      <c r="K9240" s="20">
        <f>903265/1.1</f>
        <v/>
      </c>
    </row>
    <row r="9241">
      <c r="A9241" s="20" t="inlineStr">
        <is>
          <t>[수현 TEST] 이그나이트_이미지</t>
        </is>
      </c>
      <c r="B9241" s="27" t="n">
        <v>44343</v>
      </c>
      <c r="C9241" s="20" t="inlineStr">
        <is>
          <t>목</t>
        </is>
      </c>
      <c r="D9241" s="20" t="inlineStr">
        <is>
          <t>페이스북/인스타그램</t>
        </is>
      </c>
      <c r="E9241" s="20" t="inlineStr">
        <is>
          <t>고체향수</t>
        </is>
      </c>
      <c r="K9241" s="20" t="n">
        <v>29733</v>
      </c>
    </row>
    <row r="9242">
      <c r="A9242" s="20" t="inlineStr">
        <is>
          <t>[올리브영 알바] 스테이포에버_카드뉴스</t>
        </is>
      </c>
      <c r="B9242" s="27" t="n">
        <v>44343</v>
      </c>
      <c r="C9242" s="20" t="inlineStr">
        <is>
          <t>목</t>
        </is>
      </c>
      <c r="D9242" s="19">
        <f>VLOOKUP($A9242,매칭테이블!$B$548:$D$1048576,2,0)</f>
        <v/>
      </c>
      <c r="E9242" s="20" t="inlineStr">
        <is>
          <t>고체향수</t>
        </is>
      </c>
      <c r="K9242" s="20" t="n">
        <v>50097</v>
      </c>
    </row>
    <row r="9243">
      <c r="A9243" s="20" t="inlineStr">
        <is>
          <t>[수현 TEST] 스테이포에버_이미지</t>
        </is>
      </c>
      <c r="B9243" s="27" t="n">
        <v>44343</v>
      </c>
      <c r="C9243" s="20" t="inlineStr">
        <is>
          <t>목</t>
        </is>
      </c>
      <c r="D9243" s="20" t="inlineStr">
        <is>
          <t>페이스북/인스타그램</t>
        </is>
      </c>
      <c r="E9243" s="20" t="inlineStr">
        <is>
          <t>고체향수</t>
        </is>
      </c>
      <c r="K9243" s="20" t="n">
        <v>31818</v>
      </c>
    </row>
    <row r="9244">
      <c r="A9244" s="20" t="inlineStr">
        <is>
          <t>[승은 TEST] 스테이포에버</t>
        </is>
      </c>
      <c r="B9244" s="27" t="n">
        <v>44343</v>
      </c>
      <c r="C9244" s="20" t="inlineStr">
        <is>
          <t>목</t>
        </is>
      </c>
      <c r="D9244" s="20" t="inlineStr">
        <is>
          <t>페이스북/인스타그램</t>
        </is>
      </c>
      <c r="E9244" s="20" t="inlineStr">
        <is>
          <t>고체향수</t>
        </is>
      </c>
      <c r="K9244" s="20" t="n">
        <v>60007</v>
      </c>
    </row>
    <row r="9245">
      <c r="A9245" s="20" t="inlineStr">
        <is>
          <t>[비누향 덕후] 스테이포에버_카드뉴스</t>
        </is>
      </c>
      <c r="B9245" s="27" t="n">
        <v>44343</v>
      </c>
      <c r="C9245" s="20" t="inlineStr">
        <is>
          <t>목</t>
        </is>
      </c>
      <c r="D9245" s="20" t="inlineStr">
        <is>
          <t>페이스북/인스타그램</t>
        </is>
      </c>
      <c r="E9245" s="20" t="inlineStr">
        <is>
          <t>고체향수</t>
        </is>
      </c>
      <c r="K9245" s="20" t="n">
        <v>149935</v>
      </c>
    </row>
    <row r="9246">
      <c r="A9246" s="20" t="inlineStr">
        <is>
          <t>[성민 TEST] 솔리드퍼퓸_이미지</t>
        </is>
      </c>
      <c r="B9246" s="27" t="n">
        <v>44343</v>
      </c>
      <c r="C9246" s="20" t="inlineStr">
        <is>
          <t>목</t>
        </is>
      </c>
      <c r="D9246" s="20" t="inlineStr">
        <is>
          <t>페이스북/인스타그램</t>
        </is>
      </c>
      <c r="E9246" s="20" t="inlineStr">
        <is>
          <t>고체향수</t>
        </is>
      </c>
      <c r="K9246" s="20" t="n">
        <v>30135</v>
      </c>
    </row>
    <row r="9247">
      <c r="A9247" s="20" t="inlineStr">
        <is>
          <t>[승무원]유튜브_스테이포에버_카드뉴스</t>
        </is>
      </c>
      <c r="B9247" s="27" t="n">
        <v>44343</v>
      </c>
      <c r="C9247" s="20" t="inlineStr">
        <is>
          <t>목</t>
        </is>
      </c>
      <c r="D9247" s="20" t="inlineStr">
        <is>
          <t>페이스북/인스타그램</t>
        </is>
      </c>
      <c r="E9247" s="20" t="inlineStr">
        <is>
          <t>고체향수</t>
        </is>
      </c>
      <c r="K9247" s="20" t="n">
        <v>64441</v>
      </c>
    </row>
    <row r="9248">
      <c r="A9248" s="20" t="inlineStr">
        <is>
          <t>[올리브영] 이그나이트_영상</t>
        </is>
      </c>
      <c r="B9248" s="27" t="n">
        <v>44343</v>
      </c>
      <c r="C9248" s="20" t="inlineStr">
        <is>
          <t>목</t>
        </is>
      </c>
      <c r="D9248" s="20" t="inlineStr">
        <is>
          <t>페이스북/인스타그램</t>
        </is>
      </c>
      <c r="E9248" s="20" t="inlineStr">
        <is>
          <t>고체향수</t>
        </is>
      </c>
      <c r="K9248" s="20" t="n">
        <v>29457</v>
      </c>
    </row>
    <row r="9249">
      <c r="A9249" s="20" t="inlineStr">
        <is>
          <t>[승희 TEST] 솔리드퍼퓸_이미지</t>
        </is>
      </c>
      <c r="B9249" s="27" t="n">
        <v>44343</v>
      </c>
      <c r="C9249" s="20" t="inlineStr">
        <is>
          <t>목</t>
        </is>
      </c>
      <c r="D9249" s="20" t="inlineStr">
        <is>
          <t>페이스북/인스타그램</t>
        </is>
      </c>
      <c r="E9249" s="20" t="inlineStr">
        <is>
          <t>고체향수</t>
        </is>
      </c>
      <c r="K9249" s="20" t="n">
        <v>98532</v>
      </c>
    </row>
    <row r="9250">
      <c r="A9250" s="20" t="inlineStr">
        <is>
          <t>[올리브영] 스테이포에버_영상</t>
        </is>
      </c>
      <c r="B9250" s="27" t="n">
        <v>44343</v>
      </c>
      <c r="C9250" s="20" t="inlineStr">
        <is>
          <t>목</t>
        </is>
      </c>
      <c r="D9250" s="20" t="inlineStr">
        <is>
          <t>페이스북/인스타그램</t>
        </is>
      </c>
      <c r="E9250" s="20" t="inlineStr">
        <is>
          <t>고체향수</t>
        </is>
      </c>
      <c r="K9250" s="20" t="n">
        <v>49732</v>
      </c>
    </row>
    <row r="9251">
      <c r="A9251" s="20" t="inlineStr">
        <is>
          <t>[올리브영] 스테이포에버_이미지</t>
        </is>
      </c>
      <c r="B9251" s="27" t="n">
        <v>44343</v>
      </c>
      <c r="C9251" s="20" t="inlineStr">
        <is>
          <t>목</t>
        </is>
      </c>
      <c r="D9251" s="20" t="inlineStr">
        <is>
          <t>페이스북/인스타그램</t>
        </is>
      </c>
      <c r="E9251" s="20" t="inlineStr">
        <is>
          <t>고체향수</t>
        </is>
      </c>
      <c r="K9251" s="20" t="n">
        <v>29824</v>
      </c>
    </row>
    <row r="9252">
      <c r="A9252" s="20" t="inlineStr">
        <is>
          <t>[승무원] 유튜브재편집_스테이포에버_영상</t>
        </is>
      </c>
      <c r="B9252" s="27" t="n">
        <v>44343</v>
      </c>
      <c r="C9252" s="20" t="inlineStr">
        <is>
          <t>목</t>
        </is>
      </c>
      <c r="D9252" s="20" t="inlineStr">
        <is>
          <t>페이스북/인스타그램</t>
        </is>
      </c>
      <c r="E9252" s="20" t="inlineStr">
        <is>
          <t>고체향수</t>
        </is>
      </c>
      <c r="K9252" s="20" t="n">
        <v>704700</v>
      </c>
    </row>
    <row r="9253">
      <c r="A9253" s="20" t="inlineStr">
        <is>
          <t>[승무원 면세점] 스테이포에버_카드뉴스</t>
        </is>
      </c>
      <c r="B9253" s="27" t="n">
        <v>44343</v>
      </c>
      <c r="C9253" s="20" t="inlineStr">
        <is>
          <t>목</t>
        </is>
      </c>
      <c r="D9253" s="20" t="inlineStr">
        <is>
          <t>페이스북/인스타그램</t>
        </is>
      </c>
      <c r="E9253" s="20" t="inlineStr">
        <is>
          <t>고체향수</t>
        </is>
      </c>
      <c r="K9253" s="20" t="n">
        <v>198777</v>
      </c>
    </row>
    <row r="9254">
      <c r="A9254" s="20" t="inlineStr">
        <is>
          <t>[카페알바] 스테이포에버_카드뉴스</t>
        </is>
      </c>
      <c r="B9254" s="27" t="n">
        <v>44343</v>
      </c>
      <c r="C9254" s="20" t="inlineStr">
        <is>
          <t>목</t>
        </is>
      </c>
      <c r="D9254" s="20" t="inlineStr">
        <is>
          <t>페이스북/인스타그램</t>
        </is>
      </c>
      <c r="E9254" s="20" t="inlineStr">
        <is>
          <t>고체향수</t>
        </is>
      </c>
      <c r="K9254" s="20" t="n">
        <v>202802</v>
      </c>
    </row>
    <row r="9255">
      <c r="A9255" s="20" t="inlineStr">
        <is>
          <t>[아줌마]스테이포에버_이미지</t>
        </is>
      </c>
      <c r="B9255" s="27" t="n">
        <v>44343</v>
      </c>
      <c r="C9255" s="20" t="inlineStr">
        <is>
          <t>목</t>
        </is>
      </c>
      <c r="D9255" s="20" t="inlineStr">
        <is>
          <t>페이스북/인스타그램</t>
        </is>
      </c>
      <c r="E9255" s="20" t="inlineStr">
        <is>
          <t>고체향수</t>
        </is>
      </c>
      <c r="K9255" s="20" t="n">
        <v>50986</v>
      </c>
    </row>
    <row r="9256">
      <c r="A9256" s="20" t="inlineStr">
        <is>
          <t>[다양한 키워드] 스테이포에버_이미지</t>
        </is>
      </c>
      <c r="B9256" s="27" t="n">
        <v>44343</v>
      </c>
      <c r="C9256" s="20" t="inlineStr">
        <is>
          <t>목</t>
        </is>
      </c>
      <c r="D9256" s="20" t="inlineStr">
        <is>
          <t>페이스북/인스타그램</t>
        </is>
      </c>
      <c r="E9256" s="20" t="inlineStr">
        <is>
          <t>고체향수</t>
        </is>
      </c>
      <c r="K9256" s="20" t="n">
        <v>109990</v>
      </c>
    </row>
    <row r="9257">
      <c r="A9257" s="20" t="inlineStr">
        <is>
          <t>[재입고]스테이포에버_이미지</t>
        </is>
      </c>
      <c r="B9257" s="27" t="n">
        <v>44343</v>
      </c>
      <c r="C9257" s="20" t="inlineStr">
        <is>
          <t>목</t>
        </is>
      </c>
      <c r="D9257" s="20" t="inlineStr">
        <is>
          <t>페이스북/인스타그램</t>
        </is>
      </c>
      <c r="E9257" s="20" t="inlineStr">
        <is>
          <t>고체향수</t>
        </is>
      </c>
      <c r="K9257" s="20" t="n">
        <v>29819</v>
      </c>
    </row>
    <row r="9258">
      <c r="A9258" s="20" t="inlineStr">
        <is>
          <t>[승무원]숏폼_영상</t>
        </is>
      </c>
      <c r="B9258" s="27" t="n">
        <v>44343</v>
      </c>
      <c r="C9258" s="20" t="inlineStr">
        <is>
          <t>목</t>
        </is>
      </c>
      <c r="D9258" s="20" t="inlineStr">
        <is>
          <t>페이스북/인스타그램</t>
        </is>
      </c>
      <c r="E9258" s="20" t="inlineStr">
        <is>
          <t>고체향수</t>
        </is>
      </c>
      <c r="K9258" s="20" t="n">
        <v>33880</v>
      </c>
    </row>
    <row r="9259">
      <c r="A9259" s="20" t="inlineStr">
        <is>
          <t>[재입고]스테이포에버_영상</t>
        </is>
      </c>
      <c r="B9259" s="27" t="n">
        <v>44343</v>
      </c>
      <c r="C9259" s="20" t="inlineStr">
        <is>
          <t>목</t>
        </is>
      </c>
      <c r="D9259" s="20" t="inlineStr">
        <is>
          <t>페이스북/인스타그램</t>
        </is>
      </c>
      <c r="E9259" s="20" t="inlineStr">
        <is>
          <t>고체향수</t>
        </is>
      </c>
      <c r="K9259" s="20" t="n">
        <v>200637</v>
      </c>
    </row>
    <row r="9260">
      <c r="A9260" s="20" t="inlineStr">
        <is>
          <t>[승무원]2019년썰 카드뉴스+ 향묘사_영상</t>
        </is>
      </c>
      <c r="B9260" s="27" t="n">
        <v>44343</v>
      </c>
      <c r="C9260" s="20" t="inlineStr">
        <is>
          <t>목</t>
        </is>
      </c>
      <c r="D9260" s="20" t="inlineStr">
        <is>
          <t>페이스북/인스타그램</t>
        </is>
      </c>
      <c r="E9260" s="20" t="inlineStr">
        <is>
          <t>고체향수</t>
        </is>
      </c>
      <c r="K9260" s="20" t="n">
        <v>29851</v>
      </c>
    </row>
    <row r="9261">
      <c r="A9261" s="20" t="inlineStr">
        <is>
          <t>[승무원어피]스테이포에버_이미지</t>
        </is>
      </c>
      <c r="B9261" s="27" t="n">
        <v>44343</v>
      </c>
      <c r="C9261" s="20" t="inlineStr">
        <is>
          <t>목</t>
        </is>
      </c>
      <c r="D9261" s="20" t="inlineStr">
        <is>
          <t>페이스북/인스타그램</t>
        </is>
      </c>
      <c r="E9261" s="20" t="inlineStr">
        <is>
          <t>고체향수</t>
        </is>
      </c>
      <c r="K9261" s="20" t="n">
        <v>98376</v>
      </c>
    </row>
    <row r="9262">
      <c r="A9262" s="20" t="inlineStr">
        <is>
          <t>[다현]스테이포에버_이미지</t>
        </is>
      </c>
      <c r="B9262" s="27" t="n">
        <v>44343</v>
      </c>
      <c r="C9262" s="20" t="inlineStr">
        <is>
          <t>목</t>
        </is>
      </c>
      <c r="D9262" s="20" t="inlineStr">
        <is>
          <t>페이스북/인스타그램</t>
        </is>
      </c>
      <c r="E9262" s="20" t="inlineStr">
        <is>
          <t>고체향수</t>
        </is>
      </c>
      <c r="K9262" s="20" t="n">
        <v>145009</v>
      </c>
    </row>
    <row r="9263">
      <c r="A9263" s="20" t="inlineStr">
        <is>
          <t>[후기타입]스테이포에버_영상</t>
        </is>
      </c>
      <c r="B9263" s="27" t="n">
        <v>44343</v>
      </c>
      <c r="C9263" s="20" t="inlineStr">
        <is>
          <t>목</t>
        </is>
      </c>
      <c r="D9263" s="20" t="inlineStr">
        <is>
          <t>페이스북/인스타그램</t>
        </is>
      </c>
      <c r="E9263" s="20" t="inlineStr">
        <is>
          <t>고체향수</t>
        </is>
      </c>
      <c r="K9263" s="20" t="n">
        <v>101164</v>
      </c>
    </row>
    <row r="9264">
      <c r="A9264" s="20" t="inlineStr">
        <is>
          <t>전환_스테이포에버</t>
        </is>
      </c>
      <c r="B9264" s="27" t="n">
        <v>44343</v>
      </c>
      <c r="C9264" s="20" t="inlineStr">
        <is>
          <t>목</t>
        </is>
      </c>
      <c r="D9264" s="20" t="inlineStr">
        <is>
          <t>페이스북/인스타그램</t>
        </is>
      </c>
      <c r="E9264" s="20" t="inlineStr">
        <is>
          <t>고체향수</t>
        </is>
      </c>
      <c r="K9264" s="20" t="n">
        <v>71039</v>
      </c>
    </row>
    <row r="9265">
      <c r="A9265" s="20" t="inlineStr">
        <is>
          <t>[권태기커플]스테이포에버_영상</t>
        </is>
      </c>
      <c r="B9265" s="27" t="n">
        <v>44343</v>
      </c>
      <c r="C9265" s="20" t="inlineStr">
        <is>
          <t>목</t>
        </is>
      </c>
      <c r="D9265" s="20" t="inlineStr">
        <is>
          <t>페이스북/인스타그램</t>
        </is>
      </c>
      <c r="E9265" s="20" t="inlineStr">
        <is>
          <t>고체향수</t>
        </is>
      </c>
      <c r="K9265" s="20" t="n">
        <v>30227</v>
      </c>
    </row>
    <row r="9266">
      <c r="A9266" s="20" t="inlineStr">
        <is>
          <t>웹사이트 트래픽 서치</t>
        </is>
      </c>
      <c r="B9266" s="27" t="n">
        <v>44343</v>
      </c>
      <c r="C9266" s="20" t="inlineStr">
        <is>
          <t>목</t>
        </is>
      </c>
      <c r="D9266" s="20" t="inlineStr">
        <is>
          <t>유튜브 광고</t>
        </is>
      </c>
      <c r="E9266" s="20" t="inlineStr">
        <is>
          <t>고체향수</t>
        </is>
      </c>
      <c r="K9266" s="20" t="n">
        <v>20101</v>
      </c>
    </row>
    <row r="9267">
      <c r="A9267" s="20" t="inlineStr">
        <is>
          <t>디스커버리 배너_승무원,할인_리마케팅</t>
        </is>
      </c>
      <c r="B9267" s="27" t="n">
        <v>44343</v>
      </c>
      <c r="C9267" s="20" t="inlineStr">
        <is>
          <t>목</t>
        </is>
      </c>
      <c r="D9267" s="20" t="inlineStr">
        <is>
          <t>유튜브 광고</t>
        </is>
      </c>
      <c r="E9267" s="20" t="inlineStr">
        <is>
          <t>고체향수</t>
        </is>
      </c>
      <c r="K9267" s="20" t="n">
        <v>947894</v>
      </c>
    </row>
    <row r="9268">
      <c r="A9268" s="20" t="inlineStr">
        <is>
          <t>동영상캠페인_승무원_써니스카이</t>
        </is>
      </c>
      <c r="B9268" s="27" t="n">
        <v>44343</v>
      </c>
      <c r="C9268" s="20" t="inlineStr">
        <is>
          <t>목</t>
        </is>
      </c>
      <c r="D9268" s="20" t="inlineStr">
        <is>
          <t>유튜브 광고</t>
        </is>
      </c>
      <c r="E9268" s="20" t="inlineStr">
        <is>
          <t>고체향수</t>
        </is>
      </c>
      <c r="K9268" s="20" t="n">
        <v>99998</v>
      </c>
    </row>
    <row r="9269">
      <c r="A9269" s="20" t="inlineStr">
        <is>
          <t>[5화자] 동영상 캠페인_벨라의 비행일기</t>
        </is>
      </c>
      <c r="B9269" s="27" t="n">
        <v>44343</v>
      </c>
      <c r="C9269" s="20" t="inlineStr">
        <is>
          <t>목</t>
        </is>
      </c>
      <c r="D9269" s="20" t="inlineStr">
        <is>
          <t>유튜브 광고</t>
        </is>
      </c>
      <c r="E9269" s="20" t="inlineStr">
        <is>
          <t>고체향수</t>
        </is>
      </c>
      <c r="K9269" s="20" t="n">
        <v>497165</v>
      </c>
    </row>
    <row r="9270">
      <c r="A9270" s="20" t="inlineStr">
        <is>
          <t>[5화자] 동영상 캠페인_비행하고 여행하는 은선씨</t>
        </is>
      </c>
      <c r="B9270" s="27" t="n">
        <v>44343</v>
      </c>
      <c r="C9270" s="20" t="inlineStr">
        <is>
          <t>목</t>
        </is>
      </c>
      <c r="D9270" s="20" t="inlineStr">
        <is>
          <t>유튜브 광고</t>
        </is>
      </c>
      <c r="E9270" s="20" t="inlineStr">
        <is>
          <t>고체향수</t>
        </is>
      </c>
      <c r="K9270" s="20" t="n">
        <v>147731</v>
      </c>
    </row>
    <row r="9271">
      <c r="A9271" s="20" t="inlineStr">
        <is>
          <t>[5화자 재편집] 승무원_벨라_면세점에서 천만원</t>
        </is>
      </c>
      <c r="B9271" s="27" t="n">
        <v>44343</v>
      </c>
      <c r="C9271" s="20" t="inlineStr">
        <is>
          <t>목</t>
        </is>
      </c>
      <c r="D9271" s="20" t="inlineStr">
        <is>
          <t>유튜브 광고</t>
        </is>
      </c>
      <c r="E9271" s="20" t="inlineStr">
        <is>
          <t>고체향수</t>
        </is>
      </c>
      <c r="K9271" s="20" t="n">
        <v>296758</v>
      </c>
    </row>
    <row r="9272">
      <c r="A9272" s="20" t="inlineStr">
        <is>
          <t>동영상캠페인_유즈모먼트_면세점뒤졌는데</t>
        </is>
      </c>
      <c r="B9272" s="27" t="n">
        <v>44343</v>
      </c>
      <c r="C9272" s="20" t="inlineStr">
        <is>
          <t>목</t>
        </is>
      </c>
      <c r="D9272" s="20" t="inlineStr">
        <is>
          <t>유튜브 광고</t>
        </is>
      </c>
      <c r="E9272" s="20" t="inlineStr">
        <is>
          <t>고체향수</t>
        </is>
      </c>
      <c r="K9272" s="20" t="n">
        <v>396315</v>
      </c>
    </row>
    <row r="9273">
      <c r="A9273" s="20" t="inlineStr">
        <is>
          <t>동영상캠페인_파우치털기&amp;결혼썰</t>
        </is>
      </c>
      <c r="B9273" s="27" t="n">
        <v>44343</v>
      </c>
      <c r="C9273" s="20" t="inlineStr">
        <is>
          <t>목</t>
        </is>
      </c>
      <c r="D9273" s="20" t="inlineStr">
        <is>
          <t>유튜브 광고</t>
        </is>
      </c>
      <c r="E9273" s="20" t="inlineStr">
        <is>
          <t>고체향수</t>
        </is>
      </c>
      <c r="K9273" s="20" t="n">
        <v>50041</v>
      </c>
    </row>
    <row r="9274">
      <c r="A9274" s="20" t="inlineStr">
        <is>
          <t>메인키워드</t>
        </is>
      </c>
      <c r="B9274" s="27" t="n">
        <v>44343</v>
      </c>
      <c r="C9274" s="20" t="inlineStr">
        <is>
          <t>목</t>
        </is>
      </c>
      <c r="D9274" s="20" t="inlineStr">
        <is>
          <t>네이버 쇼핑검색</t>
        </is>
      </c>
      <c r="E9274" s="20" t="inlineStr">
        <is>
          <t>고체향수</t>
        </is>
      </c>
      <c r="K9274" s="20" t="n">
        <v>13470</v>
      </c>
    </row>
    <row r="9275">
      <c r="A9275" s="20" t="inlineStr">
        <is>
          <t>세부키워드1</t>
        </is>
      </c>
      <c r="B9275" s="27" t="n">
        <v>44343</v>
      </c>
      <c r="C9275" s="20" t="inlineStr">
        <is>
          <t>목</t>
        </is>
      </c>
      <c r="D9275" s="20" t="inlineStr">
        <is>
          <t>네이버 쇼핑검색</t>
        </is>
      </c>
      <c r="E9275" s="20" t="inlineStr">
        <is>
          <t>고체향수</t>
        </is>
      </c>
      <c r="K9275" s="20" t="n">
        <v>300</v>
      </c>
    </row>
    <row r="9276">
      <c r="A9276" s="20" t="inlineStr">
        <is>
          <t>세부키워드3</t>
        </is>
      </c>
      <c r="B9276" s="27" t="n">
        <v>44343</v>
      </c>
      <c r="C9276" s="20" t="inlineStr">
        <is>
          <t>목</t>
        </is>
      </c>
      <c r="D9276" s="20" t="inlineStr">
        <is>
          <t>네이버 쇼핑검색</t>
        </is>
      </c>
      <c r="E9276" s="20" t="inlineStr">
        <is>
          <t>고체향수</t>
        </is>
      </c>
      <c r="K9276" s="20" t="n">
        <v>122260</v>
      </c>
    </row>
    <row r="9277">
      <c r="A9277" s="20" t="inlineStr">
        <is>
          <t>모바일 브검</t>
        </is>
      </c>
      <c r="B9277" s="27" t="n">
        <v>44343</v>
      </c>
      <c r="C9277" s="20" t="inlineStr">
        <is>
          <t>목</t>
        </is>
      </c>
      <c r="D9277" s="20" t="inlineStr">
        <is>
          <t>네이버 브랜드검색</t>
        </is>
      </c>
      <c r="E9277" s="20" t="inlineStr">
        <is>
          <t>브랜드</t>
        </is>
      </c>
      <c r="K9277" s="20" t="n">
        <v>88000</v>
      </c>
    </row>
    <row r="9278">
      <c r="A9278" s="20" t="inlineStr">
        <is>
          <t>PC 브랜드검색</t>
        </is>
      </c>
      <c r="B9278" s="27" t="n">
        <v>44343</v>
      </c>
      <c r="C9278" s="20" t="inlineStr">
        <is>
          <t>목</t>
        </is>
      </c>
      <c r="D9278" s="20" t="inlineStr">
        <is>
          <t>네이버 브랜드검색</t>
        </is>
      </c>
      <c r="E9278" s="20" t="inlineStr">
        <is>
          <t>브랜드</t>
        </is>
      </c>
      <c r="K9278" s="20" t="n">
        <v>16700</v>
      </c>
    </row>
    <row r="9279">
      <c r="B9279" s="27" t="n">
        <v>44343</v>
      </c>
      <c r="C9279" s="20" t="inlineStr">
        <is>
          <t>목</t>
        </is>
      </c>
      <c r="E9279" s="20" t="inlineStr">
        <is>
          <t>고체향수</t>
        </is>
      </c>
      <c r="F9279" s="20" t="inlineStr">
        <is>
          <t>W컨셉</t>
        </is>
      </c>
      <c r="G9279" s="20" t="inlineStr">
        <is>
          <t>솔리드퍼퓸 이그나이트/스테이포에버 30ml (2종 택1)&lt;옵션1&gt;002 STAY FOREVER</t>
        </is>
      </c>
      <c r="H9279" s="20" t="n">
        <v>6</v>
      </c>
      <c r="I9279" s="20" t="inlineStr">
        <is>
          <t>스테이포에버</t>
        </is>
      </c>
      <c r="J9279" s="20" t="inlineStr">
        <is>
          <t>210501</t>
        </is>
      </c>
      <c r="L9279" s="20" t="n">
        <v>204000</v>
      </c>
      <c r="M9279" s="20" t="n">
        <v>142800</v>
      </c>
      <c r="N9279" s="20" t="n">
        <v>15324</v>
      </c>
      <c r="O9279" s="20" t="inlineStr">
        <is>
          <t>W컨셉고체향수솔리드퍼퓸 이그나이트/스테이포에버 30ml (2종 택1)&lt;옵션1&gt;002 STAY FOREVER210501</t>
        </is>
      </c>
    </row>
    <row r="9280">
      <c r="B9280" s="27" t="n">
        <v>44343</v>
      </c>
      <c r="C9280" s="20" t="inlineStr">
        <is>
          <t>목</t>
        </is>
      </c>
      <c r="E9280" s="20" t="inlineStr">
        <is>
          <t>고체향수</t>
        </is>
      </c>
      <c r="F9280" s="20" t="inlineStr">
        <is>
          <t>스마트스토어</t>
        </is>
      </c>
      <c r="G9280" s="20" t="inlineStr">
        <is>
          <t>유즈 고체향수 세트(유즈 스테이포에버, 유즈 이그나이트)고체향수: 스테이포에버 1개 + 이그나이트 1개</t>
        </is>
      </c>
      <c r="H9280" s="20" t="n">
        <v>2</v>
      </c>
      <c r="I9280" s="20" t="inlineStr">
        <is>
          <t>이그나이트 + 스테이포에버</t>
        </is>
      </c>
      <c r="J9280" s="20" t="inlineStr">
        <is>
          <t>210501</t>
        </is>
      </c>
      <c r="L9280" s="20" t="n">
        <v>117600</v>
      </c>
      <c r="M9280" s="20" t="n">
        <v>110720.4</v>
      </c>
      <c r="N9280" s="20" t="n">
        <v>10358</v>
      </c>
      <c r="O9280" s="20" t="inlineStr">
        <is>
          <t>스마트스토어고체향수유즈 고체향수 세트(유즈 스테이포에버, 유즈 이그나이트)고체향수: 스테이포에버 1개 + 이그나이트 1개210501</t>
        </is>
      </c>
    </row>
    <row r="9281">
      <c r="B9281" s="27" t="n">
        <v>44343</v>
      </c>
      <c r="C9281" s="20" t="inlineStr">
        <is>
          <t>목</t>
        </is>
      </c>
      <c r="E9281" s="20" t="inlineStr">
        <is>
          <t>고체향수</t>
        </is>
      </c>
      <c r="F9281" s="20" t="inlineStr">
        <is>
          <t>스마트스토어</t>
        </is>
      </c>
      <c r="G9281" s="20" t="inlineStr">
        <is>
          <t>유즈 고체향수 스테이포에버 002고체향수: 스테이포에버 1개</t>
        </is>
      </c>
      <c r="H9281" s="20" t="n">
        <v>15</v>
      </c>
      <c r="I9281" s="20" t="inlineStr">
        <is>
          <t>스테이포에버</t>
        </is>
      </c>
      <c r="J9281" s="20" t="inlineStr">
        <is>
          <t>210501</t>
        </is>
      </c>
      <c r="L9281" s="20" t="n">
        <v>510000</v>
      </c>
      <c r="M9281" s="20" t="n">
        <v>499800</v>
      </c>
      <c r="N9281" s="20" t="n">
        <v>38310</v>
      </c>
      <c r="O9281" s="20" t="inlineStr">
        <is>
          <t>스마트스토어고체향수유즈 고체향수 스테이포에버 002고체향수: 스테이포에버 1개210501</t>
        </is>
      </c>
    </row>
    <row r="9282">
      <c r="B9282" s="27" t="n">
        <v>44343</v>
      </c>
      <c r="C9282" s="20" t="inlineStr">
        <is>
          <t>목</t>
        </is>
      </c>
      <c r="E9282" s="20" t="inlineStr">
        <is>
          <t>고체향수</t>
        </is>
      </c>
      <c r="F9282" s="20" t="inlineStr">
        <is>
          <t>카페24</t>
        </is>
      </c>
      <c r="G9282" s="20" t="inlineStr">
        <is>
          <t>솔리드퍼퓸 세트향=이그나이트 001 SOLID PERFUME, 수량 선택=1개</t>
        </is>
      </c>
      <c r="H9282" s="20" t="n">
        <v>1</v>
      </c>
      <c r="I9282" s="20" t="inlineStr">
        <is>
          <t>이그나이트</t>
        </is>
      </c>
      <c r="J9282" s="20" t="inlineStr">
        <is>
          <t>210501</t>
        </is>
      </c>
      <c r="L9282" s="20" t="n">
        <v>34000</v>
      </c>
      <c r="M9282" s="20" t="n">
        <v>32011</v>
      </c>
      <c r="N9282" s="20" t="n">
        <v>2625</v>
      </c>
      <c r="O9282" s="20" t="inlineStr">
        <is>
          <t>카페24고체향수솔리드퍼퓸 세트향=이그나이트 001 SOLID PERFUME, 수량 선택=1개210501</t>
        </is>
      </c>
    </row>
    <row r="9283">
      <c r="B9283" s="27" t="n">
        <v>44343</v>
      </c>
      <c r="C9283" s="20" t="inlineStr">
        <is>
          <t>목</t>
        </is>
      </c>
      <c r="E9283" s="20" t="inlineStr">
        <is>
          <t>고체향수</t>
        </is>
      </c>
      <c r="F9283" s="20" t="inlineStr">
        <is>
          <t>카페24</t>
        </is>
      </c>
      <c r="G9283" s="20" t="inlineStr">
        <is>
          <t>솔리드퍼퓸 세트향=스테이포에버 002 SOLID PERFUME, 수량 선택=1개</t>
        </is>
      </c>
      <c r="H9283" s="20" t="n">
        <v>2</v>
      </c>
      <c r="I9283" s="20" t="inlineStr">
        <is>
          <t>스테이포에버</t>
        </is>
      </c>
      <c r="J9283" s="20" t="inlineStr">
        <is>
          <t>210501</t>
        </is>
      </c>
      <c r="L9283" s="20" t="n">
        <v>68000</v>
      </c>
      <c r="M9283" s="20" t="n">
        <v>64022</v>
      </c>
      <c r="N9283" s="20" t="n">
        <v>5108</v>
      </c>
      <c r="O9283" s="20" t="inlineStr">
        <is>
          <t>카페24고체향수솔리드퍼퓸 세트향=스테이포에버 002 SOLID PERFUME, 수량 선택=1개210501</t>
        </is>
      </c>
    </row>
    <row r="9284">
      <c r="B9284" s="27" t="n">
        <v>44343</v>
      </c>
      <c r="C9284" s="20" t="inlineStr">
        <is>
          <t>목</t>
        </is>
      </c>
      <c r="E9284" s="20" t="inlineStr">
        <is>
          <t>고체향수</t>
        </is>
      </c>
      <c r="F9284" s="20" t="inlineStr">
        <is>
          <t>카페24</t>
        </is>
      </c>
      <c r="G9284" s="20" t="inlineStr">
        <is>
          <t>솔리드퍼퓸 세트향=스테이포에버 002 SOLID PERFUME, 수량 선택=best 2개 (28% 할인)</t>
        </is>
      </c>
      <c r="H9284" s="20" t="n">
        <v>1</v>
      </c>
      <c r="I9284" s="20" t="inlineStr">
        <is>
          <t>스테이포에버 2set</t>
        </is>
      </c>
      <c r="J9284" s="20" t="inlineStr">
        <is>
          <t>210501</t>
        </is>
      </c>
      <c r="L9284" s="20" t="n">
        <v>58800</v>
      </c>
      <c r="M9284" s="20" t="n">
        <v>55360.2</v>
      </c>
      <c r="N9284" s="20" t="n">
        <v>5108</v>
      </c>
      <c r="O9284" s="20" t="inlineStr">
        <is>
          <t>카페24고체향수솔리드퍼퓸 세트향=스테이포에버 002 SOLID PERFUME, 수량 선택=best 2개 (28% 할인)210501</t>
        </is>
      </c>
    </row>
    <row r="9285">
      <c r="B9285" s="27" t="n">
        <v>44343</v>
      </c>
      <c r="C9285" s="20" t="inlineStr">
        <is>
          <t>목</t>
        </is>
      </c>
      <c r="E9285" s="20" t="inlineStr">
        <is>
          <t>고체향수</t>
        </is>
      </c>
      <c r="F9285" s="20" t="inlineStr">
        <is>
          <t>카페24</t>
        </is>
      </c>
      <c r="G9285" s="20" t="inlineStr">
        <is>
          <t>솔리드퍼퓸 세트향=스테이포에버 + 이그나이트 커플세트(기프트 박스), 수량 선택=1 SET (28% OFF)</t>
        </is>
      </c>
      <c r="H9285" s="20" t="n">
        <v>16</v>
      </c>
      <c r="I9285" s="20" t="inlineStr">
        <is>
          <t>이그나이트 + 스테이포에버(기프트 박스)</t>
        </is>
      </c>
      <c r="J9285" s="20" t="inlineStr">
        <is>
          <t>210501</t>
        </is>
      </c>
      <c r="L9285" s="20" t="n">
        <v>892800</v>
      </c>
      <c r="M9285" s="20" t="n">
        <v>840571.2</v>
      </c>
      <c r="N9285" s="20" t="n">
        <v>101616</v>
      </c>
      <c r="O9285" s="20" t="inlineStr">
        <is>
          <t>카페24고체향수솔리드퍼퓸 세트향=스테이포에버 + 이그나이트 커플세트(기프트 박스), 수량 선택=1 SET (28% OFF)210501</t>
        </is>
      </c>
    </row>
    <row r="9286">
      <c r="B9286" s="27" t="n">
        <v>44343</v>
      </c>
      <c r="C9286" s="20" t="inlineStr">
        <is>
          <t>목</t>
        </is>
      </c>
      <c r="E9286" s="20" t="inlineStr">
        <is>
          <t>고체향수</t>
        </is>
      </c>
      <c r="F9286" s="20" t="inlineStr">
        <is>
          <t>카페24</t>
        </is>
      </c>
      <c r="G9286" s="20" t="inlineStr">
        <is>
          <t>솔리드퍼퓸 세트향=스테이포에버 + 이그나이트 커플세트(기프트 박스), 수량 선택=2 SET (42% OFF)</t>
        </is>
      </c>
      <c r="H9286" s="20" t="n">
        <v>3</v>
      </c>
      <c r="I9286" s="20" t="inlineStr">
        <is>
          <t>이그나이트 + 스테이포에버(기프트 박스) 2set</t>
        </is>
      </c>
      <c r="J9286" s="20" t="inlineStr">
        <is>
          <t>210501</t>
        </is>
      </c>
      <c r="L9286" s="20" t="n">
        <v>284400</v>
      </c>
      <c r="M9286" s="20" t="n">
        <v>267762.6</v>
      </c>
      <c r="N9286" s="20" t="n">
        <v>38106</v>
      </c>
      <c r="O9286" s="20" t="inlineStr">
        <is>
          <t>카페24고체향수솔리드퍼퓸 세트향=스테이포에버 + 이그나이트 커플세트(기프트 박스), 수량 선택=2 SET (42% OFF)210501</t>
        </is>
      </c>
    </row>
    <row r="9287">
      <c r="B9287" s="27" t="n">
        <v>44343</v>
      </c>
      <c r="C9287" s="20" t="inlineStr">
        <is>
          <t>목</t>
        </is>
      </c>
      <c r="E9287" s="20" t="inlineStr">
        <is>
          <t>고체향수</t>
        </is>
      </c>
      <c r="F9287" s="20" t="inlineStr">
        <is>
          <t>카페24</t>
        </is>
      </c>
      <c r="G9287" s="20" t="inlineStr">
        <is>
          <t>솔리드퍼퓸 스테이포에버 002제품선택=스테이포에버 1개</t>
        </is>
      </c>
      <c r="H9287" s="20" t="n">
        <v>187</v>
      </c>
      <c r="I9287" s="20" t="inlineStr">
        <is>
          <t>스테이포에버</t>
        </is>
      </c>
      <c r="J9287" s="20" t="inlineStr">
        <is>
          <t>210501</t>
        </is>
      </c>
      <c r="L9287" s="20" t="n">
        <v>6358000</v>
      </c>
      <c r="M9287" s="20" t="n">
        <v>5986057</v>
      </c>
      <c r="N9287" s="20" t="n">
        <v>477598</v>
      </c>
      <c r="O9287" s="20" t="inlineStr">
        <is>
          <t>카페24고체향수솔리드퍼퓸 스테이포에버 002제품선택=스테이포에버 1개210501</t>
        </is>
      </c>
    </row>
    <row r="9288">
      <c r="B9288" s="27" t="n">
        <v>44343</v>
      </c>
      <c r="C9288" s="20" t="inlineStr">
        <is>
          <t>목</t>
        </is>
      </c>
      <c r="E9288" s="20" t="inlineStr">
        <is>
          <t>고체향수</t>
        </is>
      </c>
      <c r="F9288" s="20" t="inlineStr">
        <is>
          <t>카페24</t>
        </is>
      </c>
      <c r="G9288" s="20" t="inlineStr">
        <is>
          <t>솔리드퍼퓸 스테이포에버 002제품선택=best스테이포에버 2개[28% 할인]</t>
        </is>
      </c>
      <c r="H9288" s="20" t="n">
        <v>121</v>
      </c>
      <c r="I9288" s="20" t="inlineStr">
        <is>
          <t>스테이포에버 2set</t>
        </is>
      </c>
      <c r="J9288" s="20" t="inlineStr">
        <is>
          <t>210501</t>
        </is>
      </c>
      <c r="L9288" s="20" t="n">
        <v>7114800</v>
      </c>
      <c r="M9288" s="20" t="n">
        <v>6698584.199999999</v>
      </c>
      <c r="N9288" s="20" t="n">
        <v>618068</v>
      </c>
      <c r="O9288" s="20" t="inlineStr">
        <is>
          <t>카페24고체향수솔리드퍼퓸 스테이포에버 002제품선택=best스테이포에버 2개[28% 할인]210501</t>
        </is>
      </c>
    </row>
    <row r="9289">
      <c r="B9289" s="27" t="n">
        <v>44343</v>
      </c>
      <c r="C9289" s="20" t="inlineStr">
        <is>
          <t>목</t>
        </is>
      </c>
      <c r="E9289" s="20" t="inlineStr">
        <is>
          <t>고체향수</t>
        </is>
      </c>
      <c r="F9289" s="20" t="inlineStr">
        <is>
          <t>카페24</t>
        </is>
      </c>
      <c r="G9289" s="20" t="inlineStr">
        <is>
          <t>솔리드퍼퓸 스테이포에버 002제품선택=커플추천스테이포에버 + 이그나이트 세트</t>
        </is>
      </c>
      <c r="H9289" s="20" t="n">
        <v>14</v>
      </c>
      <c r="I9289" s="20" t="inlineStr">
        <is>
          <t>이그나이트 + 스테이포에버</t>
        </is>
      </c>
      <c r="J9289" s="20" t="inlineStr">
        <is>
          <t>210501</t>
        </is>
      </c>
      <c r="L9289" s="20" t="n">
        <v>823200</v>
      </c>
      <c r="M9289" s="20" t="n">
        <v>775042.7999999999</v>
      </c>
      <c r="N9289" s="20" t="n">
        <v>72506</v>
      </c>
      <c r="O9289" s="20" t="inlineStr">
        <is>
          <t>카페24고체향수솔리드퍼퓸 스테이포에버 002제품선택=커플추천스테이포에버 + 이그나이트 세트210501</t>
        </is>
      </c>
    </row>
    <row r="9290">
      <c r="B9290" s="27" t="n">
        <v>44343</v>
      </c>
      <c r="C9290" s="20" t="inlineStr">
        <is>
          <t>목</t>
        </is>
      </c>
      <c r="E9290" s="20" t="inlineStr">
        <is>
          <t>쇼핑백</t>
        </is>
      </c>
      <c r="F9290" s="20" t="inlineStr">
        <is>
          <t>카페24</t>
        </is>
      </c>
      <c r="G9290" s="20" t="inlineStr">
        <is>
          <t>솔리드퍼퓸 스테이포에버 002쇼핑백=선물용 쇼핑백</t>
        </is>
      </c>
      <c r="H9290" s="20" t="n">
        <v>10</v>
      </c>
      <c r="I9290" s="20" t="inlineStr">
        <is>
          <t>쇼핑백</t>
        </is>
      </c>
      <c r="J9290" s="20" t="inlineStr">
        <is>
          <t>210501</t>
        </is>
      </c>
      <c r="L9290" s="20" t="n">
        <v>20000</v>
      </c>
      <c r="M9290" s="20" t="n">
        <v>18830</v>
      </c>
      <c r="N9290" s="20" t="n">
        <v>8300</v>
      </c>
      <c r="O9290" s="20" t="inlineStr">
        <is>
          <t>카페24쇼핑백솔리드퍼퓸 스테이포에버 002쇼핑백=선물용 쇼핑백210501</t>
        </is>
      </c>
    </row>
    <row r="9291">
      <c r="B9291" s="27" t="n">
        <v>44343</v>
      </c>
      <c r="C9291" s="20" t="inlineStr">
        <is>
          <t>목</t>
        </is>
      </c>
      <c r="E9291" s="20" t="inlineStr">
        <is>
          <t>고체향수</t>
        </is>
      </c>
      <c r="F9291" s="20" t="inlineStr">
        <is>
          <t>카페24</t>
        </is>
      </c>
      <c r="G9291" s="20" t="inlineStr">
        <is>
          <t>솔리드퍼퓸 이그나이트 001제품선택=이그나이트 솔리드퍼퓸 - 30ml</t>
        </is>
      </c>
      <c r="H9291" s="20" t="n">
        <v>2</v>
      </c>
      <c r="I9291" s="20" t="inlineStr">
        <is>
          <t>이그나이트</t>
        </is>
      </c>
      <c r="J9291" s="20" t="inlineStr">
        <is>
          <t>210501</t>
        </is>
      </c>
      <c r="L9291" s="20" t="n">
        <v>68000</v>
      </c>
      <c r="M9291" s="20" t="n">
        <v>64022</v>
      </c>
      <c r="N9291" s="20" t="n">
        <v>5250</v>
      </c>
      <c r="O9291" s="20" t="inlineStr">
        <is>
          <t>카페24고체향수솔리드퍼퓸 이그나이트 001제품선택=이그나이트 솔리드퍼퓸 - 30ml210501</t>
        </is>
      </c>
    </row>
    <row r="9292">
      <c r="B9292" s="27" t="n">
        <v>44343</v>
      </c>
      <c r="C9292" s="20" t="inlineStr">
        <is>
          <t>목</t>
        </is>
      </c>
      <c r="E9292" s="20" t="inlineStr">
        <is>
          <t>고체향수</t>
        </is>
      </c>
      <c r="F9292" s="20" t="inlineStr">
        <is>
          <t>카페24</t>
        </is>
      </c>
      <c r="G9292" s="20" t="inlineStr">
        <is>
          <t>솔리드퍼퓸 이그나이트 001제품선택=이그나이트 2개 세트</t>
        </is>
      </c>
      <c r="H9292" s="20" t="n">
        <v>1</v>
      </c>
      <c r="I9292" s="20" t="inlineStr">
        <is>
          <t>이그나이트 2set</t>
        </is>
      </c>
      <c r="J9292" s="20" t="inlineStr">
        <is>
          <t>210501</t>
        </is>
      </c>
      <c r="L9292" s="20" t="n">
        <v>58800</v>
      </c>
      <c r="M9292" s="20" t="n">
        <v>55360.2</v>
      </c>
      <c r="N9292" s="20" t="n">
        <v>5250</v>
      </c>
      <c r="O9292" s="20" t="inlineStr">
        <is>
          <t>카페24고체향수솔리드퍼퓸 이그나이트 001제품선택=이그나이트 2개 세트210501</t>
        </is>
      </c>
    </row>
    <row r="9293">
      <c r="B9293" s="27" t="n">
        <v>44343</v>
      </c>
      <c r="C9293" s="20" t="inlineStr">
        <is>
          <t>목</t>
        </is>
      </c>
      <c r="E9293" s="20" t="inlineStr">
        <is>
          <t>고체향수</t>
        </is>
      </c>
      <c r="F9293" s="20" t="inlineStr">
        <is>
          <t>카페24</t>
        </is>
      </c>
      <c r="G9293" s="20" t="inlineStr">
        <is>
          <t>유즈 솔리드퍼퓸 세트향=커플세트(이그나이트 + 스테이포에버), 세트 선택=1 SET</t>
        </is>
      </c>
      <c r="H9293" s="20" t="n">
        <v>1</v>
      </c>
      <c r="I9293" s="20" t="inlineStr">
        <is>
          <t>이그나이트 + 스테이포에버</t>
        </is>
      </c>
      <c r="J9293" s="20" t="inlineStr">
        <is>
          <t>210501</t>
        </is>
      </c>
      <c r="L9293" s="20" t="n">
        <v>58800</v>
      </c>
      <c r="M9293" s="20" t="n">
        <v>55360.2</v>
      </c>
      <c r="N9293" s="20" t="n">
        <v>5179</v>
      </c>
      <c r="O9293" s="20" t="inlineStr">
        <is>
          <t>카페24고체향수유즈 솔리드퍼퓸 세트향=커플세트(이그나이트 + 스테이포에버), 세트 선택=1 SET210501</t>
        </is>
      </c>
    </row>
    <row r="9294">
      <c r="A9294" s="20" t="inlineStr">
        <is>
          <t>고체향수</t>
        </is>
      </c>
      <c r="B9294" s="27" t="n">
        <v>44343</v>
      </c>
      <c r="C9294" s="20" t="inlineStr">
        <is>
          <t>목</t>
        </is>
      </c>
      <c r="D9294" s="20" t="inlineStr">
        <is>
          <t>네이버 배너</t>
        </is>
      </c>
      <c r="E9294" s="20" t="inlineStr">
        <is>
          <t>고체향수</t>
        </is>
      </c>
      <c r="K9294" s="20" t="n">
        <v>607086.3636363635</v>
      </c>
    </row>
    <row r="9295">
      <c r="B9295" s="27" t="n">
        <v>44343</v>
      </c>
      <c r="C9295" s="20" t="inlineStr">
        <is>
          <t>목</t>
        </is>
      </c>
      <c r="D9295" s="20" t="inlineStr">
        <is>
          <t>네이버 배너(대행사)</t>
        </is>
      </c>
      <c r="E9295" s="20" t="inlineStr">
        <is>
          <t>고체향수</t>
        </is>
      </c>
      <c r="K9295" s="20">
        <f>276021/1.1</f>
        <v/>
      </c>
    </row>
    <row r="9296">
      <c r="B9296" s="27" t="n">
        <v>44343</v>
      </c>
      <c r="C9296" s="20" t="inlineStr">
        <is>
          <t>목</t>
        </is>
      </c>
      <c r="D9296" s="20" t="inlineStr">
        <is>
          <t>카카오 배너</t>
        </is>
      </c>
      <c r="E9296" s="20" t="inlineStr">
        <is>
          <t>고체향수</t>
        </is>
      </c>
      <c r="K9296" s="20">
        <f>902858/1.1</f>
        <v/>
      </c>
    </row>
    <row r="9297">
      <c r="B9297" s="27" t="n">
        <v>44343</v>
      </c>
      <c r="C9297" s="20" t="inlineStr">
        <is>
          <t>목</t>
        </is>
      </c>
      <c r="E9297" s="19">
        <f>INDEX(매칭테이블!C:C,MATCH(RD!G9297,매칭테이블!D:D,0))</f>
        <v/>
      </c>
      <c r="F9297" s="20" t="inlineStr">
        <is>
          <t>올리브영</t>
        </is>
      </c>
      <c r="G9297" s="20" t="inlineStr">
        <is>
          <t>유즈 솔리드퍼퓸 001 이그나이트 30ml 30600 온라인</t>
        </is>
      </c>
      <c r="H9297" s="20" t="n">
        <v>1</v>
      </c>
      <c r="I9297" s="19">
        <f>VLOOKUP(G9297,매칭테이블!D:E,2,0)</f>
        <v/>
      </c>
      <c r="J9297" s="20" t="inlineStr">
        <is>
          <t>210501</t>
        </is>
      </c>
      <c r="L9297" s="19">
        <f>VLOOKUP($O9297,매칭테이블!$G:$J,2,0)*H9297</f>
        <v/>
      </c>
      <c r="M9297" s="19">
        <f>L9297-L9297*VLOOKUP($O9297,매칭테이블!$G:$J,3,0)</f>
        <v/>
      </c>
      <c r="N9297" s="19">
        <f>VLOOKUP($O9297,매칭테이블!$G:$J,4,0)*H9297</f>
        <v/>
      </c>
      <c r="O9297" s="19">
        <f>F9297&amp;E9297&amp;G9297&amp;J9297</f>
        <v/>
      </c>
    </row>
    <row r="9298">
      <c r="B9298" s="27" t="n">
        <v>44343</v>
      </c>
      <c r="C9298" s="20" t="inlineStr">
        <is>
          <t>목</t>
        </is>
      </c>
      <c r="E9298" s="19">
        <f>INDEX(매칭테이블!C:C,MATCH(RD!G9298,매칭테이블!D:D,0))</f>
        <v/>
      </c>
      <c r="F9298" s="20" t="inlineStr">
        <is>
          <t>올리브영</t>
        </is>
      </c>
      <c r="G9298" s="20" t="inlineStr">
        <is>
          <t>유즈 솔리드퍼퓸 002 스테이포에버 30ml 30600 온라인</t>
        </is>
      </c>
      <c r="H9298" s="20" t="n">
        <v>83</v>
      </c>
      <c r="I9298" s="19">
        <f>VLOOKUP(G9298,매칭테이블!D:E,2,0)</f>
        <v/>
      </c>
      <c r="J9298" s="20" t="inlineStr">
        <is>
          <t>210501</t>
        </is>
      </c>
      <c r="L9298" s="19">
        <f>VLOOKUP($O9298,매칭테이블!$G:$J,2,0)*H9298</f>
        <v/>
      </c>
      <c r="M9298" s="19">
        <f>L9298-L9298*VLOOKUP($O9298,매칭테이블!$G:$J,3,0)</f>
        <v/>
      </c>
      <c r="N9298" s="19">
        <f>VLOOKUP($O9298,매칭테이블!$G:$J,4,0)*H9298</f>
        <v/>
      </c>
      <c r="O9298" s="19">
        <f>F9298&amp;E9298&amp;G9298&amp;J9298</f>
        <v/>
      </c>
    </row>
    <row r="9299">
      <c r="A9299" s="20" t="inlineStr">
        <is>
          <t>[수현 TEST] 이그나이트_이미지</t>
        </is>
      </c>
      <c r="B9299" s="27" t="n">
        <v>44344</v>
      </c>
      <c r="C9299" s="20" t="inlineStr">
        <is>
          <t>금</t>
        </is>
      </c>
      <c r="D9299" s="20" t="inlineStr">
        <is>
          <t>페이스북/인스타그램</t>
        </is>
      </c>
      <c r="E9299" s="20" t="inlineStr">
        <is>
          <t>고체향수</t>
        </is>
      </c>
      <c r="K9299" s="20" t="n">
        <v>29838</v>
      </c>
    </row>
    <row r="9300">
      <c r="A9300" s="20" t="inlineStr">
        <is>
          <t>[올리브영 알바] 스테이포에버_카드뉴스</t>
        </is>
      </c>
      <c r="B9300" s="27" t="n">
        <v>44344</v>
      </c>
      <c r="C9300" s="20" t="inlineStr">
        <is>
          <t>금</t>
        </is>
      </c>
      <c r="D9300" s="20" t="inlineStr">
        <is>
          <t>페이스북/인스타그램</t>
        </is>
      </c>
      <c r="E9300" s="20" t="inlineStr">
        <is>
          <t>고체향수</t>
        </is>
      </c>
      <c r="K9300" s="20" t="n">
        <v>64844</v>
      </c>
    </row>
    <row r="9301">
      <c r="A9301" s="20" t="inlineStr">
        <is>
          <t>[수현 TEST] 스테이포에버_이미지</t>
        </is>
      </c>
      <c r="B9301" s="27" t="n">
        <v>44344</v>
      </c>
      <c r="C9301" s="20" t="inlineStr">
        <is>
          <t>금</t>
        </is>
      </c>
      <c r="D9301" s="20" t="inlineStr">
        <is>
          <t>페이스북/인스타그램</t>
        </is>
      </c>
      <c r="E9301" s="20" t="inlineStr">
        <is>
          <t>고체향수</t>
        </is>
      </c>
      <c r="K9301" s="20" t="n">
        <v>31235</v>
      </c>
    </row>
    <row r="9302">
      <c r="A9302" s="20" t="inlineStr">
        <is>
          <t>[승은 TEST] 스테이포에버</t>
        </is>
      </c>
      <c r="B9302" s="27" t="n">
        <v>44344</v>
      </c>
      <c r="C9302" s="20" t="inlineStr">
        <is>
          <t>금</t>
        </is>
      </c>
      <c r="D9302" s="20" t="inlineStr">
        <is>
          <t>페이스북/인스타그램</t>
        </is>
      </c>
      <c r="E9302" s="20" t="inlineStr">
        <is>
          <t>고체향수</t>
        </is>
      </c>
      <c r="K9302" s="20" t="n">
        <v>51593</v>
      </c>
    </row>
    <row r="9303">
      <c r="A9303" s="20" t="inlineStr">
        <is>
          <t>[비누향 덕후] 스테이포에버_카드뉴스</t>
        </is>
      </c>
      <c r="B9303" s="27" t="n">
        <v>44344</v>
      </c>
      <c r="C9303" s="20" t="inlineStr">
        <is>
          <t>금</t>
        </is>
      </c>
      <c r="D9303" s="20" t="inlineStr">
        <is>
          <t>페이스북/인스타그램</t>
        </is>
      </c>
      <c r="E9303" s="20" t="inlineStr">
        <is>
          <t>고체향수</t>
        </is>
      </c>
      <c r="K9303" s="20" t="n">
        <v>149868</v>
      </c>
    </row>
    <row r="9304">
      <c r="A9304" s="20" t="inlineStr">
        <is>
          <t>[성민 TEST] 솔리드퍼퓸_이미지</t>
        </is>
      </c>
      <c r="B9304" s="27" t="n">
        <v>44344</v>
      </c>
      <c r="C9304" s="20" t="inlineStr">
        <is>
          <t>금</t>
        </is>
      </c>
      <c r="D9304" s="20" t="inlineStr">
        <is>
          <t>페이스북/인스타그램</t>
        </is>
      </c>
      <c r="E9304" s="20" t="inlineStr">
        <is>
          <t>고체향수</t>
        </is>
      </c>
      <c r="K9304" s="20" t="n">
        <v>16445</v>
      </c>
    </row>
    <row r="9305">
      <c r="A9305" s="20" t="inlineStr">
        <is>
          <t>[승무원]유튜브_스테이포에버_카드뉴스</t>
        </is>
      </c>
      <c r="B9305" s="27" t="n">
        <v>44344</v>
      </c>
      <c r="C9305" s="20" t="inlineStr">
        <is>
          <t>금</t>
        </is>
      </c>
      <c r="D9305" s="20" t="inlineStr">
        <is>
          <t>페이스북/인스타그램</t>
        </is>
      </c>
      <c r="E9305" s="20" t="inlineStr">
        <is>
          <t>고체향수</t>
        </is>
      </c>
      <c r="K9305" s="20" t="n">
        <v>47683</v>
      </c>
    </row>
    <row r="9306">
      <c r="A9306" s="20" t="inlineStr">
        <is>
          <t>[올리브영] 이그나이트_영상</t>
        </is>
      </c>
      <c r="B9306" s="27" t="n">
        <v>44344</v>
      </c>
      <c r="C9306" s="20" t="inlineStr">
        <is>
          <t>금</t>
        </is>
      </c>
      <c r="D9306" s="20" t="inlineStr">
        <is>
          <t>페이스북/인스타그램</t>
        </is>
      </c>
      <c r="E9306" s="20" t="inlineStr">
        <is>
          <t>고체향수</t>
        </is>
      </c>
      <c r="K9306" s="20" t="n">
        <v>30094</v>
      </c>
    </row>
    <row r="9307">
      <c r="A9307" s="20" t="inlineStr">
        <is>
          <t>[승희 TEST] 솔리드퍼퓸_이미지</t>
        </is>
      </c>
      <c r="B9307" s="27" t="n">
        <v>44344</v>
      </c>
      <c r="C9307" s="20" t="inlineStr">
        <is>
          <t>금</t>
        </is>
      </c>
      <c r="D9307" s="20" t="inlineStr">
        <is>
          <t>페이스북/인스타그램</t>
        </is>
      </c>
      <c r="E9307" s="20" t="inlineStr">
        <is>
          <t>고체향수</t>
        </is>
      </c>
      <c r="K9307" s="20" t="n">
        <v>98458</v>
      </c>
    </row>
    <row r="9308">
      <c r="A9308" s="20" t="inlineStr">
        <is>
          <t>[올리브영] 스테이포에버_영상</t>
        </is>
      </c>
      <c r="B9308" s="27" t="n">
        <v>44344</v>
      </c>
      <c r="C9308" s="20" t="inlineStr">
        <is>
          <t>금</t>
        </is>
      </c>
      <c r="D9308" s="20" t="inlineStr">
        <is>
          <t>페이스북/인스타그램</t>
        </is>
      </c>
      <c r="E9308" s="20" t="inlineStr">
        <is>
          <t>고체향수</t>
        </is>
      </c>
      <c r="K9308" s="20" t="n">
        <v>49357</v>
      </c>
    </row>
    <row r="9309">
      <c r="A9309" s="20" t="inlineStr">
        <is>
          <t>[올리브영] 스테이포에버_이미지</t>
        </is>
      </c>
      <c r="B9309" s="27" t="n">
        <v>44344</v>
      </c>
      <c r="C9309" s="20" t="inlineStr">
        <is>
          <t>금</t>
        </is>
      </c>
      <c r="D9309" s="20" t="inlineStr">
        <is>
          <t>페이스북/인스타그램</t>
        </is>
      </c>
      <c r="E9309" s="20" t="inlineStr">
        <is>
          <t>고체향수</t>
        </is>
      </c>
      <c r="K9309" s="20" t="n">
        <v>29651</v>
      </c>
    </row>
    <row r="9310">
      <c r="A9310" s="20" t="inlineStr">
        <is>
          <t>[승무원] 유튜브재편집_스테이포에버_영상</t>
        </is>
      </c>
      <c r="B9310" s="27" t="n">
        <v>44344</v>
      </c>
      <c r="C9310" s="20" t="inlineStr">
        <is>
          <t>금</t>
        </is>
      </c>
      <c r="D9310" s="20" t="inlineStr">
        <is>
          <t>페이스북/인스타그램</t>
        </is>
      </c>
      <c r="E9310" s="20" t="inlineStr">
        <is>
          <t>고체향수</t>
        </is>
      </c>
      <c r="K9310" s="20" t="n">
        <v>658151</v>
      </c>
    </row>
    <row r="9311">
      <c r="A9311" s="20" t="inlineStr">
        <is>
          <t>[승무원 면세점] 스테이포에버_카드뉴스</t>
        </is>
      </c>
      <c r="B9311" s="27" t="n">
        <v>44344</v>
      </c>
      <c r="C9311" s="20" t="inlineStr">
        <is>
          <t>금</t>
        </is>
      </c>
      <c r="D9311" s="20" t="inlineStr">
        <is>
          <t>페이스북/인스타그램</t>
        </is>
      </c>
      <c r="E9311" s="20" t="inlineStr">
        <is>
          <t>고체향수</t>
        </is>
      </c>
      <c r="K9311" s="20" t="n">
        <v>197902</v>
      </c>
    </row>
    <row r="9312">
      <c r="A9312" s="20" t="inlineStr">
        <is>
          <t>[카페알바] 스테이포에버_카드뉴스</t>
        </is>
      </c>
      <c r="B9312" s="27" t="n">
        <v>44344</v>
      </c>
      <c r="C9312" s="20" t="inlineStr">
        <is>
          <t>금</t>
        </is>
      </c>
      <c r="D9312" s="20" t="inlineStr">
        <is>
          <t>페이스북/인스타그램</t>
        </is>
      </c>
      <c r="E9312" s="20" t="inlineStr">
        <is>
          <t>고체향수</t>
        </is>
      </c>
      <c r="K9312" s="20" t="n">
        <v>196654</v>
      </c>
    </row>
    <row r="9313">
      <c r="A9313" s="20" t="inlineStr">
        <is>
          <t>[아줌마]스테이포에버_이미지</t>
        </is>
      </c>
      <c r="B9313" s="27" t="n">
        <v>44344</v>
      </c>
      <c r="C9313" s="20" t="inlineStr">
        <is>
          <t>금</t>
        </is>
      </c>
      <c r="D9313" s="20" t="inlineStr">
        <is>
          <t>페이스북/인스타그램</t>
        </is>
      </c>
      <c r="E9313" s="20" t="inlineStr">
        <is>
          <t>고체향수</t>
        </is>
      </c>
      <c r="K9313" s="20" t="n">
        <v>48713</v>
      </c>
    </row>
    <row r="9314">
      <c r="A9314" s="20" t="inlineStr">
        <is>
          <t>[다양한 키워드] 스테이포에버_이미지</t>
        </is>
      </c>
      <c r="B9314" s="27" t="n">
        <v>44344</v>
      </c>
      <c r="C9314" s="20" t="inlineStr">
        <is>
          <t>금</t>
        </is>
      </c>
      <c r="D9314" s="20" t="inlineStr">
        <is>
          <t>페이스북/인스타그램</t>
        </is>
      </c>
      <c r="E9314" s="20" t="inlineStr">
        <is>
          <t>고체향수</t>
        </is>
      </c>
      <c r="K9314" s="20" t="n">
        <v>83936</v>
      </c>
    </row>
    <row r="9315">
      <c r="A9315" s="20" t="inlineStr">
        <is>
          <t>[재입고]스테이포에버_이미지</t>
        </is>
      </c>
      <c r="B9315" s="27" t="n">
        <v>44344</v>
      </c>
      <c r="C9315" s="20" t="inlineStr">
        <is>
          <t>금</t>
        </is>
      </c>
      <c r="D9315" s="20" t="inlineStr">
        <is>
          <t>페이스북/인스타그램</t>
        </is>
      </c>
      <c r="E9315" s="20" t="inlineStr">
        <is>
          <t>고체향수</t>
        </is>
      </c>
      <c r="K9315" s="20" t="n">
        <v>29564</v>
      </c>
    </row>
    <row r="9316">
      <c r="A9316" s="20" t="inlineStr">
        <is>
          <t>[승무원]숏폼_영상</t>
        </is>
      </c>
      <c r="B9316" s="27" t="n">
        <v>44344</v>
      </c>
      <c r="C9316" s="20" t="inlineStr">
        <is>
          <t>금</t>
        </is>
      </c>
      <c r="D9316" s="20" t="inlineStr">
        <is>
          <t>페이스북/인스타그램</t>
        </is>
      </c>
      <c r="E9316" s="20" t="inlineStr">
        <is>
          <t>고체향수</t>
        </is>
      </c>
      <c r="K9316" s="20" t="n">
        <v>28274</v>
      </c>
    </row>
    <row r="9317">
      <c r="A9317" s="20" t="inlineStr">
        <is>
          <t>[재입고]스테이포에버_영상</t>
        </is>
      </c>
      <c r="B9317" s="27" t="n">
        <v>44344</v>
      </c>
      <c r="C9317" s="20" t="inlineStr">
        <is>
          <t>금</t>
        </is>
      </c>
      <c r="D9317" s="20" t="inlineStr">
        <is>
          <t>페이스북/인스타그램</t>
        </is>
      </c>
      <c r="E9317" s="20" t="inlineStr">
        <is>
          <t>고체향수</t>
        </is>
      </c>
      <c r="K9317" s="20" t="n">
        <v>196795</v>
      </c>
    </row>
    <row r="9318">
      <c r="A9318" s="20" t="inlineStr">
        <is>
          <t>[승무원]2019년썰 카드뉴스+ 향묘사_영상</t>
        </is>
      </c>
      <c r="B9318" s="27" t="n">
        <v>44344</v>
      </c>
      <c r="C9318" s="20" t="inlineStr">
        <is>
          <t>금</t>
        </is>
      </c>
      <c r="D9318" s="20" t="inlineStr">
        <is>
          <t>페이스북/인스타그램</t>
        </is>
      </c>
      <c r="E9318" s="20" t="inlineStr">
        <is>
          <t>고체향수</t>
        </is>
      </c>
      <c r="K9318" s="20" t="n">
        <v>29250</v>
      </c>
    </row>
    <row r="9319">
      <c r="A9319" s="20" t="inlineStr">
        <is>
          <t>[승무원어피]스테이포에버_이미지</t>
        </is>
      </c>
      <c r="B9319" s="27" t="n">
        <v>44344</v>
      </c>
      <c r="C9319" s="20" t="inlineStr">
        <is>
          <t>금</t>
        </is>
      </c>
      <c r="D9319" s="20" t="inlineStr">
        <is>
          <t>페이스북/인스타그램</t>
        </is>
      </c>
      <c r="E9319" s="20" t="inlineStr">
        <is>
          <t>고체향수</t>
        </is>
      </c>
      <c r="K9319" s="20" t="n">
        <v>95192</v>
      </c>
    </row>
    <row r="9320">
      <c r="A9320" s="20" t="inlineStr">
        <is>
          <t>[다현]스테이포에버_이미지</t>
        </is>
      </c>
      <c r="B9320" s="27" t="n">
        <v>44344</v>
      </c>
      <c r="C9320" s="20" t="inlineStr">
        <is>
          <t>금</t>
        </is>
      </c>
      <c r="D9320" s="20" t="inlineStr">
        <is>
          <t>페이스북/인스타그램</t>
        </is>
      </c>
      <c r="E9320" s="20" t="inlineStr">
        <is>
          <t>고체향수</t>
        </is>
      </c>
      <c r="K9320" s="20" t="n">
        <v>143910</v>
      </c>
    </row>
    <row r="9321">
      <c r="A9321" s="20" t="inlineStr">
        <is>
          <t>[후기타입]스테이포에버_영상</t>
        </is>
      </c>
      <c r="B9321" s="27" t="n">
        <v>44344</v>
      </c>
      <c r="C9321" s="20" t="inlineStr">
        <is>
          <t>금</t>
        </is>
      </c>
      <c r="D9321" s="20" t="inlineStr">
        <is>
          <t>페이스북/인스타그램</t>
        </is>
      </c>
      <c r="E9321" s="20" t="inlineStr">
        <is>
          <t>고체향수</t>
        </is>
      </c>
      <c r="K9321" s="20" t="n">
        <v>98542</v>
      </c>
    </row>
    <row r="9322">
      <c r="A9322" s="20" t="inlineStr">
        <is>
          <t>전환_스테이포에버</t>
        </is>
      </c>
      <c r="B9322" s="27" t="n">
        <v>44344</v>
      </c>
      <c r="C9322" s="20" t="inlineStr">
        <is>
          <t>금</t>
        </is>
      </c>
      <c r="D9322" s="20" t="inlineStr">
        <is>
          <t>페이스북/인스타그램</t>
        </is>
      </c>
      <c r="E9322" s="20" t="inlineStr">
        <is>
          <t>고체향수</t>
        </is>
      </c>
      <c r="K9322" s="20" t="n">
        <v>69891</v>
      </c>
    </row>
    <row r="9323">
      <c r="A9323" s="20" t="inlineStr">
        <is>
          <t>[권태기커플]스테이포에버_영상</t>
        </is>
      </c>
      <c r="B9323" s="27" t="n">
        <v>44344</v>
      </c>
      <c r="C9323" s="20" t="inlineStr">
        <is>
          <t>금</t>
        </is>
      </c>
      <c r="D9323" s="20" t="inlineStr">
        <is>
          <t>페이스북/인스타그램</t>
        </is>
      </c>
      <c r="E9323" s="20" t="inlineStr">
        <is>
          <t>고체향수</t>
        </is>
      </c>
      <c r="K9323" s="20" t="n">
        <v>29468</v>
      </c>
    </row>
    <row r="9324">
      <c r="A9324" s="20" t="inlineStr">
        <is>
          <t>[수현 TEST] 스테이포에버_카드뉴스</t>
        </is>
      </c>
      <c r="B9324" s="27" t="n">
        <v>44345</v>
      </c>
      <c r="C9324" s="20" t="inlineStr">
        <is>
          <t>토</t>
        </is>
      </c>
      <c r="D9324" s="20" t="inlineStr">
        <is>
          <t>페이스북/인스타그램</t>
        </is>
      </c>
      <c r="E9324" s="20" t="inlineStr">
        <is>
          <t>고체향수</t>
        </is>
      </c>
      <c r="K9324" s="20" t="n">
        <v>23367</v>
      </c>
    </row>
    <row r="9325">
      <c r="A9325" s="20" t="inlineStr">
        <is>
          <t>[수현 TEST] 이그나이트_이미지</t>
        </is>
      </c>
      <c r="B9325" s="27" t="n">
        <v>44345</v>
      </c>
      <c r="C9325" s="20" t="inlineStr">
        <is>
          <t>토</t>
        </is>
      </c>
      <c r="D9325" s="20" t="inlineStr">
        <is>
          <t>페이스북/인스타그램</t>
        </is>
      </c>
      <c r="E9325" s="20" t="inlineStr">
        <is>
          <t>고체향수</t>
        </is>
      </c>
      <c r="K9325" s="20" t="n">
        <v>30420</v>
      </c>
    </row>
    <row r="9326">
      <c r="A9326" s="20" t="inlineStr">
        <is>
          <t>[올리브영 알바] 스테이포에버_카드뉴스</t>
        </is>
      </c>
      <c r="B9326" s="27" t="n">
        <v>44345</v>
      </c>
      <c r="C9326" s="20" t="inlineStr">
        <is>
          <t>토</t>
        </is>
      </c>
      <c r="D9326" s="20" t="inlineStr">
        <is>
          <t>페이스북/인스타그램</t>
        </is>
      </c>
      <c r="E9326" s="20" t="inlineStr">
        <is>
          <t>고체향수</t>
        </is>
      </c>
      <c r="K9326" s="20" t="n">
        <v>94728</v>
      </c>
    </row>
    <row r="9327">
      <c r="A9327" s="20" t="inlineStr">
        <is>
          <t>[수현 TEST] 스테이포에버_이미지</t>
        </is>
      </c>
      <c r="B9327" s="27" t="n">
        <v>44345</v>
      </c>
      <c r="C9327" s="20" t="inlineStr">
        <is>
          <t>토</t>
        </is>
      </c>
      <c r="D9327" s="20" t="inlineStr">
        <is>
          <t>페이스북/인스타그램</t>
        </is>
      </c>
      <c r="E9327" s="20" t="inlineStr">
        <is>
          <t>고체향수</t>
        </is>
      </c>
      <c r="K9327" s="20" t="n">
        <v>32450</v>
      </c>
    </row>
    <row r="9328">
      <c r="A9328" s="20" t="inlineStr">
        <is>
          <t>[승은 TEST] 스테이포에버</t>
        </is>
      </c>
      <c r="B9328" s="27" t="n">
        <v>44345</v>
      </c>
      <c r="C9328" s="20" t="inlineStr">
        <is>
          <t>토</t>
        </is>
      </c>
      <c r="D9328" s="20" t="inlineStr">
        <is>
          <t>페이스북/인스타그램</t>
        </is>
      </c>
      <c r="E9328" s="20" t="inlineStr">
        <is>
          <t>고체향수</t>
        </is>
      </c>
      <c r="K9328" s="20" t="n">
        <v>47535</v>
      </c>
    </row>
    <row r="9329">
      <c r="A9329" s="20" t="inlineStr">
        <is>
          <t>[비누향 덕후] 스테이포에버_카드뉴스</t>
        </is>
      </c>
      <c r="B9329" s="27" t="n">
        <v>44345</v>
      </c>
      <c r="C9329" s="20" t="inlineStr">
        <is>
          <t>토</t>
        </is>
      </c>
      <c r="D9329" s="20" t="inlineStr">
        <is>
          <t>페이스북/인스타그램</t>
        </is>
      </c>
      <c r="E9329" s="20" t="inlineStr">
        <is>
          <t>고체향수</t>
        </is>
      </c>
      <c r="K9329" s="20" t="n">
        <v>156058</v>
      </c>
    </row>
    <row r="9330">
      <c r="A9330" s="20" t="inlineStr">
        <is>
          <t>[승무원]유튜브_스테이포에버_카드뉴스</t>
        </is>
      </c>
      <c r="B9330" s="27" t="n">
        <v>44345</v>
      </c>
      <c r="C9330" s="20" t="inlineStr">
        <is>
          <t>토</t>
        </is>
      </c>
      <c r="D9330" s="20" t="inlineStr">
        <is>
          <t>페이스북/인스타그램</t>
        </is>
      </c>
      <c r="E9330" s="20" t="inlineStr">
        <is>
          <t>고체향수</t>
        </is>
      </c>
      <c r="K9330" s="20" t="n">
        <v>47835</v>
      </c>
    </row>
    <row r="9331">
      <c r="A9331" s="20" t="inlineStr">
        <is>
          <t>[올리브영] 이그나이트_영상</t>
        </is>
      </c>
      <c r="B9331" s="27" t="n">
        <v>44345</v>
      </c>
      <c r="C9331" s="20" t="inlineStr">
        <is>
          <t>토</t>
        </is>
      </c>
      <c r="D9331" s="20" t="inlineStr">
        <is>
          <t>페이스북/인스타그램</t>
        </is>
      </c>
      <c r="E9331" s="20" t="inlineStr">
        <is>
          <t>고체향수</t>
        </is>
      </c>
      <c r="K9331" s="20" t="n">
        <v>31618</v>
      </c>
    </row>
    <row r="9332">
      <c r="A9332" s="20" t="inlineStr">
        <is>
          <t>[승희 TEST] 솔리드퍼퓸_이미지</t>
        </is>
      </c>
      <c r="B9332" s="27" t="n">
        <v>44345</v>
      </c>
      <c r="C9332" s="20" t="inlineStr">
        <is>
          <t>토</t>
        </is>
      </c>
      <c r="D9332" s="20" t="inlineStr">
        <is>
          <t>페이스북/인스타그램</t>
        </is>
      </c>
      <c r="E9332" s="20" t="inlineStr">
        <is>
          <t>고체향수</t>
        </is>
      </c>
      <c r="K9332" s="20" t="n">
        <v>92860</v>
      </c>
    </row>
    <row r="9333">
      <c r="A9333" s="20" t="inlineStr">
        <is>
          <t>[올리브영] 스테이포에버_영상</t>
        </is>
      </c>
      <c r="B9333" s="27" t="n">
        <v>44345</v>
      </c>
      <c r="C9333" s="20" t="inlineStr">
        <is>
          <t>토</t>
        </is>
      </c>
      <c r="D9333" s="20" t="inlineStr">
        <is>
          <t>페이스북/인스타그램</t>
        </is>
      </c>
      <c r="E9333" s="20" t="inlineStr">
        <is>
          <t>고체향수</t>
        </is>
      </c>
      <c r="K9333" s="20" t="n">
        <v>54577</v>
      </c>
    </row>
    <row r="9334">
      <c r="A9334" s="20" t="inlineStr">
        <is>
          <t>[올리브영] 스테이포에버_이미지</t>
        </is>
      </c>
      <c r="B9334" s="27" t="n">
        <v>44345</v>
      </c>
      <c r="C9334" s="20" t="inlineStr">
        <is>
          <t>토</t>
        </is>
      </c>
      <c r="D9334" s="20" t="inlineStr">
        <is>
          <t>페이스북/인스타그램</t>
        </is>
      </c>
      <c r="E9334" s="20" t="inlineStr">
        <is>
          <t>고체향수</t>
        </is>
      </c>
      <c r="K9334" s="20" t="n">
        <v>32538</v>
      </c>
    </row>
    <row r="9335">
      <c r="A9335" s="20" t="inlineStr">
        <is>
          <t>[승무원] 유튜브재편집_스테이포에버_영상</t>
        </is>
      </c>
      <c r="B9335" s="27" t="n">
        <v>44345</v>
      </c>
      <c r="C9335" s="20" t="inlineStr">
        <is>
          <t>토</t>
        </is>
      </c>
      <c r="D9335" s="20" t="inlineStr">
        <is>
          <t>페이스북/인스타그램</t>
        </is>
      </c>
      <c r="E9335" s="20" t="inlineStr">
        <is>
          <t>고체향수</t>
        </is>
      </c>
      <c r="K9335" s="20" t="n">
        <v>653643</v>
      </c>
    </row>
    <row r="9336">
      <c r="A9336" s="20" t="inlineStr">
        <is>
          <t>[승무원 면세점] 스테이포에버_카드뉴스</t>
        </is>
      </c>
      <c r="B9336" s="27" t="n">
        <v>44345</v>
      </c>
      <c r="C9336" s="20" t="inlineStr">
        <is>
          <t>토</t>
        </is>
      </c>
      <c r="D9336" s="20" t="inlineStr">
        <is>
          <t>페이스북/인스타그램</t>
        </is>
      </c>
      <c r="E9336" s="20" t="inlineStr">
        <is>
          <t>고체향수</t>
        </is>
      </c>
      <c r="K9336" s="20" t="n">
        <v>208318</v>
      </c>
    </row>
    <row r="9337">
      <c r="A9337" s="20" t="inlineStr">
        <is>
          <t>[카페알바] 스테이포에버_카드뉴스</t>
        </is>
      </c>
      <c r="B9337" s="27" t="n">
        <v>44345</v>
      </c>
      <c r="C9337" s="20" t="inlineStr">
        <is>
          <t>토</t>
        </is>
      </c>
      <c r="D9337" s="20" t="inlineStr">
        <is>
          <t>페이스북/인스타그램</t>
        </is>
      </c>
      <c r="E9337" s="20" t="inlineStr">
        <is>
          <t>고체향수</t>
        </is>
      </c>
      <c r="K9337" s="20" t="n">
        <v>207106</v>
      </c>
    </row>
    <row r="9338">
      <c r="A9338" s="20" t="inlineStr">
        <is>
          <t>[아줌마]스테이포에버_이미지</t>
        </is>
      </c>
      <c r="B9338" s="27" t="n">
        <v>44345</v>
      </c>
      <c r="C9338" s="20" t="inlineStr">
        <is>
          <t>토</t>
        </is>
      </c>
      <c r="D9338" s="20" t="inlineStr">
        <is>
          <t>페이스북/인스타그램</t>
        </is>
      </c>
      <c r="E9338" s="20" t="inlineStr">
        <is>
          <t>고체향수</t>
        </is>
      </c>
      <c r="K9338" s="20" t="n">
        <v>51404</v>
      </c>
    </row>
    <row r="9339">
      <c r="A9339" s="20" t="inlineStr">
        <is>
          <t>[다양한 키워드] 스테이포에버_이미지</t>
        </is>
      </c>
      <c r="B9339" s="27" t="n">
        <v>44345</v>
      </c>
      <c r="C9339" s="20" t="inlineStr">
        <is>
          <t>토</t>
        </is>
      </c>
      <c r="D9339" s="20" t="inlineStr">
        <is>
          <t>페이스북/인스타그램</t>
        </is>
      </c>
      <c r="E9339" s="20" t="inlineStr">
        <is>
          <t>고체향수</t>
        </is>
      </c>
      <c r="K9339" s="20" t="n">
        <v>66339</v>
      </c>
    </row>
    <row r="9340">
      <c r="A9340" s="20" t="inlineStr">
        <is>
          <t>[재입고]스테이포에버_이미지</t>
        </is>
      </c>
      <c r="B9340" s="27" t="n">
        <v>44345</v>
      </c>
      <c r="C9340" s="20" t="inlineStr">
        <is>
          <t>토</t>
        </is>
      </c>
      <c r="D9340" s="20" t="inlineStr">
        <is>
          <t>페이스북/인스타그램</t>
        </is>
      </c>
      <c r="E9340" s="20" t="inlineStr">
        <is>
          <t>고체향수</t>
        </is>
      </c>
      <c r="K9340" s="20" t="n">
        <v>31120</v>
      </c>
    </row>
    <row r="9341">
      <c r="A9341" s="20" t="inlineStr">
        <is>
          <t>[승무원]숏폼_영상</t>
        </is>
      </c>
      <c r="B9341" s="27" t="n">
        <v>44345</v>
      </c>
      <c r="C9341" s="20" t="inlineStr">
        <is>
          <t>토</t>
        </is>
      </c>
      <c r="D9341" s="20" t="inlineStr">
        <is>
          <t>페이스북/인스타그램</t>
        </is>
      </c>
      <c r="E9341" s="20" t="inlineStr">
        <is>
          <t>고체향수</t>
        </is>
      </c>
      <c r="K9341" s="20" t="n">
        <v>29075</v>
      </c>
    </row>
    <row r="9342">
      <c r="A9342" s="20" t="inlineStr">
        <is>
          <t>[재입고]스테이포에버_영상</t>
        </is>
      </c>
      <c r="B9342" s="27" t="n">
        <v>44345</v>
      </c>
      <c r="C9342" s="20" t="inlineStr">
        <is>
          <t>토</t>
        </is>
      </c>
      <c r="D9342" s="20" t="inlineStr">
        <is>
          <t>페이스북/인스타그램</t>
        </is>
      </c>
      <c r="E9342" s="20" t="inlineStr">
        <is>
          <t>고체향수</t>
        </is>
      </c>
      <c r="K9342" s="20" t="n">
        <v>207410</v>
      </c>
    </row>
    <row r="9343">
      <c r="A9343" s="20" t="inlineStr">
        <is>
          <t>[승무원]2019년썰 카드뉴스+ 향묘사_영상</t>
        </is>
      </c>
      <c r="B9343" s="27" t="n">
        <v>44345</v>
      </c>
      <c r="C9343" s="20" t="inlineStr">
        <is>
          <t>토</t>
        </is>
      </c>
      <c r="D9343" s="20" t="inlineStr">
        <is>
          <t>페이스북/인스타그램</t>
        </is>
      </c>
      <c r="E9343" s="20" t="inlineStr">
        <is>
          <t>고체향수</t>
        </is>
      </c>
      <c r="K9343" s="20" t="n">
        <v>30989</v>
      </c>
    </row>
    <row r="9344">
      <c r="A9344" s="20" t="inlineStr">
        <is>
          <t>[승무원어피]스테이포에버_이미지</t>
        </is>
      </c>
      <c r="B9344" s="27" t="n">
        <v>44345</v>
      </c>
      <c r="C9344" s="20" t="inlineStr">
        <is>
          <t>토</t>
        </is>
      </c>
      <c r="D9344" s="20" t="inlineStr">
        <is>
          <t>페이스북/인스타그램</t>
        </is>
      </c>
      <c r="E9344" s="20" t="inlineStr">
        <is>
          <t>고체향수</t>
        </is>
      </c>
      <c r="K9344" s="20" t="n">
        <v>100547</v>
      </c>
    </row>
    <row r="9345">
      <c r="A9345" s="20" t="inlineStr">
        <is>
          <t>[다현]스테이포에버_이미지</t>
        </is>
      </c>
      <c r="B9345" s="27" t="n">
        <v>44345</v>
      </c>
      <c r="C9345" s="20" t="inlineStr">
        <is>
          <t>토</t>
        </is>
      </c>
      <c r="D9345" s="20" t="inlineStr">
        <is>
          <t>페이스북/인스타그램</t>
        </is>
      </c>
      <c r="E9345" s="20" t="inlineStr">
        <is>
          <t>고체향수</t>
        </is>
      </c>
      <c r="K9345" s="20" t="n">
        <v>151612</v>
      </c>
    </row>
    <row r="9346">
      <c r="A9346" s="20" t="inlineStr">
        <is>
          <t>[후기타입]스테이포에버_영상</t>
        </is>
      </c>
      <c r="B9346" s="27" t="n">
        <v>44345</v>
      </c>
      <c r="C9346" s="20" t="inlineStr">
        <is>
          <t>토</t>
        </is>
      </c>
      <c r="D9346" s="20" t="inlineStr">
        <is>
          <t>페이스북/인스타그램</t>
        </is>
      </c>
      <c r="E9346" s="20" t="inlineStr">
        <is>
          <t>고체향수</t>
        </is>
      </c>
      <c r="K9346" s="20" t="n">
        <v>103418</v>
      </c>
    </row>
    <row r="9347">
      <c r="A9347" s="20" t="inlineStr">
        <is>
          <t>전환_스테이포에버</t>
        </is>
      </c>
      <c r="B9347" s="27" t="n">
        <v>44345</v>
      </c>
      <c r="C9347" s="20" t="inlineStr">
        <is>
          <t>토</t>
        </is>
      </c>
      <c r="D9347" s="20" t="inlineStr">
        <is>
          <t>페이스북/인스타그램</t>
        </is>
      </c>
      <c r="E9347" s="20" t="inlineStr">
        <is>
          <t>고체향수</t>
        </is>
      </c>
      <c r="K9347" s="20" t="n">
        <v>71728</v>
      </c>
    </row>
    <row r="9348">
      <c r="A9348" s="20" t="inlineStr">
        <is>
          <t>[권태기커플]스테이포에버_영상</t>
        </is>
      </c>
      <c r="B9348" s="27" t="n">
        <v>44345</v>
      </c>
      <c r="C9348" s="20" t="inlineStr">
        <is>
          <t>토</t>
        </is>
      </c>
      <c r="D9348" s="20" t="inlineStr">
        <is>
          <t>페이스북/인스타그램</t>
        </is>
      </c>
      <c r="E9348" s="20" t="inlineStr">
        <is>
          <t>고체향수</t>
        </is>
      </c>
      <c r="K9348" s="20" t="n">
        <v>30994</v>
      </c>
    </row>
    <row r="9349">
      <c r="A9349" s="20" t="inlineStr">
        <is>
          <t>[수현 TEST] 스테이포에버_카드뉴스</t>
        </is>
      </c>
      <c r="B9349" s="27" t="n">
        <v>44346</v>
      </c>
      <c r="C9349" s="20" t="inlineStr">
        <is>
          <t>일</t>
        </is>
      </c>
      <c r="D9349" s="20" t="inlineStr">
        <is>
          <t>페이스북/인스타그램</t>
        </is>
      </c>
      <c r="E9349" s="20" t="inlineStr">
        <is>
          <t>고체향수</t>
        </is>
      </c>
      <c r="K9349" s="20" t="n">
        <v>20427</v>
      </c>
    </row>
    <row r="9350">
      <c r="A9350" s="20" t="inlineStr">
        <is>
          <t>[수현 TEST] 이그나이트_이미지</t>
        </is>
      </c>
      <c r="B9350" s="27" t="n">
        <v>44346</v>
      </c>
      <c r="C9350" s="20" t="inlineStr">
        <is>
          <t>일</t>
        </is>
      </c>
      <c r="D9350" s="20" t="inlineStr">
        <is>
          <t>페이스북/인스타그램</t>
        </is>
      </c>
      <c r="E9350" s="20" t="inlineStr">
        <is>
          <t>고체향수</t>
        </is>
      </c>
      <c r="K9350" s="20" t="n">
        <v>30482</v>
      </c>
    </row>
    <row r="9351">
      <c r="A9351" s="20" t="inlineStr">
        <is>
          <t>[올리브영 알바] 스테이포에버_카드뉴스</t>
        </is>
      </c>
      <c r="B9351" s="27" t="n">
        <v>44346</v>
      </c>
      <c r="C9351" s="20" t="inlineStr">
        <is>
          <t>일</t>
        </is>
      </c>
      <c r="D9351" s="20" t="inlineStr">
        <is>
          <t>페이스북/인스타그램</t>
        </is>
      </c>
      <c r="E9351" s="20" t="inlineStr">
        <is>
          <t>고체향수</t>
        </is>
      </c>
      <c r="K9351" s="20" t="n">
        <v>100505</v>
      </c>
    </row>
    <row r="9352">
      <c r="A9352" s="20" t="inlineStr">
        <is>
          <t>[수현 TEST] 스테이포에버_이미지</t>
        </is>
      </c>
      <c r="B9352" s="27" t="n">
        <v>44346</v>
      </c>
      <c r="C9352" s="20" t="inlineStr">
        <is>
          <t>일</t>
        </is>
      </c>
      <c r="D9352" s="20" t="inlineStr">
        <is>
          <t>페이스북/인스타그램</t>
        </is>
      </c>
      <c r="E9352" s="20" t="inlineStr">
        <is>
          <t>고체향수</t>
        </is>
      </c>
      <c r="K9352" s="20" t="n">
        <v>30357</v>
      </c>
    </row>
    <row r="9353">
      <c r="A9353" s="20" t="inlineStr">
        <is>
          <t>[승은 TEST] 스테이포에버</t>
        </is>
      </c>
      <c r="B9353" s="27" t="n">
        <v>44346</v>
      </c>
      <c r="C9353" s="20" t="inlineStr">
        <is>
          <t>일</t>
        </is>
      </c>
      <c r="D9353" s="20" t="inlineStr">
        <is>
          <t>페이스북/인스타그램</t>
        </is>
      </c>
      <c r="E9353" s="20" t="inlineStr">
        <is>
          <t>고체향수</t>
        </is>
      </c>
      <c r="K9353" s="20" t="n">
        <v>50168</v>
      </c>
    </row>
    <row r="9354">
      <c r="A9354" s="20" t="inlineStr">
        <is>
          <t>[비누향 덕후] 스테이포에버_카드뉴스</t>
        </is>
      </c>
      <c r="B9354" s="27" t="n">
        <v>44346</v>
      </c>
      <c r="C9354" s="20" t="inlineStr">
        <is>
          <t>일</t>
        </is>
      </c>
      <c r="D9354" s="20" t="inlineStr">
        <is>
          <t>페이스북/인스타그램</t>
        </is>
      </c>
      <c r="E9354" s="20" t="inlineStr">
        <is>
          <t>고체향수</t>
        </is>
      </c>
      <c r="K9354" s="20" t="n">
        <v>150434</v>
      </c>
    </row>
    <row r="9355">
      <c r="A9355" s="20" t="inlineStr">
        <is>
          <t>[승무원]유튜브_스테이포에버_카드뉴스</t>
        </is>
      </c>
      <c r="B9355" s="27" t="n">
        <v>44346</v>
      </c>
      <c r="C9355" s="20" t="inlineStr">
        <is>
          <t>일</t>
        </is>
      </c>
      <c r="D9355" s="20" t="inlineStr">
        <is>
          <t>페이스북/인스타그램</t>
        </is>
      </c>
      <c r="E9355" s="20" t="inlineStr">
        <is>
          <t>고체향수</t>
        </is>
      </c>
      <c r="K9355" s="20" t="n">
        <v>50180</v>
      </c>
    </row>
    <row r="9356">
      <c r="A9356" s="20" t="inlineStr">
        <is>
          <t>[올리브영] 이그나이트_영상</t>
        </is>
      </c>
      <c r="B9356" s="27" t="n">
        <v>44346</v>
      </c>
      <c r="C9356" s="20" t="inlineStr">
        <is>
          <t>일</t>
        </is>
      </c>
      <c r="D9356" s="20" t="inlineStr">
        <is>
          <t>페이스북/인스타그램</t>
        </is>
      </c>
      <c r="E9356" s="20" t="inlineStr">
        <is>
          <t>고체향수</t>
        </is>
      </c>
      <c r="K9356" s="20" t="n">
        <v>30308</v>
      </c>
    </row>
    <row r="9357">
      <c r="A9357" s="20" t="inlineStr">
        <is>
          <t>[승희 TEST] 솔리드퍼퓸_이미지</t>
        </is>
      </c>
      <c r="B9357" s="27" t="n">
        <v>44346</v>
      </c>
      <c r="C9357" s="20" t="inlineStr">
        <is>
          <t>일</t>
        </is>
      </c>
      <c r="D9357" s="20" t="inlineStr">
        <is>
          <t>페이스북/인스타그램</t>
        </is>
      </c>
      <c r="E9357" s="20" t="inlineStr">
        <is>
          <t>고체향수</t>
        </is>
      </c>
      <c r="K9357" s="20" t="n">
        <v>70890</v>
      </c>
    </row>
    <row r="9358">
      <c r="A9358" s="20" t="inlineStr">
        <is>
          <t>[올리브영] 스테이포에버_영상</t>
        </is>
      </c>
      <c r="B9358" s="27" t="n">
        <v>44346</v>
      </c>
      <c r="C9358" s="20" t="inlineStr">
        <is>
          <t>일</t>
        </is>
      </c>
      <c r="D9358" s="20" t="inlineStr">
        <is>
          <t>페이스북/인스타그램</t>
        </is>
      </c>
      <c r="E9358" s="20" t="inlineStr">
        <is>
          <t>고체향수</t>
        </is>
      </c>
      <c r="K9358" s="20" t="n">
        <v>50017</v>
      </c>
    </row>
    <row r="9359">
      <c r="A9359" s="20" t="inlineStr">
        <is>
          <t>[올리브영] 스테이포에버_이미지</t>
        </is>
      </c>
      <c r="B9359" s="27" t="n">
        <v>44346</v>
      </c>
      <c r="C9359" s="20" t="inlineStr">
        <is>
          <t>일</t>
        </is>
      </c>
      <c r="D9359" s="20" t="inlineStr">
        <is>
          <t>페이스북/인스타그램</t>
        </is>
      </c>
      <c r="E9359" s="20" t="inlineStr">
        <is>
          <t>고체향수</t>
        </is>
      </c>
      <c r="K9359" s="20" t="n">
        <v>30224</v>
      </c>
    </row>
    <row r="9360">
      <c r="A9360" s="20" t="inlineStr">
        <is>
          <t>[승무원] 유튜브재편집_스테이포에버_영상</t>
        </is>
      </c>
      <c r="B9360" s="27" t="n">
        <v>44346</v>
      </c>
      <c r="C9360" s="20" t="inlineStr">
        <is>
          <t>일</t>
        </is>
      </c>
      <c r="D9360" s="20" t="inlineStr">
        <is>
          <t>페이스북/인스타그램</t>
        </is>
      </c>
      <c r="E9360" s="20" t="inlineStr">
        <is>
          <t>고체향수</t>
        </is>
      </c>
      <c r="K9360" s="20" t="n">
        <v>653140</v>
      </c>
    </row>
    <row r="9361">
      <c r="A9361" s="20" t="inlineStr">
        <is>
          <t>[승무원 면세점] 스테이포에버_카드뉴스</t>
        </is>
      </c>
      <c r="B9361" s="27" t="n">
        <v>44346</v>
      </c>
      <c r="C9361" s="20" t="inlineStr">
        <is>
          <t>일</t>
        </is>
      </c>
      <c r="D9361" s="20" t="inlineStr">
        <is>
          <t>페이스북/인스타그램</t>
        </is>
      </c>
      <c r="E9361" s="20" t="inlineStr">
        <is>
          <t>고체향수</t>
        </is>
      </c>
      <c r="K9361" s="20" t="n">
        <v>200928</v>
      </c>
    </row>
    <row r="9362">
      <c r="A9362" s="20" t="inlineStr">
        <is>
          <t>[카페알바] 스테이포에버_카드뉴스</t>
        </is>
      </c>
      <c r="B9362" s="27" t="n">
        <v>44346</v>
      </c>
      <c r="C9362" s="20" t="inlineStr">
        <is>
          <t>일</t>
        </is>
      </c>
      <c r="D9362" s="20" t="inlineStr">
        <is>
          <t>페이스북/인스타그램</t>
        </is>
      </c>
      <c r="E9362" s="20" t="inlineStr">
        <is>
          <t>고체향수</t>
        </is>
      </c>
      <c r="K9362" s="20" t="n">
        <v>200530</v>
      </c>
    </row>
    <row r="9363">
      <c r="A9363" s="20" t="inlineStr">
        <is>
          <t>[아줌마]스테이포에버_이미지</t>
        </is>
      </c>
      <c r="B9363" s="27" t="n">
        <v>44346</v>
      </c>
      <c r="C9363" s="20" t="inlineStr">
        <is>
          <t>일</t>
        </is>
      </c>
      <c r="D9363" s="20" t="inlineStr">
        <is>
          <t>페이스북/인스타그램</t>
        </is>
      </c>
      <c r="E9363" s="20" t="inlineStr">
        <is>
          <t>고체향수</t>
        </is>
      </c>
      <c r="K9363" s="20" t="n">
        <v>50430</v>
      </c>
    </row>
    <row r="9364">
      <c r="A9364" s="20" t="inlineStr">
        <is>
          <t>[다양한 키워드] 스테이포에버_이미지</t>
        </is>
      </c>
      <c r="B9364" s="27" t="n">
        <v>44346</v>
      </c>
      <c r="C9364" s="20" t="inlineStr">
        <is>
          <t>일</t>
        </is>
      </c>
      <c r="D9364" s="20" t="inlineStr">
        <is>
          <t>페이스북/인스타그램</t>
        </is>
      </c>
      <c r="E9364" s="20" t="inlineStr">
        <is>
          <t>고체향수</t>
        </is>
      </c>
      <c r="K9364" s="20" t="n">
        <v>70686</v>
      </c>
    </row>
    <row r="9365">
      <c r="A9365" s="20" t="inlineStr">
        <is>
          <t>[재입고]스테이포에버_이미지</t>
        </is>
      </c>
      <c r="B9365" s="27" t="n">
        <v>44346</v>
      </c>
      <c r="C9365" s="20" t="inlineStr">
        <is>
          <t>일</t>
        </is>
      </c>
      <c r="D9365" s="20" t="inlineStr">
        <is>
          <t>페이스북/인스타그램</t>
        </is>
      </c>
      <c r="E9365" s="20" t="inlineStr">
        <is>
          <t>고체향수</t>
        </is>
      </c>
      <c r="K9365" s="20" t="n">
        <v>30143</v>
      </c>
    </row>
    <row r="9366">
      <c r="A9366" s="20" t="inlineStr">
        <is>
          <t>[승무원]숏폼_영상</t>
        </is>
      </c>
      <c r="B9366" s="27" t="n">
        <v>44346</v>
      </c>
      <c r="C9366" s="20" t="inlineStr">
        <is>
          <t>일</t>
        </is>
      </c>
      <c r="D9366" s="20" t="inlineStr">
        <is>
          <t>페이스북/인스타그램</t>
        </is>
      </c>
      <c r="E9366" s="20" t="inlineStr">
        <is>
          <t>고체향수</t>
        </is>
      </c>
      <c r="K9366" s="20" t="n">
        <v>30885</v>
      </c>
    </row>
    <row r="9367">
      <c r="A9367" s="20" t="inlineStr">
        <is>
          <t>[재입고]스테이포에버_영상</t>
        </is>
      </c>
      <c r="B9367" s="27" t="n">
        <v>44346</v>
      </c>
      <c r="C9367" s="20" t="inlineStr">
        <is>
          <t>일</t>
        </is>
      </c>
      <c r="D9367" s="20" t="inlineStr">
        <is>
          <t>페이스북/인스타그램</t>
        </is>
      </c>
      <c r="E9367" s="20" t="inlineStr">
        <is>
          <t>고체향수</t>
        </is>
      </c>
      <c r="K9367" s="20" t="n">
        <v>201321</v>
      </c>
    </row>
    <row r="9368">
      <c r="A9368" s="20" t="inlineStr">
        <is>
          <t>[승무원]2019년썰 카드뉴스+ 향묘사_영상</t>
        </is>
      </c>
      <c r="B9368" s="27" t="n">
        <v>44346</v>
      </c>
      <c r="C9368" s="20" t="inlineStr">
        <is>
          <t>일</t>
        </is>
      </c>
      <c r="D9368" s="20" t="inlineStr">
        <is>
          <t>페이스북/인스타그램</t>
        </is>
      </c>
      <c r="E9368" s="20" t="inlineStr">
        <is>
          <t>고체향수</t>
        </is>
      </c>
      <c r="K9368" s="20" t="n">
        <v>30777</v>
      </c>
    </row>
    <row r="9369">
      <c r="A9369" s="20" t="inlineStr">
        <is>
          <t>[승무원어피]스테이포에버_이미지</t>
        </is>
      </c>
      <c r="B9369" s="27" t="n">
        <v>44346</v>
      </c>
      <c r="C9369" s="20" t="inlineStr">
        <is>
          <t>일</t>
        </is>
      </c>
      <c r="D9369" s="20" t="inlineStr">
        <is>
          <t>페이스북/인스타그램</t>
        </is>
      </c>
      <c r="E9369" s="20" t="inlineStr">
        <is>
          <t>고체향수</t>
        </is>
      </c>
      <c r="K9369" s="20" t="n">
        <v>100559</v>
      </c>
    </row>
    <row r="9370">
      <c r="A9370" s="20" t="inlineStr">
        <is>
          <t>[다현]스테이포에버_이미지</t>
        </is>
      </c>
      <c r="B9370" s="27" t="n">
        <v>44346</v>
      </c>
      <c r="C9370" s="20" t="inlineStr">
        <is>
          <t>일</t>
        </is>
      </c>
      <c r="D9370" s="20" t="inlineStr">
        <is>
          <t>페이스북/인스타그램</t>
        </is>
      </c>
      <c r="E9370" s="20" t="inlineStr">
        <is>
          <t>고체향수</t>
        </is>
      </c>
      <c r="K9370" s="20" t="n">
        <v>151120</v>
      </c>
    </row>
    <row r="9371">
      <c r="A9371" s="20" t="inlineStr">
        <is>
          <t>[후기타입]스테이포에버_영상</t>
        </is>
      </c>
      <c r="B9371" s="27" t="n">
        <v>44346</v>
      </c>
      <c r="C9371" s="20" t="inlineStr">
        <is>
          <t>일</t>
        </is>
      </c>
      <c r="D9371" s="20" t="inlineStr">
        <is>
          <t>페이스북/인스타그램</t>
        </is>
      </c>
      <c r="E9371" s="20" t="inlineStr">
        <is>
          <t>고체향수</t>
        </is>
      </c>
      <c r="K9371" s="20" t="n">
        <v>100571</v>
      </c>
    </row>
    <row r="9372">
      <c r="A9372" s="20" t="inlineStr">
        <is>
          <t>전환_스테이포에버</t>
        </is>
      </c>
      <c r="B9372" s="27" t="n">
        <v>44346</v>
      </c>
      <c r="C9372" s="20" t="inlineStr">
        <is>
          <t>일</t>
        </is>
      </c>
      <c r="D9372" s="20" t="inlineStr">
        <is>
          <t>페이스북/인스타그램</t>
        </is>
      </c>
      <c r="E9372" s="20" t="inlineStr">
        <is>
          <t>고체향수</t>
        </is>
      </c>
      <c r="K9372" s="20" t="n">
        <v>70321</v>
      </c>
    </row>
    <row r="9373">
      <c r="A9373" s="20" t="inlineStr">
        <is>
          <t>[권태기커플]스테이포에버_영상</t>
        </is>
      </c>
      <c r="B9373" s="27" t="n">
        <v>44346</v>
      </c>
      <c r="C9373" s="20" t="inlineStr">
        <is>
          <t>일</t>
        </is>
      </c>
      <c r="D9373" s="20" t="inlineStr">
        <is>
          <t>페이스북/인스타그램</t>
        </is>
      </c>
      <c r="E9373" s="20" t="inlineStr">
        <is>
          <t>고체향수</t>
        </is>
      </c>
      <c r="K9373" s="20" t="n">
        <v>30191</v>
      </c>
    </row>
    <row r="9374">
      <c r="A9374" s="20" t="inlineStr">
        <is>
          <t>웹사이트 트래픽 서치</t>
        </is>
      </c>
      <c r="B9374" s="27" t="n">
        <v>44344</v>
      </c>
      <c r="C9374" s="20" t="inlineStr">
        <is>
          <t>금</t>
        </is>
      </c>
      <c r="D9374" s="20" t="inlineStr">
        <is>
          <t>유튜브 광고</t>
        </is>
      </c>
      <c r="E9374" s="20" t="inlineStr">
        <is>
          <t>고체향수</t>
        </is>
      </c>
      <c r="K9374" s="20" t="n">
        <v>28603</v>
      </c>
    </row>
    <row r="9375">
      <c r="A9375" s="20" t="inlineStr">
        <is>
          <t>디스커버리 배너_승무원,할인_리마케팅</t>
        </is>
      </c>
      <c r="B9375" s="27" t="n">
        <v>44344</v>
      </c>
      <c r="C9375" s="20" t="inlineStr">
        <is>
          <t>금</t>
        </is>
      </c>
      <c r="D9375" s="20" t="inlineStr">
        <is>
          <t>유튜브 광고</t>
        </is>
      </c>
      <c r="E9375" s="20" t="inlineStr">
        <is>
          <t>고체향수</t>
        </is>
      </c>
      <c r="K9375" s="20" t="n">
        <v>1031018</v>
      </c>
    </row>
    <row r="9376">
      <c r="A9376" s="20" t="inlineStr">
        <is>
          <t>동영상캠페인_승무원_써니스카이</t>
        </is>
      </c>
      <c r="B9376" s="27" t="n">
        <v>44344</v>
      </c>
      <c r="C9376" s="20" t="inlineStr">
        <is>
          <t>금</t>
        </is>
      </c>
      <c r="D9376" s="20" t="inlineStr">
        <is>
          <t>유튜브 광고</t>
        </is>
      </c>
      <c r="E9376" s="20" t="inlineStr">
        <is>
          <t>고체향수</t>
        </is>
      </c>
      <c r="K9376" s="20" t="n">
        <v>100902</v>
      </c>
    </row>
    <row r="9377">
      <c r="A9377" s="20" t="inlineStr">
        <is>
          <t>[5화자] 동영상 캠페인_벨라의 비행일기</t>
        </is>
      </c>
      <c r="B9377" s="27" t="n">
        <v>44344</v>
      </c>
      <c r="C9377" s="20" t="inlineStr">
        <is>
          <t>금</t>
        </is>
      </c>
      <c r="D9377" s="20" t="inlineStr">
        <is>
          <t>유튜브 광고</t>
        </is>
      </c>
      <c r="E9377" s="20" t="inlineStr">
        <is>
          <t>고체향수</t>
        </is>
      </c>
      <c r="K9377" s="20" t="n">
        <v>501611</v>
      </c>
    </row>
    <row r="9378">
      <c r="A9378" s="20" t="inlineStr">
        <is>
          <t>[5화자] 동영상 캠페인_비행하고 여행하는 은선씨</t>
        </is>
      </c>
      <c r="B9378" s="27" t="n">
        <v>44344</v>
      </c>
      <c r="C9378" s="20" t="inlineStr">
        <is>
          <t>금</t>
        </is>
      </c>
      <c r="D9378" s="20" t="inlineStr">
        <is>
          <t>유튜브 광고</t>
        </is>
      </c>
      <c r="E9378" s="20" t="inlineStr">
        <is>
          <t>고체향수</t>
        </is>
      </c>
      <c r="K9378" s="20" t="n">
        <v>153755</v>
      </c>
    </row>
    <row r="9379">
      <c r="A9379" s="20" t="inlineStr">
        <is>
          <t>[5화자 재편집] 승무원_벨라_면세점에서 천만원</t>
        </is>
      </c>
      <c r="B9379" s="27" t="n">
        <v>44344</v>
      </c>
      <c r="C9379" s="20" t="inlineStr">
        <is>
          <t>금</t>
        </is>
      </c>
      <c r="D9379" s="20" t="inlineStr">
        <is>
          <t>유튜브 광고</t>
        </is>
      </c>
      <c r="E9379" s="20" t="inlineStr">
        <is>
          <t>고체향수</t>
        </is>
      </c>
      <c r="K9379" s="20" t="n">
        <v>201862</v>
      </c>
    </row>
    <row r="9380">
      <c r="A9380" s="20" t="inlineStr">
        <is>
          <t>동영상캠페인_유즈모먼트_면세점뒤졌는데</t>
        </is>
      </c>
      <c r="B9380" s="27" t="n">
        <v>44344</v>
      </c>
      <c r="C9380" s="20" t="inlineStr">
        <is>
          <t>금</t>
        </is>
      </c>
      <c r="D9380" s="20" t="inlineStr">
        <is>
          <t>유튜브 광고</t>
        </is>
      </c>
      <c r="E9380" s="20" t="inlineStr">
        <is>
          <t>고체향수</t>
        </is>
      </c>
      <c r="K9380" s="20" t="n">
        <v>399928</v>
      </c>
    </row>
    <row r="9381">
      <c r="A9381" s="20" t="inlineStr">
        <is>
          <t>동영상캠페인_파우치털기&amp;결혼썰</t>
        </is>
      </c>
      <c r="B9381" s="27" t="n">
        <v>44344</v>
      </c>
      <c r="C9381" s="20" t="inlineStr">
        <is>
          <t>금</t>
        </is>
      </c>
      <c r="D9381" s="20" t="inlineStr">
        <is>
          <t>유튜브 광고</t>
        </is>
      </c>
      <c r="E9381" s="20" t="inlineStr">
        <is>
          <t>고체향수</t>
        </is>
      </c>
      <c r="K9381" s="20" t="n">
        <v>50567</v>
      </c>
    </row>
    <row r="9382">
      <c r="A9382" s="20" t="inlineStr">
        <is>
          <t>웹사이트 트래픽 서치</t>
        </is>
      </c>
      <c r="B9382" s="27" t="n">
        <v>44345</v>
      </c>
      <c r="C9382" s="20" t="inlineStr">
        <is>
          <t>토</t>
        </is>
      </c>
      <c r="D9382" s="20" t="inlineStr">
        <is>
          <t>유튜브 광고</t>
        </is>
      </c>
      <c r="E9382" s="20" t="inlineStr">
        <is>
          <t>고체향수</t>
        </is>
      </c>
      <c r="K9382" s="20" t="n">
        <v>31556</v>
      </c>
    </row>
    <row r="9383">
      <c r="A9383" s="20" t="inlineStr">
        <is>
          <t>디스커버리 배너_승무원,할인_리마케팅</t>
        </is>
      </c>
      <c r="B9383" s="27" t="n">
        <v>44345</v>
      </c>
      <c r="C9383" s="20" t="inlineStr">
        <is>
          <t>토</t>
        </is>
      </c>
      <c r="D9383" s="20" t="inlineStr">
        <is>
          <t>유튜브 광고</t>
        </is>
      </c>
      <c r="E9383" s="20" t="inlineStr">
        <is>
          <t>고체향수</t>
        </is>
      </c>
      <c r="K9383" s="20" t="n">
        <v>1059233</v>
      </c>
    </row>
    <row r="9384">
      <c r="A9384" s="20" t="inlineStr">
        <is>
          <t>동영상캠페인_승무원_써니스카이</t>
        </is>
      </c>
      <c r="B9384" s="27" t="n">
        <v>44345</v>
      </c>
      <c r="C9384" s="20" t="inlineStr">
        <is>
          <t>토</t>
        </is>
      </c>
      <c r="D9384" s="20" t="inlineStr">
        <is>
          <t>유튜브 광고</t>
        </is>
      </c>
      <c r="E9384" s="20" t="inlineStr">
        <is>
          <t>고체향수</t>
        </is>
      </c>
      <c r="K9384" s="20" t="n">
        <v>99574</v>
      </c>
    </row>
    <row r="9385">
      <c r="A9385" s="20" t="inlineStr">
        <is>
          <t>[5화자] 동영상 캠페인_벨라의 비행일기</t>
        </is>
      </c>
      <c r="B9385" s="27" t="n">
        <v>44345</v>
      </c>
      <c r="C9385" s="20" t="inlineStr">
        <is>
          <t>토</t>
        </is>
      </c>
      <c r="D9385" s="20" t="inlineStr">
        <is>
          <t>유튜브 광고</t>
        </is>
      </c>
      <c r="E9385" s="20" t="inlineStr">
        <is>
          <t>고체향수</t>
        </is>
      </c>
      <c r="K9385" s="20" t="n">
        <v>495175</v>
      </c>
    </row>
    <row r="9386">
      <c r="A9386" s="20" t="inlineStr">
        <is>
          <t>[5화자] 동영상 캠페인_비행하고 여행하는 은선씨</t>
        </is>
      </c>
      <c r="B9386" s="27" t="n">
        <v>44345</v>
      </c>
      <c r="C9386" s="20" t="inlineStr">
        <is>
          <t>토</t>
        </is>
      </c>
      <c r="D9386" s="20" t="inlineStr">
        <is>
          <t>유튜브 광고</t>
        </is>
      </c>
      <c r="E9386" s="20" t="inlineStr">
        <is>
          <t>고체향수</t>
        </is>
      </c>
      <c r="K9386" s="20" t="n">
        <v>149487</v>
      </c>
    </row>
    <row r="9387">
      <c r="A9387" s="20" t="inlineStr">
        <is>
          <t>[5화자 재편집] 승무원_벨라_면세점에서 천만원</t>
        </is>
      </c>
      <c r="B9387" s="27" t="n">
        <v>44345</v>
      </c>
      <c r="C9387" s="20" t="inlineStr">
        <is>
          <t>토</t>
        </is>
      </c>
      <c r="D9387" s="20" t="inlineStr">
        <is>
          <t>유튜브 광고</t>
        </is>
      </c>
      <c r="E9387" s="20" t="inlineStr">
        <is>
          <t>고체향수</t>
        </is>
      </c>
      <c r="K9387" s="20" t="n">
        <v>199207</v>
      </c>
    </row>
    <row r="9388">
      <c r="A9388" s="20" t="inlineStr">
        <is>
          <t>동영상캠페인_유즈모먼트_면세점뒤졌는데</t>
        </is>
      </c>
      <c r="B9388" s="27" t="n">
        <v>44345</v>
      </c>
      <c r="C9388" s="20" t="inlineStr">
        <is>
          <t>토</t>
        </is>
      </c>
      <c r="D9388" s="20" t="inlineStr">
        <is>
          <t>유튜브 광고</t>
        </is>
      </c>
      <c r="E9388" s="20" t="inlineStr">
        <is>
          <t>고체향수</t>
        </is>
      </c>
      <c r="K9388" s="20" t="n">
        <v>395117</v>
      </c>
    </row>
    <row r="9389">
      <c r="A9389" s="20" t="inlineStr">
        <is>
          <t>동영상캠페인_파우치털기&amp;결혼썰</t>
        </is>
      </c>
      <c r="B9389" s="27" t="n">
        <v>44345</v>
      </c>
      <c r="C9389" s="20" t="inlineStr">
        <is>
          <t>토</t>
        </is>
      </c>
      <c r="D9389" s="20" t="inlineStr">
        <is>
          <t>유튜브 광고</t>
        </is>
      </c>
      <c r="E9389" s="20" t="inlineStr">
        <is>
          <t>고체향수</t>
        </is>
      </c>
      <c r="K9389" s="20" t="n">
        <v>49904</v>
      </c>
    </row>
    <row r="9390">
      <c r="A9390" s="20" t="inlineStr">
        <is>
          <t>웹사이트 트래픽 서치</t>
        </is>
      </c>
      <c r="B9390" s="27" t="n">
        <v>44346</v>
      </c>
      <c r="C9390" s="20" t="inlineStr">
        <is>
          <t>일</t>
        </is>
      </c>
      <c r="D9390" s="20" t="inlineStr">
        <is>
          <t>유튜브 광고</t>
        </is>
      </c>
      <c r="E9390" s="20" t="inlineStr">
        <is>
          <t>고체향수</t>
        </is>
      </c>
      <c r="K9390" s="20" t="n">
        <v>30598</v>
      </c>
    </row>
    <row r="9391">
      <c r="A9391" s="20" t="inlineStr">
        <is>
          <t>디스커버리 배너_승무원,할인_리마케팅</t>
        </is>
      </c>
      <c r="B9391" s="27" t="n">
        <v>44346</v>
      </c>
      <c r="C9391" s="20" t="inlineStr">
        <is>
          <t>일</t>
        </is>
      </c>
      <c r="D9391" s="20" t="inlineStr">
        <is>
          <t>유튜브 광고</t>
        </is>
      </c>
      <c r="E9391" s="20" t="inlineStr">
        <is>
          <t>고체향수</t>
        </is>
      </c>
      <c r="K9391" s="20" t="n">
        <v>1015934</v>
      </c>
    </row>
    <row r="9392">
      <c r="A9392" s="20" t="inlineStr">
        <is>
          <t>동영상캠페인_승무원_써니스카이</t>
        </is>
      </c>
      <c r="B9392" s="27" t="n">
        <v>44346</v>
      </c>
      <c r="C9392" s="20" t="inlineStr">
        <is>
          <t>일</t>
        </is>
      </c>
      <c r="D9392" s="20" t="inlineStr">
        <is>
          <t>유튜브 광고</t>
        </is>
      </c>
      <c r="E9392" s="20" t="inlineStr">
        <is>
          <t>고체향수</t>
        </is>
      </c>
      <c r="K9392" s="20" t="n">
        <v>100076</v>
      </c>
    </row>
    <row r="9393">
      <c r="A9393" s="20" t="inlineStr">
        <is>
          <t>[5화자] 동영상 캠페인_벨라의 비행일기</t>
        </is>
      </c>
      <c r="B9393" s="27" t="n">
        <v>44346</v>
      </c>
      <c r="C9393" s="20" t="inlineStr">
        <is>
          <t>일</t>
        </is>
      </c>
      <c r="D9393" s="20" t="inlineStr">
        <is>
          <t>유튜브 광고</t>
        </is>
      </c>
      <c r="E9393" s="20" t="inlineStr">
        <is>
          <t>고체향수</t>
        </is>
      </c>
      <c r="K9393" s="20" t="n">
        <v>495768</v>
      </c>
    </row>
    <row r="9394">
      <c r="A9394" s="20" t="inlineStr">
        <is>
          <t>[5화자] 동영상 캠페인_비행하고 여행하는 은선씨</t>
        </is>
      </c>
      <c r="B9394" s="27" t="n">
        <v>44346</v>
      </c>
      <c r="C9394" s="20" t="inlineStr">
        <is>
          <t>일</t>
        </is>
      </c>
      <c r="D9394" s="20" t="inlineStr">
        <is>
          <t>유튜브 광고</t>
        </is>
      </c>
      <c r="E9394" s="20" t="inlineStr">
        <is>
          <t>고체향수</t>
        </is>
      </c>
      <c r="K9394" s="20" t="n">
        <v>149675</v>
      </c>
    </row>
    <row r="9395">
      <c r="A9395" s="20" t="inlineStr">
        <is>
          <t>[5화자 재편집] 승무원_벨라_면세점에서 천만원</t>
        </is>
      </c>
      <c r="B9395" s="27" t="n">
        <v>44346</v>
      </c>
      <c r="C9395" s="20" t="inlineStr">
        <is>
          <t>일</t>
        </is>
      </c>
      <c r="D9395" s="20" t="inlineStr">
        <is>
          <t>유튜브 광고</t>
        </is>
      </c>
      <c r="E9395" s="20" t="inlineStr">
        <is>
          <t>고체향수</t>
        </is>
      </c>
      <c r="K9395" s="20" t="n">
        <v>199559</v>
      </c>
    </row>
    <row r="9396">
      <c r="A9396" s="20" t="inlineStr">
        <is>
          <t>동영상캠페인_유즈모먼트_면세점뒤졌는데</t>
        </is>
      </c>
      <c r="B9396" s="27" t="n">
        <v>44346</v>
      </c>
      <c r="C9396" s="20" t="inlineStr">
        <is>
          <t>일</t>
        </is>
      </c>
      <c r="D9396" s="20" t="inlineStr">
        <is>
          <t>유튜브 광고</t>
        </is>
      </c>
      <c r="E9396" s="20" t="inlineStr">
        <is>
          <t>고체향수</t>
        </is>
      </c>
      <c r="K9396" s="20" t="n">
        <v>394650</v>
      </c>
    </row>
    <row r="9397">
      <c r="A9397" s="20" t="inlineStr">
        <is>
          <t>동영상캠페인_파우치털기&amp;결혼썰</t>
        </is>
      </c>
      <c r="B9397" s="27" t="n">
        <v>44346</v>
      </c>
      <c r="C9397" s="20" t="inlineStr">
        <is>
          <t>일</t>
        </is>
      </c>
      <c r="D9397" s="20" t="inlineStr">
        <is>
          <t>유튜브 광고</t>
        </is>
      </c>
      <c r="E9397" s="20" t="inlineStr">
        <is>
          <t>고체향수</t>
        </is>
      </c>
      <c r="K9397" s="20" t="n">
        <v>49822</v>
      </c>
    </row>
    <row r="9398">
      <c r="A9398" s="20" t="inlineStr">
        <is>
          <t>메인키워드</t>
        </is>
      </c>
      <c r="B9398" s="27" t="n">
        <v>44346</v>
      </c>
      <c r="C9398" s="20" t="inlineStr">
        <is>
          <t>일</t>
        </is>
      </c>
      <c r="D9398" s="20" t="inlineStr">
        <is>
          <t>네이버 쇼핑검색</t>
        </is>
      </c>
      <c r="E9398" s="20" t="inlineStr">
        <is>
          <t>고체향수</t>
        </is>
      </c>
      <c r="K9398" s="20" t="n">
        <v>12450</v>
      </c>
    </row>
    <row r="9399">
      <c r="A9399" s="20" t="inlineStr">
        <is>
          <t>세부키워드1</t>
        </is>
      </c>
      <c r="B9399" s="27" t="n">
        <v>44346</v>
      </c>
      <c r="C9399" s="20" t="inlineStr">
        <is>
          <t>일</t>
        </is>
      </c>
      <c r="D9399" s="20" t="inlineStr">
        <is>
          <t>네이버 쇼핑검색</t>
        </is>
      </c>
      <c r="E9399" s="20" t="inlineStr">
        <is>
          <t>고체향수</t>
        </is>
      </c>
      <c r="K9399" s="20" t="n">
        <v>749.9999999999999</v>
      </c>
    </row>
    <row r="9400">
      <c r="A9400" s="20" t="inlineStr">
        <is>
          <t>세부키워드3</t>
        </is>
      </c>
      <c r="B9400" s="27" t="n">
        <v>44346</v>
      </c>
      <c r="C9400" s="20" t="inlineStr">
        <is>
          <t>일</t>
        </is>
      </c>
      <c r="D9400" s="20" t="inlineStr">
        <is>
          <t>네이버 쇼핑검색</t>
        </is>
      </c>
      <c r="E9400" s="20" t="inlineStr">
        <is>
          <t>고체향수</t>
        </is>
      </c>
      <c r="K9400" s="20" t="n">
        <v>104330</v>
      </c>
    </row>
    <row r="9401">
      <c r="A9401" s="20" t="inlineStr">
        <is>
          <t>모바일 브검</t>
        </is>
      </c>
      <c r="B9401" s="27" t="n">
        <v>44346</v>
      </c>
      <c r="C9401" s="20" t="inlineStr">
        <is>
          <t>일</t>
        </is>
      </c>
      <c r="D9401" s="20" t="inlineStr">
        <is>
          <t>네이버 브랜드검색</t>
        </is>
      </c>
      <c r="E9401" s="20" t="inlineStr">
        <is>
          <t>브랜드</t>
        </is>
      </c>
      <c r="K9401" s="20" t="n">
        <v>88000</v>
      </c>
    </row>
    <row r="9402">
      <c r="A9402" s="20" t="inlineStr">
        <is>
          <t>PC 브랜드검색</t>
        </is>
      </c>
      <c r="B9402" s="27" t="n">
        <v>44346</v>
      </c>
      <c r="C9402" s="20" t="inlineStr">
        <is>
          <t>일</t>
        </is>
      </c>
      <c r="D9402" s="20" t="inlineStr">
        <is>
          <t>네이버 브랜드검색</t>
        </is>
      </c>
      <c r="E9402" s="20" t="inlineStr">
        <is>
          <t>브랜드</t>
        </is>
      </c>
      <c r="K9402" s="20" t="n">
        <v>16700</v>
      </c>
    </row>
    <row r="9403">
      <c r="A9403" s="20" t="inlineStr">
        <is>
          <t>메인키워드</t>
        </is>
      </c>
      <c r="B9403" s="27" t="n">
        <v>44345</v>
      </c>
      <c r="C9403" s="20" t="inlineStr">
        <is>
          <t>토</t>
        </is>
      </c>
      <c r="D9403" s="20" t="inlineStr">
        <is>
          <t>네이버 쇼핑검색</t>
        </is>
      </c>
      <c r="E9403" s="20" t="inlineStr">
        <is>
          <t>고체향수</t>
        </is>
      </c>
      <c r="K9403" s="20" t="n">
        <v>13780</v>
      </c>
    </row>
    <row r="9404">
      <c r="A9404" s="20" t="inlineStr">
        <is>
          <t>세부키워드1</t>
        </is>
      </c>
      <c r="B9404" s="27" t="n">
        <v>44345</v>
      </c>
      <c r="C9404" s="20" t="inlineStr">
        <is>
          <t>토</t>
        </is>
      </c>
      <c r="D9404" s="20" t="inlineStr">
        <is>
          <t>네이버 쇼핑검색</t>
        </is>
      </c>
      <c r="E9404" s="20" t="inlineStr">
        <is>
          <t>고체향수</t>
        </is>
      </c>
      <c r="K9404" s="20" t="n">
        <v>300</v>
      </c>
    </row>
    <row r="9405">
      <c r="A9405" s="20" t="inlineStr">
        <is>
          <t>세부키워드3</t>
        </is>
      </c>
      <c r="B9405" s="27" t="n">
        <v>44345</v>
      </c>
      <c r="C9405" s="20" t="inlineStr">
        <is>
          <t>토</t>
        </is>
      </c>
      <c r="D9405" s="20" t="inlineStr">
        <is>
          <t>네이버 쇼핑검색</t>
        </is>
      </c>
      <c r="E9405" s="20" t="inlineStr">
        <is>
          <t>고체향수</t>
        </is>
      </c>
      <c r="K9405" s="20" t="n">
        <v>124810</v>
      </c>
    </row>
    <row r="9406">
      <c r="A9406" s="20" t="inlineStr">
        <is>
          <t>모바일 브검</t>
        </is>
      </c>
      <c r="B9406" s="27" t="n">
        <v>44345</v>
      </c>
      <c r="C9406" s="20" t="inlineStr">
        <is>
          <t>토</t>
        </is>
      </c>
      <c r="D9406" s="20" t="inlineStr">
        <is>
          <t>네이버 브랜드검색</t>
        </is>
      </c>
      <c r="E9406" s="20" t="inlineStr">
        <is>
          <t>브랜드</t>
        </is>
      </c>
      <c r="K9406" s="20" t="n">
        <v>88000</v>
      </c>
    </row>
    <row r="9407">
      <c r="A9407" s="20" t="inlineStr">
        <is>
          <t>PC 브랜드검색</t>
        </is>
      </c>
      <c r="B9407" s="27" t="n">
        <v>44345</v>
      </c>
      <c r="C9407" s="20" t="inlineStr">
        <is>
          <t>토</t>
        </is>
      </c>
      <c r="D9407" s="20" t="inlineStr">
        <is>
          <t>네이버 브랜드검색</t>
        </is>
      </c>
      <c r="E9407" s="20" t="inlineStr">
        <is>
          <t>브랜드</t>
        </is>
      </c>
      <c r="K9407" s="20" t="n">
        <v>16700</v>
      </c>
    </row>
    <row r="9408">
      <c r="A9408" s="20" t="inlineStr">
        <is>
          <t>메인키워드</t>
        </is>
      </c>
      <c r="B9408" s="27" t="n">
        <v>44344</v>
      </c>
      <c r="C9408" s="20" t="inlineStr">
        <is>
          <t>금</t>
        </is>
      </c>
      <c r="D9408" s="20" t="inlineStr">
        <is>
          <t>네이버 쇼핑검색</t>
        </is>
      </c>
      <c r="E9408" s="20" t="inlineStr">
        <is>
          <t>고체향수</t>
        </is>
      </c>
      <c r="K9408" s="20" t="n">
        <v>14230</v>
      </c>
    </row>
    <row r="9409">
      <c r="A9409" s="20" t="inlineStr">
        <is>
          <t>세부키워드1</t>
        </is>
      </c>
      <c r="B9409" s="27" t="n">
        <v>44344</v>
      </c>
      <c r="C9409" s="20" t="inlineStr">
        <is>
          <t>금</t>
        </is>
      </c>
      <c r="D9409" s="20" t="inlineStr">
        <is>
          <t>네이버 쇼핑검색</t>
        </is>
      </c>
      <c r="E9409" s="20" t="inlineStr">
        <is>
          <t>고체향수</t>
        </is>
      </c>
      <c r="K9409" s="20" t="n">
        <v>250</v>
      </c>
    </row>
    <row r="9410">
      <c r="A9410" s="20" t="inlineStr">
        <is>
          <t>세부키워드3</t>
        </is>
      </c>
      <c r="B9410" s="27" t="n">
        <v>44344</v>
      </c>
      <c r="C9410" s="20" t="inlineStr">
        <is>
          <t>금</t>
        </is>
      </c>
      <c r="D9410" s="20" t="inlineStr">
        <is>
          <t>네이버 쇼핑검색</t>
        </is>
      </c>
      <c r="E9410" s="20" t="inlineStr">
        <is>
          <t>고체향수</t>
        </is>
      </c>
      <c r="K9410" s="20" t="n">
        <v>104950</v>
      </c>
    </row>
    <row r="9411">
      <c r="A9411" s="20" t="inlineStr">
        <is>
          <t>모바일 브검</t>
        </is>
      </c>
      <c r="B9411" s="27" t="n">
        <v>44344</v>
      </c>
      <c r="C9411" s="20" t="inlineStr">
        <is>
          <t>금</t>
        </is>
      </c>
      <c r="D9411" s="20" t="inlineStr">
        <is>
          <t>네이버 브랜드검색</t>
        </is>
      </c>
      <c r="E9411" s="20" t="inlineStr">
        <is>
          <t>브랜드</t>
        </is>
      </c>
      <c r="K9411" s="20" t="n">
        <v>88000</v>
      </c>
    </row>
    <row r="9412">
      <c r="A9412" s="20" t="inlineStr">
        <is>
          <t>PC 브랜드검색</t>
        </is>
      </c>
      <c r="B9412" s="27" t="n">
        <v>44344</v>
      </c>
      <c r="C9412" s="20" t="inlineStr">
        <is>
          <t>금</t>
        </is>
      </c>
      <c r="D9412" s="20" t="inlineStr">
        <is>
          <t>네이버 브랜드검색</t>
        </is>
      </c>
      <c r="E9412" s="20" t="inlineStr">
        <is>
          <t>브랜드</t>
        </is>
      </c>
      <c r="K9412" s="20" t="n">
        <v>16700</v>
      </c>
    </row>
    <row r="9413">
      <c r="B9413" s="27" t="n">
        <v>44344</v>
      </c>
      <c r="C9413" s="20" t="inlineStr">
        <is>
          <t>금</t>
        </is>
      </c>
      <c r="E9413" s="20" t="inlineStr">
        <is>
          <t>고체향수</t>
        </is>
      </c>
      <c r="F9413" s="20" t="inlineStr">
        <is>
          <t>W컨셉</t>
        </is>
      </c>
      <c r="G9413" s="20" t="inlineStr">
        <is>
          <t>솔리드퍼퓸 이그나이트/스테이포에버 30ml (2종 택1)&lt;옵션1&gt;002 STAY FOREVER</t>
        </is>
      </c>
      <c r="H9413" s="20" t="n">
        <v>8</v>
      </c>
      <c r="I9413" s="20" t="inlineStr">
        <is>
          <t>스테이포에버</t>
        </is>
      </c>
      <c r="J9413" s="20" t="inlineStr">
        <is>
          <t>210501</t>
        </is>
      </c>
      <c r="L9413" s="20" t="n">
        <v>272000</v>
      </c>
      <c r="M9413" s="20" t="n">
        <v>190400</v>
      </c>
      <c r="N9413" s="20" t="n">
        <v>20432</v>
      </c>
      <c r="O9413" s="20" t="inlineStr">
        <is>
          <t>W컨셉고체향수솔리드퍼퓸 이그나이트/스테이포에버 30ml (2종 택1)&lt;옵션1&gt;002 STAY FOREVER210501</t>
        </is>
      </c>
    </row>
    <row r="9414">
      <c r="B9414" s="27" t="n">
        <v>44344</v>
      </c>
      <c r="C9414" s="20" t="inlineStr">
        <is>
          <t>금</t>
        </is>
      </c>
      <c r="E9414" s="20" t="inlineStr">
        <is>
          <t>고체향수</t>
        </is>
      </c>
      <c r="F9414" s="20" t="inlineStr">
        <is>
          <t>스마트스토어</t>
        </is>
      </c>
      <c r="G9414" s="20" t="inlineStr">
        <is>
          <t>유즈 고체향수 세트(유즈 스테이포에버, 유즈 이그나이트)고체향수: 스테이포에버 1개 + 이그나이트 1개</t>
        </is>
      </c>
      <c r="H9414" s="20" t="n">
        <v>2</v>
      </c>
      <c r="I9414" s="20" t="inlineStr">
        <is>
          <t>이그나이트 + 스테이포에버</t>
        </is>
      </c>
      <c r="J9414" s="20" t="inlineStr">
        <is>
          <t>210501</t>
        </is>
      </c>
      <c r="L9414" s="20" t="n">
        <v>117600</v>
      </c>
      <c r="M9414" s="20" t="n">
        <v>110720.4</v>
      </c>
      <c r="N9414" s="20" t="n">
        <v>10358</v>
      </c>
      <c r="O9414" s="20" t="inlineStr">
        <is>
          <t>스마트스토어고체향수유즈 고체향수 세트(유즈 스테이포에버, 유즈 이그나이트)고체향수: 스테이포에버 1개 + 이그나이트 1개210501</t>
        </is>
      </c>
    </row>
    <row r="9415">
      <c r="B9415" s="27" t="n">
        <v>44344</v>
      </c>
      <c r="C9415" s="20" t="inlineStr">
        <is>
          <t>금</t>
        </is>
      </c>
      <c r="E9415" s="20" t="inlineStr">
        <is>
          <t>고체향수</t>
        </is>
      </c>
      <c r="F9415" s="20" t="inlineStr">
        <is>
          <t>스마트스토어</t>
        </is>
      </c>
      <c r="G9415" s="20" t="inlineStr">
        <is>
          <t>유즈 고체향수 스테이포에버 002고체향수: 스테이포에버 1개</t>
        </is>
      </c>
      <c r="H9415" s="20" t="n">
        <v>6</v>
      </c>
      <c r="I9415" s="20" t="inlineStr">
        <is>
          <t>스테이포에버</t>
        </is>
      </c>
      <c r="J9415" s="20" t="inlineStr">
        <is>
          <t>210501</t>
        </is>
      </c>
      <c r="L9415" s="20" t="n">
        <v>204000</v>
      </c>
      <c r="M9415" s="20" t="n">
        <v>199920</v>
      </c>
      <c r="N9415" s="20" t="n">
        <v>15324</v>
      </c>
      <c r="O9415" s="20" t="inlineStr">
        <is>
          <t>스마트스토어고체향수유즈 고체향수 스테이포에버 002고체향수: 스테이포에버 1개210501</t>
        </is>
      </c>
    </row>
    <row r="9416">
      <c r="B9416" s="27" t="n">
        <v>44344</v>
      </c>
      <c r="C9416" s="20" t="inlineStr">
        <is>
          <t>금</t>
        </is>
      </c>
      <c r="E9416" s="20" t="inlineStr">
        <is>
          <t>고체향수</t>
        </is>
      </c>
      <c r="F9416" s="20" t="inlineStr">
        <is>
          <t>카페24</t>
        </is>
      </c>
      <c r="G9416" s="20" t="inlineStr">
        <is>
          <t>솔리드퍼퓸 세트향=스테이포에버 002 SOLID PERFUME, 수량 선택=1개</t>
        </is>
      </c>
      <c r="H9416" s="20" t="n">
        <v>1</v>
      </c>
      <c r="I9416" s="20" t="inlineStr">
        <is>
          <t>스테이포에버</t>
        </is>
      </c>
      <c r="J9416" s="20" t="inlineStr">
        <is>
          <t>210501</t>
        </is>
      </c>
      <c r="L9416" s="20" t="n">
        <v>34000</v>
      </c>
      <c r="M9416" s="20" t="n">
        <v>32011</v>
      </c>
      <c r="N9416" s="20" t="n">
        <v>2554</v>
      </c>
      <c r="O9416" s="20" t="inlineStr">
        <is>
          <t>카페24고체향수솔리드퍼퓸 세트향=스테이포에버 002 SOLID PERFUME, 수량 선택=1개210501</t>
        </is>
      </c>
    </row>
    <row r="9417">
      <c r="B9417" s="27" t="n">
        <v>44344</v>
      </c>
      <c r="C9417" s="20" t="inlineStr">
        <is>
          <t>금</t>
        </is>
      </c>
      <c r="E9417" s="20" t="inlineStr">
        <is>
          <t>고체향수</t>
        </is>
      </c>
      <c r="F9417" s="20" t="inlineStr">
        <is>
          <t>카페24</t>
        </is>
      </c>
      <c r="G9417" s="20" t="inlineStr">
        <is>
          <t>솔리드퍼퓸 세트향=스테이포에버 002 SOLID PERFUME, 수량 선택=best 2개 (28% 할인)</t>
        </is>
      </c>
      <c r="H9417" s="20" t="n">
        <v>2</v>
      </c>
      <c r="I9417" s="20" t="inlineStr">
        <is>
          <t>스테이포에버 2set</t>
        </is>
      </c>
      <c r="J9417" s="20" t="inlineStr">
        <is>
          <t>210501</t>
        </is>
      </c>
      <c r="L9417" s="20" t="n">
        <v>117600</v>
      </c>
      <c r="M9417" s="20" t="n">
        <v>110720.4</v>
      </c>
      <c r="N9417" s="20" t="n">
        <v>10216</v>
      </c>
      <c r="O9417" s="20" t="inlineStr">
        <is>
          <t>카페24고체향수솔리드퍼퓸 세트향=스테이포에버 002 SOLID PERFUME, 수량 선택=best 2개 (28% 할인)210501</t>
        </is>
      </c>
    </row>
    <row r="9418">
      <c r="B9418" s="27" t="n">
        <v>44344</v>
      </c>
      <c r="C9418" s="20" t="inlineStr">
        <is>
          <t>금</t>
        </is>
      </c>
      <c r="E9418" s="20" t="inlineStr">
        <is>
          <t>고체향수</t>
        </is>
      </c>
      <c r="F9418" s="20" t="inlineStr">
        <is>
          <t>카페24</t>
        </is>
      </c>
      <c r="G9418" s="20" t="inlineStr">
        <is>
          <t>솔리드퍼퓸 세트향=스테이포에버 + 이그나이트 커플세트(기프트 박스), 수량 선택=1 SET (28% OFF)</t>
        </is>
      </c>
      <c r="H9418" s="20" t="n">
        <v>9</v>
      </c>
      <c r="I9418" s="20" t="inlineStr">
        <is>
          <t>이그나이트 + 스테이포에버(기프트 박스)</t>
        </is>
      </c>
      <c r="J9418" s="20" t="inlineStr">
        <is>
          <t>210501</t>
        </is>
      </c>
      <c r="L9418" s="20" t="n">
        <v>502200</v>
      </c>
      <c r="M9418" s="20" t="n">
        <v>472821.3</v>
      </c>
      <c r="N9418" s="20" t="n">
        <v>57159</v>
      </c>
      <c r="O9418" s="20" t="inlineStr">
        <is>
          <t>카페24고체향수솔리드퍼퓸 세트향=스테이포에버 + 이그나이트 커플세트(기프트 박스), 수량 선택=1 SET (28% OFF)210501</t>
        </is>
      </c>
    </row>
    <row r="9419">
      <c r="B9419" s="27" t="n">
        <v>44344</v>
      </c>
      <c r="C9419" s="20" t="inlineStr">
        <is>
          <t>금</t>
        </is>
      </c>
      <c r="E9419" s="20" t="inlineStr">
        <is>
          <t>고체향수</t>
        </is>
      </c>
      <c r="F9419" s="20" t="inlineStr">
        <is>
          <t>카페24</t>
        </is>
      </c>
      <c r="G9419" s="20" t="inlineStr">
        <is>
          <t>솔리드퍼퓸 스테이포에버 002제품선택=스테이포에버 1개</t>
        </is>
      </c>
      <c r="H9419" s="20" t="n">
        <v>155</v>
      </c>
      <c r="I9419" s="20" t="inlineStr">
        <is>
          <t>스테이포에버</t>
        </is>
      </c>
      <c r="J9419" s="20" t="inlineStr">
        <is>
          <t>210501</t>
        </is>
      </c>
      <c r="L9419" s="20" t="n">
        <v>5270000</v>
      </c>
      <c r="M9419" s="20" t="n">
        <v>4961705</v>
      </c>
      <c r="N9419" s="20" t="n">
        <v>395870</v>
      </c>
      <c r="O9419" s="20" t="inlineStr">
        <is>
          <t>카페24고체향수솔리드퍼퓸 스테이포에버 002제품선택=스테이포에버 1개210501</t>
        </is>
      </c>
    </row>
    <row r="9420">
      <c r="B9420" s="27" t="n">
        <v>44344</v>
      </c>
      <c r="C9420" s="20" t="inlineStr">
        <is>
          <t>금</t>
        </is>
      </c>
      <c r="E9420" s="20" t="inlineStr">
        <is>
          <t>고체향수</t>
        </is>
      </c>
      <c r="F9420" s="20" t="inlineStr">
        <is>
          <t>카페24</t>
        </is>
      </c>
      <c r="G9420" s="20" t="inlineStr">
        <is>
          <t>솔리드퍼퓸 스테이포에버 002제품선택=best스테이포에버 2개[28% 할인]</t>
        </is>
      </c>
      <c r="H9420" s="20" t="n">
        <v>116</v>
      </c>
      <c r="I9420" s="20" t="inlineStr">
        <is>
          <t>스테이포에버 2set</t>
        </is>
      </c>
      <c r="J9420" s="20" t="inlineStr">
        <is>
          <t>210501</t>
        </is>
      </c>
      <c r="L9420" s="20" t="n">
        <v>6820800</v>
      </c>
      <c r="M9420" s="20" t="n">
        <v>6421783.199999999</v>
      </c>
      <c r="N9420" s="20" t="n">
        <v>592528</v>
      </c>
      <c r="O9420" s="20" t="inlineStr">
        <is>
          <t>카페24고체향수솔리드퍼퓸 스테이포에버 002제품선택=best스테이포에버 2개[28% 할인]210501</t>
        </is>
      </c>
    </row>
    <row r="9421">
      <c r="B9421" s="27" t="n">
        <v>44344</v>
      </c>
      <c r="C9421" s="20" t="inlineStr">
        <is>
          <t>금</t>
        </is>
      </c>
      <c r="E9421" s="20" t="inlineStr">
        <is>
          <t>고체향수</t>
        </is>
      </c>
      <c r="F9421" s="20" t="inlineStr">
        <is>
          <t>카페24</t>
        </is>
      </c>
      <c r="G9421" s="20" t="inlineStr">
        <is>
          <t>솔리드퍼퓸 스테이포에버 002제품선택=커플추천스테이포에버 + 이그나이트 세트</t>
        </is>
      </c>
      <c r="H9421" s="20" t="n">
        <v>15</v>
      </c>
      <c r="I9421" s="20" t="inlineStr">
        <is>
          <t>이그나이트 + 스테이포에버</t>
        </is>
      </c>
      <c r="J9421" s="20" t="inlineStr">
        <is>
          <t>210501</t>
        </is>
      </c>
      <c r="L9421" s="20" t="n">
        <v>882000</v>
      </c>
      <c r="M9421" s="20" t="n">
        <v>830403</v>
      </c>
      <c r="N9421" s="20" t="n">
        <v>77685</v>
      </c>
      <c r="O9421" s="20" t="inlineStr">
        <is>
          <t>카페24고체향수솔리드퍼퓸 스테이포에버 002제품선택=커플추천스테이포에버 + 이그나이트 세트210501</t>
        </is>
      </c>
    </row>
    <row r="9422">
      <c r="B9422" s="27" t="n">
        <v>44344</v>
      </c>
      <c r="C9422" s="20" t="inlineStr">
        <is>
          <t>금</t>
        </is>
      </c>
      <c r="E9422" s="20" t="inlineStr">
        <is>
          <t>쇼핑백</t>
        </is>
      </c>
      <c r="F9422" s="20" t="inlineStr">
        <is>
          <t>카페24</t>
        </is>
      </c>
      <c r="G9422" s="20" t="inlineStr">
        <is>
          <t>솔리드퍼퓸 스테이포에버 002쇼핑백=선물용 쇼핑백</t>
        </is>
      </c>
      <c r="H9422" s="20" t="n">
        <v>7</v>
      </c>
      <c r="I9422" s="20" t="inlineStr">
        <is>
          <t>쇼핑백</t>
        </is>
      </c>
      <c r="J9422" s="20" t="inlineStr">
        <is>
          <t>210501</t>
        </is>
      </c>
      <c r="L9422" s="20" t="n">
        <v>14000</v>
      </c>
      <c r="M9422" s="20" t="n">
        <v>13181</v>
      </c>
      <c r="N9422" s="20" t="n">
        <v>5810</v>
      </c>
      <c r="O9422" s="20" t="inlineStr">
        <is>
          <t>카페24쇼핑백솔리드퍼퓸 스테이포에버 002쇼핑백=선물용 쇼핑백210501</t>
        </is>
      </c>
    </row>
    <row r="9423">
      <c r="B9423" s="27" t="n">
        <v>44344</v>
      </c>
      <c r="C9423" s="20" t="inlineStr">
        <is>
          <t>금</t>
        </is>
      </c>
      <c r="E9423" s="20" t="inlineStr">
        <is>
          <t>고체향수</t>
        </is>
      </c>
      <c r="F9423" s="20" t="inlineStr">
        <is>
          <t>카페24</t>
        </is>
      </c>
      <c r="G9423" s="20" t="inlineStr">
        <is>
          <t>솔리드퍼퓸 이그나이트 001제품선택=이그나이트 솔리드퍼퓸 - 30ml</t>
        </is>
      </c>
      <c r="H9423" s="20" t="n">
        <v>5</v>
      </c>
      <c r="I9423" s="20" t="inlineStr">
        <is>
          <t>이그나이트</t>
        </is>
      </c>
      <c r="J9423" s="20" t="inlineStr">
        <is>
          <t>210501</t>
        </is>
      </c>
      <c r="L9423" s="20" t="n">
        <v>170000</v>
      </c>
      <c r="M9423" s="20" t="n">
        <v>160055</v>
      </c>
      <c r="N9423" s="20" t="n">
        <v>13125</v>
      </c>
      <c r="O9423" s="20" t="inlineStr">
        <is>
          <t>카페24고체향수솔리드퍼퓸 이그나이트 001제품선택=이그나이트 솔리드퍼퓸 - 30ml210501</t>
        </is>
      </c>
    </row>
    <row r="9424">
      <c r="B9424" s="27" t="n">
        <v>44344</v>
      </c>
      <c r="C9424" s="20" t="inlineStr">
        <is>
          <t>금</t>
        </is>
      </c>
      <c r="E9424" s="20" t="inlineStr">
        <is>
          <t>고체향수</t>
        </is>
      </c>
      <c r="F9424" s="20" t="inlineStr">
        <is>
          <t>카페24</t>
        </is>
      </c>
      <c r="G9424" s="20" t="inlineStr">
        <is>
          <t>솔리드퍼퓸 이그나이트 001제품선택=이그나이트 2개 세트</t>
        </is>
      </c>
      <c r="H9424" s="20" t="n">
        <v>1</v>
      </c>
      <c r="I9424" s="20" t="inlineStr">
        <is>
          <t>이그나이트 2set</t>
        </is>
      </c>
      <c r="J9424" s="20" t="inlineStr">
        <is>
          <t>210501</t>
        </is>
      </c>
      <c r="L9424" s="20" t="n">
        <v>58800</v>
      </c>
      <c r="M9424" s="20" t="n">
        <v>55360.2</v>
      </c>
      <c r="N9424" s="20" t="n">
        <v>5250</v>
      </c>
      <c r="O9424" s="20" t="inlineStr">
        <is>
          <t>카페24고체향수솔리드퍼퓸 이그나이트 001제품선택=이그나이트 2개 세트210501</t>
        </is>
      </c>
    </row>
    <row r="9425">
      <c r="B9425" s="27" t="n">
        <v>44345</v>
      </c>
      <c r="C9425" s="20" t="inlineStr">
        <is>
          <t>토</t>
        </is>
      </c>
      <c r="E9425" s="20" t="inlineStr">
        <is>
          <t>고체향수</t>
        </is>
      </c>
      <c r="F9425" s="20" t="inlineStr">
        <is>
          <t>스마트스토어</t>
        </is>
      </c>
      <c r="G9425" s="20" t="inlineStr">
        <is>
          <t>유즈 고체향수 세트(유즈 스테이포에버, 유즈 이그나이트)고체향수: 스테이포에버 2개</t>
        </is>
      </c>
      <c r="H9425" s="20" t="n">
        <v>1</v>
      </c>
      <c r="I9425" s="20" t="inlineStr">
        <is>
          <t>스테이포에버 2set</t>
        </is>
      </c>
      <c r="J9425" s="20" t="inlineStr">
        <is>
          <t>210501</t>
        </is>
      </c>
      <c r="L9425" s="20" t="n">
        <v>58800</v>
      </c>
      <c r="M9425" s="20" t="n">
        <v>57624</v>
      </c>
      <c r="N9425" s="20" t="n">
        <v>5108</v>
      </c>
      <c r="O9425" s="20" t="inlineStr">
        <is>
          <t>스마트스토어고체향수유즈 고체향수 세트(유즈 스테이포에버, 유즈 이그나이트)고체향수: 스테이포에버 2개210501</t>
        </is>
      </c>
    </row>
    <row r="9426">
      <c r="B9426" s="27" t="n">
        <v>44345</v>
      </c>
      <c r="C9426" s="20" t="inlineStr">
        <is>
          <t>토</t>
        </is>
      </c>
      <c r="E9426" s="20" t="inlineStr">
        <is>
          <t>고체향수</t>
        </is>
      </c>
      <c r="F9426" s="20" t="inlineStr">
        <is>
          <t>스마트스토어</t>
        </is>
      </c>
      <c r="G9426" s="20" t="inlineStr">
        <is>
          <t>유즈 고체향수 스테이포에버 002고체향수: 스테이포에버 1개</t>
        </is>
      </c>
      <c r="H9426" s="20" t="n">
        <v>3</v>
      </c>
      <c r="I9426" s="20" t="inlineStr">
        <is>
          <t>스테이포에버</t>
        </is>
      </c>
      <c r="J9426" s="20" t="inlineStr">
        <is>
          <t>210501</t>
        </is>
      </c>
      <c r="L9426" s="20" t="n">
        <v>102000</v>
      </c>
      <c r="M9426" s="20" t="n">
        <v>99960</v>
      </c>
      <c r="N9426" s="20" t="n">
        <v>7662</v>
      </c>
      <c r="O9426" s="20" t="inlineStr">
        <is>
          <t>스마트스토어고체향수유즈 고체향수 스테이포에버 002고체향수: 스테이포에버 1개210501</t>
        </is>
      </c>
    </row>
    <row r="9427">
      <c r="B9427" s="27" t="n">
        <v>44345</v>
      </c>
      <c r="C9427" s="20" t="inlineStr">
        <is>
          <t>토</t>
        </is>
      </c>
      <c r="E9427" s="20" t="inlineStr">
        <is>
          <t>고체향수</t>
        </is>
      </c>
      <c r="F9427" s="20" t="inlineStr">
        <is>
          <t>카페24</t>
        </is>
      </c>
      <c r="G9427" s="20" t="inlineStr">
        <is>
          <t>솔리드퍼퓸 세트향=스테이포에버 002 SOLID PERFUME, 수량 선택=1개</t>
        </is>
      </c>
      <c r="H9427" s="20" t="n">
        <v>3</v>
      </c>
      <c r="I9427" s="20" t="inlineStr">
        <is>
          <t>스테이포에버</t>
        </is>
      </c>
      <c r="J9427" s="20" t="inlineStr">
        <is>
          <t>210501</t>
        </is>
      </c>
      <c r="L9427" s="20" t="n">
        <v>102000</v>
      </c>
      <c r="M9427" s="20" t="n">
        <v>96033</v>
      </c>
      <c r="N9427" s="20" t="n">
        <v>7662</v>
      </c>
      <c r="O9427" s="20" t="inlineStr">
        <is>
          <t>카페24고체향수솔리드퍼퓸 세트향=스테이포에버 002 SOLID PERFUME, 수량 선택=1개210501</t>
        </is>
      </c>
    </row>
    <row r="9428">
      <c r="B9428" s="27" t="n">
        <v>44345</v>
      </c>
      <c r="C9428" s="20" t="inlineStr">
        <is>
          <t>토</t>
        </is>
      </c>
      <c r="E9428" s="20" t="inlineStr">
        <is>
          <t>고체향수</t>
        </is>
      </c>
      <c r="F9428" s="20" t="inlineStr">
        <is>
          <t>카페24</t>
        </is>
      </c>
      <c r="G9428" s="20" t="inlineStr">
        <is>
          <t>솔리드퍼퓸 세트향=스테이포에버 002 SOLID PERFUME, 수량 선택=best 2개 (28% 할인)</t>
        </is>
      </c>
      <c r="H9428" s="20" t="n">
        <v>4</v>
      </c>
      <c r="I9428" s="20" t="inlineStr">
        <is>
          <t>스테이포에버 2set</t>
        </is>
      </c>
      <c r="J9428" s="20" t="inlineStr">
        <is>
          <t>210501</t>
        </is>
      </c>
      <c r="L9428" s="20" t="n">
        <v>235200</v>
      </c>
      <c r="M9428" s="20" t="n">
        <v>221440.8</v>
      </c>
      <c r="N9428" s="20" t="n">
        <v>20432</v>
      </c>
      <c r="O9428" s="20" t="inlineStr">
        <is>
          <t>카페24고체향수솔리드퍼퓸 세트향=스테이포에버 002 SOLID PERFUME, 수량 선택=best 2개 (28% 할인)210501</t>
        </is>
      </c>
    </row>
    <row r="9429">
      <c r="B9429" s="27" t="n">
        <v>44345</v>
      </c>
      <c r="C9429" s="20" t="inlineStr">
        <is>
          <t>토</t>
        </is>
      </c>
      <c r="E9429" s="20" t="inlineStr">
        <is>
          <t>고체향수</t>
        </is>
      </c>
      <c r="F9429" s="20" t="inlineStr">
        <is>
          <t>카페24</t>
        </is>
      </c>
      <c r="G9429" s="20" t="inlineStr">
        <is>
          <t>솔리드퍼퓸 세트향=스테이포에버 + 이그나이트 커플세트(기프트 박스), 수량 선택=1 SET (28% OFF)</t>
        </is>
      </c>
      <c r="H9429" s="20" t="n">
        <v>12</v>
      </c>
      <c r="I9429" s="20" t="inlineStr">
        <is>
          <t>이그나이트 + 스테이포에버(기프트 박스)</t>
        </is>
      </c>
      <c r="J9429" s="20" t="inlineStr">
        <is>
          <t>210501</t>
        </is>
      </c>
      <c r="L9429" s="20" t="n">
        <v>669600</v>
      </c>
      <c r="M9429" s="20" t="n">
        <v>630428.3999999999</v>
      </c>
      <c r="N9429" s="20" t="n">
        <v>76212</v>
      </c>
      <c r="O9429" s="20" t="inlineStr">
        <is>
          <t>카페24고체향수솔리드퍼퓸 세트향=스테이포에버 + 이그나이트 커플세트(기프트 박스), 수량 선택=1 SET (28% OFF)210501</t>
        </is>
      </c>
    </row>
    <row r="9430">
      <c r="B9430" s="27" t="n">
        <v>44345</v>
      </c>
      <c r="C9430" s="20" t="inlineStr">
        <is>
          <t>토</t>
        </is>
      </c>
      <c r="E9430" s="20" t="inlineStr">
        <is>
          <t>고체향수</t>
        </is>
      </c>
      <c r="F9430" s="20" t="inlineStr">
        <is>
          <t>카페24</t>
        </is>
      </c>
      <c r="G9430" s="20" t="inlineStr">
        <is>
          <t>솔리드퍼퓸 세트향=스테이포에버 + 이그나이트 커플세트(기프트 박스), 수량 선택=2 SET (42% OFF)</t>
        </is>
      </c>
      <c r="H9430" s="20" t="n">
        <v>5</v>
      </c>
      <c r="I9430" s="20" t="inlineStr">
        <is>
          <t>이그나이트 + 스테이포에버(기프트 박스) 2set</t>
        </is>
      </c>
      <c r="J9430" s="20" t="inlineStr">
        <is>
          <t>210501</t>
        </is>
      </c>
      <c r="L9430" s="20" t="n">
        <v>474000</v>
      </c>
      <c r="M9430" s="20" t="n">
        <v>446271</v>
      </c>
      <c r="N9430" s="20" t="n">
        <v>63510</v>
      </c>
      <c r="O9430" s="20" t="inlineStr">
        <is>
          <t>카페24고체향수솔리드퍼퓸 세트향=스테이포에버 + 이그나이트 커플세트(기프트 박스), 수량 선택=2 SET (42% OFF)210501</t>
        </is>
      </c>
    </row>
    <row r="9431">
      <c r="B9431" s="27" t="n">
        <v>44345</v>
      </c>
      <c r="C9431" s="20" t="inlineStr">
        <is>
          <t>토</t>
        </is>
      </c>
      <c r="E9431" s="20" t="inlineStr">
        <is>
          <t>고체향수</t>
        </is>
      </c>
      <c r="F9431" s="20" t="inlineStr">
        <is>
          <t>카페24</t>
        </is>
      </c>
      <c r="G9431" s="20" t="inlineStr">
        <is>
          <t>솔리드퍼퓸 스테이포에버 002제품선택=스테이포에버 1개</t>
        </is>
      </c>
      <c r="H9431" s="20" t="n">
        <v>192</v>
      </c>
      <c r="I9431" s="20" t="inlineStr">
        <is>
          <t>스테이포에버</t>
        </is>
      </c>
      <c r="J9431" s="20" t="inlineStr">
        <is>
          <t>210501</t>
        </is>
      </c>
      <c r="L9431" s="20" t="n">
        <v>6528000</v>
      </c>
      <c r="M9431" s="20" t="n">
        <v>6146112</v>
      </c>
      <c r="N9431" s="20" t="n">
        <v>490368</v>
      </c>
      <c r="O9431" s="20" t="inlineStr">
        <is>
          <t>카페24고체향수솔리드퍼퓸 스테이포에버 002제품선택=스테이포에버 1개210501</t>
        </is>
      </c>
    </row>
    <row r="9432">
      <c r="B9432" s="27" t="n">
        <v>44345</v>
      </c>
      <c r="C9432" s="20" t="inlineStr">
        <is>
          <t>토</t>
        </is>
      </c>
      <c r="E9432" s="20" t="inlineStr">
        <is>
          <t>고체향수</t>
        </is>
      </c>
      <c r="F9432" s="20" t="inlineStr">
        <is>
          <t>카페24</t>
        </is>
      </c>
      <c r="G9432" s="20" t="inlineStr">
        <is>
          <t>솔리드퍼퓸 스테이포에버 002제품선택=best스테이포에버 2개[28% 할인]</t>
        </is>
      </c>
      <c r="H9432" s="20" t="n">
        <v>123</v>
      </c>
      <c r="I9432" s="20" t="inlineStr">
        <is>
          <t>스테이포에버 2set</t>
        </is>
      </c>
      <c r="J9432" s="20" t="inlineStr">
        <is>
          <t>210501</t>
        </is>
      </c>
      <c r="L9432" s="20" t="n">
        <v>7232400</v>
      </c>
      <c r="M9432" s="20" t="n">
        <v>6809304.6</v>
      </c>
      <c r="N9432" s="20" t="n">
        <v>628284</v>
      </c>
      <c r="O9432" s="20" t="inlineStr">
        <is>
          <t>카페24고체향수솔리드퍼퓸 스테이포에버 002제품선택=best스테이포에버 2개[28% 할인]210501</t>
        </is>
      </c>
    </row>
    <row r="9433">
      <c r="B9433" s="27" t="n">
        <v>44345</v>
      </c>
      <c r="C9433" s="20" t="inlineStr">
        <is>
          <t>토</t>
        </is>
      </c>
      <c r="E9433" s="20" t="inlineStr">
        <is>
          <t>고체향수</t>
        </is>
      </c>
      <c r="F9433" s="20" t="inlineStr">
        <is>
          <t>카페24</t>
        </is>
      </c>
      <c r="G9433" s="20" t="inlineStr">
        <is>
          <t>솔리드퍼퓸 스테이포에버 002제품선택=커플추천스테이포에버 + 이그나이트 세트</t>
        </is>
      </c>
      <c r="H9433" s="20" t="n">
        <v>14</v>
      </c>
      <c r="I9433" s="20" t="inlineStr">
        <is>
          <t>이그나이트 + 스테이포에버</t>
        </is>
      </c>
      <c r="J9433" s="20" t="inlineStr">
        <is>
          <t>210501</t>
        </is>
      </c>
      <c r="L9433" s="20" t="n">
        <v>823200</v>
      </c>
      <c r="M9433" s="20" t="n">
        <v>775042.7999999999</v>
      </c>
      <c r="N9433" s="20" t="n">
        <v>72506</v>
      </c>
      <c r="O9433" s="20" t="inlineStr">
        <is>
          <t>카페24고체향수솔리드퍼퓸 스테이포에버 002제품선택=커플추천스테이포에버 + 이그나이트 세트210501</t>
        </is>
      </c>
    </row>
    <row r="9434">
      <c r="B9434" s="27" t="n">
        <v>44345</v>
      </c>
      <c r="C9434" s="20" t="inlineStr">
        <is>
          <t>토</t>
        </is>
      </c>
      <c r="E9434" s="20" t="inlineStr">
        <is>
          <t>쇼핑백</t>
        </is>
      </c>
      <c r="F9434" s="20" t="inlineStr">
        <is>
          <t>카페24</t>
        </is>
      </c>
      <c r="G9434" s="20" t="inlineStr">
        <is>
          <t>솔리드퍼퓸 스테이포에버 002쇼핑백=선물용 쇼핑백</t>
        </is>
      </c>
      <c r="H9434" s="20" t="n">
        <v>7</v>
      </c>
      <c r="I9434" s="20" t="inlineStr">
        <is>
          <t>쇼핑백</t>
        </is>
      </c>
      <c r="J9434" s="20" t="inlineStr">
        <is>
          <t>210501</t>
        </is>
      </c>
      <c r="L9434" s="20" t="n">
        <v>14000</v>
      </c>
      <c r="M9434" s="20" t="n">
        <v>13181</v>
      </c>
      <c r="N9434" s="20" t="n">
        <v>5810</v>
      </c>
      <c r="O9434" s="20" t="inlineStr">
        <is>
          <t>카페24쇼핑백솔리드퍼퓸 스테이포에버 002쇼핑백=선물용 쇼핑백210501</t>
        </is>
      </c>
    </row>
    <row r="9435">
      <c r="B9435" s="27" t="n">
        <v>44346</v>
      </c>
      <c r="C9435" s="20" t="inlineStr">
        <is>
          <t>일</t>
        </is>
      </c>
      <c r="E9435" s="20" t="inlineStr">
        <is>
          <t>고체향수</t>
        </is>
      </c>
      <c r="F9435" s="20" t="inlineStr">
        <is>
          <t>스마트스토어</t>
        </is>
      </c>
      <c r="G9435" s="20" t="inlineStr">
        <is>
          <t>유즈 고체향수 세트(유즈 스테이포에버, 유즈 이그나이트)고체향수: 스테이포에버 1개 + 이그나이트 1개</t>
        </is>
      </c>
      <c r="H9435" s="20" t="n">
        <v>1</v>
      </c>
      <c r="I9435" s="20" t="inlineStr">
        <is>
          <t>이그나이트 + 스테이포에버</t>
        </is>
      </c>
      <c r="J9435" s="20" t="inlineStr">
        <is>
          <t>210501</t>
        </is>
      </c>
      <c r="L9435" s="20" t="n">
        <v>58800</v>
      </c>
      <c r="M9435" s="20" t="n">
        <v>55360.2</v>
      </c>
      <c r="N9435" s="20" t="n">
        <v>5179</v>
      </c>
      <c r="O9435" s="20" t="inlineStr">
        <is>
          <t>스마트스토어고체향수유즈 고체향수 세트(유즈 스테이포에버, 유즈 이그나이트)고체향수: 스테이포에버 1개 + 이그나이트 1개210501</t>
        </is>
      </c>
    </row>
    <row r="9436">
      <c r="B9436" s="27" t="n">
        <v>44346</v>
      </c>
      <c r="C9436" s="20" t="inlineStr">
        <is>
          <t>일</t>
        </is>
      </c>
      <c r="E9436" s="20" t="inlineStr">
        <is>
          <t>고체향수</t>
        </is>
      </c>
      <c r="F9436" s="20" t="inlineStr">
        <is>
          <t>스마트스토어</t>
        </is>
      </c>
      <c r="G9436" s="20" t="inlineStr">
        <is>
          <t>유즈 고체향수 스테이포에버 002고체향수: 스테이포에버 1개</t>
        </is>
      </c>
      <c r="H9436" s="20" t="n">
        <v>16</v>
      </c>
      <c r="I9436" s="20" t="inlineStr">
        <is>
          <t>스테이포에버</t>
        </is>
      </c>
      <c r="J9436" s="20" t="inlineStr">
        <is>
          <t>210501</t>
        </is>
      </c>
      <c r="L9436" s="20" t="n">
        <v>544000</v>
      </c>
      <c r="M9436" s="20" t="n">
        <v>533120</v>
      </c>
      <c r="N9436" s="20" t="n">
        <v>40864</v>
      </c>
      <c r="O9436" s="20" t="inlineStr">
        <is>
          <t>스마트스토어고체향수유즈 고체향수 스테이포에버 002고체향수: 스테이포에버 1개210501</t>
        </is>
      </c>
    </row>
    <row r="9437">
      <c r="B9437" s="27" t="n">
        <v>44346</v>
      </c>
      <c r="C9437" s="20" t="inlineStr">
        <is>
          <t>일</t>
        </is>
      </c>
      <c r="E9437" s="20" t="inlineStr">
        <is>
          <t>고체향수</t>
        </is>
      </c>
      <c r="F9437" s="20" t="inlineStr">
        <is>
          <t>카페24</t>
        </is>
      </c>
      <c r="G9437" s="20" t="inlineStr">
        <is>
          <t>솔리드퍼퓸 세트향=이그나이트 001 SOLID PERFUME, 수량 선택=1개</t>
        </is>
      </c>
      <c r="H9437" s="20" t="n">
        <v>1</v>
      </c>
      <c r="I9437" s="20" t="inlineStr">
        <is>
          <t>이그나이트</t>
        </is>
      </c>
      <c r="J9437" s="20" t="inlineStr">
        <is>
          <t>210501</t>
        </is>
      </c>
      <c r="L9437" s="20" t="n">
        <v>34000</v>
      </c>
      <c r="M9437" s="20" t="n">
        <v>32011</v>
      </c>
      <c r="N9437" s="20" t="n">
        <v>2625</v>
      </c>
      <c r="O9437" s="20" t="inlineStr">
        <is>
          <t>카페24고체향수솔리드퍼퓸 세트향=이그나이트 001 SOLID PERFUME, 수량 선택=1개210501</t>
        </is>
      </c>
    </row>
    <row r="9438">
      <c r="B9438" s="27" t="n">
        <v>44346</v>
      </c>
      <c r="C9438" s="20" t="inlineStr">
        <is>
          <t>일</t>
        </is>
      </c>
      <c r="E9438" s="20" t="inlineStr">
        <is>
          <t>고체향수</t>
        </is>
      </c>
      <c r="F9438" s="20" t="inlineStr">
        <is>
          <t>카페24</t>
        </is>
      </c>
      <c r="G9438" s="20" t="inlineStr">
        <is>
          <t>솔리드퍼퓸 세트향=스테이포에버 002 SOLID PERFUME, 수량 선택=1개</t>
        </is>
      </c>
      <c r="H9438" s="20" t="n">
        <v>2</v>
      </c>
      <c r="I9438" s="20" t="inlineStr">
        <is>
          <t>스테이포에버</t>
        </is>
      </c>
      <c r="J9438" s="20" t="inlineStr">
        <is>
          <t>210501</t>
        </is>
      </c>
      <c r="L9438" s="20" t="n">
        <v>68000</v>
      </c>
      <c r="M9438" s="20" t="n">
        <v>64022</v>
      </c>
      <c r="N9438" s="20" t="n">
        <v>5108</v>
      </c>
      <c r="O9438" s="20" t="inlineStr">
        <is>
          <t>카페24고체향수솔리드퍼퓸 세트향=스테이포에버 002 SOLID PERFUME, 수량 선택=1개210501</t>
        </is>
      </c>
    </row>
    <row r="9439">
      <c r="B9439" s="27" t="n">
        <v>44346</v>
      </c>
      <c r="C9439" s="20" t="inlineStr">
        <is>
          <t>일</t>
        </is>
      </c>
      <c r="E9439" s="20" t="inlineStr">
        <is>
          <t>고체향수</t>
        </is>
      </c>
      <c r="F9439" s="20" t="inlineStr">
        <is>
          <t>카페24</t>
        </is>
      </c>
      <c r="G9439" s="20" t="inlineStr">
        <is>
          <t>솔리드퍼퓸 세트향=스테이포에버 + 이그나이트 커플세트(기프트 박스), 수량 선택=1 SET (28% OFF)</t>
        </is>
      </c>
      <c r="H9439" s="20" t="n">
        <v>7</v>
      </c>
      <c r="I9439" s="20" t="inlineStr">
        <is>
          <t>이그나이트 + 스테이포에버(기프트 박스)</t>
        </is>
      </c>
      <c r="J9439" s="20" t="inlineStr">
        <is>
          <t>210501</t>
        </is>
      </c>
      <c r="L9439" s="20" t="n">
        <v>390600</v>
      </c>
      <c r="M9439" s="20" t="n">
        <v>367749.9</v>
      </c>
      <c r="N9439" s="20" t="n">
        <v>44457</v>
      </c>
      <c r="O9439" s="20" t="inlineStr">
        <is>
          <t>카페24고체향수솔리드퍼퓸 세트향=스테이포에버 + 이그나이트 커플세트(기프트 박스), 수량 선택=1 SET (28% OFF)210501</t>
        </is>
      </c>
    </row>
    <row r="9440">
      <c r="B9440" s="27" t="n">
        <v>44346</v>
      </c>
      <c r="C9440" s="20" t="inlineStr">
        <is>
          <t>일</t>
        </is>
      </c>
      <c r="E9440" s="20" t="inlineStr">
        <is>
          <t>고체향수</t>
        </is>
      </c>
      <c r="F9440" s="20" t="inlineStr">
        <is>
          <t>카페24</t>
        </is>
      </c>
      <c r="G9440" s="20" t="inlineStr">
        <is>
          <t>솔리드퍼퓸 세트향=스테이포에버 + 이그나이트 커플세트(기프트 박스), 수량 선택=2 SET (42% OFF)</t>
        </is>
      </c>
      <c r="H9440" s="20" t="n">
        <v>2</v>
      </c>
      <c r="I9440" s="20" t="inlineStr">
        <is>
          <t>이그나이트 + 스테이포에버(기프트 박스) 2set</t>
        </is>
      </c>
      <c r="J9440" s="20" t="inlineStr">
        <is>
          <t>210501</t>
        </is>
      </c>
      <c r="L9440" s="20" t="n">
        <v>189600</v>
      </c>
      <c r="M9440" s="20" t="n">
        <v>178508.4</v>
      </c>
      <c r="N9440" s="20" t="n">
        <v>25404</v>
      </c>
      <c r="O9440" s="20" t="inlineStr">
        <is>
          <t>카페24고체향수솔리드퍼퓸 세트향=스테이포에버 + 이그나이트 커플세트(기프트 박스), 수량 선택=2 SET (42% OFF)210501</t>
        </is>
      </c>
    </row>
    <row r="9441">
      <c r="B9441" s="27" t="n">
        <v>44346</v>
      </c>
      <c r="C9441" s="20" t="inlineStr">
        <is>
          <t>일</t>
        </is>
      </c>
      <c r="E9441" s="20" t="inlineStr">
        <is>
          <t>고체향수</t>
        </is>
      </c>
      <c r="F9441" s="20" t="inlineStr">
        <is>
          <t>카페24</t>
        </is>
      </c>
      <c r="G9441" s="20" t="inlineStr">
        <is>
          <t>솔리드퍼퓸 스테이포에버 002제품선택=스테이포에버 1개</t>
        </is>
      </c>
      <c r="H9441" s="20" t="n">
        <v>191</v>
      </c>
      <c r="I9441" s="20" t="inlineStr">
        <is>
          <t>스테이포에버</t>
        </is>
      </c>
      <c r="J9441" s="20" t="inlineStr">
        <is>
          <t>210501</t>
        </is>
      </c>
      <c r="L9441" s="20" t="n">
        <v>6494000</v>
      </c>
      <c r="M9441" s="20" t="n">
        <v>6114101</v>
      </c>
      <c r="N9441" s="20" t="n">
        <v>487814</v>
      </c>
      <c r="O9441" s="20" t="inlineStr">
        <is>
          <t>카페24고체향수솔리드퍼퓸 스테이포에버 002제품선택=스테이포에버 1개210501</t>
        </is>
      </c>
    </row>
    <row r="9442">
      <c r="B9442" s="27" t="n">
        <v>44346</v>
      </c>
      <c r="C9442" s="20" t="inlineStr">
        <is>
          <t>일</t>
        </is>
      </c>
      <c r="E9442" s="20" t="inlineStr">
        <is>
          <t>고체향수</t>
        </is>
      </c>
      <c r="F9442" s="20" t="inlineStr">
        <is>
          <t>카페24</t>
        </is>
      </c>
      <c r="G9442" s="20" t="inlineStr">
        <is>
          <t>솔리드퍼퓸 스테이포에버 002제품선택=best스테이포에버 2개[28% 할인]</t>
        </is>
      </c>
      <c r="H9442" s="20" t="n">
        <v>133</v>
      </c>
      <c r="I9442" s="20" t="inlineStr">
        <is>
          <t>스테이포에버 2set</t>
        </is>
      </c>
      <c r="J9442" s="20" t="inlineStr">
        <is>
          <t>210501</t>
        </is>
      </c>
      <c r="L9442" s="20" t="n">
        <v>7820400</v>
      </c>
      <c r="M9442" s="20" t="n">
        <v>7362906.6</v>
      </c>
      <c r="N9442" s="20" t="n">
        <v>679364</v>
      </c>
      <c r="O9442" s="20" t="inlineStr">
        <is>
          <t>카페24고체향수솔리드퍼퓸 스테이포에버 002제품선택=best스테이포에버 2개[28% 할인]210501</t>
        </is>
      </c>
    </row>
    <row r="9443">
      <c r="B9443" s="27" t="n">
        <v>44346</v>
      </c>
      <c r="C9443" s="20" t="inlineStr">
        <is>
          <t>일</t>
        </is>
      </c>
      <c r="E9443" s="20" t="inlineStr">
        <is>
          <t>고체향수</t>
        </is>
      </c>
      <c r="F9443" s="20" t="inlineStr">
        <is>
          <t>카페24</t>
        </is>
      </c>
      <c r="G9443" s="20" t="inlineStr">
        <is>
          <t>솔리드퍼퓸 스테이포에버 002제품선택=커플추천스테이포에버 + 이그나이트 세트</t>
        </is>
      </c>
      <c r="H9443" s="20" t="n">
        <v>4</v>
      </c>
      <c r="I9443" s="20" t="inlineStr">
        <is>
          <t>이그나이트 + 스테이포에버</t>
        </is>
      </c>
      <c r="J9443" s="20" t="inlineStr">
        <is>
          <t>210501</t>
        </is>
      </c>
      <c r="L9443" s="20" t="n">
        <v>235200</v>
      </c>
      <c r="M9443" s="20" t="n">
        <v>221440.8</v>
      </c>
      <c r="N9443" s="20" t="n">
        <v>20716</v>
      </c>
      <c r="O9443" s="20" t="inlineStr">
        <is>
          <t>카페24고체향수솔리드퍼퓸 스테이포에버 002제품선택=커플추천스테이포에버 + 이그나이트 세트210501</t>
        </is>
      </c>
    </row>
    <row r="9444">
      <c r="B9444" s="27" t="n">
        <v>44346</v>
      </c>
      <c r="C9444" s="20" t="inlineStr">
        <is>
          <t>일</t>
        </is>
      </c>
      <c r="E9444" s="20" t="inlineStr">
        <is>
          <t>쇼핑백</t>
        </is>
      </c>
      <c r="F9444" s="20" t="inlineStr">
        <is>
          <t>카페24</t>
        </is>
      </c>
      <c r="G9444" s="20" t="inlineStr">
        <is>
          <t>솔리드퍼퓸 스테이포에버 002쇼핑백=선물용 쇼핑백</t>
        </is>
      </c>
      <c r="H9444" s="20" t="n">
        <v>5</v>
      </c>
      <c r="I9444" s="20" t="inlineStr">
        <is>
          <t>쇼핑백</t>
        </is>
      </c>
      <c r="J9444" s="20" t="inlineStr">
        <is>
          <t>210501</t>
        </is>
      </c>
      <c r="L9444" s="20" t="n">
        <v>10000</v>
      </c>
      <c r="M9444" s="20" t="n">
        <v>9415</v>
      </c>
      <c r="N9444" s="20" t="n">
        <v>4150</v>
      </c>
      <c r="O9444" s="20" t="inlineStr">
        <is>
          <t>카페24쇼핑백솔리드퍼퓸 스테이포에버 002쇼핑백=선물용 쇼핑백210501</t>
        </is>
      </c>
    </row>
    <row r="9445">
      <c r="B9445" s="27" t="n">
        <v>44346</v>
      </c>
      <c r="C9445" s="20" t="inlineStr">
        <is>
          <t>일</t>
        </is>
      </c>
      <c r="E9445" s="20" t="inlineStr">
        <is>
          <t>고체향수</t>
        </is>
      </c>
      <c r="F9445" s="20" t="inlineStr">
        <is>
          <t>카페24</t>
        </is>
      </c>
      <c r="G9445" s="20" t="inlineStr">
        <is>
          <t>솔리드퍼퓸 이그나이트 001제품선택=이그나이트 솔리드퍼퓸 - 30ml</t>
        </is>
      </c>
      <c r="H9445" s="20" t="n">
        <v>2</v>
      </c>
      <c r="I9445" s="20" t="inlineStr">
        <is>
          <t>이그나이트</t>
        </is>
      </c>
      <c r="J9445" s="20" t="inlineStr">
        <is>
          <t>210501</t>
        </is>
      </c>
      <c r="L9445" s="20" t="n">
        <v>68000</v>
      </c>
      <c r="M9445" s="20" t="n">
        <v>64022</v>
      </c>
      <c r="N9445" s="20" t="n">
        <v>5250</v>
      </c>
      <c r="O9445" s="20" t="inlineStr">
        <is>
          <t>카페24고체향수솔리드퍼퓸 이그나이트 001제품선택=이그나이트 솔리드퍼퓸 - 30ml210501</t>
        </is>
      </c>
    </row>
    <row r="9446">
      <c r="A9446" s="20" t="inlineStr">
        <is>
          <t>고체향수</t>
        </is>
      </c>
      <c r="B9446" s="27" t="n">
        <v>44344</v>
      </c>
      <c r="C9446" s="20" t="inlineStr">
        <is>
          <t>금</t>
        </is>
      </c>
      <c r="D9446" s="20" t="inlineStr">
        <is>
          <t>네이버 배너</t>
        </is>
      </c>
      <c r="E9446" s="20" t="inlineStr">
        <is>
          <t>고체향수</t>
        </is>
      </c>
      <c r="K9446" s="20" t="n">
        <v>615903.6363636364</v>
      </c>
    </row>
    <row r="9447">
      <c r="A9447" s="20" t="inlineStr">
        <is>
          <t>고체향수</t>
        </is>
      </c>
      <c r="B9447" s="27" t="n">
        <v>44345</v>
      </c>
      <c r="C9447" s="20" t="inlineStr">
        <is>
          <t>토</t>
        </is>
      </c>
      <c r="D9447" s="20" t="inlineStr">
        <is>
          <t>네이버 배너</t>
        </is>
      </c>
      <c r="E9447" s="20" t="inlineStr">
        <is>
          <t>고체향수</t>
        </is>
      </c>
      <c r="K9447" s="20" t="n">
        <v>522484.5454545454</v>
      </c>
    </row>
    <row r="9448" ht="17.55" customHeight="1" s="17" thickBot="1">
      <c r="A9448" s="20" t="inlineStr">
        <is>
          <t>고체향수</t>
        </is>
      </c>
      <c r="B9448" s="27" t="n">
        <v>44346</v>
      </c>
      <c r="C9448" s="20" t="inlineStr">
        <is>
          <t>일</t>
        </is>
      </c>
      <c r="D9448" s="20" t="inlineStr">
        <is>
          <t>네이버 배너</t>
        </is>
      </c>
      <c r="E9448" s="20" t="inlineStr">
        <is>
          <t>고체향수</t>
        </is>
      </c>
      <c r="K9448" s="20" t="n">
        <v>476739.0909090909</v>
      </c>
    </row>
    <row r="9449" ht="17.55" customHeight="1" s="17" thickBot="1">
      <c r="B9449" s="27" t="n">
        <v>44344</v>
      </c>
      <c r="C9449" s="20" t="inlineStr">
        <is>
          <t>금</t>
        </is>
      </c>
      <c r="D9449" s="20" t="inlineStr">
        <is>
          <t>네이버 배너(대행사)</t>
        </is>
      </c>
      <c r="E9449" s="20" t="inlineStr">
        <is>
          <t>고체향수</t>
        </is>
      </c>
      <c r="K9449" s="21">
        <f>204959/1.1</f>
        <v/>
      </c>
    </row>
    <row r="9450" ht="17.55" customHeight="1" s="17" thickBot="1">
      <c r="B9450" s="27" t="n">
        <v>44345</v>
      </c>
      <c r="C9450" s="20" t="inlineStr">
        <is>
          <t>토</t>
        </is>
      </c>
      <c r="D9450" s="20" t="inlineStr">
        <is>
          <t>네이버 배너(대행사)</t>
        </is>
      </c>
      <c r="E9450" s="20" t="inlineStr">
        <is>
          <t>고체향수</t>
        </is>
      </c>
      <c r="K9450" s="21">
        <f>295901/1.1</f>
        <v/>
      </c>
    </row>
    <row r="9451" ht="17.55" customHeight="1" s="17" thickBot="1">
      <c r="B9451" s="27" t="n">
        <v>44346</v>
      </c>
      <c r="C9451" s="20" t="inlineStr">
        <is>
          <t>일</t>
        </is>
      </c>
      <c r="D9451" s="20" t="inlineStr">
        <is>
          <t>네이버 배너(대행사)</t>
        </is>
      </c>
      <c r="E9451" s="20" t="inlineStr">
        <is>
          <t>고체향수</t>
        </is>
      </c>
      <c r="K9451" s="21">
        <f>218689/1.1</f>
        <v/>
      </c>
    </row>
    <row r="9452" ht="17.55" customHeight="1" s="17" thickBot="1">
      <c r="B9452" s="27" t="n">
        <v>44344</v>
      </c>
      <c r="C9452" s="20" t="inlineStr">
        <is>
          <t>금</t>
        </is>
      </c>
      <c r="D9452" s="20" t="inlineStr">
        <is>
          <t>카카오 배너</t>
        </is>
      </c>
      <c r="E9452" s="20" t="inlineStr">
        <is>
          <t>고체향수</t>
        </is>
      </c>
      <c r="K9452" s="21">
        <f>904035/1.1</f>
        <v/>
      </c>
    </row>
    <row r="9453" ht="17.55" customHeight="1" s="17" thickBot="1">
      <c r="B9453" s="27" t="n">
        <v>44345</v>
      </c>
      <c r="C9453" s="20" t="inlineStr">
        <is>
          <t>토</t>
        </is>
      </c>
      <c r="D9453" s="20" t="inlineStr">
        <is>
          <t>카카오 배너</t>
        </is>
      </c>
      <c r="E9453" s="20" t="inlineStr">
        <is>
          <t>고체향수</t>
        </is>
      </c>
      <c r="K9453" s="21">
        <f>902572/1.1</f>
        <v/>
      </c>
    </row>
    <row r="9454" ht="17.55" customHeight="1" s="17" thickBot="1">
      <c r="B9454" s="27" t="n">
        <v>44346</v>
      </c>
      <c r="C9454" s="20" t="inlineStr">
        <is>
          <t>일</t>
        </is>
      </c>
      <c r="D9454" s="20" t="inlineStr">
        <is>
          <t>카카오 배너</t>
        </is>
      </c>
      <c r="E9454" s="20" t="inlineStr">
        <is>
          <t>고체향수</t>
        </is>
      </c>
      <c r="K9454" s="21">
        <f>904651/1.1</f>
        <v/>
      </c>
    </row>
    <row r="9455">
      <c r="B9455" s="27" t="n">
        <v>44344</v>
      </c>
      <c r="C9455" s="20" t="inlineStr">
        <is>
          <t>금</t>
        </is>
      </c>
      <c r="E9455" s="19">
        <f>INDEX(매칭테이블!C:C,MATCH(RD!G9455,매칭테이블!D:D,0))</f>
        <v/>
      </c>
      <c r="F9455" s="20" t="inlineStr">
        <is>
          <t>올리브영</t>
        </is>
      </c>
      <c r="G9455" s="20" t="inlineStr">
        <is>
          <t>유즈 솔리드퍼퓸 001 이그나이트 30ml 30600 온라인</t>
        </is>
      </c>
      <c r="H9455" s="20" t="n">
        <v>2</v>
      </c>
      <c r="I9455" s="19">
        <f>VLOOKUP(G9455,매칭테이블!D:E,2,0)</f>
        <v/>
      </c>
      <c r="J9455" s="20" t="inlineStr">
        <is>
          <t>210501</t>
        </is>
      </c>
      <c r="L9455" s="19">
        <f>VLOOKUP($O9455,매칭테이블!$G:$J,2,0)*H9455</f>
        <v/>
      </c>
      <c r="M9455" s="19">
        <f>L9455-L9455*VLOOKUP($O9455,매칭테이블!$G:$J,3,0)</f>
        <v/>
      </c>
      <c r="N9455" s="19">
        <f>VLOOKUP($O9455,매칭테이블!$G:$J,4,0)*H9455</f>
        <v/>
      </c>
      <c r="O9455" s="19">
        <f>F9455&amp;E9455&amp;G9455&amp;J9455</f>
        <v/>
      </c>
    </row>
    <row r="9456">
      <c r="B9456" s="27" t="n">
        <v>44344</v>
      </c>
      <c r="C9456" s="20" t="inlineStr">
        <is>
          <t>금</t>
        </is>
      </c>
      <c r="E9456" s="19">
        <f>INDEX(매칭테이블!C:C,MATCH(RD!G9456,매칭테이블!D:D,0))</f>
        <v/>
      </c>
      <c r="F9456" s="20" t="inlineStr">
        <is>
          <t>올리브영</t>
        </is>
      </c>
      <c r="G9456" s="20" t="inlineStr">
        <is>
          <t>유즈 솔리드퍼퓸 002 스테이포에버 30ml 30600 온라인</t>
        </is>
      </c>
      <c r="H9456" s="20" t="n">
        <v>55</v>
      </c>
      <c r="I9456" s="19">
        <f>VLOOKUP(G9456,매칭테이블!D:E,2,0)</f>
        <v/>
      </c>
      <c r="J9456" s="20" t="inlineStr">
        <is>
          <t>210501</t>
        </is>
      </c>
      <c r="L9456" s="19">
        <f>VLOOKUP($O9456,매칭테이블!$G:$J,2,0)*H9456</f>
        <v/>
      </c>
      <c r="M9456" s="19">
        <f>L9456-L9456*VLOOKUP($O9456,매칭테이블!$G:$J,3,0)</f>
        <v/>
      </c>
      <c r="N9456" s="19">
        <f>VLOOKUP($O9456,매칭테이블!$G:$J,4,0)*H9456</f>
        <v/>
      </c>
      <c r="O9456" s="19">
        <f>F9456&amp;E9456&amp;G9456&amp;J9456</f>
        <v/>
      </c>
    </row>
    <row r="9457">
      <c r="B9457" s="27" t="n">
        <v>44345</v>
      </c>
      <c r="C9457" s="20" t="inlineStr">
        <is>
          <t>토</t>
        </is>
      </c>
      <c r="E9457" s="19">
        <f>INDEX(매칭테이블!C:C,MATCH(RD!G9457,매칭테이블!D:D,0))</f>
        <v/>
      </c>
      <c r="F9457" s="20" t="inlineStr">
        <is>
          <t>올리브영</t>
        </is>
      </c>
      <c r="G9457" s="20" t="inlineStr">
        <is>
          <t>유즈 솔리드퍼퓸 001 이그나이트 30ml 30600 온라인</t>
        </is>
      </c>
      <c r="H9457" s="20" t="n">
        <v>1</v>
      </c>
      <c r="I9457" s="19">
        <f>VLOOKUP(G9457,매칭테이블!D:E,2,0)</f>
        <v/>
      </c>
      <c r="J9457" s="20" t="inlineStr">
        <is>
          <t>210501</t>
        </is>
      </c>
      <c r="L9457" s="19">
        <f>VLOOKUP($O9457,매칭테이블!$G:$J,2,0)*H9457</f>
        <v/>
      </c>
      <c r="M9457" s="19">
        <f>L9457-L9457*VLOOKUP($O9457,매칭테이블!$G:$J,3,0)</f>
        <v/>
      </c>
      <c r="N9457" s="19">
        <f>VLOOKUP($O9457,매칭테이블!$G:$J,4,0)*H9457</f>
        <v/>
      </c>
      <c r="O9457" s="19">
        <f>F9457&amp;E9457&amp;G9457&amp;J9457</f>
        <v/>
      </c>
    </row>
    <row r="9458">
      <c r="B9458" s="27" t="n">
        <v>44345</v>
      </c>
      <c r="C9458" s="20" t="inlineStr">
        <is>
          <t>토</t>
        </is>
      </c>
      <c r="E9458" s="19">
        <f>INDEX(매칭테이블!C:C,MATCH(RD!G9458,매칭테이블!D:D,0))</f>
        <v/>
      </c>
      <c r="F9458" s="20" t="inlineStr">
        <is>
          <t>올리브영</t>
        </is>
      </c>
      <c r="G9458" s="20" t="inlineStr">
        <is>
          <t>유즈 솔리드퍼퓸 002 스테이포에버 30ml 30600 온라인</t>
        </is>
      </c>
      <c r="H9458" s="20" t="n">
        <v>81</v>
      </c>
      <c r="I9458" s="19">
        <f>VLOOKUP(G9458,매칭테이블!D:E,2,0)</f>
        <v/>
      </c>
      <c r="J9458" s="20" t="inlineStr">
        <is>
          <t>210501</t>
        </is>
      </c>
      <c r="L9458" s="19">
        <f>VLOOKUP($O9458,매칭테이블!$G:$J,2,0)*H9458</f>
        <v/>
      </c>
      <c r="M9458" s="19">
        <f>L9458-L9458*VLOOKUP($O9458,매칭테이블!$G:$J,3,0)</f>
        <v/>
      </c>
      <c r="N9458" s="19">
        <f>VLOOKUP($O9458,매칭테이블!$G:$J,4,0)*H9458</f>
        <v/>
      </c>
      <c r="O9458" s="19">
        <f>F9458&amp;E9458&amp;G9458&amp;J9458</f>
        <v/>
      </c>
    </row>
    <row r="9459">
      <c r="A9459" s="20" t="inlineStr">
        <is>
          <t>[수현 TEST] 스테이포에버_카드뉴스</t>
        </is>
      </c>
      <c r="B9459" s="27" t="n">
        <v>44347</v>
      </c>
      <c r="C9459" s="20" t="inlineStr">
        <is>
          <t>월</t>
        </is>
      </c>
      <c r="D9459" s="20" t="inlineStr">
        <is>
          <t>페이스북/인스타그램</t>
        </is>
      </c>
      <c r="E9459" s="20" t="inlineStr">
        <is>
          <t>고체향수</t>
        </is>
      </c>
      <c r="K9459" s="20" t="n">
        <v>4756</v>
      </c>
    </row>
    <row r="9460">
      <c r="A9460" s="20" t="inlineStr">
        <is>
          <t>[수현 TEST] 이그나이트_이미지</t>
        </is>
      </c>
      <c r="B9460" s="27" t="n">
        <v>44347</v>
      </c>
      <c r="C9460" s="20" t="inlineStr">
        <is>
          <t>월</t>
        </is>
      </c>
      <c r="D9460" s="20" t="inlineStr">
        <is>
          <t>페이스북/인스타그램</t>
        </is>
      </c>
      <c r="E9460" s="20" t="inlineStr">
        <is>
          <t>고체향수</t>
        </is>
      </c>
      <c r="K9460" s="20" t="n">
        <v>29248</v>
      </c>
    </row>
    <row r="9461">
      <c r="A9461" s="20" t="inlineStr">
        <is>
          <t>[올리브영 알바] 스테이포에버_카드뉴스</t>
        </is>
      </c>
      <c r="B9461" s="27" t="n">
        <v>44347</v>
      </c>
      <c r="C9461" s="20" t="inlineStr">
        <is>
          <t>월</t>
        </is>
      </c>
      <c r="D9461" s="20" t="inlineStr">
        <is>
          <t>페이스북/인스타그램</t>
        </is>
      </c>
      <c r="E9461" s="20" t="inlineStr">
        <is>
          <t>고체향수</t>
        </is>
      </c>
      <c r="K9461" s="20" t="n">
        <v>98547</v>
      </c>
    </row>
    <row r="9462">
      <c r="A9462" s="20" t="inlineStr">
        <is>
          <t>[수현 TEST] 스테이포에버_이미지</t>
        </is>
      </c>
      <c r="B9462" s="27" t="n">
        <v>44347</v>
      </c>
      <c r="C9462" s="20" t="inlineStr">
        <is>
          <t>월</t>
        </is>
      </c>
      <c r="D9462" s="20" t="inlineStr">
        <is>
          <t>페이스북/인스타그램</t>
        </is>
      </c>
      <c r="E9462" s="20" t="inlineStr">
        <is>
          <t>고체향수</t>
        </is>
      </c>
      <c r="K9462" s="20" t="n">
        <v>42129</v>
      </c>
    </row>
    <row r="9463">
      <c r="A9463" s="20" t="inlineStr">
        <is>
          <t>[승은 TEST] 스테이포에버</t>
        </is>
      </c>
      <c r="B9463" s="27" t="n">
        <v>44347</v>
      </c>
      <c r="C9463" s="20" t="inlineStr">
        <is>
          <t>월</t>
        </is>
      </c>
      <c r="D9463" s="20" t="inlineStr">
        <is>
          <t>페이스북/인스타그램</t>
        </is>
      </c>
      <c r="E9463" s="20" t="inlineStr">
        <is>
          <t>고체향수</t>
        </is>
      </c>
      <c r="K9463" s="20" t="n">
        <v>49883</v>
      </c>
    </row>
    <row r="9464">
      <c r="A9464" s="20" t="inlineStr">
        <is>
          <t>[비누향 덕후] 스테이포에버_카드뉴스</t>
        </is>
      </c>
      <c r="B9464" s="27" t="n">
        <v>44347</v>
      </c>
      <c r="C9464" s="20" t="inlineStr">
        <is>
          <t>월</t>
        </is>
      </c>
      <c r="D9464" s="20" t="inlineStr">
        <is>
          <t>페이스북/인스타그램</t>
        </is>
      </c>
      <c r="E9464" s="20" t="inlineStr">
        <is>
          <t>고체향수</t>
        </is>
      </c>
      <c r="K9464" s="20" t="n">
        <v>146530</v>
      </c>
    </row>
    <row r="9465">
      <c r="A9465" s="20" t="inlineStr">
        <is>
          <t>[승무원]유튜브_스테이포에버_카드뉴스</t>
        </is>
      </c>
      <c r="B9465" s="27" t="n">
        <v>44347</v>
      </c>
      <c r="C9465" s="20" t="inlineStr">
        <is>
          <t>월</t>
        </is>
      </c>
      <c r="D9465" s="20" t="inlineStr">
        <is>
          <t>페이스북/인스타그램</t>
        </is>
      </c>
      <c r="E9465" s="20" t="inlineStr">
        <is>
          <t>고체향수</t>
        </is>
      </c>
      <c r="K9465" s="20" t="n">
        <v>49559</v>
      </c>
    </row>
    <row r="9466">
      <c r="A9466" s="20" t="inlineStr">
        <is>
          <t>[올리브영] 이그나이트_영상</t>
        </is>
      </c>
      <c r="B9466" s="27" t="n">
        <v>44347</v>
      </c>
      <c r="C9466" s="20" t="inlineStr">
        <is>
          <t>월</t>
        </is>
      </c>
      <c r="D9466" s="20" t="inlineStr">
        <is>
          <t>페이스북/인스타그램</t>
        </is>
      </c>
      <c r="E9466" s="20" t="inlineStr">
        <is>
          <t>고체향수</t>
        </is>
      </c>
      <c r="K9466" s="20" t="n">
        <v>28776</v>
      </c>
    </row>
    <row r="9467">
      <c r="A9467" s="20" t="inlineStr">
        <is>
          <t>[승희] 솔리드퍼퓸_이미지</t>
        </is>
      </c>
      <c r="B9467" s="27" t="n">
        <v>44347</v>
      </c>
      <c r="C9467" s="20" t="inlineStr">
        <is>
          <t>월</t>
        </is>
      </c>
      <c r="D9467" s="20" t="n"/>
      <c r="E9467" s="20" t="n"/>
      <c r="K9467" s="20" t="n">
        <v>68766</v>
      </c>
    </row>
    <row r="9468">
      <c r="A9468" s="20" t="inlineStr">
        <is>
          <t>[올리브영] 스테이포에버_영상</t>
        </is>
      </c>
      <c r="B9468" s="27" t="n">
        <v>44347</v>
      </c>
      <c r="C9468" s="20" t="inlineStr">
        <is>
          <t>월</t>
        </is>
      </c>
      <c r="D9468" s="20" t="inlineStr">
        <is>
          <t>페이스북/인스타그램</t>
        </is>
      </c>
      <c r="E9468" s="20" t="inlineStr">
        <is>
          <t>고체향수</t>
        </is>
      </c>
      <c r="K9468" s="20" t="n">
        <v>48055</v>
      </c>
    </row>
    <row r="9469">
      <c r="A9469" s="20" t="inlineStr">
        <is>
          <t>[올리브영] 스테이포에버_이미지</t>
        </is>
      </c>
      <c r="B9469" s="27" t="n">
        <v>44347</v>
      </c>
      <c r="C9469" s="20" t="inlineStr">
        <is>
          <t>월</t>
        </is>
      </c>
      <c r="D9469" s="20" t="inlineStr">
        <is>
          <t>페이스북/인스타그램</t>
        </is>
      </c>
      <c r="E9469" s="20" t="inlineStr">
        <is>
          <t>고체향수</t>
        </is>
      </c>
      <c r="K9469" s="20" t="n">
        <v>28829</v>
      </c>
    </row>
    <row r="9470">
      <c r="A9470" s="20" t="inlineStr">
        <is>
          <t>[승무원] 유튜브재편집_스테이포에버_영상</t>
        </is>
      </c>
      <c r="B9470" s="27" t="n">
        <v>44347</v>
      </c>
      <c r="C9470" s="20" t="inlineStr">
        <is>
          <t>월</t>
        </is>
      </c>
      <c r="D9470" s="20" t="inlineStr">
        <is>
          <t>페이스북/인스타그램</t>
        </is>
      </c>
      <c r="E9470" s="20" t="inlineStr">
        <is>
          <t>고체향수</t>
        </is>
      </c>
      <c r="K9470" s="20" t="n">
        <v>661615</v>
      </c>
    </row>
    <row r="9471">
      <c r="A9471" s="20" t="inlineStr">
        <is>
          <t>[승무원 면세점] 스테이포에버_카드뉴스</t>
        </is>
      </c>
      <c r="B9471" s="27" t="n">
        <v>44347</v>
      </c>
      <c r="C9471" s="20" t="inlineStr">
        <is>
          <t>월</t>
        </is>
      </c>
      <c r="D9471" s="20" t="inlineStr">
        <is>
          <t>페이스북/인스타그램</t>
        </is>
      </c>
      <c r="E9471" s="20" t="inlineStr">
        <is>
          <t>고체향수</t>
        </is>
      </c>
      <c r="K9471" s="20" t="n">
        <v>149250</v>
      </c>
    </row>
    <row r="9472">
      <c r="A9472" s="20" t="inlineStr">
        <is>
          <t>[카페알바] 스테이포에버_카드뉴스</t>
        </is>
      </c>
      <c r="B9472" s="27" t="n">
        <v>44347</v>
      </c>
      <c r="C9472" s="20" t="inlineStr">
        <is>
          <t>월</t>
        </is>
      </c>
      <c r="D9472" s="20" t="inlineStr">
        <is>
          <t>페이스북/인스타그램</t>
        </is>
      </c>
      <c r="E9472" s="20" t="inlineStr">
        <is>
          <t>고체향수</t>
        </is>
      </c>
      <c r="K9472" s="20" t="n">
        <v>195213</v>
      </c>
    </row>
    <row r="9473">
      <c r="A9473" s="20" t="inlineStr">
        <is>
          <t>[아줌마]스테이포에버_이미지</t>
        </is>
      </c>
      <c r="B9473" s="27" t="n">
        <v>44347</v>
      </c>
      <c r="C9473" s="20" t="inlineStr">
        <is>
          <t>월</t>
        </is>
      </c>
      <c r="D9473" s="20" t="inlineStr">
        <is>
          <t>페이스북/인스타그램</t>
        </is>
      </c>
      <c r="E9473" s="20" t="inlineStr">
        <is>
          <t>고체향수</t>
        </is>
      </c>
      <c r="K9473" s="20" t="n">
        <v>48594</v>
      </c>
    </row>
    <row r="9474">
      <c r="A9474" s="20" t="inlineStr">
        <is>
          <t>[다양한 키워드] 스테이포에버_이미지</t>
        </is>
      </c>
      <c r="B9474" s="27" t="n">
        <v>44347</v>
      </c>
      <c r="C9474" s="20" t="inlineStr">
        <is>
          <t>월</t>
        </is>
      </c>
      <c r="D9474" s="20" t="inlineStr">
        <is>
          <t>페이스북/인스타그램</t>
        </is>
      </c>
      <c r="E9474" s="20" t="inlineStr">
        <is>
          <t>고체향수</t>
        </is>
      </c>
      <c r="K9474" s="20" t="n">
        <v>68595</v>
      </c>
    </row>
    <row r="9475">
      <c r="A9475" s="20" t="inlineStr">
        <is>
          <t>[재입고]스테이포에버_이미지</t>
        </is>
      </c>
      <c r="B9475" s="27" t="n">
        <v>44347</v>
      </c>
      <c r="C9475" s="20" t="inlineStr">
        <is>
          <t>월</t>
        </is>
      </c>
      <c r="D9475" s="20" t="inlineStr">
        <is>
          <t>페이스북/인스타그램</t>
        </is>
      </c>
      <c r="E9475" s="20" t="inlineStr">
        <is>
          <t>고체향수</t>
        </is>
      </c>
      <c r="K9475" s="20" t="n">
        <v>29193</v>
      </c>
    </row>
    <row r="9476">
      <c r="A9476" s="20" t="inlineStr">
        <is>
          <t>[승무원]숏폼_영상</t>
        </is>
      </c>
      <c r="B9476" s="27" t="n">
        <v>44347</v>
      </c>
      <c r="C9476" s="20" t="inlineStr">
        <is>
          <t>월</t>
        </is>
      </c>
      <c r="D9476" s="20" t="inlineStr">
        <is>
          <t>페이스북/인스타그램</t>
        </is>
      </c>
      <c r="E9476" s="20" t="inlineStr">
        <is>
          <t>고체향수</t>
        </is>
      </c>
      <c r="K9476" s="20" t="n">
        <v>29904</v>
      </c>
    </row>
    <row r="9477">
      <c r="A9477" s="20" t="inlineStr">
        <is>
          <t>[재입고]스테이포에버_영상</t>
        </is>
      </c>
      <c r="B9477" s="27" t="n">
        <v>44347</v>
      </c>
      <c r="C9477" s="20" t="inlineStr">
        <is>
          <t>월</t>
        </is>
      </c>
      <c r="D9477" s="20" t="inlineStr">
        <is>
          <t>페이스북/인스타그램</t>
        </is>
      </c>
      <c r="E9477" s="20" t="inlineStr">
        <is>
          <t>고체향수</t>
        </is>
      </c>
      <c r="K9477" s="20" t="n">
        <v>196907</v>
      </c>
    </row>
    <row r="9478">
      <c r="A9478" s="20" t="inlineStr">
        <is>
          <t>[승무원]2019년썰 카드뉴스+ 향묘사_영상</t>
        </is>
      </c>
      <c r="B9478" s="27" t="n">
        <v>44347</v>
      </c>
      <c r="C9478" s="20" t="inlineStr">
        <is>
          <t>월</t>
        </is>
      </c>
      <c r="D9478" s="20" t="inlineStr">
        <is>
          <t>페이스북/인스타그램</t>
        </is>
      </c>
      <c r="E9478" s="20" t="inlineStr">
        <is>
          <t>고체향수</t>
        </is>
      </c>
      <c r="K9478" s="20" t="n">
        <v>29746</v>
      </c>
    </row>
    <row r="9479">
      <c r="A9479" s="20" t="inlineStr">
        <is>
          <t>[승무원어피]스테이포에버_이미지</t>
        </is>
      </c>
      <c r="B9479" s="27" t="n">
        <v>44347</v>
      </c>
      <c r="C9479" s="20" t="inlineStr">
        <is>
          <t>월</t>
        </is>
      </c>
      <c r="D9479" s="20" t="inlineStr">
        <is>
          <t>페이스북/인스타그램</t>
        </is>
      </c>
      <c r="E9479" s="20" t="inlineStr">
        <is>
          <t>고체향수</t>
        </is>
      </c>
      <c r="K9479" s="20" t="n">
        <v>75197</v>
      </c>
    </row>
    <row r="9480">
      <c r="A9480" s="20" t="inlineStr">
        <is>
          <t>[다현]스테이포에버_이미지</t>
        </is>
      </c>
      <c r="B9480" s="27" t="n">
        <v>44347</v>
      </c>
      <c r="C9480" s="20" t="inlineStr">
        <is>
          <t>월</t>
        </is>
      </c>
      <c r="D9480" s="20" t="inlineStr">
        <is>
          <t>페이스북/인스타그램</t>
        </is>
      </c>
      <c r="E9480" s="20" t="inlineStr">
        <is>
          <t>고체향수</t>
        </is>
      </c>
      <c r="K9480" s="20" t="n">
        <v>109031</v>
      </c>
    </row>
    <row r="9481">
      <c r="A9481" s="20" t="inlineStr">
        <is>
          <t>[후기타입]스테이포에버_영상</t>
        </is>
      </c>
      <c r="B9481" s="27" t="n">
        <v>44347</v>
      </c>
      <c r="C9481" s="20" t="inlineStr">
        <is>
          <t>월</t>
        </is>
      </c>
      <c r="D9481" s="20" t="inlineStr">
        <is>
          <t>페이스북/인스타그램</t>
        </is>
      </c>
      <c r="E9481" s="20" t="inlineStr">
        <is>
          <t>고체향수</t>
        </is>
      </c>
      <c r="K9481" s="20" t="n">
        <v>98628</v>
      </c>
    </row>
    <row r="9482">
      <c r="A9482" s="20" t="inlineStr">
        <is>
          <t>전환_스테이포에버</t>
        </is>
      </c>
      <c r="B9482" s="27" t="n">
        <v>44347</v>
      </c>
      <c r="C9482" s="20" t="inlineStr">
        <is>
          <t>월</t>
        </is>
      </c>
      <c r="D9482" s="20" t="inlineStr">
        <is>
          <t>페이스북/인스타그램</t>
        </is>
      </c>
      <c r="E9482" s="20" t="inlineStr">
        <is>
          <t>고체향수</t>
        </is>
      </c>
      <c r="K9482" s="20" t="n">
        <v>69208</v>
      </c>
    </row>
    <row r="9483">
      <c r="A9483" s="20" t="inlineStr">
        <is>
          <t>[권태기커플]스테이포에버_영상</t>
        </is>
      </c>
      <c r="B9483" s="27" t="n">
        <v>44347</v>
      </c>
      <c r="C9483" s="20" t="inlineStr">
        <is>
          <t>월</t>
        </is>
      </c>
      <c r="D9483" s="20" t="inlineStr">
        <is>
          <t>페이스북/인스타그램</t>
        </is>
      </c>
      <c r="E9483" s="20" t="inlineStr">
        <is>
          <t>고체향수</t>
        </is>
      </c>
      <c r="K9483" s="20" t="n">
        <v>29647</v>
      </c>
    </row>
    <row r="9484">
      <c r="A9484" s="20" t="inlineStr">
        <is>
          <t>웹사이트 트래픽 서치</t>
        </is>
      </c>
      <c r="B9484" s="27" t="n">
        <v>44347</v>
      </c>
      <c r="C9484" s="20" t="inlineStr">
        <is>
          <t>월</t>
        </is>
      </c>
      <c r="D9484" s="20" t="inlineStr">
        <is>
          <t>유튜브 광고</t>
        </is>
      </c>
      <c r="E9484" s="20" t="inlineStr">
        <is>
          <t>고체향수</t>
        </is>
      </c>
      <c r="K9484" s="20" t="n">
        <v>23208</v>
      </c>
    </row>
    <row r="9485">
      <c r="A9485" s="20" t="inlineStr">
        <is>
          <t>디스커버리 배너_승무원,할인_리마케팅</t>
        </is>
      </c>
      <c r="B9485" s="27" t="n">
        <v>44347</v>
      </c>
      <c r="C9485" s="20" t="inlineStr">
        <is>
          <t>월</t>
        </is>
      </c>
      <c r="D9485" s="20" t="inlineStr">
        <is>
          <t>유튜브 광고</t>
        </is>
      </c>
      <c r="E9485" s="20" t="inlineStr">
        <is>
          <t>고체향수</t>
        </is>
      </c>
      <c r="K9485" s="20" t="n">
        <v>905741</v>
      </c>
    </row>
    <row r="9486">
      <c r="A9486" s="20" t="inlineStr">
        <is>
          <t>동영상캠페인_승무원_써니스카이</t>
        </is>
      </c>
      <c r="B9486" s="27" t="n">
        <v>44347</v>
      </c>
      <c r="C9486" s="20" t="inlineStr">
        <is>
          <t>월</t>
        </is>
      </c>
      <c r="D9486" s="20" t="inlineStr">
        <is>
          <t>유튜브 광고</t>
        </is>
      </c>
      <c r="E9486" s="20" t="inlineStr">
        <is>
          <t>고체향수</t>
        </is>
      </c>
      <c r="K9486" s="20" t="n">
        <v>99607</v>
      </c>
    </row>
    <row r="9487">
      <c r="A9487" s="20" t="inlineStr">
        <is>
          <t>[5화자] 동영상 캠페인_벨라의 비행일기</t>
        </is>
      </c>
      <c r="B9487" s="27" t="n">
        <v>44347</v>
      </c>
      <c r="C9487" s="20" t="inlineStr">
        <is>
          <t>월</t>
        </is>
      </c>
      <c r="D9487" s="20" t="inlineStr">
        <is>
          <t>유튜브 광고</t>
        </is>
      </c>
      <c r="E9487" s="20" t="inlineStr">
        <is>
          <t>고체향수</t>
        </is>
      </c>
      <c r="K9487" s="20" t="n">
        <v>495539</v>
      </c>
    </row>
    <row r="9488">
      <c r="A9488" s="20" t="inlineStr">
        <is>
          <t>[5화자] 동영상 캠페인_비행하고 여행하는 은선씨</t>
        </is>
      </c>
      <c r="B9488" s="27" t="n">
        <v>44347</v>
      </c>
      <c r="C9488" s="20" t="inlineStr">
        <is>
          <t>월</t>
        </is>
      </c>
      <c r="D9488" s="20" t="inlineStr">
        <is>
          <t>유튜브 광고</t>
        </is>
      </c>
      <c r="E9488" s="20" t="inlineStr">
        <is>
          <t>고체향수</t>
        </is>
      </c>
      <c r="K9488" s="20" t="n">
        <v>149603</v>
      </c>
    </row>
    <row r="9489">
      <c r="A9489" s="20" t="inlineStr">
        <is>
          <t>[5화자 재편집] 승무원_벨라_면세점에서 천만원</t>
        </is>
      </c>
      <c r="B9489" s="27" t="n">
        <v>44347</v>
      </c>
      <c r="C9489" s="20" t="inlineStr">
        <is>
          <t>월</t>
        </is>
      </c>
      <c r="D9489" s="20" t="inlineStr">
        <is>
          <t>유튜브 광고</t>
        </is>
      </c>
      <c r="E9489" s="20" t="inlineStr">
        <is>
          <t>고체향수</t>
        </is>
      </c>
      <c r="K9489" s="20" t="n">
        <v>199316</v>
      </c>
    </row>
    <row r="9490">
      <c r="A9490" s="20" t="inlineStr">
        <is>
          <t>동영상캠페인_유즈모먼트_면세점뒤졌는데</t>
        </is>
      </c>
      <c r="B9490" s="27" t="n">
        <v>44347</v>
      </c>
      <c r="C9490" s="20" t="inlineStr">
        <is>
          <t>월</t>
        </is>
      </c>
      <c r="D9490" s="20" t="inlineStr">
        <is>
          <t>유튜브 광고</t>
        </is>
      </c>
      <c r="E9490" s="20" t="inlineStr">
        <is>
          <t>고체향수</t>
        </is>
      </c>
      <c r="K9490" s="20" t="n">
        <v>393494</v>
      </c>
    </row>
    <row r="9491">
      <c r="A9491" s="20" t="inlineStr">
        <is>
          <t>동영상캠페인_파우치털기&amp;결혼썰</t>
        </is>
      </c>
      <c r="B9491" s="27" t="n">
        <v>44347</v>
      </c>
      <c r="C9491" s="20" t="inlineStr">
        <is>
          <t>월</t>
        </is>
      </c>
      <c r="D9491" s="20" t="inlineStr">
        <is>
          <t>유튜브 광고</t>
        </is>
      </c>
      <c r="E9491" s="20" t="inlineStr">
        <is>
          <t>고체향수</t>
        </is>
      </c>
      <c r="K9491" s="20" t="n">
        <v>150257</v>
      </c>
    </row>
    <row r="9492">
      <c r="A9492" s="20" t="inlineStr">
        <is>
          <t>메인키워드</t>
        </is>
      </c>
      <c r="B9492" s="27" t="n">
        <v>44347</v>
      </c>
      <c r="C9492" s="20" t="inlineStr">
        <is>
          <t>월</t>
        </is>
      </c>
      <c r="D9492" s="20" t="inlineStr">
        <is>
          <t>네이버 쇼핑검색</t>
        </is>
      </c>
      <c r="E9492" s="20" t="inlineStr">
        <is>
          <t>고체향수</t>
        </is>
      </c>
      <c r="K9492" s="20" t="n">
        <v>13310</v>
      </c>
    </row>
    <row r="9493">
      <c r="A9493" s="20" t="inlineStr">
        <is>
          <t>세부키워드1</t>
        </is>
      </c>
      <c r="B9493" s="27" t="n">
        <v>44347</v>
      </c>
      <c r="C9493" s="20" t="inlineStr">
        <is>
          <t>월</t>
        </is>
      </c>
      <c r="D9493" s="20" t="inlineStr">
        <is>
          <t>네이버 쇼핑검색</t>
        </is>
      </c>
      <c r="E9493" s="20" t="inlineStr">
        <is>
          <t>고체향수</t>
        </is>
      </c>
      <c r="K9493" s="20" t="n">
        <v>550</v>
      </c>
    </row>
    <row r="9494">
      <c r="A9494" s="20" t="inlineStr">
        <is>
          <t>세부키워드3</t>
        </is>
      </c>
      <c r="B9494" s="27" t="n">
        <v>44347</v>
      </c>
      <c r="C9494" s="20" t="inlineStr">
        <is>
          <t>월</t>
        </is>
      </c>
      <c r="D9494" s="20" t="inlineStr">
        <is>
          <t>네이버 쇼핑검색</t>
        </is>
      </c>
      <c r="E9494" s="20" t="inlineStr">
        <is>
          <t>고체향수</t>
        </is>
      </c>
      <c r="K9494" s="20" t="n">
        <v>106720</v>
      </c>
    </row>
    <row r="9495">
      <c r="A9495" s="20" t="inlineStr">
        <is>
          <t>모바일 브검</t>
        </is>
      </c>
      <c r="B9495" s="27" t="n">
        <v>44347</v>
      </c>
      <c r="C9495" s="20" t="inlineStr">
        <is>
          <t>월</t>
        </is>
      </c>
      <c r="D9495" s="20" t="inlineStr">
        <is>
          <t>네이버 브랜드검색</t>
        </is>
      </c>
      <c r="E9495" s="20" t="inlineStr">
        <is>
          <t>브랜드</t>
        </is>
      </c>
      <c r="K9495" s="20" t="n">
        <v>88000</v>
      </c>
    </row>
    <row r="9496">
      <c r="A9496" s="20" t="inlineStr">
        <is>
          <t>PC 브랜드검색</t>
        </is>
      </c>
      <c r="B9496" s="27" t="n">
        <v>44347</v>
      </c>
      <c r="C9496" s="20" t="inlineStr">
        <is>
          <t>월</t>
        </is>
      </c>
      <c r="D9496" s="20" t="inlineStr">
        <is>
          <t>네이버 브랜드검색</t>
        </is>
      </c>
      <c r="E9496" s="20" t="inlineStr">
        <is>
          <t>브랜드</t>
        </is>
      </c>
      <c r="K9496" s="20" t="n">
        <v>16700</v>
      </c>
    </row>
    <row r="9497">
      <c r="B9497" s="27" t="n">
        <v>44347</v>
      </c>
      <c r="C9497" s="20" t="inlineStr">
        <is>
          <t>월</t>
        </is>
      </c>
      <c r="E9497" s="20" t="inlineStr">
        <is>
          <t>고체향수</t>
        </is>
      </c>
      <c r="F9497" s="20" t="inlineStr">
        <is>
          <t>W컨셉</t>
        </is>
      </c>
      <c r="G9497" s="20" t="inlineStr">
        <is>
          <t>솔리드퍼퓸 이그나이트/스테이포에버 30ml (2종 택1)&lt;옵션1&gt;002 STAY FOREVER</t>
        </is>
      </c>
      <c r="H9497" s="20" t="n">
        <v>11</v>
      </c>
      <c r="I9497" s="20" t="inlineStr">
        <is>
          <t>스테이포에버</t>
        </is>
      </c>
      <c r="J9497" s="20" t="inlineStr">
        <is>
          <t>210501</t>
        </is>
      </c>
      <c r="L9497" s="20" t="n">
        <v>374000</v>
      </c>
      <c r="M9497" s="20" t="n">
        <v>261800</v>
      </c>
      <c r="N9497" s="20" t="n">
        <v>28094</v>
      </c>
      <c r="O9497" s="20" t="inlineStr">
        <is>
          <t>W컨셉고체향수솔리드퍼퓸 이그나이트/스테이포에버 30ml (2종 택1)&lt;옵션1&gt;002 STAY FOREVER210501</t>
        </is>
      </c>
    </row>
    <row r="9498">
      <c r="B9498" s="27" t="n">
        <v>44347</v>
      </c>
      <c r="C9498" s="20" t="inlineStr">
        <is>
          <t>월</t>
        </is>
      </c>
      <c r="E9498" s="20" t="inlineStr">
        <is>
          <t>고체향수</t>
        </is>
      </c>
      <c r="F9498" s="20" t="inlineStr">
        <is>
          <t>W컨셉</t>
        </is>
      </c>
      <c r="G9498" s="20" t="inlineStr">
        <is>
          <t>솔리드퍼퓸 이그나이트/스테이포에버 30ml (2종 택1)&lt;옵션1&gt;IGNITE + STAY FOREVER</t>
        </is>
      </c>
      <c r="H9498" s="20" t="n">
        <v>3</v>
      </c>
      <c r="I9498" s="20" t="inlineStr">
        <is>
          <t>이그나이트 + 스테이포에버</t>
        </is>
      </c>
      <c r="J9498" s="20" t="inlineStr">
        <is>
          <t>210501</t>
        </is>
      </c>
      <c r="L9498" s="20" t="n">
        <v>176400</v>
      </c>
      <c r="M9498" s="20" t="n">
        <v>141120</v>
      </c>
      <c r="N9498" s="20" t="n">
        <v>15537</v>
      </c>
      <c r="O9498" s="20" t="inlineStr">
        <is>
          <t>W컨셉고체향수솔리드퍼퓸 이그나이트/스테이포에버 30ml (2종 택1)&lt;옵션1&gt;IGNITE + STAY FOREVER210501</t>
        </is>
      </c>
    </row>
    <row r="9499">
      <c r="B9499" s="27" t="n">
        <v>44347</v>
      </c>
      <c r="C9499" s="20" t="inlineStr">
        <is>
          <t>월</t>
        </is>
      </c>
      <c r="E9499" s="20" t="inlineStr">
        <is>
          <t>고체향수</t>
        </is>
      </c>
      <c r="F9499" s="20" t="inlineStr">
        <is>
          <t>스마트스토어</t>
        </is>
      </c>
      <c r="G9499" s="20" t="inlineStr">
        <is>
          <t>유즈 고체향수 세트(유즈 스테이포에버, 유즈 이그나이트)고체향수: 스테이포에버 1개 + 이그나이트 1개</t>
        </is>
      </c>
      <c r="H9499" s="20" t="n">
        <v>3</v>
      </c>
      <c r="I9499" s="20" t="inlineStr">
        <is>
          <t>이그나이트 + 스테이포에버</t>
        </is>
      </c>
      <c r="J9499" s="20" t="inlineStr">
        <is>
          <t>210501</t>
        </is>
      </c>
      <c r="L9499" s="20" t="n">
        <v>176400</v>
      </c>
      <c r="M9499" s="20" t="n">
        <v>166080.6</v>
      </c>
      <c r="N9499" s="20" t="n">
        <v>15537</v>
      </c>
      <c r="O9499" s="20" t="inlineStr">
        <is>
          <t>스마트스토어고체향수유즈 고체향수 세트(유즈 스테이포에버, 유즈 이그나이트)고체향수: 스테이포에버 1개 + 이그나이트 1개210501</t>
        </is>
      </c>
    </row>
    <row r="9500">
      <c r="B9500" s="27" t="n">
        <v>44347</v>
      </c>
      <c r="C9500" s="20" t="inlineStr">
        <is>
          <t>월</t>
        </is>
      </c>
      <c r="E9500" s="20" t="inlineStr">
        <is>
          <t>고체향수</t>
        </is>
      </c>
      <c r="F9500" s="20" t="inlineStr">
        <is>
          <t>스마트스토어</t>
        </is>
      </c>
      <c r="G9500" s="20" t="inlineStr">
        <is>
          <t>유즈 고체향수 스테이포에버 002고체향수: 스테이포에버 1개</t>
        </is>
      </c>
      <c r="H9500" s="20" t="n">
        <v>11</v>
      </c>
      <c r="I9500" s="20" t="inlineStr">
        <is>
          <t>스테이포에버</t>
        </is>
      </c>
      <c r="J9500" s="20" t="inlineStr">
        <is>
          <t>210501</t>
        </is>
      </c>
      <c r="L9500" s="20" t="n">
        <v>374000</v>
      </c>
      <c r="M9500" s="20" t="n">
        <v>366520</v>
      </c>
      <c r="N9500" s="20" t="n">
        <v>28094</v>
      </c>
      <c r="O9500" s="20" t="inlineStr">
        <is>
          <t>스마트스토어고체향수유즈 고체향수 스테이포에버 002고체향수: 스테이포에버 1개210501</t>
        </is>
      </c>
    </row>
    <row r="9501">
      <c r="B9501" s="27" t="n">
        <v>44347</v>
      </c>
      <c r="C9501" s="20" t="inlineStr">
        <is>
          <t>월</t>
        </is>
      </c>
      <c r="E9501" s="20" t="inlineStr">
        <is>
          <t>고체향수</t>
        </is>
      </c>
      <c r="F9501" s="20" t="inlineStr">
        <is>
          <t>카페24</t>
        </is>
      </c>
      <c r="G9501" s="20" t="inlineStr">
        <is>
          <t>솔리드퍼퓸 세트향=스테이포에버 002 SOLID PERFUME, 수량 선택=1개</t>
        </is>
      </c>
      <c r="H9501" s="20" t="n">
        <v>4</v>
      </c>
      <c r="I9501" s="20" t="inlineStr">
        <is>
          <t>스테이포에버</t>
        </is>
      </c>
      <c r="J9501" s="20" t="inlineStr">
        <is>
          <t>210501</t>
        </is>
      </c>
      <c r="L9501" s="20" t="n">
        <v>136000</v>
      </c>
      <c r="M9501" s="20" t="n">
        <v>128044</v>
      </c>
      <c r="N9501" s="20" t="n">
        <v>10216</v>
      </c>
      <c r="O9501" s="20" t="inlineStr">
        <is>
          <t>카페24고체향수솔리드퍼퓸 세트향=스테이포에버 002 SOLID PERFUME, 수량 선택=1개210501</t>
        </is>
      </c>
    </row>
    <row r="9502">
      <c r="B9502" s="27" t="n">
        <v>44347</v>
      </c>
      <c r="C9502" s="20" t="inlineStr">
        <is>
          <t>월</t>
        </is>
      </c>
      <c r="E9502" s="20" t="inlineStr">
        <is>
          <t>고체향수</t>
        </is>
      </c>
      <c r="F9502" s="20" t="inlineStr">
        <is>
          <t>카페24</t>
        </is>
      </c>
      <c r="G9502" s="20" t="inlineStr">
        <is>
          <t>솔리드퍼퓸 세트향=스테이포에버 002 SOLID PERFUME, 수량 선택=best 2개 (28% 할인)</t>
        </is>
      </c>
      <c r="H9502" s="20" t="n">
        <v>2</v>
      </c>
      <c r="I9502" s="20" t="inlineStr">
        <is>
          <t>스테이포에버 2set</t>
        </is>
      </c>
      <c r="J9502" s="20" t="inlineStr">
        <is>
          <t>210501</t>
        </is>
      </c>
      <c r="L9502" s="20" t="n">
        <v>117600</v>
      </c>
      <c r="M9502" s="20" t="n">
        <v>110720.4</v>
      </c>
      <c r="N9502" s="20" t="n">
        <v>10216</v>
      </c>
      <c r="O9502" s="20" t="inlineStr">
        <is>
          <t>카페24고체향수솔리드퍼퓸 세트향=스테이포에버 002 SOLID PERFUME, 수량 선택=best 2개 (28% 할인)210501</t>
        </is>
      </c>
    </row>
    <row r="9503">
      <c r="B9503" s="27" t="n">
        <v>44347</v>
      </c>
      <c r="C9503" s="20" t="inlineStr">
        <is>
          <t>월</t>
        </is>
      </c>
      <c r="E9503" s="20" t="inlineStr">
        <is>
          <t>고체향수</t>
        </is>
      </c>
      <c r="F9503" s="20" t="inlineStr">
        <is>
          <t>카페24</t>
        </is>
      </c>
      <c r="G9503" s="20" t="inlineStr">
        <is>
          <t>솔리드퍼퓸 세트향=스테이포에버 + 이그나이트 커플세트(기프트 박스), 수량 선택=1 SET (28% OFF)</t>
        </is>
      </c>
      <c r="H9503" s="20" t="n">
        <v>7</v>
      </c>
      <c r="I9503" s="20" t="inlineStr">
        <is>
          <t>이그나이트 + 스테이포에버(기프트 박스)</t>
        </is>
      </c>
      <c r="J9503" s="20" t="inlineStr">
        <is>
          <t>210501</t>
        </is>
      </c>
      <c r="L9503" s="20" t="n">
        <v>390600</v>
      </c>
      <c r="M9503" s="20" t="n">
        <v>367749.9</v>
      </c>
      <c r="N9503" s="20" t="n">
        <v>44457</v>
      </c>
      <c r="O9503" s="20" t="inlineStr">
        <is>
          <t>카페24고체향수솔리드퍼퓸 세트향=스테이포에버 + 이그나이트 커플세트(기프트 박스), 수량 선택=1 SET (28% OFF)210501</t>
        </is>
      </c>
    </row>
    <row r="9504">
      <c r="B9504" s="27" t="n">
        <v>44347</v>
      </c>
      <c r="C9504" s="20" t="inlineStr">
        <is>
          <t>월</t>
        </is>
      </c>
      <c r="E9504" s="20" t="inlineStr">
        <is>
          <t>고체향수</t>
        </is>
      </c>
      <c r="F9504" s="20" t="inlineStr">
        <is>
          <t>카페24</t>
        </is>
      </c>
      <c r="G9504" s="20" t="inlineStr">
        <is>
          <t>솔리드퍼퓸 세트향=스테이포에버 + 이그나이트 커플세트(기프트 박스), 수량 선택=2 SET (42% OFF)</t>
        </is>
      </c>
      <c r="H9504" s="20" t="n">
        <v>1</v>
      </c>
      <c r="I9504" s="20" t="inlineStr">
        <is>
          <t>이그나이트 + 스테이포에버(기프트 박스) 2set</t>
        </is>
      </c>
      <c r="J9504" s="20" t="inlineStr">
        <is>
          <t>210501</t>
        </is>
      </c>
      <c r="L9504" s="20" t="n">
        <v>94800</v>
      </c>
      <c r="M9504" s="20" t="n">
        <v>89254.2</v>
      </c>
      <c r="N9504" s="20" t="n">
        <v>12702</v>
      </c>
      <c r="O9504" s="20" t="inlineStr">
        <is>
          <t>카페24고체향수솔리드퍼퓸 세트향=스테이포에버 + 이그나이트 커플세트(기프트 박스), 수량 선택=2 SET (42% OFF)210501</t>
        </is>
      </c>
    </row>
    <row r="9505">
      <c r="B9505" s="27" t="n">
        <v>44347</v>
      </c>
      <c r="C9505" s="20" t="inlineStr">
        <is>
          <t>월</t>
        </is>
      </c>
      <c r="E9505" s="20" t="inlineStr">
        <is>
          <t>고체향수</t>
        </is>
      </c>
      <c r="F9505" s="20" t="inlineStr">
        <is>
          <t>카페24</t>
        </is>
      </c>
      <c r="G9505" s="20" t="inlineStr">
        <is>
          <t>솔리드퍼퓸 스테이포에버 002제품선택=스테이포에버 1개</t>
        </is>
      </c>
      <c r="H9505" s="20" t="n">
        <v>148</v>
      </c>
      <c r="I9505" s="20" t="inlineStr">
        <is>
          <t>스테이포에버</t>
        </is>
      </c>
      <c r="J9505" s="20" t="inlineStr">
        <is>
          <t>210501</t>
        </is>
      </c>
      <c r="L9505" s="20" t="n">
        <v>5032000</v>
      </c>
      <c r="M9505" s="20" t="n">
        <v>4737628</v>
      </c>
      <c r="N9505" s="20" t="n">
        <v>377992</v>
      </c>
      <c r="O9505" s="20" t="inlineStr">
        <is>
          <t>카페24고체향수솔리드퍼퓸 스테이포에버 002제품선택=스테이포에버 1개210501</t>
        </is>
      </c>
    </row>
    <row r="9506">
      <c r="B9506" s="27" t="n">
        <v>44347</v>
      </c>
      <c r="C9506" s="20" t="inlineStr">
        <is>
          <t>월</t>
        </is>
      </c>
      <c r="E9506" s="20" t="inlineStr">
        <is>
          <t>고체향수</t>
        </is>
      </c>
      <c r="F9506" s="20" t="inlineStr">
        <is>
          <t>카페24</t>
        </is>
      </c>
      <c r="G9506" s="20" t="inlineStr">
        <is>
          <t>솔리드퍼퓸 스테이포에버 002제품선택=best스테이포에버 2개[28% 할인]</t>
        </is>
      </c>
      <c r="H9506" s="20" t="n">
        <v>105</v>
      </c>
      <c r="I9506" s="20" t="inlineStr">
        <is>
          <t>스테이포에버 2set</t>
        </is>
      </c>
      <c r="J9506" s="20" t="inlineStr">
        <is>
          <t>210501</t>
        </is>
      </c>
      <c r="L9506" s="20" t="n">
        <v>6174000</v>
      </c>
      <c r="M9506" s="20" t="n">
        <v>5812821</v>
      </c>
      <c r="N9506" s="20" t="n">
        <v>536340</v>
      </c>
      <c r="O9506" s="20" t="inlineStr">
        <is>
          <t>카페24고체향수솔리드퍼퓸 스테이포에버 002제품선택=best스테이포에버 2개[28% 할인]210501</t>
        </is>
      </c>
    </row>
    <row r="9507">
      <c r="B9507" s="27" t="n">
        <v>44347</v>
      </c>
      <c r="C9507" s="20" t="inlineStr">
        <is>
          <t>월</t>
        </is>
      </c>
      <c r="E9507" s="20" t="inlineStr">
        <is>
          <t>고체향수</t>
        </is>
      </c>
      <c r="F9507" s="20" t="inlineStr">
        <is>
          <t>카페24</t>
        </is>
      </c>
      <c r="G9507" s="20" t="inlineStr">
        <is>
          <t>솔리드퍼퓸 스테이포에버 002제품선택=커플추천스테이포에버 + 이그나이트 세트</t>
        </is>
      </c>
      <c r="H9507" s="20" t="n">
        <v>12</v>
      </c>
      <c r="I9507" s="20" t="inlineStr">
        <is>
          <t>이그나이트 + 스테이포에버</t>
        </is>
      </c>
      <c r="J9507" s="20" t="inlineStr">
        <is>
          <t>210501</t>
        </is>
      </c>
      <c r="L9507" s="20" t="n">
        <v>705600</v>
      </c>
      <c r="M9507" s="20" t="n">
        <v>664322.3999999999</v>
      </c>
      <c r="N9507" s="20" t="n">
        <v>62148</v>
      </c>
      <c r="O9507" s="20" t="inlineStr">
        <is>
          <t>카페24고체향수솔리드퍼퓸 스테이포에버 002제품선택=커플추천스테이포에버 + 이그나이트 세트210501</t>
        </is>
      </c>
    </row>
    <row r="9508">
      <c r="B9508" s="27" t="n">
        <v>44347</v>
      </c>
      <c r="C9508" s="20" t="inlineStr">
        <is>
          <t>월</t>
        </is>
      </c>
      <c r="E9508" s="20" t="inlineStr">
        <is>
          <t>쇼핑백</t>
        </is>
      </c>
      <c r="F9508" s="20" t="inlineStr">
        <is>
          <t>카페24</t>
        </is>
      </c>
      <c r="G9508" s="20" t="inlineStr">
        <is>
          <t>솔리드퍼퓸 스테이포에버 002쇼핑백=선물용 쇼핑백</t>
        </is>
      </c>
      <c r="H9508" s="20" t="n">
        <v>9</v>
      </c>
      <c r="I9508" s="20" t="inlineStr">
        <is>
          <t>쇼핑백</t>
        </is>
      </c>
      <c r="J9508" s="20" t="inlineStr">
        <is>
          <t>210501</t>
        </is>
      </c>
      <c r="L9508" s="20" t="n">
        <v>18000</v>
      </c>
      <c r="M9508" s="20" t="n">
        <v>16947</v>
      </c>
      <c r="N9508" s="20" t="n">
        <v>7470</v>
      </c>
      <c r="O9508" s="20" t="inlineStr">
        <is>
          <t>카페24쇼핑백솔리드퍼퓸 스테이포에버 002쇼핑백=선물용 쇼핑백210501</t>
        </is>
      </c>
    </row>
    <row r="9509">
      <c r="B9509" s="27" t="n">
        <v>44347</v>
      </c>
      <c r="C9509" s="20" t="inlineStr">
        <is>
          <t>월</t>
        </is>
      </c>
      <c r="E9509" s="20" t="inlineStr">
        <is>
          <t>고체향수</t>
        </is>
      </c>
      <c r="F9509" s="20" t="inlineStr">
        <is>
          <t>카페24</t>
        </is>
      </c>
      <c r="G9509" s="20" t="inlineStr">
        <is>
          <t>솔리드퍼퓸 스페셜 기프트 세트제품 선택=Event 1솔리드퍼퓸 2종 set[40% 할인], 수량 선택=1개</t>
        </is>
      </c>
      <c r="H9509" s="20" t="n">
        <v>1</v>
      </c>
      <c r="I9509" s="20" t="inlineStr">
        <is>
          <t>5월 프로모션 이그나이트+스테이포에버</t>
        </is>
      </c>
      <c r="J9509" s="20" t="inlineStr">
        <is>
          <t>210501</t>
        </is>
      </c>
      <c r="L9509" s="20" t="n">
        <v>50400</v>
      </c>
      <c r="M9509" s="20" t="n">
        <v>47451.6</v>
      </c>
      <c r="N9509" s="20" t="n">
        <v>7162</v>
      </c>
      <c r="O9509" s="20" t="inlineStr">
        <is>
          <t>카페24고체향수솔리드퍼퓸 스페셜 기프트 세트제품 선택=Event 1솔리드퍼퓸 2종 set[40% 할인], 수량 선택=1개210501</t>
        </is>
      </c>
    </row>
    <row r="9510">
      <c r="B9510" s="27" t="n">
        <v>44347</v>
      </c>
      <c r="C9510" s="20" t="inlineStr">
        <is>
          <t>월</t>
        </is>
      </c>
      <c r="E9510" s="20" t="inlineStr">
        <is>
          <t>고체향수</t>
        </is>
      </c>
      <c r="F9510" s="20" t="inlineStr">
        <is>
          <t>카페24</t>
        </is>
      </c>
      <c r="G9510" s="20" t="inlineStr">
        <is>
          <t>솔리드퍼퓸 이그나이트 001제품선택=이그나이트 솔리드퍼퓸 - 30ml</t>
        </is>
      </c>
      <c r="H9510" s="20" t="n">
        <v>1</v>
      </c>
      <c r="I9510" s="20" t="inlineStr">
        <is>
          <t>이그나이트</t>
        </is>
      </c>
      <c r="J9510" s="20" t="inlineStr">
        <is>
          <t>210501</t>
        </is>
      </c>
      <c r="L9510" s="20" t="n">
        <v>34000</v>
      </c>
      <c r="M9510" s="20" t="n">
        <v>32011</v>
      </c>
      <c r="N9510" s="20" t="n">
        <v>2625</v>
      </c>
      <c r="O9510" s="20" t="inlineStr">
        <is>
          <t>카페24고체향수솔리드퍼퓸 이그나이트 001제품선택=이그나이트 솔리드퍼퓸 - 30ml210501</t>
        </is>
      </c>
    </row>
    <row r="9511">
      <c r="A9511" s="20" t="inlineStr">
        <is>
          <t>고체향수</t>
        </is>
      </c>
      <c r="B9511" s="27" t="n">
        <v>44347</v>
      </c>
      <c r="C9511" s="20" t="inlineStr">
        <is>
          <t>월</t>
        </is>
      </c>
      <c r="D9511" s="20" t="inlineStr">
        <is>
          <t>네이버 배너</t>
        </is>
      </c>
      <c r="E9511" s="20" t="inlineStr">
        <is>
          <t>고체향수</t>
        </is>
      </c>
      <c r="K9511" s="20" t="n">
        <v>520286.3636363636</v>
      </c>
    </row>
    <row r="9512" ht="17.55" customFormat="1" customHeight="1" s="20">
      <c r="B9512" s="27" t="n">
        <v>44347</v>
      </c>
      <c r="C9512" s="20" t="inlineStr">
        <is>
          <t>월</t>
        </is>
      </c>
      <c r="D9512" s="20" t="inlineStr">
        <is>
          <t>카카오 배너</t>
        </is>
      </c>
      <c r="E9512" s="20" t="inlineStr">
        <is>
          <t>고체향수</t>
        </is>
      </c>
      <c r="K9512" s="28">
        <f>903826/1.1</f>
        <v/>
      </c>
    </row>
    <row r="9513">
      <c r="B9513" s="27" t="n">
        <v>44347</v>
      </c>
      <c r="C9513" s="20" t="inlineStr">
        <is>
          <t>월</t>
        </is>
      </c>
      <c r="D9513" s="20" t="inlineStr">
        <is>
          <t>네이버 배너(대행사)</t>
        </is>
      </c>
      <c r="E9513" s="20" t="inlineStr">
        <is>
          <t>고체향수</t>
        </is>
      </c>
      <c r="K9513" s="20">
        <f>245852/1.1</f>
        <v/>
      </c>
      <c r="O9513" s="19" t="n"/>
    </row>
    <row r="9514">
      <c r="B9514" s="27" t="n">
        <v>44347</v>
      </c>
      <c r="C9514" s="20" t="inlineStr">
        <is>
          <t>월</t>
        </is>
      </c>
      <c r="E9514" s="19">
        <f>INDEX(매칭테이블!C:C,MATCH(RD!G9514,매칭테이블!D:D,0))</f>
        <v/>
      </c>
      <c r="F9514" s="20" t="inlineStr">
        <is>
          <t>올리브영</t>
        </is>
      </c>
      <c r="G9514" s="20" t="inlineStr">
        <is>
          <t>유즈 솔리드퍼퓸 001 이그나이트 30ml 30600 온라인</t>
        </is>
      </c>
      <c r="H9514" s="20" t="n">
        <v>5</v>
      </c>
      <c r="I9514" s="19">
        <f>VLOOKUP(G9514,매칭테이블!D:E,2,0)</f>
        <v/>
      </c>
      <c r="J9514" s="20" t="inlineStr">
        <is>
          <t>210501</t>
        </is>
      </c>
      <c r="L9514" s="19">
        <f>VLOOKUP($O9514,매칭테이블!$G:$J,2,0)*H9514</f>
        <v/>
      </c>
      <c r="M9514" s="19">
        <f>L9514-L9514*VLOOKUP($O9514,매칭테이블!$G:$J,3,0)</f>
        <v/>
      </c>
      <c r="N9514" s="19">
        <f>VLOOKUP($O9514,매칭테이블!$G:$J,4,0)*H9514</f>
        <v/>
      </c>
      <c r="O9514" s="19">
        <f>F9514&amp;E9514&amp;G9514&amp;J9514</f>
        <v/>
      </c>
    </row>
    <row r="9515">
      <c r="B9515" s="27" t="n">
        <v>44347</v>
      </c>
      <c r="C9515" s="20" t="inlineStr">
        <is>
          <t>월</t>
        </is>
      </c>
      <c r="E9515" s="19">
        <f>INDEX(매칭테이블!C:C,MATCH(RD!G9515,매칭테이블!D:D,0))</f>
        <v/>
      </c>
      <c r="F9515" s="20" t="inlineStr">
        <is>
          <t>올리브영</t>
        </is>
      </c>
      <c r="G9515" s="20" t="inlineStr">
        <is>
          <t>유즈 솔리드퍼퓸 002 스테이포에버 30ml 30600 온라인</t>
        </is>
      </c>
      <c r="H9515" s="20" t="n">
        <v>109</v>
      </c>
      <c r="I9515" s="19">
        <f>VLOOKUP(G9515,매칭테이블!D:E,2,0)</f>
        <v/>
      </c>
      <c r="J9515" s="20" t="inlineStr">
        <is>
          <t>210501</t>
        </is>
      </c>
      <c r="L9515" s="19">
        <f>VLOOKUP($O9515,매칭테이블!$G:$J,2,0)*H9515</f>
        <v/>
      </c>
      <c r="M9515" s="19">
        <f>L9515-L9515*VLOOKUP($O9515,매칭테이블!$G:$J,3,0)</f>
        <v/>
      </c>
      <c r="N9515" s="19">
        <f>VLOOKUP($O9515,매칭테이블!$G:$J,4,0)*H9515</f>
        <v/>
      </c>
      <c r="O9515" s="19">
        <f>F9515&amp;E9515&amp;G9515&amp;J9515</f>
        <v/>
      </c>
    </row>
    <row r="9516">
      <c r="A9516" s="20" t="inlineStr">
        <is>
          <t>[승무원] 유튜브재편집_스테이포에버_영상_2</t>
        </is>
      </c>
      <c r="B9516" s="27" t="n">
        <v>44348</v>
      </c>
      <c r="C9516" s="20" t="inlineStr">
        <is>
          <t>화</t>
        </is>
      </c>
      <c r="D9516" s="19">
        <f>VLOOKUP($A9516,매칭테이블!$B$548:$D$1048576,2,0)</f>
        <v/>
      </c>
      <c r="E9516" s="20" t="inlineStr">
        <is>
          <t>고체향수</t>
        </is>
      </c>
      <c r="K9516" s="20" t="n">
        <v>23801</v>
      </c>
    </row>
    <row r="9517">
      <c r="A9517" s="20" t="inlineStr">
        <is>
          <t>[수현 TEST] 이그나이트_이미지</t>
        </is>
      </c>
      <c r="B9517" s="27" t="n">
        <v>44348</v>
      </c>
      <c r="C9517" s="20" t="inlineStr">
        <is>
          <t>화</t>
        </is>
      </c>
      <c r="D9517" s="20" t="inlineStr">
        <is>
          <t>페이스북/인스타그램</t>
        </is>
      </c>
      <c r="E9517" s="20" t="inlineStr">
        <is>
          <t>고체향수</t>
        </is>
      </c>
      <c r="K9517" s="20" t="n">
        <v>30587</v>
      </c>
    </row>
    <row r="9518">
      <c r="A9518" s="20" t="inlineStr">
        <is>
          <t>[올리브영 알바] 스테이포에버_카드뉴스</t>
        </is>
      </c>
      <c r="B9518" s="27" t="n">
        <v>44348</v>
      </c>
      <c r="C9518" s="20" t="inlineStr">
        <is>
          <t>화</t>
        </is>
      </c>
      <c r="D9518" s="20" t="inlineStr">
        <is>
          <t>페이스북/인스타그램</t>
        </is>
      </c>
      <c r="E9518" s="20" t="inlineStr">
        <is>
          <t>고체향수</t>
        </is>
      </c>
      <c r="K9518" s="20" t="n">
        <v>100684</v>
      </c>
    </row>
    <row r="9519">
      <c r="A9519" s="20" t="inlineStr">
        <is>
          <t>[수현 TEST] 스테이포에버_이미지</t>
        </is>
      </c>
      <c r="B9519" s="27" t="n">
        <v>44348</v>
      </c>
      <c r="C9519" s="20" t="inlineStr">
        <is>
          <t>화</t>
        </is>
      </c>
      <c r="D9519" s="20" t="inlineStr">
        <is>
          <t>페이스북/인스타그램</t>
        </is>
      </c>
      <c r="E9519" s="20" t="inlineStr">
        <is>
          <t>고체향수</t>
        </is>
      </c>
      <c r="K9519" s="20" t="n">
        <v>49731</v>
      </c>
    </row>
    <row r="9520">
      <c r="A9520" s="20" t="inlineStr">
        <is>
          <t>[승은 TEST] 스테이포에버</t>
        </is>
      </c>
      <c r="B9520" s="27" t="n">
        <v>44348</v>
      </c>
      <c r="C9520" s="20" t="inlineStr">
        <is>
          <t>화</t>
        </is>
      </c>
      <c r="D9520" s="20" t="inlineStr">
        <is>
          <t>페이스북/인스타그램</t>
        </is>
      </c>
      <c r="E9520" s="20" t="inlineStr">
        <is>
          <t>고체향수</t>
        </is>
      </c>
      <c r="K9520" s="20" t="n">
        <v>52101</v>
      </c>
    </row>
    <row r="9521">
      <c r="A9521" s="20" t="inlineStr">
        <is>
          <t>[비누향 덕후] 스테이포에버_카드뉴스</t>
        </is>
      </c>
      <c r="B9521" s="27" t="n">
        <v>44348</v>
      </c>
      <c r="C9521" s="20" t="inlineStr">
        <is>
          <t>화</t>
        </is>
      </c>
      <c r="D9521" s="20" t="inlineStr">
        <is>
          <t>페이스북/인스타그램</t>
        </is>
      </c>
      <c r="E9521" s="20" t="inlineStr">
        <is>
          <t>고체향수</t>
        </is>
      </c>
      <c r="K9521" s="20" t="n">
        <v>150828</v>
      </c>
    </row>
    <row r="9522">
      <c r="A9522" s="20" t="inlineStr">
        <is>
          <t>[승무원]유튜브_스테이포에버_카드뉴스</t>
        </is>
      </c>
      <c r="B9522" s="27" t="n">
        <v>44348</v>
      </c>
      <c r="C9522" s="20" t="inlineStr">
        <is>
          <t>화</t>
        </is>
      </c>
      <c r="D9522" s="20" t="inlineStr">
        <is>
          <t>페이스북/인스타그램</t>
        </is>
      </c>
      <c r="E9522" s="20" t="inlineStr">
        <is>
          <t>고체향수</t>
        </is>
      </c>
      <c r="K9522" s="20" t="n">
        <v>50009</v>
      </c>
    </row>
    <row r="9523">
      <c r="A9523" s="20" t="inlineStr">
        <is>
          <t>[올리브영] 이그나이트_영상</t>
        </is>
      </c>
      <c r="B9523" s="27" t="n">
        <v>44348</v>
      </c>
      <c r="C9523" s="20" t="inlineStr">
        <is>
          <t>화</t>
        </is>
      </c>
      <c r="D9523" s="20" t="inlineStr">
        <is>
          <t>페이스북/인스타그램</t>
        </is>
      </c>
      <c r="E9523" s="20" t="inlineStr">
        <is>
          <t>고체향수</t>
        </is>
      </c>
      <c r="K9523" s="20" t="n">
        <v>29915</v>
      </c>
    </row>
    <row r="9524">
      <c r="A9524" s="20" t="inlineStr">
        <is>
          <t>[승희] 솔리드퍼퓸_이미지</t>
        </is>
      </c>
      <c r="B9524" s="27" t="n">
        <v>44348</v>
      </c>
      <c r="C9524" s="20" t="inlineStr">
        <is>
          <t>화</t>
        </is>
      </c>
      <c r="D9524" s="19">
        <f>VLOOKUP($A9524,매칭테이블!$B$548:$D$1048576,2,0)</f>
        <v/>
      </c>
      <c r="E9524" s="20" t="inlineStr">
        <is>
          <t>고체향수</t>
        </is>
      </c>
      <c r="K9524" s="20" t="n">
        <v>61556</v>
      </c>
    </row>
    <row r="9525">
      <c r="A9525" s="20" t="inlineStr">
        <is>
          <t>[올리브영] 스테이포에버_영상</t>
        </is>
      </c>
      <c r="B9525" s="27" t="n">
        <v>44348</v>
      </c>
      <c r="C9525" s="20" t="inlineStr">
        <is>
          <t>화</t>
        </is>
      </c>
      <c r="D9525" s="20" t="inlineStr">
        <is>
          <t>페이스북/인스타그램</t>
        </is>
      </c>
      <c r="E9525" s="20" t="inlineStr">
        <is>
          <t>고체향수</t>
        </is>
      </c>
      <c r="K9525" s="20" t="n">
        <v>50426</v>
      </c>
    </row>
    <row r="9526">
      <c r="A9526" s="20" t="inlineStr">
        <is>
          <t>[올리브영] 스테이포에버_이미지</t>
        </is>
      </c>
      <c r="B9526" s="27" t="n">
        <v>44348</v>
      </c>
      <c r="C9526" s="20" t="inlineStr">
        <is>
          <t>화</t>
        </is>
      </c>
      <c r="D9526" s="20" t="inlineStr">
        <is>
          <t>페이스북/인스타그램</t>
        </is>
      </c>
      <c r="E9526" s="20" t="inlineStr">
        <is>
          <t>고체향수</t>
        </is>
      </c>
      <c r="K9526" s="20" t="n">
        <v>29248</v>
      </c>
    </row>
    <row r="9527">
      <c r="A9527" s="20" t="inlineStr">
        <is>
          <t>[승무원] 유튜브재편집_스테이포에버_영상</t>
        </is>
      </c>
      <c r="B9527" s="27" t="n">
        <v>44348</v>
      </c>
      <c r="C9527" s="20" t="inlineStr">
        <is>
          <t>화</t>
        </is>
      </c>
      <c r="D9527" s="20" t="inlineStr">
        <is>
          <t>페이스북/인스타그램</t>
        </is>
      </c>
      <c r="E9527" s="20" t="inlineStr">
        <is>
          <t>고체향수</t>
        </is>
      </c>
      <c r="K9527" s="20" t="n">
        <v>564502</v>
      </c>
    </row>
    <row r="9528">
      <c r="A9528" s="20" t="inlineStr">
        <is>
          <t>[승무원 면세점] 스테이포에버_카드뉴스</t>
        </is>
      </c>
      <c r="B9528" s="27" t="n">
        <v>44348</v>
      </c>
      <c r="C9528" s="20" t="inlineStr">
        <is>
          <t>화</t>
        </is>
      </c>
      <c r="D9528" s="20" t="inlineStr">
        <is>
          <t>페이스북/인스타그램</t>
        </is>
      </c>
      <c r="E9528" s="20" t="inlineStr">
        <is>
          <t>고체향수</t>
        </is>
      </c>
      <c r="K9528" s="20" t="n">
        <v>147665</v>
      </c>
    </row>
    <row r="9529">
      <c r="A9529" s="20" t="inlineStr">
        <is>
          <t>[카페알바] 스테이포에버_카드뉴스</t>
        </is>
      </c>
      <c r="B9529" s="27" t="n">
        <v>44348</v>
      </c>
      <c r="C9529" s="20" t="inlineStr">
        <is>
          <t>화</t>
        </is>
      </c>
      <c r="D9529" s="20" t="inlineStr">
        <is>
          <t>페이스북/인스타그램</t>
        </is>
      </c>
      <c r="E9529" s="20" t="inlineStr">
        <is>
          <t>고체향수</t>
        </is>
      </c>
      <c r="K9529" s="20" t="n">
        <v>201090</v>
      </c>
    </row>
    <row r="9530">
      <c r="A9530" s="20" t="inlineStr">
        <is>
          <t>[아줌마]스테이포에버_이미지</t>
        </is>
      </c>
      <c r="B9530" s="27" t="n">
        <v>44348</v>
      </c>
      <c r="C9530" s="20" t="inlineStr">
        <is>
          <t>화</t>
        </is>
      </c>
      <c r="D9530" s="20" t="inlineStr">
        <is>
          <t>페이스북/인스타그램</t>
        </is>
      </c>
      <c r="E9530" s="20" t="inlineStr">
        <is>
          <t>고체향수</t>
        </is>
      </c>
      <c r="K9530" s="20" t="n">
        <v>50529</v>
      </c>
    </row>
    <row r="9531">
      <c r="A9531" s="20" t="inlineStr">
        <is>
          <t>[다양한 키워드] 스테이포에버_이미지</t>
        </is>
      </c>
      <c r="B9531" s="27" t="n">
        <v>44348</v>
      </c>
      <c r="C9531" s="20" t="inlineStr">
        <is>
          <t>화</t>
        </is>
      </c>
      <c r="D9531" s="20" t="inlineStr">
        <is>
          <t>페이스북/인스타그램</t>
        </is>
      </c>
      <c r="E9531" s="20" t="inlineStr">
        <is>
          <t>고체향수</t>
        </is>
      </c>
      <c r="K9531" s="20" t="n">
        <v>70048</v>
      </c>
    </row>
    <row r="9532">
      <c r="A9532" s="20" t="inlineStr">
        <is>
          <t>[재입고]스테이포에버_이미지</t>
        </is>
      </c>
      <c r="B9532" s="27" t="n">
        <v>44348</v>
      </c>
      <c r="C9532" s="20" t="inlineStr">
        <is>
          <t>화</t>
        </is>
      </c>
      <c r="D9532" s="20" t="inlineStr">
        <is>
          <t>페이스북/인스타그램</t>
        </is>
      </c>
      <c r="E9532" s="20" t="inlineStr">
        <is>
          <t>고체향수</t>
        </is>
      </c>
      <c r="K9532" s="20" t="n">
        <v>30443</v>
      </c>
    </row>
    <row r="9533">
      <c r="A9533" s="20" t="inlineStr">
        <is>
          <t>[승무원]숏폼_영상</t>
        </is>
      </c>
      <c r="B9533" s="27" t="n">
        <v>44348</v>
      </c>
      <c r="C9533" s="20" t="inlineStr">
        <is>
          <t>화</t>
        </is>
      </c>
      <c r="D9533" s="20" t="inlineStr">
        <is>
          <t>페이스북/인스타그램</t>
        </is>
      </c>
      <c r="E9533" s="20" t="inlineStr">
        <is>
          <t>고체향수</t>
        </is>
      </c>
      <c r="K9533" s="20" t="n">
        <v>29392</v>
      </c>
    </row>
    <row r="9534">
      <c r="A9534" s="20" t="inlineStr">
        <is>
          <t>[재입고]스테이포에버_영상</t>
        </is>
      </c>
      <c r="B9534" s="27" t="n">
        <v>44348</v>
      </c>
      <c r="C9534" s="20" t="inlineStr">
        <is>
          <t>화</t>
        </is>
      </c>
      <c r="D9534" s="20" t="inlineStr">
        <is>
          <t>페이스북/인스타그램</t>
        </is>
      </c>
      <c r="E9534" s="20" t="inlineStr">
        <is>
          <t>고체향수</t>
        </is>
      </c>
      <c r="K9534" s="20" t="n">
        <v>200944</v>
      </c>
    </row>
    <row r="9535">
      <c r="A9535" s="20" t="inlineStr">
        <is>
          <t>[승무원]2019년썰 카드뉴스+ 향묘사_영상</t>
        </is>
      </c>
      <c r="B9535" s="27" t="n">
        <v>44348</v>
      </c>
      <c r="C9535" s="20" t="inlineStr">
        <is>
          <t>화</t>
        </is>
      </c>
      <c r="D9535" s="20" t="inlineStr">
        <is>
          <t>페이스북/인스타그램</t>
        </is>
      </c>
      <c r="E9535" s="20" t="inlineStr">
        <is>
          <t>고체향수</t>
        </is>
      </c>
      <c r="K9535" s="20" t="n">
        <v>32172</v>
      </c>
    </row>
    <row r="9536">
      <c r="A9536" s="20" t="inlineStr">
        <is>
          <t>[승무원어피]스테이포에버_이미지</t>
        </is>
      </c>
      <c r="B9536" s="27" t="n">
        <v>44348</v>
      </c>
      <c r="C9536" s="20" t="inlineStr">
        <is>
          <t>화</t>
        </is>
      </c>
      <c r="D9536" s="20" t="inlineStr">
        <is>
          <t>페이스북/인스타그램</t>
        </is>
      </c>
      <c r="E9536" s="20" t="inlineStr">
        <is>
          <t>고체향수</t>
        </is>
      </c>
      <c r="K9536" s="20" t="n">
        <v>68778</v>
      </c>
    </row>
    <row r="9537">
      <c r="A9537" s="20" t="inlineStr">
        <is>
          <t>[다현]스테이포에버_이미지</t>
        </is>
      </c>
      <c r="B9537" s="27" t="n">
        <v>44348</v>
      </c>
      <c r="C9537" s="20" t="inlineStr">
        <is>
          <t>화</t>
        </is>
      </c>
      <c r="D9537" s="20" t="inlineStr">
        <is>
          <t>페이스북/인스타그램</t>
        </is>
      </c>
      <c r="E9537" s="20" t="inlineStr">
        <is>
          <t>고체향수</t>
        </is>
      </c>
      <c r="K9537" s="20" t="n">
        <v>100253</v>
      </c>
    </row>
    <row r="9538">
      <c r="A9538" s="20" t="inlineStr">
        <is>
          <t>[후기타입]스테이포에버_영상</t>
        </is>
      </c>
      <c r="B9538" s="27" t="n">
        <v>44348</v>
      </c>
      <c r="C9538" s="20" t="inlineStr">
        <is>
          <t>화</t>
        </is>
      </c>
      <c r="D9538" s="20" t="inlineStr">
        <is>
          <t>페이스북/인스타그램</t>
        </is>
      </c>
      <c r="E9538" s="20" t="inlineStr">
        <is>
          <t>고체향수</t>
        </is>
      </c>
      <c r="K9538" s="20" t="n">
        <v>99962</v>
      </c>
    </row>
    <row r="9539">
      <c r="A9539" s="20" t="inlineStr">
        <is>
          <t>전환_스테이포에버</t>
        </is>
      </c>
      <c r="B9539" s="27" t="n">
        <v>44348</v>
      </c>
      <c r="C9539" s="20" t="inlineStr">
        <is>
          <t>화</t>
        </is>
      </c>
      <c r="D9539" s="20" t="inlineStr">
        <is>
          <t>페이스북/인스타그램</t>
        </is>
      </c>
      <c r="E9539" s="20" t="inlineStr">
        <is>
          <t>고체향수</t>
        </is>
      </c>
      <c r="K9539" s="20" t="n">
        <v>72217</v>
      </c>
    </row>
    <row r="9540">
      <c r="A9540" s="20" t="inlineStr">
        <is>
          <t>[권태기커플]스테이포에버_영상</t>
        </is>
      </c>
      <c r="B9540" s="27" t="n">
        <v>44348</v>
      </c>
      <c r="C9540" s="20" t="inlineStr">
        <is>
          <t>화</t>
        </is>
      </c>
      <c r="D9540" s="20" t="inlineStr">
        <is>
          <t>페이스북/인스타그램</t>
        </is>
      </c>
      <c r="E9540" s="20" t="inlineStr">
        <is>
          <t>고체향수</t>
        </is>
      </c>
      <c r="K9540" s="20" t="n">
        <v>29943</v>
      </c>
    </row>
    <row r="9541">
      <c r="A9541" s="20" t="inlineStr">
        <is>
          <t>웹사이트 트래픽 서치</t>
        </is>
      </c>
      <c r="B9541" s="27" t="n">
        <v>44348</v>
      </c>
      <c r="C9541" s="20" t="inlineStr">
        <is>
          <t>화</t>
        </is>
      </c>
      <c r="D9541" s="20" t="inlineStr">
        <is>
          <t>유튜브 광고</t>
        </is>
      </c>
      <c r="E9541" s="20" t="inlineStr">
        <is>
          <t>고체향수</t>
        </is>
      </c>
      <c r="K9541" s="20" t="n">
        <v>40926</v>
      </c>
    </row>
    <row r="9542">
      <c r="A9542" s="20" t="inlineStr">
        <is>
          <t>디스커버리 배너_승무원,할인_리마케팅</t>
        </is>
      </c>
      <c r="B9542" s="27" t="n">
        <v>44348</v>
      </c>
      <c r="C9542" s="20" t="inlineStr">
        <is>
          <t>화</t>
        </is>
      </c>
      <c r="D9542" s="20" t="inlineStr">
        <is>
          <t>유튜브 광고</t>
        </is>
      </c>
      <c r="E9542" s="20" t="inlineStr">
        <is>
          <t>고체향수</t>
        </is>
      </c>
      <c r="K9542" s="20" t="n">
        <v>1084584</v>
      </c>
    </row>
    <row r="9543">
      <c r="A9543" s="20" t="inlineStr">
        <is>
          <t>동영상캠페인_승무원_써니스카이</t>
        </is>
      </c>
      <c r="B9543" s="27" t="n">
        <v>44348</v>
      </c>
      <c r="C9543" s="20" t="inlineStr">
        <is>
          <t>화</t>
        </is>
      </c>
      <c r="D9543" s="20" t="inlineStr">
        <is>
          <t>유튜브 광고</t>
        </is>
      </c>
      <c r="E9543" s="20" t="inlineStr">
        <is>
          <t>고체향수</t>
        </is>
      </c>
      <c r="K9543" s="20" t="n">
        <v>66321</v>
      </c>
    </row>
    <row r="9544">
      <c r="A9544" s="20" t="inlineStr">
        <is>
          <t>[5화자] 동영상 캠페인_벨라의 비행일기</t>
        </is>
      </c>
      <c r="B9544" s="27" t="n">
        <v>44348</v>
      </c>
      <c r="C9544" s="20" t="inlineStr">
        <is>
          <t>화</t>
        </is>
      </c>
      <c r="D9544" s="20" t="inlineStr">
        <is>
          <t>유튜브 광고</t>
        </is>
      </c>
      <c r="E9544" s="20" t="inlineStr">
        <is>
          <t>고체향수</t>
        </is>
      </c>
      <c r="K9544" s="20" t="n">
        <v>511962</v>
      </c>
    </row>
    <row r="9545">
      <c r="A9545" s="20" t="inlineStr">
        <is>
          <t>[5화자] 동영상 캠페인_비행하고 여행하는 은선씨</t>
        </is>
      </c>
      <c r="B9545" s="27" t="n">
        <v>44348</v>
      </c>
      <c r="C9545" s="20" t="inlineStr">
        <is>
          <t>화</t>
        </is>
      </c>
      <c r="D9545" s="20" t="inlineStr">
        <is>
          <t>유튜브 광고</t>
        </is>
      </c>
      <c r="E9545" s="20" t="inlineStr">
        <is>
          <t>고체향수</t>
        </is>
      </c>
      <c r="K9545" s="20" t="n">
        <v>252528</v>
      </c>
    </row>
    <row r="9546">
      <c r="A9546" s="20" t="inlineStr">
        <is>
          <t>[5화자 재편집] 승무원_벨라_면세점에서 천만원</t>
        </is>
      </c>
      <c r="B9546" s="27" t="n">
        <v>44348</v>
      </c>
      <c r="C9546" s="20" t="inlineStr">
        <is>
          <t>화</t>
        </is>
      </c>
      <c r="D9546" s="20" t="inlineStr">
        <is>
          <t>유튜브 광고</t>
        </is>
      </c>
      <c r="E9546" s="20" t="inlineStr">
        <is>
          <t>고체향수</t>
        </is>
      </c>
      <c r="K9546" s="20" t="n">
        <v>204640</v>
      </c>
    </row>
    <row r="9547">
      <c r="A9547" s="20" t="inlineStr">
        <is>
          <t>동영상캠페인_유즈모먼트_면세점뒤졌는데</t>
        </is>
      </c>
      <c r="B9547" s="27" t="n">
        <v>44348</v>
      </c>
      <c r="C9547" s="20" t="inlineStr">
        <is>
          <t>화</t>
        </is>
      </c>
      <c r="D9547" s="20" t="inlineStr">
        <is>
          <t>유튜브 광고</t>
        </is>
      </c>
      <c r="E9547" s="20" t="inlineStr">
        <is>
          <t>고체향수</t>
        </is>
      </c>
      <c r="K9547" s="20" t="n">
        <v>410076</v>
      </c>
    </row>
    <row r="9548">
      <c r="A9548" s="20" t="inlineStr">
        <is>
          <t>동영상캠페인_파우치털기&amp;결혼썰</t>
        </is>
      </c>
      <c r="B9548" s="27" t="n">
        <v>44348</v>
      </c>
      <c r="C9548" s="20" t="inlineStr">
        <is>
          <t>화</t>
        </is>
      </c>
      <c r="D9548" s="20" t="inlineStr">
        <is>
          <t>유튜브 광고</t>
        </is>
      </c>
      <c r="E9548" s="20" t="inlineStr">
        <is>
          <t>고체향수</t>
        </is>
      </c>
      <c r="K9548" s="20" t="n">
        <v>303095</v>
      </c>
    </row>
    <row r="9549">
      <c r="A9549" s="20" t="inlineStr">
        <is>
          <t>메인키워드</t>
        </is>
      </c>
      <c r="B9549" s="27" t="n">
        <v>44348</v>
      </c>
      <c r="C9549" s="20" t="inlineStr">
        <is>
          <t>화</t>
        </is>
      </c>
      <c r="D9549" s="20" t="inlineStr">
        <is>
          <t>네이버 쇼핑검색</t>
        </is>
      </c>
      <c r="E9549" s="20" t="inlineStr">
        <is>
          <t>고체향수</t>
        </is>
      </c>
      <c r="K9549" s="20" t="n">
        <v>9490</v>
      </c>
    </row>
    <row r="9550">
      <c r="A9550" s="20" t="inlineStr">
        <is>
          <t>세부키워드1</t>
        </is>
      </c>
      <c r="B9550" s="27" t="n">
        <v>44348</v>
      </c>
      <c r="C9550" s="20" t="inlineStr">
        <is>
          <t>화</t>
        </is>
      </c>
      <c r="D9550" s="20" t="inlineStr">
        <is>
          <t>네이버 쇼핑검색</t>
        </is>
      </c>
      <c r="E9550" s="20" t="inlineStr">
        <is>
          <t>고체향수</t>
        </is>
      </c>
      <c r="K9550" s="20" t="n">
        <v>0</v>
      </c>
    </row>
    <row r="9551">
      <c r="A9551" s="20" t="inlineStr">
        <is>
          <t>세부키워드3</t>
        </is>
      </c>
      <c r="B9551" s="27" t="n">
        <v>44348</v>
      </c>
      <c r="C9551" s="20" t="inlineStr">
        <is>
          <t>화</t>
        </is>
      </c>
      <c r="D9551" s="20" t="inlineStr">
        <is>
          <t>네이버 쇼핑검색</t>
        </is>
      </c>
      <c r="E9551" s="20" t="inlineStr">
        <is>
          <t>고체향수</t>
        </is>
      </c>
      <c r="K9551" s="20" t="n">
        <v>126690</v>
      </c>
    </row>
    <row r="9552">
      <c r="A9552" s="20" t="inlineStr">
        <is>
          <t>모바일 브검</t>
        </is>
      </c>
      <c r="B9552" s="27" t="n">
        <v>44348</v>
      </c>
      <c r="C9552" s="20" t="inlineStr">
        <is>
          <t>화</t>
        </is>
      </c>
      <c r="D9552" s="20" t="inlineStr">
        <is>
          <t>네이버 브랜드검색</t>
        </is>
      </c>
      <c r="E9552" s="20" t="inlineStr">
        <is>
          <t>브랜드</t>
        </is>
      </c>
      <c r="K9552" s="20" t="n">
        <v>88000</v>
      </c>
    </row>
    <row r="9553">
      <c r="A9553" s="20" t="inlineStr">
        <is>
          <t>PC 브랜드검색</t>
        </is>
      </c>
      <c r="B9553" s="27" t="n">
        <v>44348</v>
      </c>
      <c r="C9553" s="20" t="inlineStr">
        <is>
          <t>화</t>
        </is>
      </c>
      <c r="D9553" s="20" t="inlineStr">
        <is>
          <t>네이버 브랜드검색</t>
        </is>
      </c>
      <c r="E9553" s="20" t="inlineStr">
        <is>
          <t>브랜드</t>
        </is>
      </c>
      <c r="K9553" s="20" t="n">
        <v>16700</v>
      </c>
    </row>
    <row r="9554">
      <c r="B9554" s="27" t="n">
        <v>44348</v>
      </c>
      <c r="C9554" s="20" t="inlineStr">
        <is>
          <t>화</t>
        </is>
      </c>
      <c r="E9554" s="20" t="inlineStr">
        <is>
          <t>고체향수</t>
        </is>
      </c>
      <c r="F9554" s="20" t="inlineStr">
        <is>
          <t>W컨셉</t>
        </is>
      </c>
      <c r="G9554" s="20" t="inlineStr">
        <is>
          <t>솔리드퍼퓸 이그나이트/스테이포에버 30ml (2종 택1)&lt;옵션1&gt;002 STAY FOREVER</t>
        </is>
      </c>
      <c r="H9554" s="20" t="n">
        <v>1</v>
      </c>
      <c r="I9554" s="20" t="inlineStr">
        <is>
          <t>스테이포에버</t>
        </is>
      </c>
      <c r="J9554" s="20" t="inlineStr">
        <is>
          <t>210501</t>
        </is>
      </c>
      <c r="L9554" s="20" t="n">
        <v>34000</v>
      </c>
      <c r="M9554" s="20" t="n">
        <v>23800</v>
      </c>
      <c r="N9554" s="20" t="n">
        <v>2554</v>
      </c>
      <c r="O9554" s="20" t="inlineStr">
        <is>
          <t>W컨셉고체향수솔리드퍼퓸 이그나이트/스테이포에버 30ml (2종 택1)&lt;옵션1&gt;002 STAY FOREVER210501</t>
        </is>
      </c>
    </row>
    <row r="9555">
      <c r="B9555" s="27" t="n">
        <v>44348</v>
      </c>
      <c r="C9555" s="20" t="inlineStr">
        <is>
          <t>화</t>
        </is>
      </c>
      <c r="E9555" s="20" t="inlineStr">
        <is>
          <t>고체향수</t>
        </is>
      </c>
      <c r="F9555" s="20" t="inlineStr">
        <is>
          <t>W컨셉</t>
        </is>
      </c>
      <c r="G9555" s="20" t="inlineStr">
        <is>
          <t>솔리드퍼퓸 이그나이트/스테이포에버 30ml (2종 택1)&lt;옵션1&gt;IGNITE + STAY FOREVER</t>
        </is>
      </c>
      <c r="H9555" s="20" t="n">
        <v>1</v>
      </c>
      <c r="I9555" s="20" t="inlineStr">
        <is>
          <t>이그나이트 + 스테이포에버</t>
        </is>
      </c>
      <c r="J9555" s="20" t="inlineStr">
        <is>
          <t>210501</t>
        </is>
      </c>
      <c r="L9555" s="20" t="n">
        <v>58800</v>
      </c>
      <c r="M9555" s="20" t="n">
        <v>47040</v>
      </c>
      <c r="N9555" s="20" t="n">
        <v>5179</v>
      </c>
      <c r="O9555" s="20" t="inlineStr">
        <is>
          <t>W컨셉고체향수솔리드퍼퓸 이그나이트/스테이포에버 30ml (2종 택1)&lt;옵션1&gt;IGNITE + STAY FOREVER210501</t>
        </is>
      </c>
    </row>
    <row r="9556">
      <c r="B9556" s="27" t="n">
        <v>44348</v>
      </c>
      <c r="C9556" s="20" t="inlineStr">
        <is>
          <t>화</t>
        </is>
      </c>
      <c r="E9556" s="20" t="inlineStr">
        <is>
          <t>고체향수</t>
        </is>
      </c>
      <c r="F9556" s="20" t="inlineStr">
        <is>
          <t>스마트스토어</t>
        </is>
      </c>
      <c r="G9556" s="20" t="inlineStr">
        <is>
          <t>유즈 고체향수 세트(유즈 스테이포에버, 유즈 이그나이트)고체향수: 스테이포에버 1개 + 이그나이트 1개</t>
        </is>
      </c>
      <c r="H9556" s="20" t="n">
        <v>3</v>
      </c>
      <c r="I9556" s="20" t="inlineStr">
        <is>
          <t>이그나이트 + 스테이포에버</t>
        </is>
      </c>
      <c r="J9556" s="20" t="inlineStr">
        <is>
          <t>210501</t>
        </is>
      </c>
      <c r="L9556" s="20" t="n">
        <v>176400</v>
      </c>
      <c r="M9556" s="20" t="n">
        <v>166080.6</v>
      </c>
      <c r="N9556" s="20" t="n">
        <v>15537</v>
      </c>
      <c r="O9556" s="20" t="inlineStr">
        <is>
          <t>스마트스토어고체향수유즈 고체향수 세트(유즈 스테이포에버, 유즈 이그나이트)고체향수: 스테이포에버 1개 + 이그나이트 1개210501</t>
        </is>
      </c>
    </row>
    <row r="9557">
      <c r="B9557" s="27" t="n">
        <v>44348</v>
      </c>
      <c r="C9557" s="20" t="inlineStr">
        <is>
          <t>화</t>
        </is>
      </c>
      <c r="E9557" s="20" t="inlineStr">
        <is>
          <t>고체향수</t>
        </is>
      </c>
      <c r="F9557" s="20" t="inlineStr">
        <is>
          <t>스마트스토어</t>
        </is>
      </c>
      <c r="G9557" s="20" t="inlineStr">
        <is>
          <t>유즈 고체향수 세트(유즈 스테이포에버, 유즈 이그나이트)고체향수: 스테이포에버 2개</t>
        </is>
      </c>
      <c r="H9557" s="20" t="n">
        <v>2</v>
      </c>
      <c r="I9557" s="20" t="inlineStr">
        <is>
          <t>스테이포에버 2set</t>
        </is>
      </c>
      <c r="J9557" s="20" t="inlineStr">
        <is>
          <t>210501</t>
        </is>
      </c>
      <c r="L9557" s="20" t="n">
        <v>117600</v>
      </c>
      <c r="M9557" s="20" t="n">
        <v>115248</v>
      </c>
      <c r="N9557" s="20" t="n">
        <v>10216</v>
      </c>
      <c r="O9557" s="20" t="inlineStr">
        <is>
          <t>스마트스토어고체향수유즈 고체향수 세트(유즈 스테이포에버, 유즈 이그나이트)고체향수: 스테이포에버 2개210501</t>
        </is>
      </c>
    </row>
    <row r="9558">
      <c r="B9558" s="27" t="n">
        <v>44348</v>
      </c>
      <c r="C9558" s="20" t="inlineStr">
        <is>
          <t>화</t>
        </is>
      </c>
      <c r="E9558" s="20" t="inlineStr">
        <is>
          <t>고체향수</t>
        </is>
      </c>
      <c r="F9558" s="20" t="inlineStr">
        <is>
          <t>스마트스토어</t>
        </is>
      </c>
      <c r="G9558" s="20" t="inlineStr">
        <is>
          <t>유즈 고체향수 스테이포에버 002고체향수: 스테이포에버 1개</t>
        </is>
      </c>
      <c r="H9558" s="20" t="n">
        <v>19</v>
      </c>
      <c r="I9558" s="20" t="inlineStr">
        <is>
          <t>스테이포에버</t>
        </is>
      </c>
      <c r="J9558" s="20" t="inlineStr">
        <is>
          <t>210501</t>
        </is>
      </c>
      <c r="L9558" s="20" t="n">
        <v>646000</v>
      </c>
      <c r="M9558" s="20" t="n">
        <v>633080</v>
      </c>
      <c r="N9558" s="20" t="n">
        <v>48526</v>
      </c>
      <c r="O9558" s="20" t="inlineStr">
        <is>
          <t>스마트스토어고체향수유즈 고체향수 스테이포에버 002고체향수: 스테이포에버 1개210501</t>
        </is>
      </c>
    </row>
    <row r="9559">
      <c r="B9559" s="27" t="n">
        <v>44348</v>
      </c>
      <c r="C9559" s="20" t="inlineStr">
        <is>
          <t>화</t>
        </is>
      </c>
      <c r="E9559" s="20" t="inlineStr">
        <is>
          <t>고체향수</t>
        </is>
      </c>
      <c r="F9559" s="20" t="inlineStr">
        <is>
          <t>카페24</t>
        </is>
      </c>
      <c r="G9559" s="20" t="inlineStr">
        <is>
          <t>솔리드퍼퓸 세트향=스테이포에버 002 SOLID PERFUME, 수량 선택=1개</t>
        </is>
      </c>
      <c r="H9559" s="20" t="n">
        <v>2</v>
      </c>
      <c r="I9559" s="20" t="inlineStr">
        <is>
          <t>스테이포에버</t>
        </is>
      </c>
      <c r="J9559" s="20" t="inlineStr">
        <is>
          <t>210501</t>
        </is>
      </c>
      <c r="L9559" s="20" t="n">
        <v>68000</v>
      </c>
      <c r="M9559" s="20" t="n">
        <v>64022</v>
      </c>
      <c r="N9559" s="20" t="n">
        <v>5108</v>
      </c>
      <c r="O9559" s="20" t="inlineStr">
        <is>
          <t>카페24고체향수솔리드퍼퓸 세트향=스테이포에버 002 SOLID PERFUME, 수량 선택=1개210501</t>
        </is>
      </c>
    </row>
    <row r="9560">
      <c r="B9560" s="27" t="n">
        <v>44348</v>
      </c>
      <c r="C9560" s="20" t="inlineStr">
        <is>
          <t>화</t>
        </is>
      </c>
      <c r="E9560" s="20" t="inlineStr">
        <is>
          <t>고체향수</t>
        </is>
      </c>
      <c r="F9560" s="20" t="inlineStr">
        <is>
          <t>카페24</t>
        </is>
      </c>
      <c r="G9560" s="20" t="inlineStr">
        <is>
          <t>솔리드퍼퓸 세트향=스테이포에버 002 SOLID PERFUME, 수량 선택=best 2개 (28% 할인)</t>
        </is>
      </c>
      <c r="H9560" s="20" t="n">
        <v>2</v>
      </c>
      <c r="I9560" s="20" t="inlineStr">
        <is>
          <t>스테이포에버 2set</t>
        </is>
      </c>
      <c r="J9560" s="20" t="inlineStr">
        <is>
          <t>210501</t>
        </is>
      </c>
      <c r="L9560" s="20" t="n">
        <v>117600</v>
      </c>
      <c r="M9560" s="20" t="n">
        <v>110720.4</v>
      </c>
      <c r="N9560" s="20" t="n">
        <v>10216</v>
      </c>
      <c r="O9560" s="20" t="inlineStr">
        <is>
          <t>카페24고체향수솔리드퍼퓸 세트향=스테이포에버 002 SOLID PERFUME, 수량 선택=best 2개 (28% 할인)210501</t>
        </is>
      </c>
    </row>
    <row r="9561">
      <c r="B9561" s="27" t="n">
        <v>44348</v>
      </c>
      <c r="C9561" s="20" t="inlineStr">
        <is>
          <t>화</t>
        </is>
      </c>
      <c r="E9561" s="20" t="inlineStr">
        <is>
          <t>고체향수</t>
        </is>
      </c>
      <c r="F9561" s="20" t="inlineStr">
        <is>
          <t>카페24</t>
        </is>
      </c>
      <c r="G9561" s="20" t="inlineStr">
        <is>
          <t>솔리드퍼퓸 세트향=스테이포에버 + 이그나이트 커플세트(기프트 박스), 수량 선택=1 SET (28% OFF)</t>
        </is>
      </c>
      <c r="H9561" s="20" t="n">
        <v>15</v>
      </c>
      <c r="I9561" s="20" t="inlineStr">
        <is>
          <t>이그나이트 + 스테이포에버(기프트 박스)</t>
        </is>
      </c>
      <c r="J9561" s="20" t="inlineStr">
        <is>
          <t>210501</t>
        </is>
      </c>
      <c r="L9561" s="20" t="n">
        <v>837000</v>
      </c>
      <c r="M9561" s="20" t="n">
        <v>788035.5</v>
      </c>
      <c r="N9561" s="20" t="n">
        <v>95265</v>
      </c>
      <c r="O9561" s="20" t="inlineStr">
        <is>
          <t>카페24고체향수솔리드퍼퓸 세트향=스테이포에버 + 이그나이트 커플세트(기프트 박스), 수량 선택=1 SET (28% OFF)210501</t>
        </is>
      </c>
    </row>
    <row r="9562">
      <c r="B9562" s="27" t="n">
        <v>44348</v>
      </c>
      <c r="C9562" s="20" t="inlineStr">
        <is>
          <t>화</t>
        </is>
      </c>
      <c r="E9562" s="20" t="inlineStr">
        <is>
          <t>고체향수</t>
        </is>
      </c>
      <c r="F9562" s="20" t="inlineStr">
        <is>
          <t>카페24</t>
        </is>
      </c>
      <c r="G9562" s="20" t="inlineStr">
        <is>
          <t>솔리드퍼퓸 세트향=스테이포에버 + 이그나이트 커플세트(기프트 박스), 수량 선택=2 SET (42% OFF)</t>
        </is>
      </c>
      <c r="H9562" s="20" t="n">
        <v>4</v>
      </c>
      <c r="I9562" s="20" t="inlineStr">
        <is>
          <t>이그나이트 + 스테이포에버(기프트 박스) 2set</t>
        </is>
      </c>
      <c r="J9562" s="20" t="inlineStr">
        <is>
          <t>210501</t>
        </is>
      </c>
      <c r="L9562" s="20" t="n">
        <v>379200</v>
      </c>
      <c r="M9562" s="20" t="n">
        <v>357016.8</v>
      </c>
      <c r="N9562" s="20" t="n">
        <v>50808</v>
      </c>
      <c r="O9562" s="20" t="inlineStr">
        <is>
          <t>카페24고체향수솔리드퍼퓸 세트향=스테이포에버 + 이그나이트 커플세트(기프트 박스), 수량 선택=2 SET (42% OFF)210501</t>
        </is>
      </c>
    </row>
    <row r="9563">
      <c r="B9563" s="27" t="n">
        <v>44348</v>
      </c>
      <c r="C9563" s="20" t="inlineStr">
        <is>
          <t>화</t>
        </is>
      </c>
      <c r="E9563" s="20" t="inlineStr">
        <is>
          <t>고체향수</t>
        </is>
      </c>
      <c r="F9563" s="20" t="inlineStr">
        <is>
          <t>카페24</t>
        </is>
      </c>
      <c r="G9563" s="20" t="inlineStr">
        <is>
          <t>솔리드퍼퓸 스테이포에버 002제품선택=스테이포에버 1개</t>
        </is>
      </c>
      <c r="H9563" s="20" t="n">
        <v>227</v>
      </c>
      <c r="I9563" s="20" t="inlineStr">
        <is>
          <t>스테이포에버</t>
        </is>
      </c>
      <c r="J9563" s="20" t="inlineStr">
        <is>
          <t>210501</t>
        </is>
      </c>
      <c r="L9563" s="20" t="n">
        <v>7718000</v>
      </c>
      <c r="M9563" s="20" t="n">
        <v>7266497</v>
      </c>
      <c r="N9563" s="20" t="n">
        <v>579758</v>
      </c>
      <c r="O9563" s="20" t="inlineStr">
        <is>
          <t>카페24고체향수솔리드퍼퓸 스테이포에버 002제품선택=스테이포에버 1개210501</t>
        </is>
      </c>
    </row>
    <row r="9564">
      <c r="B9564" s="27" t="n">
        <v>44348</v>
      </c>
      <c r="C9564" s="20" t="inlineStr">
        <is>
          <t>화</t>
        </is>
      </c>
      <c r="E9564" s="20" t="inlineStr">
        <is>
          <t>고체향수</t>
        </is>
      </c>
      <c r="F9564" s="20" t="inlineStr">
        <is>
          <t>카페24</t>
        </is>
      </c>
      <c r="G9564" s="20" t="inlineStr">
        <is>
          <t>솔리드퍼퓸 스테이포에버 002제품선택=best스테이포에버 2개[28% 할인]</t>
        </is>
      </c>
      <c r="H9564" s="20" t="n">
        <v>158</v>
      </c>
      <c r="I9564" s="20" t="inlineStr">
        <is>
          <t>스테이포에버 2set</t>
        </is>
      </c>
      <c r="J9564" s="20" t="inlineStr">
        <is>
          <t>210501</t>
        </is>
      </c>
      <c r="L9564" s="20" t="n">
        <v>9290400</v>
      </c>
      <c r="M9564" s="20" t="n">
        <v>8746911.6</v>
      </c>
      <c r="N9564" s="20" t="n">
        <v>807064</v>
      </c>
      <c r="O9564" s="20" t="inlineStr">
        <is>
          <t>카페24고체향수솔리드퍼퓸 스테이포에버 002제품선택=best스테이포에버 2개[28% 할인]210501</t>
        </is>
      </c>
    </row>
    <row r="9565">
      <c r="B9565" s="27" t="n">
        <v>44348</v>
      </c>
      <c r="C9565" s="20" t="inlineStr">
        <is>
          <t>화</t>
        </is>
      </c>
      <c r="E9565" s="20" t="inlineStr">
        <is>
          <t>고체향수</t>
        </is>
      </c>
      <c r="F9565" s="20" t="inlineStr">
        <is>
          <t>카페24</t>
        </is>
      </c>
      <c r="G9565" s="20" t="inlineStr">
        <is>
          <t>솔리드퍼퓸 스테이포에버 002제품선택=커플추천스테이포에버 + 이그나이트 세트</t>
        </is>
      </c>
      <c r="H9565" s="20" t="n">
        <v>12</v>
      </c>
      <c r="I9565" s="20" t="inlineStr">
        <is>
          <t>이그나이트 + 스테이포에버</t>
        </is>
      </c>
      <c r="J9565" s="20" t="inlineStr">
        <is>
          <t>210501</t>
        </is>
      </c>
      <c r="L9565" s="20" t="n">
        <v>705600</v>
      </c>
      <c r="M9565" s="20" t="n">
        <v>664322.3999999999</v>
      </c>
      <c r="N9565" s="20" t="n">
        <v>62148</v>
      </c>
      <c r="O9565" s="20" t="inlineStr">
        <is>
          <t>카페24고체향수솔리드퍼퓸 스테이포에버 002제품선택=커플추천스테이포에버 + 이그나이트 세트210501</t>
        </is>
      </c>
    </row>
    <row r="9566">
      <c r="B9566" s="27" t="n">
        <v>44348</v>
      </c>
      <c r="C9566" s="20" t="inlineStr">
        <is>
          <t>화</t>
        </is>
      </c>
      <c r="E9566" s="20" t="inlineStr">
        <is>
          <t>쇼핑백</t>
        </is>
      </c>
      <c r="F9566" s="20" t="inlineStr">
        <is>
          <t>카페24</t>
        </is>
      </c>
      <c r="G9566" s="20" t="inlineStr">
        <is>
          <t>솔리드퍼퓸 스테이포에버 002쇼핑백=선물용 쇼핑백</t>
        </is>
      </c>
      <c r="H9566" s="20" t="n">
        <v>9</v>
      </c>
      <c r="I9566" s="20" t="inlineStr">
        <is>
          <t>쇼핑백</t>
        </is>
      </c>
      <c r="J9566" s="20" t="inlineStr">
        <is>
          <t>210501</t>
        </is>
      </c>
      <c r="L9566" s="20" t="n">
        <v>18000</v>
      </c>
      <c r="M9566" s="20" t="n">
        <v>16947</v>
      </c>
      <c r="N9566" s="20" t="n">
        <v>7470</v>
      </c>
      <c r="O9566" s="20" t="inlineStr">
        <is>
          <t>카페24쇼핑백솔리드퍼퓸 스테이포에버 002쇼핑백=선물용 쇼핑백210501</t>
        </is>
      </c>
    </row>
    <row r="9567">
      <c r="B9567" s="27" t="n">
        <v>44348</v>
      </c>
      <c r="C9567" s="20" t="inlineStr">
        <is>
          <t>화</t>
        </is>
      </c>
      <c r="E9567" s="20" t="inlineStr">
        <is>
          <t>고체향수</t>
        </is>
      </c>
      <c r="F9567" s="20" t="inlineStr">
        <is>
          <t>카페24</t>
        </is>
      </c>
      <c r="G9567" s="20" t="inlineStr">
        <is>
          <t>솔리드퍼퓸 이그나이트 001제품선택=이그나이트 솔리드퍼퓸 - 30ml</t>
        </is>
      </c>
      <c r="H9567" s="20" t="n">
        <v>4</v>
      </c>
      <c r="I9567" s="20" t="inlineStr">
        <is>
          <t>이그나이트</t>
        </is>
      </c>
      <c r="J9567" s="20" t="inlineStr">
        <is>
          <t>210501</t>
        </is>
      </c>
      <c r="L9567" s="20" t="n">
        <v>136000</v>
      </c>
      <c r="M9567" s="20" t="n">
        <v>128044</v>
      </c>
      <c r="N9567" s="20" t="n">
        <v>10500</v>
      </c>
      <c r="O9567" s="20" t="inlineStr">
        <is>
          <t>카페24고체향수솔리드퍼퓸 이그나이트 001제품선택=이그나이트 솔리드퍼퓸 - 30ml210501</t>
        </is>
      </c>
    </row>
    <row r="9568">
      <c r="B9568" s="27" t="n">
        <v>44348</v>
      </c>
      <c r="C9568" s="20" t="inlineStr">
        <is>
          <t>화</t>
        </is>
      </c>
      <c r="E9568" s="20" t="inlineStr">
        <is>
          <t>고체향수</t>
        </is>
      </c>
      <c r="F9568" s="20" t="inlineStr">
        <is>
          <t>카페24</t>
        </is>
      </c>
      <c r="G9568" s="20" t="inlineStr">
        <is>
          <t>솔리드퍼퓸 이그나이트 001제품선택=이그나이트 2개 세트</t>
        </is>
      </c>
      <c r="H9568" s="20" t="n">
        <v>2</v>
      </c>
      <c r="I9568" s="20" t="inlineStr">
        <is>
          <t>이그나이트 2set</t>
        </is>
      </c>
      <c r="J9568" s="20" t="inlineStr">
        <is>
          <t>210501</t>
        </is>
      </c>
      <c r="L9568" s="20" t="n">
        <v>117600</v>
      </c>
      <c r="M9568" s="20" t="n">
        <v>110720.4</v>
      </c>
      <c r="N9568" s="20" t="n">
        <v>10500</v>
      </c>
      <c r="O9568" s="20" t="inlineStr">
        <is>
          <t>카페24고체향수솔리드퍼퓸 이그나이트 001제품선택=이그나이트 2개 세트210501</t>
        </is>
      </c>
    </row>
    <row r="9569">
      <c r="A9569" s="20" t="inlineStr">
        <is>
          <t>고체향수</t>
        </is>
      </c>
      <c r="B9569" s="27" t="n">
        <v>44348</v>
      </c>
      <c r="C9569" s="20" t="inlineStr">
        <is>
          <t>화</t>
        </is>
      </c>
      <c r="D9569" s="20" t="inlineStr">
        <is>
          <t>네이버 배너</t>
        </is>
      </c>
      <c r="E9569" s="20" t="inlineStr">
        <is>
          <t>고체향수</t>
        </is>
      </c>
      <c r="K9569" s="20" t="n">
        <v>752974.5454545454</v>
      </c>
    </row>
    <row r="9570">
      <c r="B9570" s="27" t="n">
        <v>44348</v>
      </c>
      <c r="C9570" s="20" t="inlineStr">
        <is>
          <t>화</t>
        </is>
      </c>
      <c r="D9570" s="20" t="inlineStr">
        <is>
          <t>네이버 배너(대행사)</t>
        </is>
      </c>
      <c r="E9570" s="20" t="inlineStr">
        <is>
          <t>고체향수</t>
        </is>
      </c>
      <c r="K9570" s="20">
        <f>306531/1.1</f>
        <v/>
      </c>
    </row>
    <row r="9571">
      <c r="B9571" s="27" t="n">
        <v>44348</v>
      </c>
      <c r="C9571" s="20" t="inlineStr">
        <is>
          <t>화</t>
        </is>
      </c>
      <c r="D9571" s="20" t="inlineStr">
        <is>
          <t>카카오 배너</t>
        </is>
      </c>
      <c r="E9571" s="20" t="inlineStr">
        <is>
          <t>고체향수</t>
        </is>
      </c>
      <c r="K9571" s="20">
        <f>904585/1.1</f>
        <v/>
      </c>
    </row>
    <row r="9572">
      <c r="B9572" s="27" t="n">
        <v>44348</v>
      </c>
      <c r="C9572" s="20" t="inlineStr">
        <is>
          <t>화</t>
        </is>
      </c>
      <c r="E9572" s="19">
        <f>INDEX(매칭테이블!C:C,MATCH(RD!G9572,매칭테이블!D:D,0))</f>
        <v/>
      </c>
      <c r="F9572" s="20" t="inlineStr">
        <is>
          <t>올리브영</t>
        </is>
      </c>
      <c r="G9572" s="20" t="inlineStr">
        <is>
          <t>유즈 솔리드퍼퓸 001 이그나이트 30ml 30600 온라인</t>
        </is>
      </c>
      <c r="H9572" s="20" t="n">
        <v>2</v>
      </c>
      <c r="I9572" s="19">
        <f>VLOOKUP(G9572,매칭테이블!D:E,2,0)</f>
        <v/>
      </c>
      <c r="J9572" s="20" t="inlineStr">
        <is>
          <t>210501</t>
        </is>
      </c>
      <c r="L9572" s="19">
        <f>VLOOKUP($O9572,매칭테이블!$G:$J,2,0)*H9572</f>
        <v/>
      </c>
      <c r="M9572" s="19">
        <f>L9572-L9572*VLOOKUP($O9572,매칭테이블!$G:$J,3,0)</f>
        <v/>
      </c>
      <c r="N9572" s="19">
        <f>VLOOKUP($O9572,매칭테이블!$G:$J,4,0)*H9572</f>
        <v/>
      </c>
      <c r="O9572" s="19">
        <f>F9572&amp;E9572&amp;G9572&amp;J9572</f>
        <v/>
      </c>
    </row>
    <row r="9573">
      <c r="B9573" s="27" t="n">
        <v>44348</v>
      </c>
      <c r="C9573" s="20" t="inlineStr">
        <is>
          <t>화</t>
        </is>
      </c>
      <c r="E9573" s="19">
        <f>INDEX(매칭테이블!C:C,MATCH(RD!G9573,매칭테이블!D:D,0))</f>
        <v/>
      </c>
      <c r="F9573" s="20" t="inlineStr">
        <is>
          <t>올리브영</t>
        </is>
      </c>
      <c r="G9573" s="20" t="inlineStr">
        <is>
          <t>유즈 솔리드퍼퓸 002 스테이포에버 30ml 30600 온라인</t>
        </is>
      </c>
      <c r="H9573" s="20" t="n">
        <v>65</v>
      </c>
      <c r="I9573" s="19">
        <f>VLOOKUP(G9573,매칭테이블!D:E,2,0)</f>
        <v/>
      </c>
      <c r="J9573" s="20" t="inlineStr">
        <is>
          <t>210501</t>
        </is>
      </c>
      <c r="L9573" s="19">
        <f>VLOOKUP($O9573,매칭테이블!$G:$J,2,0)*H9573</f>
        <v/>
      </c>
      <c r="M9573" s="19">
        <f>L9573-L9573*VLOOKUP($O9573,매칭테이블!$G:$J,3,0)</f>
        <v/>
      </c>
      <c r="N9573" s="19">
        <f>VLOOKUP($O9573,매칭테이블!$G:$J,4,0)*H9573</f>
        <v/>
      </c>
      <c r="O9573" s="19">
        <f>F9573&amp;E9573&amp;G9573&amp;J9573</f>
        <v/>
      </c>
    </row>
    <row r="9574">
      <c r="A9574" s="20" t="inlineStr">
        <is>
          <t>[비누향 인연] 유튜브재편집_스테이포에버_영상</t>
        </is>
      </c>
      <c r="B9574" s="27" t="n">
        <v>44349</v>
      </c>
      <c r="C9574" s="20" t="inlineStr">
        <is>
          <t>수</t>
        </is>
      </c>
      <c r="D9574" s="19">
        <f>VLOOKUP($A9574,매칭테이블!$B$548:$D$1048576,2,0)</f>
        <v/>
      </c>
      <c r="E9574" s="20" t="inlineStr">
        <is>
          <t>고체향수</t>
        </is>
      </c>
      <c r="K9574" s="20" t="n">
        <v>14802</v>
      </c>
    </row>
    <row r="9575">
      <c r="A9575" s="20" t="inlineStr">
        <is>
          <t>[승무원] 유튜브재편집_스테이포에버_영상_2</t>
        </is>
      </c>
      <c r="B9575" s="27" t="n">
        <v>44349</v>
      </c>
      <c r="C9575" s="20" t="inlineStr">
        <is>
          <t>수</t>
        </is>
      </c>
      <c r="D9575" s="20" t="inlineStr">
        <is>
          <t>페이스북/인스타그램</t>
        </is>
      </c>
      <c r="E9575" s="20" t="inlineStr">
        <is>
          <t>고체향수</t>
        </is>
      </c>
      <c r="K9575" s="20" t="n">
        <v>97863</v>
      </c>
    </row>
    <row r="9576">
      <c r="A9576" s="20" t="inlineStr">
        <is>
          <t>[수현 TEST] 이그나이트_이미지</t>
        </is>
      </c>
      <c r="B9576" s="27" t="n">
        <v>44349</v>
      </c>
      <c r="C9576" s="20" t="inlineStr">
        <is>
          <t>수</t>
        </is>
      </c>
      <c r="D9576" s="20" t="inlineStr">
        <is>
          <t>페이스북/인스타그램</t>
        </is>
      </c>
      <c r="E9576" s="20" t="inlineStr">
        <is>
          <t>고체향수</t>
        </is>
      </c>
      <c r="K9576" s="20" t="n">
        <v>29788</v>
      </c>
    </row>
    <row r="9577">
      <c r="A9577" s="20" t="inlineStr">
        <is>
          <t>[올리브영 알바] 스테이포에버_카드뉴스</t>
        </is>
      </c>
      <c r="B9577" s="27" t="n">
        <v>44349</v>
      </c>
      <c r="C9577" s="20" t="inlineStr">
        <is>
          <t>수</t>
        </is>
      </c>
      <c r="D9577" s="20" t="inlineStr">
        <is>
          <t>페이스북/인스타그램</t>
        </is>
      </c>
      <c r="E9577" s="20" t="inlineStr">
        <is>
          <t>고체향수</t>
        </is>
      </c>
      <c r="K9577" s="20" t="n">
        <v>98796</v>
      </c>
    </row>
    <row r="9578">
      <c r="A9578" s="20" t="inlineStr">
        <is>
          <t>[수현 TEST] 스테이포에버_이미지</t>
        </is>
      </c>
      <c r="B9578" s="27" t="n">
        <v>44349</v>
      </c>
      <c r="C9578" s="20" t="inlineStr">
        <is>
          <t>수</t>
        </is>
      </c>
      <c r="D9578" s="20" t="inlineStr">
        <is>
          <t>페이스북/인스타그램</t>
        </is>
      </c>
      <c r="E9578" s="20" t="inlineStr">
        <is>
          <t>고체향수</t>
        </is>
      </c>
      <c r="K9578" s="20" t="n">
        <v>49538</v>
      </c>
    </row>
    <row r="9579">
      <c r="A9579" s="20" t="inlineStr">
        <is>
          <t>[승은] 스테이포에버_이미지</t>
        </is>
      </c>
      <c r="B9579" s="27" t="n">
        <v>44349</v>
      </c>
      <c r="C9579" s="20" t="inlineStr">
        <is>
          <t>수</t>
        </is>
      </c>
      <c r="D9579" s="19">
        <f>VLOOKUP($A9579,매칭테이블!$B$548:$D$1048576,2,0)</f>
        <v/>
      </c>
      <c r="E9579" s="20" t="inlineStr">
        <is>
          <t>고체향수</t>
        </is>
      </c>
      <c r="K9579" s="20" t="n">
        <v>79708</v>
      </c>
    </row>
    <row r="9580">
      <c r="A9580" s="20" t="inlineStr">
        <is>
          <t>[비누향 덕후] 스테이포에버_카드뉴스</t>
        </is>
      </c>
      <c r="B9580" s="27" t="n">
        <v>44349</v>
      </c>
      <c r="C9580" s="20" t="inlineStr">
        <is>
          <t>수</t>
        </is>
      </c>
      <c r="D9580" s="20" t="inlineStr">
        <is>
          <t>페이스북/인스타그램</t>
        </is>
      </c>
      <c r="E9580" s="20" t="inlineStr">
        <is>
          <t>고체향수</t>
        </is>
      </c>
      <c r="K9580" s="20" t="n">
        <v>150345</v>
      </c>
    </row>
    <row r="9581">
      <c r="A9581" s="20" t="inlineStr">
        <is>
          <t>[승무원]유튜브_스테이포에버_카드뉴스</t>
        </is>
      </c>
      <c r="B9581" s="27" t="n">
        <v>44349</v>
      </c>
      <c r="C9581" s="20" t="inlineStr">
        <is>
          <t>수</t>
        </is>
      </c>
      <c r="D9581" s="20" t="inlineStr">
        <is>
          <t>페이스북/인스타그램</t>
        </is>
      </c>
      <c r="E9581" s="20" t="inlineStr">
        <is>
          <t>고체향수</t>
        </is>
      </c>
      <c r="K9581" s="20" t="n">
        <v>49975</v>
      </c>
    </row>
    <row r="9582">
      <c r="A9582" s="20" t="inlineStr">
        <is>
          <t>[올리브영] 이그나이트_영상</t>
        </is>
      </c>
      <c r="B9582" s="27" t="n">
        <v>44349</v>
      </c>
      <c r="C9582" s="20" t="inlineStr">
        <is>
          <t>수</t>
        </is>
      </c>
      <c r="D9582" s="20" t="inlineStr">
        <is>
          <t>페이스북/인스타그램</t>
        </is>
      </c>
      <c r="E9582" s="20" t="inlineStr">
        <is>
          <t>고체향수</t>
        </is>
      </c>
      <c r="K9582" s="20" t="n">
        <v>29549</v>
      </c>
    </row>
    <row r="9583">
      <c r="A9583" s="20" t="inlineStr">
        <is>
          <t>[승희] 솔리드퍼퓸_이미지</t>
        </is>
      </c>
      <c r="B9583" s="27" t="n">
        <v>44349</v>
      </c>
      <c r="C9583" s="20" t="inlineStr">
        <is>
          <t>수</t>
        </is>
      </c>
      <c r="D9583" s="20" t="inlineStr">
        <is>
          <t>페이스북/인스타그램</t>
        </is>
      </c>
      <c r="E9583" s="20" t="inlineStr">
        <is>
          <t>고체향수</t>
        </is>
      </c>
      <c r="K9583" s="20" t="n">
        <v>48943</v>
      </c>
    </row>
    <row r="9584">
      <c r="A9584" s="20" t="inlineStr">
        <is>
          <t>[올리브영] 스테이포에버_영상</t>
        </is>
      </c>
      <c r="B9584" s="27" t="n">
        <v>44349</v>
      </c>
      <c r="C9584" s="20" t="inlineStr">
        <is>
          <t>수</t>
        </is>
      </c>
      <c r="D9584" s="20" t="inlineStr">
        <is>
          <t>페이스북/인스타그램</t>
        </is>
      </c>
      <c r="E9584" s="20" t="inlineStr">
        <is>
          <t>고체향수</t>
        </is>
      </c>
      <c r="K9584" s="20" t="n">
        <v>48590</v>
      </c>
    </row>
    <row r="9585">
      <c r="A9585" s="20" t="inlineStr">
        <is>
          <t>[올리브영] 스테이포에버_이미지</t>
        </is>
      </c>
      <c r="B9585" s="27" t="n">
        <v>44349</v>
      </c>
      <c r="C9585" s="20" t="inlineStr">
        <is>
          <t>수</t>
        </is>
      </c>
      <c r="D9585" s="20" t="inlineStr">
        <is>
          <t>페이스북/인스타그램</t>
        </is>
      </c>
      <c r="E9585" s="20" t="inlineStr">
        <is>
          <t>고체향수</t>
        </is>
      </c>
      <c r="K9585" s="20" t="n">
        <v>29289</v>
      </c>
    </row>
    <row r="9586">
      <c r="A9586" s="20" t="inlineStr">
        <is>
          <t>[승무원] 유튜브재편집_스테이포에버_영상</t>
        </is>
      </c>
      <c r="B9586" s="27" t="n">
        <v>44349</v>
      </c>
      <c r="C9586" s="20" t="inlineStr">
        <is>
          <t>수</t>
        </is>
      </c>
      <c r="D9586" s="20" t="inlineStr">
        <is>
          <t>페이스북/인스타그램</t>
        </is>
      </c>
      <c r="E9586" s="20" t="inlineStr">
        <is>
          <t>고체향수</t>
        </is>
      </c>
      <c r="K9586" s="20" t="n">
        <v>396855</v>
      </c>
    </row>
    <row r="9587">
      <c r="A9587" s="20" t="inlineStr">
        <is>
          <t>[승무원 면세점] 스테이포에버_카드뉴스</t>
        </is>
      </c>
      <c r="B9587" s="27" t="n">
        <v>44349</v>
      </c>
      <c r="C9587" s="20" t="inlineStr">
        <is>
          <t>수</t>
        </is>
      </c>
      <c r="D9587" s="20" t="inlineStr">
        <is>
          <t>페이스북/인스타그램</t>
        </is>
      </c>
      <c r="E9587" s="20" t="inlineStr">
        <is>
          <t>고체향수</t>
        </is>
      </c>
      <c r="K9587" s="20" t="n">
        <v>147448</v>
      </c>
    </row>
    <row r="9588">
      <c r="A9588" s="20" t="inlineStr">
        <is>
          <t>[카페알바] 스테이포에버_카드뉴스</t>
        </is>
      </c>
      <c r="B9588" s="27" t="n">
        <v>44349</v>
      </c>
      <c r="C9588" s="20" t="inlineStr">
        <is>
          <t>수</t>
        </is>
      </c>
      <c r="D9588" s="20" t="inlineStr">
        <is>
          <t>페이스북/인스타그램</t>
        </is>
      </c>
      <c r="E9588" s="20" t="inlineStr">
        <is>
          <t>고체향수</t>
        </is>
      </c>
      <c r="K9588" s="20" t="n">
        <v>200625</v>
      </c>
    </row>
    <row r="9589">
      <c r="A9589" s="20" t="inlineStr">
        <is>
          <t>[아줌마]스테이포에버_이미지</t>
        </is>
      </c>
      <c r="B9589" s="27" t="n">
        <v>44349</v>
      </c>
      <c r="C9589" s="20" t="inlineStr">
        <is>
          <t>수</t>
        </is>
      </c>
      <c r="D9589" s="20" t="inlineStr">
        <is>
          <t>페이스북/인스타그램</t>
        </is>
      </c>
      <c r="E9589" s="20" t="inlineStr">
        <is>
          <t>고체향수</t>
        </is>
      </c>
      <c r="K9589" s="20" t="n">
        <v>49703</v>
      </c>
    </row>
    <row r="9590">
      <c r="A9590" s="20" t="inlineStr">
        <is>
          <t>[다양한 키워드] 스테이포에버_이미지</t>
        </is>
      </c>
      <c r="B9590" s="27" t="n">
        <v>44349</v>
      </c>
      <c r="C9590" s="20" t="inlineStr">
        <is>
          <t>수</t>
        </is>
      </c>
      <c r="D9590" s="20" t="inlineStr">
        <is>
          <t>페이스북/인스타그램</t>
        </is>
      </c>
      <c r="E9590" s="20" t="inlineStr">
        <is>
          <t>고체향수</t>
        </is>
      </c>
      <c r="K9590" s="20" t="n">
        <v>69774</v>
      </c>
    </row>
    <row r="9591">
      <c r="A9591" s="20" t="inlineStr">
        <is>
          <t>[재입고]스테이포에버_이미지</t>
        </is>
      </c>
      <c r="B9591" s="27" t="n">
        <v>44349</v>
      </c>
      <c r="C9591" s="20" t="inlineStr">
        <is>
          <t>수</t>
        </is>
      </c>
      <c r="D9591" s="20" t="inlineStr">
        <is>
          <t>페이스북/인스타그램</t>
        </is>
      </c>
      <c r="E9591" s="20" t="inlineStr">
        <is>
          <t>고체향수</t>
        </is>
      </c>
      <c r="K9591" s="20" t="n">
        <v>30124</v>
      </c>
    </row>
    <row r="9592">
      <c r="A9592" s="20" t="inlineStr">
        <is>
          <t>[승무원]숏폼_영상</t>
        </is>
      </c>
      <c r="B9592" s="27" t="n">
        <v>44349</v>
      </c>
      <c r="C9592" s="20" t="inlineStr">
        <is>
          <t>수</t>
        </is>
      </c>
      <c r="D9592" s="20" t="inlineStr">
        <is>
          <t>페이스북/인스타그램</t>
        </is>
      </c>
      <c r="E9592" s="20" t="inlineStr">
        <is>
          <t>고체향수</t>
        </is>
      </c>
      <c r="K9592" s="20" t="n">
        <v>29754</v>
      </c>
    </row>
    <row r="9593">
      <c r="A9593" s="20" t="inlineStr">
        <is>
          <t>[재입고]스테이포에버_영상</t>
        </is>
      </c>
      <c r="B9593" s="27" t="n">
        <v>44349</v>
      </c>
      <c r="C9593" s="20" t="inlineStr">
        <is>
          <t>수</t>
        </is>
      </c>
      <c r="D9593" s="20" t="inlineStr">
        <is>
          <t>페이스북/인스타그램</t>
        </is>
      </c>
      <c r="E9593" s="20" t="inlineStr">
        <is>
          <t>고체향수</t>
        </is>
      </c>
      <c r="K9593" s="20" t="n">
        <v>196362</v>
      </c>
    </row>
    <row r="9594">
      <c r="A9594" s="20" t="inlineStr">
        <is>
          <t>[승무원]2019년썰 카드뉴스+ 향묘사_영상</t>
        </is>
      </c>
      <c r="B9594" s="27" t="n">
        <v>44349</v>
      </c>
      <c r="C9594" s="20" t="inlineStr">
        <is>
          <t>수</t>
        </is>
      </c>
      <c r="D9594" s="20" t="inlineStr">
        <is>
          <t>페이스북/인스타그램</t>
        </is>
      </c>
      <c r="E9594" s="20" t="inlineStr">
        <is>
          <t>고체향수</t>
        </is>
      </c>
      <c r="K9594" s="20" t="n">
        <v>49298</v>
      </c>
    </row>
    <row r="9595">
      <c r="A9595" s="20" t="inlineStr">
        <is>
          <t>[승무원어피]스테이포에버_이미지</t>
        </is>
      </c>
      <c r="B9595" s="27" t="n">
        <v>44349</v>
      </c>
      <c r="C9595" s="20" t="inlineStr">
        <is>
          <t>수</t>
        </is>
      </c>
      <c r="D9595" s="20" t="inlineStr">
        <is>
          <t>페이스북/인스타그램</t>
        </is>
      </c>
      <c r="E9595" s="20" t="inlineStr">
        <is>
          <t>고체향수</t>
        </is>
      </c>
      <c r="K9595" s="20" t="n">
        <v>68273</v>
      </c>
    </row>
    <row r="9596">
      <c r="A9596" s="20" t="inlineStr">
        <is>
          <t>[다현]스테이포에버_이미지</t>
        </is>
      </c>
      <c r="B9596" s="27" t="n">
        <v>44349</v>
      </c>
      <c r="C9596" s="20" t="inlineStr">
        <is>
          <t>수</t>
        </is>
      </c>
      <c r="D9596" s="20" t="inlineStr">
        <is>
          <t>페이스북/인스타그램</t>
        </is>
      </c>
      <c r="E9596" s="20" t="inlineStr">
        <is>
          <t>고체향수</t>
        </is>
      </c>
      <c r="K9596" s="20" t="n">
        <v>97593</v>
      </c>
    </row>
    <row r="9597">
      <c r="A9597" s="20" t="inlineStr">
        <is>
          <t>[후기타입]스테이포에버_영상</t>
        </is>
      </c>
      <c r="B9597" s="27" t="n">
        <v>44349</v>
      </c>
      <c r="C9597" s="20" t="inlineStr">
        <is>
          <t>수</t>
        </is>
      </c>
      <c r="D9597" s="20" t="inlineStr">
        <is>
          <t>페이스북/인스타그램</t>
        </is>
      </c>
      <c r="E9597" s="20" t="inlineStr">
        <is>
          <t>고체향수</t>
        </is>
      </c>
      <c r="K9597" s="20" t="n">
        <v>99006</v>
      </c>
    </row>
    <row r="9598">
      <c r="A9598" s="20" t="inlineStr">
        <is>
          <t>전환_스테이포에버</t>
        </is>
      </c>
      <c r="B9598" s="27" t="n">
        <v>44349</v>
      </c>
      <c r="C9598" s="20" t="inlineStr">
        <is>
          <t>수</t>
        </is>
      </c>
      <c r="D9598" s="20" t="inlineStr">
        <is>
          <t>페이스북/인스타그램</t>
        </is>
      </c>
      <c r="E9598" s="20" t="inlineStr">
        <is>
          <t>고체향수</t>
        </is>
      </c>
      <c r="K9598" s="20" t="n">
        <v>98012</v>
      </c>
    </row>
    <row r="9599">
      <c r="A9599" s="20" t="inlineStr">
        <is>
          <t>[권태기커플]스테이포에버_영상</t>
        </is>
      </c>
      <c r="B9599" s="27" t="n">
        <v>44349</v>
      </c>
      <c r="C9599" s="20" t="inlineStr">
        <is>
          <t>수</t>
        </is>
      </c>
      <c r="D9599" s="20" t="inlineStr">
        <is>
          <t>페이스북/인스타그램</t>
        </is>
      </c>
      <c r="E9599" s="20" t="inlineStr">
        <is>
          <t>고체향수</t>
        </is>
      </c>
      <c r="K9599" s="20" t="n">
        <v>29963</v>
      </c>
    </row>
    <row r="9600">
      <c r="A9600" s="20" t="inlineStr">
        <is>
          <t>웹사이트 트래픽 서치</t>
        </is>
      </c>
      <c r="B9600" s="27" t="n">
        <v>44349</v>
      </c>
      <c r="C9600" s="20" t="inlineStr">
        <is>
          <t>수</t>
        </is>
      </c>
      <c r="D9600" s="20" t="inlineStr">
        <is>
          <t>유튜브 광고</t>
        </is>
      </c>
      <c r="E9600" s="20" t="inlineStr">
        <is>
          <t>고체향수</t>
        </is>
      </c>
      <c r="K9600" s="20" t="n">
        <v>30273</v>
      </c>
    </row>
    <row r="9601">
      <c r="A9601" s="20" t="inlineStr">
        <is>
          <t>디스커버리 배너_승무원,할인_리마케팅</t>
        </is>
      </c>
      <c r="B9601" s="27" t="n">
        <v>44349</v>
      </c>
      <c r="C9601" s="20" t="inlineStr">
        <is>
          <t>수</t>
        </is>
      </c>
      <c r="D9601" s="20" t="inlineStr">
        <is>
          <t>유튜브 광고</t>
        </is>
      </c>
      <c r="E9601" s="20" t="inlineStr">
        <is>
          <t>고체향수</t>
        </is>
      </c>
      <c r="K9601" s="20" t="n">
        <v>1033547</v>
      </c>
    </row>
    <row r="9602">
      <c r="A9602" s="20" t="inlineStr">
        <is>
          <t>[5화자] 동영상 캠페인_벨라의 비행일기</t>
        </is>
      </c>
      <c r="B9602" s="27" t="n">
        <v>44349</v>
      </c>
      <c r="C9602" s="20" t="inlineStr">
        <is>
          <t>수</t>
        </is>
      </c>
      <c r="D9602" s="20" t="inlineStr">
        <is>
          <t>유튜브 광고</t>
        </is>
      </c>
      <c r="E9602" s="20" t="inlineStr">
        <is>
          <t>고체향수</t>
        </is>
      </c>
      <c r="K9602" s="20" t="n">
        <v>506507</v>
      </c>
    </row>
    <row r="9603">
      <c r="A9603" s="20" t="inlineStr">
        <is>
          <t>[5화자] 동영상 캠페인_비행하고 여행하는 은선씨</t>
        </is>
      </c>
      <c r="B9603" s="27" t="n">
        <v>44349</v>
      </c>
      <c r="C9603" s="20" t="inlineStr">
        <is>
          <t>수</t>
        </is>
      </c>
      <c r="D9603" s="20" t="inlineStr">
        <is>
          <t>유튜브 광고</t>
        </is>
      </c>
      <c r="E9603" s="20" t="inlineStr">
        <is>
          <t>고체향수</t>
        </is>
      </c>
      <c r="K9603" s="20" t="n">
        <v>249924</v>
      </c>
    </row>
    <row r="9604">
      <c r="A9604" s="20" t="inlineStr">
        <is>
          <t>[5화자 재편집] 승무원_벨라_면세점에서 천만원</t>
        </is>
      </c>
      <c r="B9604" s="27" t="n">
        <v>44349</v>
      </c>
      <c r="C9604" s="20" t="inlineStr">
        <is>
          <t>수</t>
        </is>
      </c>
      <c r="D9604" s="20" t="inlineStr">
        <is>
          <t>유튜브 광고</t>
        </is>
      </c>
      <c r="E9604" s="20" t="inlineStr">
        <is>
          <t>고체향수</t>
        </is>
      </c>
      <c r="K9604" s="20" t="n">
        <v>202607</v>
      </c>
    </row>
    <row r="9605">
      <c r="A9605" s="20" t="inlineStr">
        <is>
          <t>동영상캠페인_유즈모먼트_면세점뒤졌는데</t>
        </is>
      </c>
      <c r="B9605" s="27" t="n">
        <v>44349</v>
      </c>
      <c r="C9605" s="20" t="inlineStr">
        <is>
          <t>수</t>
        </is>
      </c>
      <c r="D9605" s="20" t="inlineStr">
        <is>
          <t>유튜브 광고</t>
        </is>
      </c>
      <c r="E9605" s="20" t="inlineStr">
        <is>
          <t>고체향수</t>
        </is>
      </c>
      <c r="K9605" s="20" t="n">
        <v>405705</v>
      </c>
    </row>
    <row r="9606">
      <c r="A9606" s="20" t="inlineStr">
        <is>
          <t>동영상캠페인_파우치털기&amp;결혼썰</t>
        </is>
      </c>
      <c r="B9606" s="27" t="n">
        <v>44349</v>
      </c>
      <c r="C9606" s="20" t="inlineStr">
        <is>
          <t>수</t>
        </is>
      </c>
      <c r="D9606" s="20" t="inlineStr">
        <is>
          <t>유튜브 광고</t>
        </is>
      </c>
      <c r="E9606" s="20" t="inlineStr">
        <is>
          <t>고체향수</t>
        </is>
      </c>
      <c r="K9606" s="20" t="n">
        <v>200034</v>
      </c>
    </row>
    <row r="9607">
      <c r="A9607" s="20" t="inlineStr">
        <is>
          <t>메인키워드</t>
        </is>
      </c>
      <c r="B9607" s="27" t="n">
        <v>44349</v>
      </c>
      <c r="C9607" s="20" t="inlineStr">
        <is>
          <t>수</t>
        </is>
      </c>
      <c r="D9607" s="20" t="inlineStr">
        <is>
          <t>네이버 쇼핑검색</t>
        </is>
      </c>
      <c r="E9607" s="20" t="inlineStr">
        <is>
          <t>고체향수</t>
        </is>
      </c>
      <c r="K9607" s="20" t="n">
        <v>18220</v>
      </c>
    </row>
    <row r="9608">
      <c r="A9608" s="20" t="inlineStr">
        <is>
          <t>세부키워드1</t>
        </is>
      </c>
      <c r="B9608" s="27" t="n">
        <v>44349</v>
      </c>
      <c r="C9608" s="20" t="inlineStr">
        <is>
          <t>수</t>
        </is>
      </c>
      <c r="D9608" s="20" t="inlineStr">
        <is>
          <t>네이버 쇼핑검색</t>
        </is>
      </c>
      <c r="E9608" s="20" t="inlineStr">
        <is>
          <t>고체향수</t>
        </is>
      </c>
      <c r="K9608" s="20" t="n">
        <v>0</v>
      </c>
    </row>
    <row r="9609">
      <c r="A9609" s="20" t="inlineStr">
        <is>
          <t>세부키워드3</t>
        </is>
      </c>
      <c r="B9609" s="27" t="n">
        <v>44349</v>
      </c>
      <c r="C9609" s="20" t="inlineStr">
        <is>
          <t>수</t>
        </is>
      </c>
      <c r="D9609" s="20" t="inlineStr">
        <is>
          <t>네이버 쇼핑검색</t>
        </is>
      </c>
      <c r="E9609" s="20" t="inlineStr">
        <is>
          <t>고체향수</t>
        </is>
      </c>
      <c r="K9609" s="20" t="n">
        <v>116410</v>
      </c>
    </row>
    <row r="9610">
      <c r="A9610" s="20" t="inlineStr">
        <is>
          <t>모바일 브검</t>
        </is>
      </c>
      <c r="B9610" s="27" t="n">
        <v>44349</v>
      </c>
      <c r="C9610" s="20" t="inlineStr">
        <is>
          <t>수</t>
        </is>
      </c>
      <c r="D9610" s="20" t="inlineStr">
        <is>
          <t>네이버 브랜드검색</t>
        </is>
      </c>
      <c r="E9610" s="20" t="inlineStr">
        <is>
          <t>브랜드</t>
        </is>
      </c>
      <c r="K9610" s="20" t="n">
        <v>88000</v>
      </c>
    </row>
    <row r="9611">
      <c r="A9611" s="20" t="inlineStr">
        <is>
          <t>PC 브랜드검색</t>
        </is>
      </c>
      <c r="B9611" s="27" t="n">
        <v>44349</v>
      </c>
      <c r="C9611" s="20" t="inlineStr">
        <is>
          <t>수</t>
        </is>
      </c>
      <c r="D9611" s="20" t="inlineStr">
        <is>
          <t>네이버 브랜드검색</t>
        </is>
      </c>
      <c r="E9611" s="20" t="inlineStr">
        <is>
          <t>브랜드</t>
        </is>
      </c>
      <c r="K9611" s="20" t="n">
        <v>16700</v>
      </c>
    </row>
    <row r="9612">
      <c r="B9612" s="27" t="n">
        <v>44349</v>
      </c>
      <c r="C9612" s="20" t="inlineStr">
        <is>
          <t>수</t>
        </is>
      </c>
      <c r="E9612" s="20" t="inlineStr">
        <is>
          <t>고체향수</t>
        </is>
      </c>
      <c r="F9612" s="20" t="inlineStr">
        <is>
          <t>스마트스토어</t>
        </is>
      </c>
      <c r="G9612" s="20" t="inlineStr">
        <is>
          <t>유즈 고체향수 세트(유즈 스테이포에버, 유즈 이그나이트)고체향수: 스테이포에버 1개 + 이그나이트 1개</t>
        </is>
      </c>
      <c r="H9612" s="20" t="n">
        <v>1</v>
      </c>
      <c r="I9612" s="20" t="inlineStr">
        <is>
          <t>이그나이트 + 스테이포에버</t>
        </is>
      </c>
      <c r="J9612" s="20" t="inlineStr">
        <is>
          <t>210501</t>
        </is>
      </c>
      <c r="L9612" s="20" t="n">
        <v>58800</v>
      </c>
      <c r="M9612" s="20" t="n">
        <v>55360.2</v>
      </c>
      <c r="N9612" s="20" t="n">
        <v>5179</v>
      </c>
      <c r="O9612" s="20" t="inlineStr">
        <is>
          <t>스마트스토어고체향수유즈 고체향수 세트(유즈 스테이포에버, 유즈 이그나이트)고체향수: 스테이포에버 1개 + 이그나이트 1개210501</t>
        </is>
      </c>
    </row>
    <row r="9613">
      <c r="B9613" s="27" t="n">
        <v>44349</v>
      </c>
      <c r="C9613" s="20" t="inlineStr">
        <is>
          <t>수</t>
        </is>
      </c>
      <c r="E9613" s="20" t="inlineStr">
        <is>
          <t>고체향수</t>
        </is>
      </c>
      <c r="F9613" s="20" t="inlineStr">
        <is>
          <t>스마트스토어</t>
        </is>
      </c>
      <c r="G9613" s="20" t="inlineStr">
        <is>
          <t>유즈 고체향수 세트(유즈 스테이포에버, 유즈 이그나이트)고체향수: 스테이포에버 2개</t>
        </is>
      </c>
      <c r="H9613" s="20" t="n">
        <v>1</v>
      </c>
      <c r="I9613" s="20" t="inlineStr">
        <is>
          <t>스테이포에버 2set</t>
        </is>
      </c>
      <c r="J9613" s="20" t="inlineStr">
        <is>
          <t>210501</t>
        </is>
      </c>
      <c r="L9613" s="20" t="n">
        <v>58800</v>
      </c>
      <c r="M9613" s="20" t="n">
        <v>57624</v>
      </c>
      <c r="N9613" s="20" t="n">
        <v>5108</v>
      </c>
      <c r="O9613" s="20" t="inlineStr">
        <is>
          <t>스마트스토어고체향수유즈 고체향수 세트(유즈 스테이포에버, 유즈 이그나이트)고체향수: 스테이포에버 2개210501</t>
        </is>
      </c>
    </row>
    <row r="9614">
      <c r="B9614" s="27" t="n">
        <v>44349</v>
      </c>
      <c r="C9614" s="20" t="inlineStr">
        <is>
          <t>수</t>
        </is>
      </c>
      <c r="E9614" s="20" t="inlineStr">
        <is>
          <t>고체향수</t>
        </is>
      </c>
      <c r="F9614" s="20" t="inlineStr">
        <is>
          <t>스마트스토어</t>
        </is>
      </c>
      <c r="G9614" s="20" t="inlineStr">
        <is>
          <t>유즈 고체향수 스테이포에버 002고체향수: 스테이포에버 1개</t>
        </is>
      </c>
      <c r="H9614" s="20" t="n">
        <v>7</v>
      </c>
      <c r="I9614" s="20" t="inlineStr">
        <is>
          <t>스테이포에버</t>
        </is>
      </c>
      <c r="J9614" s="20" t="inlineStr">
        <is>
          <t>210501</t>
        </is>
      </c>
      <c r="L9614" s="20" t="n">
        <v>238000</v>
      </c>
      <c r="M9614" s="20" t="n">
        <v>233240</v>
      </c>
      <c r="N9614" s="20" t="n">
        <v>17878</v>
      </c>
      <c r="O9614" s="20" t="inlineStr">
        <is>
          <t>스마트스토어고체향수유즈 고체향수 스테이포에버 002고체향수: 스테이포에버 1개210501</t>
        </is>
      </c>
    </row>
    <row r="9615">
      <c r="B9615" s="27" t="n">
        <v>44349</v>
      </c>
      <c r="C9615" s="20" t="inlineStr">
        <is>
          <t>수</t>
        </is>
      </c>
      <c r="E9615" s="20" t="inlineStr">
        <is>
          <t>고체향수</t>
        </is>
      </c>
      <c r="F9615" s="20" t="inlineStr">
        <is>
          <t>카페24</t>
        </is>
      </c>
      <c r="G9615" s="20" t="inlineStr">
        <is>
          <t>솔리드퍼퓸 세트향=스테이포에버 002 SOLID PERFUME, 수량 선택=1개</t>
        </is>
      </c>
      <c r="H9615" s="20" t="n">
        <v>4</v>
      </c>
      <c r="I9615" s="20" t="inlineStr">
        <is>
          <t>스테이포에버</t>
        </is>
      </c>
      <c r="J9615" s="20" t="inlineStr">
        <is>
          <t>210501</t>
        </is>
      </c>
      <c r="L9615" s="20" t="n">
        <v>136000</v>
      </c>
      <c r="M9615" s="20" t="n">
        <v>128044</v>
      </c>
      <c r="N9615" s="20" t="n">
        <v>10216</v>
      </c>
      <c r="O9615" s="20" t="inlineStr">
        <is>
          <t>카페24고체향수솔리드퍼퓸 세트향=스테이포에버 002 SOLID PERFUME, 수량 선택=1개210501</t>
        </is>
      </c>
    </row>
    <row r="9616">
      <c r="B9616" s="27" t="n">
        <v>44349</v>
      </c>
      <c r="C9616" s="20" t="inlineStr">
        <is>
          <t>수</t>
        </is>
      </c>
      <c r="E9616" s="20" t="inlineStr">
        <is>
          <t>고체향수</t>
        </is>
      </c>
      <c r="F9616" s="20" t="inlineStr">
        <is>
          <t>카페24</t>
        </is>
      </c>
      <c r="G9616" s="20" t="inlineStr">
        <is>
          <t>솔리드퍼퓸 세트향=스테이포에버 002 SOLID PERFUME, 수량 선택=best 2개 (28% 할인)</t>
        </is>
      </c>
      <c r="H9616" s="20" t="n">
        <v>2</v>
      </c>
      <c r="I9616" s="20" t="inlineStr">
        <is>
          <t>스테이포에버 2set</t>
        </is>
      </c>
      <c r="J9616" s="20" t="inlineStr">
        <is>
          <t>210501</t>
        </is>
      </c>
      <c r="L9616" s="20" t="n">
        <v>117600</v>
      </c>
      <c r="M9616" s="20" t="n">
        <v>110720.4</v>
      </c>
      <c r="N9616" s="20" t="n">
        <v>10216</v>
      </c>
      <c r="O9616" s="20" t="inlineStr">
        <is>
          <t>카페24고체향수솔리드퍼퓸 세트향=스테이포에버 002 SOLID PERFUME, 수량 선택=best 2개 (28% 할인)210501</t>
        </is>
      </c>
    </row>
    <row r="9617">
      <c r="B9617" s="27" t="n">
        <v>44349</v>
      </c>
      <c r="C9617" s="20" t="inlineStr">
        <is>
          <t>수</t>
        </is>
      </c>
      <c r="E9617" s="20" t="inlineStr">
        <is>
          <t>고체향수</t>
        </is>
      </c>
      <c r="F9617" s="20" t="inlineStr">
        <is>
          <t>카페24</t>
        </is>
      </c>
      <c r="G9617" s="20" t="inlineStr">
        <is>
          <t>솔리드퍼퓸 세트향=스테이포에버 + 이그나이트 커플세트(기프트 박스), 수량 선택=1 SET (28% OFF)</t>
        </is>
      </c>
      <c r="H9617" s="20" t="n">
        <v>15</v>
      </c>
      <c r="I9617" s="20" t="inlineStr">
        <is>
          <t>이그나이트 + 스테이포에버(기프트 박스)</t>
        </is>
      </c>
      <c r="J9617" s="20" t="inlineStr">
        <is>
          <t>210501</t>
        </is>
      </c>
      <c r="L9617" s="20" t="n">
        <v>837000</v>
      </c>
      <c r="M9617" s="20" t="n">
        <v>788035.5</v>
      </c>
      <c r="N9617" s="20" t="n">
        <v>95265</v>
      </c>
      <c r="O9617" s="20" t="inlineStr">
        <is>
          <t>카페24고체향수솔리드퍼퓸 세트향=스테이포에버 + 이그나이트 커플세트(기프트 박스), 수량 선택=1 SET (28% OFF)210501</t>
        </is>
      </c>
    </row>
    <row r="9618">
      <c r="B9618" s="27" t="n">
        <v>44349</v>
      </c>
      <c r="C9618" s="20" t="inlineStr">
        <is>
          <t>수</t>
        </is>
      </c>
      <c r="E9618" s="20" t="inlineStr">
        <is>
          <t>고체향수</t>
        </is>
      </c>
      <c r="F9618" s="20" t="inlineStr">
        <is>
          <t>카페24</t>
        </is>
      </c>
      <c r="G9618" s="20" t="inlineStr">
        <is>
          <t>솔리드퍼퓸 세트향=스테이포에버 + 이그나이트 커플세트(기프트 박스), 수량 선택=2 SET (42% OFF)</t>
        </is>
      </c>
      <c r="H9618" s="20" t="n">
        <v>4</v>
      </c>
      <c r="I9618" s="20" t="inlineStr">
        <is>
          <t>이그나이트 + 스테이포에버(기프트 박스) 2set</t>
        </is>
      </c>
      <c r="J9618" s="20" t="inlineStr">
        <is>
          <t>210501</t>
        </is>
      </c>
      <c r="L9618" s="20" t="n">
        <v>379200</v>
      </c>
      <c r="M9618" s="20" t="n">
        <v>357016.8</v>
      </c>
      <c r="N9618" s="20" t="n">
        <v>50808</v>
      </c>
      <c r="O9618" s="20" t="inlineStr">
        <is>
          <t>카페24고체향수솔리드퍼퓸 세트향=스테이포에버 + 이그나이트 커플세트(기프트 박스), 수량 선택=2 SET (42% OFF)210501</t>
        </is>
      </c>
    </row>
    <row r="9619">
      <c r="B9619" s="27" t="n">
        <v>44349</v>
      </c>
      <c r="C9619" s="20" t="inlineStr">
        <is>
          <t>수</t>
        </is>
      </c>
      <c r="E9619" s="20" t="inlineStr">
        <is>
          <t>고체향수</t>
        </is>
      </c>
      <c r="F9619" s="20" t="inlineStr">
        <is>
          <t>카페24</t>
        </is>
      </c>
      <c r="G9619" s="20" t="inlineStr">
        <is>
          <t>솔리드퍼퓸 스테이포에버 002제품선택=스테이포에버 1개</t>
        </is>
      </c>
      <c r="H9619" s="20" t="n">
        <v>173</v>
      </c>
      <c r="I9619" s="20" t="inlineStr">
        <is>
          <t>스테이포에버</t>
        </is>
      </c>
      <c r="J9619" s="20" t="inlineStr">
        <is>
          <t>210501</t>
        </is>
      </c>
      <c r="L9619" s="20" t="n">
        <v>5882000</v>
      </c>
      <c r="M9619" s="20" t="n">
        <v>5537903</v>
      </c>
      <c r="N9619" s="20" t="n">
        <v>441842</v>
      </c>
      <c r="O9619" s="20" t="inlineStr">
        <is>
          <t>카페24고체향수솔리드퍼퓸 스테이포에버 002제품선택=스테이포에버 1개210501</t>
        </is>
      </c>
    </row>
    <row r="9620">
      <c r="B9620" s="27" t="n">
        <v>44349</v>
      </c>
      <c r="C9620" s="20" t="inlineStr">
        <is>
          <t>수</t>
        </is>
      </c>
      <c r="E9620" s="20" t="inlineStr">
        <is>
          <t>고체향수</t>
        </is>
      </c>
      <c r="F9620" s="20" t="inlineStr">
        <is>
          <t>카페24</t>
        </is>
      </c>
      <c r="G9620" s="20" t="inlineStr">
        <is>
          <t>솔리드퍼퓸 스테이포에버 002제품선택=best스테이포에버 2개[28% 할인]</t>
        </is>
      </c>
      <c r="H9620" s="20" t="n">
        <v>127</v>
      </c>
      <c r="I9620" s="20" t="inlineStr">
        <is>
          <t>스테이포에버 2set</t>
        </is>
      </c>
      <c r="J9620" s="20" t="inlineStr">
        <is>
          <t>210501</t>
        </is>
      </c>
      <c r="L9620" s="20" t="n">
        <v>7467600</v>
      </c>
      <c r="M9620" s="20" t="n">
        <v>7030745.399999999</v>
      </c>
      <c r="N9620" s="20" t="n">
        <v>648716</v>
      </c>
      <c r="O9620" s="20" t="inlineStr">
        <is>
          <t>카페24고체향수솔리드퍼퓸 스테이포에버 002제품선택=best스테이포에버 2개[28% 할인]210501</t>
        </is>
      </c>
    </row>
    <row r="9621">
      <c r="B9621" s="27" t="n">
        <v>44349</v>
      </c>
      <c r="C9621" s="20" t="inlineStr">
        <is>
          <t>수</t>
        </is>
      </c>
      <c r="E9621" s="20" t="inlineStr">
        <is>
          <t>고체향수</t>
        </is>
      </c>
      <c r="F9621" s="20" t="inlineStr">
        <is>
          <t>카페24</t>
        </is>
      </c>
      <c r="G9621" s="20" t="inlineStr">
        <is>
          <t>솔리드퍼퓸 스테이포에버 002제품선택=커플추천스테이포에버 + 이그나이트 세트</t>
        </is>
      </c>
      <c r="H9621" s="20" t="n">
        <v>21</v>
      </c>
      <c r="I9621" s="20" t="inlineStr">
        <is>
          <t>이그나이트 + 스테이포에버</t>
        </is>
      </c>
      <c r="J9621" s="20" t="inlineStr">
        <is>
          <t>210501</t>
        </is>
      </c>
      <c r="L9621" s="20" t="n">
        <v>1234800</v>
      </c>
      <c r="M9621" s="20" t="n">
        <v>1162564.2</v>
      </c>
      <c r="N9621" s="20" t="n">
        <v>108759</v>
      </c>
      <c r="O9621" s="20" t="inlineStr">
        <is>
          <t>카페24고체향수솔리드퍼퓸 스테이포에버 002제품선택=커플추천스테이포에버 + 이그나이트 세트210501</t>
        </is>
      </c>
    </row>
    <row r="9622">
      <c r="B9622" s="27" t="n">
        <v>44349</v>
      </c>
      <c r="C9622" s="20" t="inlineStr">
        <is>
          <t>수</t>
        </is>
      </c>
      <c r="E9622" s="20" t="inlineStr">
        <is>
          <t>쇼핑백</t>
        </is>
      </c>
      <c r="F9622" s="20" t="inlineStr">
        <is>
          <t>카페24</t>
        </is>
      </c>
      <c r="G9622" s="20" t="inlineStr">
        <is>
          <t>솔리드퍼퓸 스테이포에버 002쇼핑백=선물용 쇼핑백</t>
        </is>
      </c>
      <c r="H9622" s="20" t="n">
        <v>4</v>
      </c>
      <c r="I9622" s="20" t="inlineStr">
        <is>
          <t>쇼핑백</t>
        </is>
      </c>
      <c r="J9622" s="20" t="inlineStr">
        <is>
          <t>210501</t>
        </is>
      </c>
      <c r="L9622" s="20" t="n">
        <v>8000</v>
      </c>
      <c r="M9622" s="20" t="n">
        <v>7532</v>
      </c>
      <c r="N9622" s="20" t="n">
        <v>3320</v>
      </c>
      <c r="O9622" s="20" t="inlineStr">
        <is>
          <t>카페24쇼핑백솔리드퍼퓸 스테이포에버 002쇼핑백=선물용 쇼핑백210501</t>
        </is>
      </c>
    </row>
    <row r="9623">
      <c r="B9623" s="27" t="n">
        <v>44349</v>
      </c>
      <c r="C9623" s="20" t="inlineStr">
        <is>
          <t>수</t>
        </is>
      </c>
      <c r="E9623" s="20" t="inlineStr">
        <is>
          <t>고체향수</t>
        </is>
      </c>
      <c r="F9623" s="20" t="inlineStr">
        <is>
          <t>카페24</t>
        </is>
      </c>
      <c r="G9623" s="20" t="inlineStr">
        <is>
          <t>솔리드퍼퓸 이그나이트 001제품선택=이그나이트 솔리드퍼퓸 - 30ml</t>
        </is>
      </c>
      <c r="H9623" s="20" t="n">
        <v>2</v>
      </c>
      <c r="I9623" s="20" t="inlineStr">
        <is>
          <t>이그나이트</t>
        </is>
      </c>
      <c r="J9623" s="20" t="inlineStr">
        <is>
          <t>210501</t>
        </is>
      </c>
      <c r="L9623" s="20" t="n">
        <v>68000</v>
      </c>
      <c r="M9623" s="20" t="n">
        <v>64022</v>
      </c>
      <c r="N9623" s="20" t="n">
        <v>5250</v>
      </c>
      <c r="O9623" s="20" t="inlineStr">
        <is>
          <t>카페24고체향수솔리드퍼퓸 이그나이트 001제품선택=이그나이트 솔리드퍼퓸 - 30ml210501</t>
        </is>
      </c>
    </row>
    <row r="9624">
      <c r="A9624" s="20" t="inlineStr">
        <is>
          <t>고체향수</t>
        </is>
      </c>
      <c r="B9624" s="27" t="n">
        <v>44349</v>
      </c>
      <c r="C9624" s="20" t="inlineStr">
        <is>
          <t>수</t>
        </is>
      </c>
      <c r="D9624" s="20" t="inlineStr">
        <is>
          <t>네이버 배너</t>
        </is>
      </c>
      <c r="E9624" s="20" t="inlineStr">
        <is>
          <t>고체향수</t>
        </is>
      </c>
      <c r="K9624" s="20" t="n">
        <v>737089.9999999999</v>
      </c>
    </row>
    <row r="9625">
      <c r="B9625" s="27" t="n">
        <v>44349</v>
      </c>
      <c r="C9625" s="20" t="inlineStr">
        <is>
          <t>수</t>
        </is>
      </c>
      <c r="D9625" s="20" t="inlineStr">
        <is>
          <t>네이버 배너(대행사)</t>
        </is>
      </c>
      <c r="K9625" s="20" t="n">
        <v>257388</v>
      </c>
    </row>
    <row r="9626">
      <c r="B9626" s="27" t="n">
        <v>44349</v>
      </c>
      <c r="C9626" s="20" t="inlineStr">
        <is>
          <t>수</t>
        </is>
      </c>
      <c r="D9626" s="20" t="inlineStr">
        <is>
          <t>카카오 배너</t>
        </is>
      </c>
      <c r="K9626" s="20">
        <f>1104598/1.1</f>
        <v/>
      </c>
    </row>
    <row r="9627">
      <c r="B9627" s="27" t="n">
        <v>44349</v>
      </c>
      <c r="C9627" s="20" t="inlineStr">
        <is>
          <t>수</t>
        </is>
      </c>
      <c r="E9627" s="19">
        <f>INDEX(매칭테이블!C:C,MATCH(RD!G9627,매칭테이블!D:D,0))</f>
        <v/>
      </c>
      <c r="F9627" s="20" t="inlineStr">
        <is>
          <t>올리브영</t>
        </is>
      </c>
      <c r="G9627" s="20" t="inlineStr">
        <is>
          <t>유즈 솔리드퍼퓸 001 이그나이트 30ml 30600 온라인</t>
        </is>
      </c>
      <c r="H9627" s="20" t="n">
        <v>4</v>
      </c>
      <c r="I9627" s="19">
        <f>VLOOKUP(G9627,매칭테이블!D:E,2,0)</f>
        <v/>
      </c>
      <c r="J9627" s="20" t="inlineStr">
        <is>
          <t>210501</t>
        </is>
      </c>
      <c r="L9627" s="19">
        <f>VLOOKUP($O9627,매칭테이블!$G:$J,2,0)*H9627</f>
        <v/>
      </c>
      <c r="M9627" s="19">
        <f>L9627-L9627*VLOOKUP($O9627,매칭테이블!$G:$J,3,0)</f>
        <v/>
      </c>
      <c r="N9627" s="19">
        <f>VLOOKUP($O9627,매칭테이블!$G:$J,4,0)*H9627</f>
        <v/>
      </c>
      <c r="O9627" s="19">
        <f>F9627&amp;E9627&amp;G9627&amp;J9627</f>
        <v/>
      </c>
    </row>
    <row r="9628">
      <c r="B9628" s="27" t="n">
        <v>44349</v>
      </c>
      <c r="C9628" s="20" t="inlineStr">
        <is>
          <t>수</t>
        </is>
      </c>
      <c r="E9628" s="19">
        <f>INDEX(매칭테이블!C:C,MATCH(RD!G9628,매칭테이블!D:D,0))</f>
        <v/>
      </c>
      <c r="F9628" s="20" t="inlineStr">
        <is>
          <t>올리브영</t>
        </is>
      </c>
      <c r="G9628" s="20" t="inlineStr">
        <is>
          <t>유즈 솔리드퍼퓸 002 스테이포에버 30ml 30600 온라인</t>
        </is>
      </c>
      <c r="H9628" s="20" t="n">
        <v>134</v>
      </c>
      <c r="I9628" s="19">
        <f>VLOOKUP(G9628,매칭테이블!D:E,2,0)</f>
        <v/>
      </c>
      <c r="J9628" s="20" t="inlineStr">
        <is>
          <t>210501</t>
        </is>
      </c>
      <c r="L9628" s="19">
        <f>VLOOKUP($O9628,매칭테이블!$G:$J,2,0)*H9628</f>
        <v/>
      </c>
      <c r="M9628" s="19">
        <f>L9628-L9628*VLOOKUP($O9628,매칭테이블!$G:$J,3,0)</f>
        <v/>
      </c>
      <c r="N9628" s="19">
        <f>VLOOKUP($O9628,매칭테이블!$G:$J,4,0)*H9628</f>
        <v/>
      </c>
      <c r="O9628" s="19">
        <f>F9628&amp;E9628&amp;G9628&amp;J9628</f>
        <v/>
      </c>
    </row>
    <row r="9629">
      <c r="A9629" t="inlineStr">
        <is>
          <t>[비누향 인연] 유튜브재편집_스테이포에버_영상</t>
        </is>
      </c>
      <c r="B9629" s="29" t="n">
        <v>44350</v>
      </c>
      <c r="C9629" t="inlineStr">
        <is>
          <t>목</t>
        </is>
      </c>
      <c r="D9629" t="inlineStr">
        <is>
          <t>페이스북/인스타그램</t>
        </is>
      </c>
      <c r="E9629" t="inlineStr">
        <is>
          <t>고체향수</t>
        </is>
      </c>
      <c r="K9629" t="n">
        <v>25385</v>
      </c>
    </row>
    <row r="9630">
      <c r="A9630" t="inlineStr">
        <is>
          <t>[승무원] 유튜브재편집_스테이포에버_영상_2</t>
        </is>
      </c>
      <c r="B9630" s="29" t="n">
        <v>44350</v>
      </c>
      <c r="C9630" t="inlineStr">
        <is>
          <t>목</t>
        </is>
      </c>
      <c r="D9630" t="inlineStr">
        <is>
          <t>페이스북/인스타그램</t>
        </is>
      </c>
      <c r="E9630" t="inlineStr">
        <is>
          <t>고체향수</t>
        </is>
      </c>
      <c r="K9630" t="n">
        <v>80226</v>
      </c>
    </row>
    <row r="9631">
      <c r="A9631" t="inlineStr">
        <is>
          <t>[수현 TEST] 이그나이트_이미지</t>
        </is>
      </c>
      <c r="B9631" s="29" t="n">
        <v>44350</v>
      </c>
      <c r="C9631" t="inlineStr">
        <is>
          <t>목</t>
        </is>
      </c>
      <c r="D9631" t="inlineStr">
        <is>
          <t>페이스북/인스타그램</t>
        </is>
      </c>
      <c r="E9631" t="inlineStr">
        <is>
          <t>고체향수</t>
        </is>
      </c>
      <c r="K9631" t="n">
        <v>30011</v>
      </c>
    </row>
    <row r="9632">
      <c r="A9632" t="inlineStr">
        <is>
          <t>[올리브영 알바] 스테이포에버_카드뉴스</t>
        </is>
      </c>
      <c r="B9632" s="29" t="n">
        <v>44350</v>
      </c>
      <c r="C9632" t="inlineStr">
        <is>
          <t>목</t>
        </is>
      </c>
      <c r="D9632" t="inlineStr">
        <is>
          <t>페이스북/인스타그램</t>
        </is>
      </c>
      <c r="E9632" t="inlineStr">
        <is>
          <t>고체향수</t>
        </is>
      </c>
      <c r="K9632" t="n">
        <v>100826</v>
      </c>
    </row>
    <row r="9633">
      <c r="A9633" t="inlineStr">
        <is>
          <t>[수현 TEST] 스테이포에버_이미지</t>
        </is>
      </c>
      <c r="B9633" s="29" t="n">
        <v>44350</v>
      </c>
      <c r="C9633" t="inlineStr">
        <is>
          <t>목</t>
        </is>
      </c>
      <c r="D9633" t="inlineStr">
        <is>
          <t>페이스북/인스타그램</t>
        </is>
      </c>
      <c r="E9633" t="inlineStr">
        <is>
          <t>고체향수</t>
        </is>
      </c>
      <c r="K9633" t="n">
        <v>45909</v>
      </c>
    </row>
    <row r="9634">
      <c r="A9634" t="inlineStr">
        <is>
          <t>[승은] 스테이포에버_이미지</t>
        </is>
      </c>
      <c r="B9634" s="29" t="n">
        <v>44350</v>
      </c>
      <c r="C9634" t="inlineStr">
        <is>
          <t>목</t>
        </is>
      </c>
      <c r="D9634" t="inlineStr">
        <is>
          <t>페이스북/인스타그램</t>
        </is>
      </c>
      <c r="E9634" t="inlineStr">
        <is>
          <t>고체향수</t>
        </is>
      </c>
      <c r="K9634" t="n">
        <v>98950</v>
      </c>
    </row>
    <row r="9635">
      <c r="A9635" t="inlineStr">
        <is>
          <t>[비누향 덕후] 스테이포에버_카드뉴스</t>
        </is>
      </c>
      <c r="B9635" s="29" t="n">
        <v>44350</v>
      </c>
      <c r="C9635" t="inlineStr">
        <is>
          <t>목</t>
        </is>
      </c>
      <c r="D9635" t="inlineStr">
        <is>
          <t>페이스북/인스타그램</t>
        </is>
      </c>
      <c r="E9635" t="inlineStr">
        <is>
          <t>고체향수</t>
        </is>
      </c>
      <c r="K9635" t="n">
        <v>150986</v>
      </c>
    </row>
    <row r="9636">
      <c r="A9636" t="inlineStr">
        <is>
          <t>[승무원]유튜브_스테이포에버_카드뉴스</t>
        </is>
      </c>
      <c r="B9636" s="29" t="n">
        <v>44350</v>
      </c>
      <c r="C9636" t="inlineStr">
        <is>
          <t>목</t>
        </is>
      </c>
      <c r="D9636" t="inlineStr">
        <is>
          <t>페이스북/인스타그램</t>
        </is>
      </c>
      <c r="E9636" t="inlineStr">
        <is>
          <t>고체향수</t>
        </is>
      </c>
      <c r="K9636" t="n">
        <v>50730</v>
      </c>
    </row>
    <row r="9637">
      <c r="A9637" t="inlineStr">
        <is>
          <t>[올리브영] 이그나이트_영상</t>
        </is>
      </c>
      <c r="B9637" s="29" t="n">
        <v>44350</v>
      </c>
      <c r="C9637" t="inlineStr">
        <is>
          <t>목</t>
        </is>
      </c>
      <c r="D9637" t="inlineStr">
        <is>
          <t>페이스북/인스타그램</t>
        </is>
      </c>
      <c r="E9637" t="inlineStr">
        <is>
          <t>고체향수</t>
        </is>
      </c>
      <c r="K9637" t="n">
        <v>30177</v>
      </c>
    </row>
    <row r="9638">
      <c r="A9638" t="inlineStr">
        <is>
          <t>[승희] 솔리드퍼퓸_이미지</t>
        </is>
      </c>
      <c r="B9638" s="29" t="n">
        <v>44350</v>
      </c>
      <c r="C9638" t="inlineStr">
        <is>
          <t>목</t>
        </is>
      </c>
      <c r="D9638" t="inlineStr">
        <is>
          <t>페이스북/인스타그램</t>
        </is>
      </c>
      <c r="E9638" t="inlineStr">
        <is>
          <t>고체향수</t>
        </is>
      </c>
      <c r="K9638" t="n">
        <v>50082</v>
      </c>
    </row>
    <row r="9639">
      <c r="A9639" t="inlineStr">
        <is>
          <t>[올리브영] 스테이포에버_영상</t>
        </is>
      </c>
      <c r="B9639" s="29" t="n">
        <v>44350</v>
      </c>
      <c r="C9639" t="inlineStr">
        <is>
          <t>목</t>
        </is>
      </c>
      <c r="D9639" t="inlineStr">
        <is>
          <t>페이스북/인스타그램</t>
        </is>
      </c>
      <c r="E9639" t="inlineStr">
        <is>
          <t>고체향수</t>
        </is>
      </c>
      <c r="K9639" t="n">
        <v>50723</v>
      </c>
    </row>
    <row r="9640">
      <c r="A9640" t="inlineStr">
        <is>
          <t>[올리브영] 스테이포에버_이미지</t>
        </is>
      </c>
      <c r="B9640" s="29" t="n">
        <v>44350</v>
      </c>
      <c r="C9640" t="inlineStr">
        <is>
          <t>목</t>
        </is>
      </c>
      <c r="D9640" t="inlineStr">
        <is>
          <t>페이스북/인스타그램</t>
        </is>
      </c>
      <c r="E9640" t="inlineStr">
        <is>
          <t>고체향수</t>
        </is>
      </c>
      <c r="K9640" t="n">
        <v>30249</v>
      </c>
    </row>
    <row r="9641">
      <c r="A9641" t="inlineStr">
        <is>
          <t>[승무원] 유튜브재편집_스테이포에버_영상</t>
        </is>
      </c>
      <c r="B9641" s="29" t="n">
        <v>44350</v>
      </c>
      <c r="C9641" t="inlineStr">
        <is>
          <t>목</t>
        </is>
      </c>
      <c r="D9641" t="inlineStr">
        <is>
          <t>페이스북/인스타그램</t>
        </is>
      </c>
      <c r="E9641" t="inlineStr">
        <is>
          <t>고체향수</t>
        </is>
      </c>
      <c r="K9641" t="n">
        <v>390962</v>
      </c>
    </row>
    <row r="9642">
      <c r="A9642" t="inlineStr">
        <is>
          <t>[승무원 면세점] 스테이포에버_카드뉴스</t>
        </is>
      </c>
      <c r="B9642" s="29" t="n">
        <v>44350</v>
      </c>
      <c r="C9642" t="inlineStr">
        <is>
          <t>목</t>
        </is>
      </c>
      <c r="D9642" t="inlineStr">
        <is>
          <t>페이스북/인스타그램</t>
        </is>
      </c>
      <c r="E9642" t="inlineStr">
        <is>
          <t>고체향수</t>
        </is>
      </c>
      <c r="K9642" t="n">
        <v>148251</v>
      </c>
    </row>
    <row r="9643">
      <c r="A9643" t="inlineStr">
        <is>
          <t>[카페알바] 스테이포에버_카드뉴스</t>
        </is>
      </c>
      <c r="B9643" s="29" t="n">
        <v>44350</v>
      </c>
      <c r="C9643" t="inlineStr">
        <is>
          <t>목</t>
        </is>
      </c>
      <c r="D9643" t="inlineStr">
        <is>
          <t>페이스북/인스타그램</t>
        </is>
      </c>
      <c r="E9643" t="inlineStr">
        <is>
          <t>고체향수</t>
        </is>
      </c>
      <c r="K9643" t="n">
        <v>201804</v>
      </c>
    </row>
    <row r="9644">
      <c r="A9644" t="inlineStr">
        <is>
          <t>[아줌마]스테이포에버_이미지</t>
        </is>
      </c>
      <c r="B9644" s="29" t="n">
        <v>44350</v>
      </c>
      <c r="C9644" t="inlineStr">
        <is>
          <t>목</t>
        </is>
      </c>
      <c r="D9644" t="inlineStr">
        <is>
          <t>페이스북/인스타그램</t>
        </is>
      </c>
      <c r="E9644" t="inlineStr">
        <is>
          <t>고체향수</t>
        </is>
      </c>
      <c r="K9644" t="n">
        <v>50621</v>
      </c>
    </row>
    <row r="9645">
      <c r="A9645" t="inlineStr">
        <is>
          <t>[다양한 키워드] 스테이포에버_이미지</t>
        </is>
      </c>
      <c r="B9645" s="29" t="n">
        <v>44350</v>
      </c>
      <c r="C9645" t="inlineStr">
        <is>
          <t>목</t>
        </is>
      </c>
      <c r="D9645" t="inlineStr">
        <is>
          <t>페이스북/인스타그램</t>
        </is>
      </c>
      <c r="E9645" t="inlineStr">
        <is>
          <t>고체향수</t>
        </is>
      </c>
      <c r="K9645" t="n">
        <v>70967</v>
      </c>
    </row>
    <row r="9646">
      <c r="A9646" t="inlineStr">
        <is>
          <t>[재입고]스테이포에버_이미지</t>
        </is>
      </c>
      <c r="B9646" s="29" t="n">
        <v>44350</v>
      </c>
      <c r="C9646" t="inlineStr">
        <is>
          <t>목</t>
        </is>
      </c>
      <c r="D9646" t="inlineStr">
        <is>
          <t>페이스북/인스타그램</t>
        </is>
      </c>
      <c r="E9646" t="inlineStr">
        <is>
          <t>고체향수</t>
        </is>
      </c>
      <c r="K9646" t="n">
        <v>30294</v>
      </c>
    </row>
    <row r="9647">
      <c r="A9647" t="inlineStr">
        <is>
          <t>[승무원]숏폼_영상</t>
        </is>
      </c>
      <c r="B9647" s="29" t="n">
        <v>44350</v>
      </c>
      <c r="C9647" t="inlineStr">
        <is>
          <t>목</t>
        </is>
      </c>
      <c r="D9647" t="inlineStr">
        <is>
          <t>페이스북/인스타그램</t>
        </is>
      </c>
      <c r="E9647" t="inlineStr">
        <is>
          <t>고체향수</t>
        </is>
      </c>
      <c r="K9647" t="n">
        <v>30252</v>
      </c>
    </row>
    <row r="9648">
      <c r="A9648" t="inlineStr">
        <is>
          <t>[재입고]스테이포에버_영상</t>
        </is>
      </c>
      <c r="B9648" s="29" t="n">
        <v>44350</v>
      </c>
      <c r="C9648" t="inlineStr">
        <is>
          <t>목</t>
        </is>
      </c>
      <c r="D9648" t="inlineStr">
        <is>
          <t>페이스북/인스타그램</t>
        </is>
      </c>
      <c r="E9648" t="inlineStr">
        <is>
          <t>고체향수</t>
        </is>
      </c>
      <c r="K9648" t="n">
        <v>202037</v>
      </c>
    </row>
    <row r="9649">
      <c r="A9649" t="inlineStr">
        <is>
          <t>[승무원]2019년썰 카드뉴스+ 향묘사_영상</t>
        </is>
      </c>
      <c r="B9649" s="29" t="n">
        <v>44350</v>
      </c>
      <c r="C9649" t="inlineStr">
        <is>
          <t>목</t>
        </is>
      </c>
      <c r="D9649" t="inlineStr">
        <is>
          <t>페이스북/인스타그램</t>
        </is>
      </c>
      <c r="E9649" t="inlineStr">
        <is>
          <t>고체향수</t>
        </is>
      </c>
      <c r="K9649" t="n">
        <v>49890</v>
      </c>
    </row>
    <row r="9650">
      <c r="A9650" t="inlineStr">
        <is>
          <t>[승무원어피]스테이포에버_이미지</t>
        </is>
      </c>
      <c r="B9650" s="29" t="n">
        <v>44350</v>
      </c>
      <c r="C9650" t="inlineStr">
        <is>
          <t>목</t>
        </is>
      </c>
      <c r="D9650" t="inlineStr">
        <is>
          <t>페이스북/인스타그램</t>
        </is>
      </c>
      <c r="E9650" t="inlineStr">
        <is>
          <t>고체향수</t>
        </is>
      </c>
      <c r="K9650" t="n">
        <v>69076</v>
      </c>
    </row>
    <row r="9651">
      <c r="A9651" t="inlineStr">
        <is>
          <t>[다현]스테이포에버_이미지</t>
        </is>
      </c>
      <c r="B9651" s="29" t="n">
        <v>44350</v>
      </c>
      <c r="C9651" t="inlineStr">
        <is>
          <t>목</t>
        </is>
      </c>
      <c r="D9651" t="inlineStr">
        <is>
          <t>페이스북/인스타그램</t>
        </is>
      </c>
      <c r="E9651" t="inlineStr">
        <is>
          <t>고체향수</t>
        </is>
      </c>
      <c r="K9651" t="n">
        <v>99280</v>
      </c>
    </row>
    <row r="9652">
      <c r="A9652" t="inlineStr">
        <is>
          <t>[후기타입]스테이포에버_영상</t>
        </is>
      </c>
      <c r="B9652" s="29" t="n">
        <v>44350</v>
      </c>
      <c r="C9652" t="inlineStr">
        <is>
          <t>목</t>
        </is>
      </c>
      <c r="D9652" t="inlineStr">
        <is>
          <t>페이스북/인스타그램</t>
        </is>
      </c>
      <c r="E9652" t="inlineStr">
        <is>
          <t>고체향수</t>
        </is>
      </c>
      <c r="K9652" t="n">
        <v>101347</v>
      </c>
    </row>
    <row r="9653">
      <c r="A9653" t="inlineStr">
        <is>
          <t>전환_스테이포에버</t>
        </is>
      </c>
      <c r="B9653" s="29" t="n">
        <v>44350</v>
      </c>
      <c r="C9653" t="inlineStr">
        <is>
          <t>목</t>
        </is>
      </c>
      <c r="D9653" t="inlineStr">
        <is>
          <t>페이스북/인스타그램</t>
        </is>
      </c>
      <c r="E9653" t="inlineStr">
        <is>
          <t>고체향수</t>
        </is>
      </c>
      <c r="K9653" t="n">
        <v>100265</v>
      </c>
    </row>
    <row r="9654">
      <c r="A9654" t="inlineStr">
        <is>
          <t>[권태기커플]스테이포에버_영상</t>
        </is>
      </c>
      <c r="B9654" s="29" t="n">
        <v>44350</v>
      </c>
      <c r="C9654" t="inlineStr">
        <is>
          <t>목</t>
        </is>
      </c>
      <c r="D9654" t="inlineStr">
        <is>
          <t>페이스북/인스타그램</t>
        </is>
      </c>
      <c r="E9654" t="inlineStr">
        <is>
          <t>고체향수</t>
        </is>
      </c>
      <c r="K9654" t="n">
        <v>30168</v>
      </c>
    </row>
    <row r="9655">
      <c r="A9655" t="inlineStr">
        <is>
          <t>웹사이트 트래픽 서치</t>
        </is>
      </c>
      <c r="B9655" s="29" t="n">
        <v>44350</v>
      </c>
      <c r="C9655" t="inlineStr">
        <is>
          <t>목</t>
        </is>
      </c>
      <c r="D9655" t="inlineStr">
        <is>
          <t>유튜브 광고</t>
        </is>
      </c>
      <c r="E9655" t="inlineStr">
        <is>
          <t>고체향수</t>
        </is>
      </c>
      <c r="K9655" t="n">
        <v>34766</v>
      </c>
    </row>
    <row r="9656">
      <c r="A9656" t="inlineStr">
        <is>
          <t>디스커버리 배너_승무원,할인_리마케팅</t>
        </is>
      </c>
      <c r="B9656" s="29" t="n">
        <v>44350</v>
      </c>
      <c r="C9656" t="inlineStr">
        <is>
          <t>목</t>
        </is>
      </c>
      <c r="D9656" t="inlineStr">
        <is>
          <t>유튜브 광고</t>
        </is>
      </c>
      <c r="E9656" t="inlineStr">
        <is>
          <t>고체향수</t>
        </is>
      </c>
      <c r="K9656" t="n">
        <v>1020153</v>
      </c>
    </row>
    <row r="9657">
      <c r="A9657" t="inlineStr">
        <is>
          <t>[5화자] 동영상 캠페인_벨라의 비행일기</t>
        </is>
      </c>
      <c r="B9657" s="29" t="n">
        <v>44350</v>
      </c>
      <c r="C9657" t="inlineStr">
        <is>
          <t>목</t>
        </is>
      </c>
      <c r="D9657" t="inlineStr">
        <is>
          <t>유튜브 광고</t>
        </is>
      </c>
      <c r="E9657" t="inlineStr">
        <is>
          <t>고체향수</t>
        </is>
      </c>
      <c r="K9657" t="n">
        <v>506510</v>
      </c>
    </row>
    <row r="9658">
      <c r="A9658" t="inlineStr">
        <is>
          <t>[5화자] 동영상 캠페인_비행하고 여행하는 은선씨</t>
        </is>
      </c>
      <c r="B9658" s="29" t="n">
        <v>44350</v>
      </c>
      <c r="C9658" t="inlineStr">
        <is>
          <t>목</t>
        </is>
      </c>
      <c r="D9658" t="inlineStr">
        <is>
          <t>유튜브 광고</t>
        </is>
      </c>
      <c r="E9658" t="inlineStr">
        <is>
          <t>고체향수</t>
        </is>
      </c>
      <c r="K9658" t="n">
        <v>250038</v>
      </c>
    </row>
    <row r="9659">
      <c r="A9659" t="inlineStr">
        <is>
          <t>[5화자 재편집] 승무원_벨라_면세점에서 천만원</t>
        </is>
      </c>
      <c r="B9659" s="29" t="n">
        <v>44350</v>
      </c>
      <c r="C9659" t="inlineStr">
        <is>
          <t>목</t>
        </is>
      </c>
      <c r="D9659" t="inlineStr">
        <is>
          <t>유튜브 광고</t>
        </is>
      </c>
      <c r="E9659" t="inlineStr">
        <is>
          <t>고체향수</t>
        </is>
      </c>
      <c r="K9659" t="n">
        <v>202665</v>
      </c>
    </row>
    <row r="9660">
      <c r="A9660" t="inlineStr">
        <is>
          <t>동영상캠페인_유즈모먼트_면세점뒤졌는데</t>
        </is>
      </c>
      <c r="B9660" s="29" t="n">
        <v>44350</v>
      </c>
      <c r="C9660" t="inlineStr">
        <is>
          <t>목</t>
        </is>
      </c>
      <c r="D9660" t="inlineStr">
        <is>
          <t>유튜브 광고</t>
        </is>
      </c>
      <c r="E9660" t="inlineStr">
        <is>
          <t>고체향수</t>
        </is>
      </c>
      <c r="K9660" t="n">
        <v>405984</v>
      </c>
    </row>
    <row r="9661">
      <c r="A9661" t="inlineStr">
        <is>
          <t>동영상캠페인_파우치털기&amp;결혼썰</t>
        </is>
      </c>
      <c r="B9661" s="29" t="n">
        <v>44350</v>
      </c>
      <c r="C9661" t="inlineStr">
        <is>
          <t>목</t>
        </is>
      </c>
      <c r="D9661" t="inlineStr">
        <is>
          <t>유튜브 광고</t>
        </is>
      </c>
      <c r="E9661" t="inlineStr">
        <is>
          <t>고체향수</t>
        </is>
      </c>
      <c r="K9661" t="n">
        <v>200110</v>
      </c>
    </row>
    <row r="9662">
      <c r="A9662" t="inlineStr">
        <is>
          <t>메인키워드</t>
        </is>
      </c>
      <c r="B9662" s="29" t="n">
        <v>44350</v>
      </c>
      <c r="C9662" t="inlineStr">
        <is>
          <t>목</t>
        </is>
      </c>
      <c r="D9662" t="inlineStr">
        <is>
          <t>네이버 쇼핑검색</t>
        </is>
      </c>
      <c r="E9662" t="inlineStr">
        <is>
          <t>고체향수</t>
        </is>
      </c>
      <c r="K9662" t="n">
        <v>21750</v>
      </c>
    </row>
    <row r="9663">
      <c r="A9663" t="inlineStr">
        <is>
          <t>세부키워드1</t>
        </is>
      </c>
      <c r="B9663" s="29" t="n">
        <v>44350</v>
      </c>
      <c r="C9663" t="inlineStr">
        <is>
          <t>목</t>
        </is>
      </c>
      <c r="D9663" t="inlineStr">
        <is>
          <t>네이버 쇼핑검색</t>
        </is>
      </c>
      <c r="E9663" t="inlineStr">
        <is>
          <t>고체향수</t>
        </is>
      </c>
      <c r="K9663" t="n">
        <v>250</v>
      </c>
    </row>
    <row r="9664">
      <c r="A9664" t="inlineStr">
        <is>
          <t>세부키워드3</t>
        </is>
      </c>
      <c r="B9664" s="29" t="n">
        <v>44350</v>
      </c>
      <c r="C9664" t="inlineStr">
        <is>
          <t>목</t>
        </is>
      </c>
      <c r="D9664" t="inlineStr">
        <is>
          <t>네이버 쇼핑검색</t>
        </is>
      </c>
      <c r="E9664" t="inlineStr">
        <is>
          <t>고체향수</t>
        </is>
      </c>
      <c r="K9664" t="n">
        <v>114430</v>
      </c>
    </row>
    <row r="9665">
      <c r="A9665" t="inlineStr">
        <is>
          <t>모바일 브검</t>
        </is>
      </c>
      <c r="B9665" s="29" t="n">
        <v>44350</v>
      </c>
      <c r="C9665" t="inlineStr">
        <is>
          <t>목</t>
        </is>
      </c>
      <c r="D9665" t="inlineStr">
        <is>
          <t>네이버 브랜드검색</t>
        </is>
      </c>
      <c r="E9665" t="inlineStr">
        <is>
          <t>브랜드</t>
        </is>
      </c>
      <c r="K9665" t="n">
        <v>0</v>
      </c>
    </row>
    <row r="9666">
      <c r="A9666" t="inlineStr">
        <is>
          <t>PC 브랜드검색</t>
        </is>
      </c>
      <c r="B9666" s="29" t="n">
        <v>44350</v>
      </c>
      <c r="C9666" t="inlineStr">
        <is>
          <t>목</t>
        </is>
      </c>
      <c r="D9666" t="inlineStr">
        <is>
          <t>네이버 브랜드검색</t>
        </is>
      </c>
      <c r="E9666" t="inlineStr">
        <is>
          <t>브랜드</t>
        </is>
      </c>
      <c r="K9666" t="n">
        <v>0</v>
      </c>
    </row>
  </sheetData>
  <autoFilter ref="B1:O2718"/>
  <conditionalFormatting sqref="B8611:C8611">
    <cfRule type="timePeriod" priority="3" dxfId="0" timePeriod="lastWeek">
      <formula>AND(TODAY()-ROUNDDOWN(B8611,0)&gt;=(WEEKDAY(TODAY())),TODAY()-ROUNDDOWN(B8611,0)&lt;(WEEKDAY(TODAY())+7))</formula>
    </cfRule>
  </conditionalFormatting>
  <conditionalFormatting sqref="B8617:C8617">
    <cfRule type="timePeriod" priority="2" dxfId="0" timePeriod="lastWeek">
      <formula>AND(TODAY()-ROUNDDOWN(B8617,0)&gt;=(WEEKDAY(TODAY())),TODAY()-ROUNDDOWN(B8617,0)&lt;(WEEKDAY(TODAY())+7))</formula>
    </cfRule>
  </conditionalFormatting>
  <conditionalFormatting sqref="B8618:C8618">
    <cfRule type="timePeriod" priority="1" dxfId="0" timePeriod="lastWeek">
      <formula>AND(TODAY()-ROUNDDOWN(B8618,0)&gt;=(WEEKDAY(TODAY())),TODAY()-ROUNDDOWN(B8618,0)&lt;(WEEKDAY(TODAY())+7))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5"/>
    <outlinePr summaryBelow="1" summaryRight="1"/>
    <pageSetUpPr/>
  </sheetPr>
  <dimension ref="B33:D265"/>
  <sheetViews>
    <sheetView showGridLines="0" zoomScale="85" zoomScaleNormal="85" workbookViewId="0">
      <selection activeCell="F29" sqref="F29"/>
    </sheetView>
  </sheetViews>
  <sheetFormatPr baseColWidth="8" defaultRowHeight="17.4"/>
  <cols>
    <col width="1.59765625" customWidth="1" style="17" min="1" max="1"/>
    <col width="14.59765625" bestFit="1" customWidth="1" style="17" min="2" max="2"/>
    <col width="13.3984375" bestFit="1" customWidth="1" style="2" min="3" max="3"/>
    <col width="8.8984375" bestFit="1" customWidth="1" style="17" min="4" max="4"/>
    <col width="28.59765625" bestFit="1" customWidth="1" style="17" min="5" max="12"/>
    <col width="11.59765625" bestFit="1" customWidth="1" style="17" min="13" max="13"/>
    <col width="12.59765625" bestFit="1" customWidth="1" style="17" min="14" max="14"/>
    <col width="30.59765625" bestFit="1" customWidth="1" style="17" min="15" max="20"/>
    <col width="13.59765625" bestFit="1" customWidth="1" style="17" min="21" max="21"/>
    <col width="36.09765625" bestFit="1" customWidth="1" style="17" min="22" max="43"/>
    <col width="11.59765625" bestFit="1" customWidth="1" style="17" min="44" max="44"/>
    <col width="11.09765625" bestFit="1" customWidth="1" style="17" min="45" max="45"/>
    <col width="18.09765625" bestFit="1" customWidth="1" style="17" min="46" max="46"/>
    <col width="13.09765625" bestFit="1" customWidth="1" style="17" min="47" max="47"/>
    <col width="16.09765625" bestFit="1" customWidth="1" style="17" min="48" max="48"/>
    <col width="12.59765625" bestFit="1" customWidth="1" style="17" min="49" max="49"/>
    <col width="11.09765625" bestFit="1" customWidth="1" style="17" min="50" max="50"/>
    <col width="15.09765625" bestFit="1" customWidth="1" style="17" min="51" max="51"/>
    <col width="11.09765625" bestFit="1" customWidth="1" style="17" min="52" max="52"/>
    <col width="15.09765625" bestFit="1" customWidth="1" style="17" min="53" max="53"/>
    <col width="11.09765625" bestFit="1" customWidth="1" style="17" min="54" max="54"/>
    <col width="15.09765625" bestFit="1" customWidth="1" style="17" min="55" max="55"/>
    <col width="11.09765625" bestFit="1" customWidth="1" style="17" min="56" max="56"/>
    <col width="15.09765625" bestFit="1" customWidth="1" style="17" min="57" max="57"/>
    <col width="11.09765625" bestFit="1" customWidth="1" style="17" min="58" max="58"/>
    <col width="15.09765625" bestFit="1" customWidth="1" style="17" min="59" max="59"/>
    <col width="11.09765625" bestFit="1" customWidth="1" style="17" min="60" max="60"/>
    <col width="15.09765625" bestFit="1" customWidth="1" style="17" min="61" max="61"/>
    <col width="11.09765625" bestFit="1" customWidth="1" style="17" min="62" max="62"/>
    <col width="15.09765625" bestFit="1" customWidth="1" style="17" min="63" max="63"/>
    <col width="11.09765625" bestFit="1" customWidth="1" style="17" min="64" max="64"/>
    <col width="15.09765625" bestFit="1" customWidth="1" style="17" min="65" max="65"/>
    <col width="11.09765625" bestFit="1" customWidth="1" style="17" min="66" max="66"/>
    <col width="15.09765625" bestFit="1" customWidth="1" style="17" min="67" max="67"/>
    <col width="11.09765625" bestFit="1" customWidth="1" style="17" min="68" max="68"/>
    <col width="15.09765625" bestFit="1" customWidth="1" style="17" min="69" max="69"/>
    <col width="11.09765625" bestFit="1" customWidth="1" style="17" min="70" max="70"/>
    <col width="24.09765625" bestFit="1" customWidth="1" style="17" min="71" max="71"/>
    <col width="20.09765625" bestFit="1" customWidth="1" style="17" min="72" max="72"/>
    <col width="15.09765625" bestFit="1" customWidth="1" style="17" min="73" max="73"/>
    <col width="11.09765625" bestFit="1" customWidth="1" style="17" min="74" max="74"/>
    <col width="15.09765625" bestFit="1" customWidth="1" style="17" min="75" max="75"/>
    <col width="11.09765625" bestFit="1" customWidth="1" style="17" min="76" max="76"/>
    <col width="15.09765625" bestFit="1" customWidth="1" style="17" min="77" max="77"/>
    <col width="11.09765625" bestFit="1" customWidth="1" style="17" min="78" max="78"/>
    <col width="15.09765625" bestFit="1" customWidth="1" style="17" min="79" max="79"/>
    <col width="11.09765625" bestFit="1" customWidth="1" style="17" min="80" max="80"/>
    <col width="15.09765625" bestFit="1" customWidth="1" style="17" min="81" max="81"/>
    <col width="11.09765625" bestFit="1" customWidth="1" style="17" min="82" max="82"/>
    <col width="15.09765625" bestFit="1" customWidth="1" style="17" min="83" max="83"/>
    <col width="11.09765625" bestFit="1" customWidth="1" style="17" min="84" max="84"/>
    <col width="15.09765625" bestFit="1" customWidth="1" style="17" min="85" max="85"/>
    <col width="11.09765625" bestFit="1" customWidth="1" style="17" min="86" max="86"/>
    <col width="15.09765625" bestFit="1" customWidth="1" style="17" min="87" max="87"/>
    <col width="11.09765625" bestFit="1" customWidth="1" style="17" min="88" max="88"/>
    <col width="28.09765625" bestFit="1" customWidth="1" style="17" min="89" max="89"/>
    <col width="24.09765625" bestFit="1" customWidth="1" style="17" min="90" max="90"/>
    <col width="15.09765625" bestFit="1" customWidth="1" style="17" min="91" max="91"/>
    <col width="11.09765625" bestFit="1" customWidth="1" style="17" min="92" max="92"/>
    <col width="26.09765625" bestFit="1" customWidth="1" style="17" min="93" max="93"/>
    <col width="22.09765625" bestFit="1" customWidth="1" style="17" min="94" max="94"/>
    <col width="20.09765625" bestFit="1" customWidth="1" style="17" min="95" max="95"/>
    <col width="15.59765625" bestFit="1" customWidth="1" style="17" min="96" max="96"/>
  </cols>
  <sheetData>
    <row r="33" ht="16.5" customHeight="1" s="17">
      <c r="B33" s="1" t="inlineStr">
        <is>
          <t>채널</t>
        </is>
      </c>
      <c r="C33" s="20" t="inlineStr">
        <is>
          <t>(다중 항목)</t>
        </is>
      </c>
    </row>
    <row r="34" ht="16.5" customHeight="1" s="17">
      <c r="B34" s="1" t="inlineStr">
        <is>
          <t>상품1</t>
        </is>
      </c>
      <c r="C34" s="20" t="inlineStr">
        <is>
          <t>(다중 항목)</t>
        </is>
      </c>
    </row>
    <row r="35" ht="16.5" customHeight="1" s="17">
      <c r="C35" s="20" t="n"/>
    </row>
    <row r="36" ht="16.5" customHeight="1" s="17">
      <c r="B36" s="1" t="inlineStr">
        <is>
          <t>합계 : 판매액</t>
        </is>
      </c>
      <c r="C36" s="20" t="n"/>
      <c r="D36" s="1" t="inlineStr">
        <is>
          <t>상품2</t>
        </is>
      </c>
    </row>
    <row r="37" ht="16.5" customHeight="1" s="17">
      <c r="B37" s="1" t="inlineStr">
        <is>
          <t>일자</t>
        </is>
      </c>
      <c r="C37" s="1" t="inlineStr">
        <is>
          <t>요일</t>
        </is>
      </c>
      <c r="D37" s="20" t="inlineStr">
        <is>
          <t>총합계</t>
        </is>
      </c>
    </row>
    <row r="38" ht="16.5" customHeight="1" s="17">
      <c r="B38" s="20" t="inlineStr">
        <is>
          <t>총합계</t>
        </is>
      </c>
      <c r="C38" s="20" t="n"/>
    </row>
    <row r="39" ht="16.5" customHeight="1" s="17">
      <c r="C39" s="20" t="n"/>
    </row>
    <row r="40" ht="16.5" customHeight="1" s="17">
      <c r="C40" s="20" t="n"/>
    </row>
    <row r="41" ht="16.5" customHeight="1" s="17">
      <c r="C41" s="20" t="n"/>
    </row>
    <row r="42" ht="16.5" customHeight="1" s="17">
      <c r="C42" s="20" t="n"/>
    </row>
    <row r="43" ht="16.5" customHeight="1" s="17">
      <c r="C43" s="20" t="n"/>
    </row>
    <row r="44" ht="16.5" customHeight="1" s="17">
      <c r="C44" s="20" t="n"/>
    </row>
    <row r="45" ht="16.5" customHeight="1" s="17">
      <c r="C45" s="20" t="n"/>
    </row>
    <row r="46" ht="16.5" customHeight="1" s="17">
      <c r="C46" s="20" t="n"/>
    </row>
    <row r="47" ht="16.5" customHeight="1" s="17">
      <c r="C47" s="20" t="n"/>
    </row>
    <row r="48" ht="16.5" customHeight="1" s="17">
      <c r="C48" s="20" t="n"/>
    </row>
    <row r="49" ht="16.5" customHeight="1" s="17">
      <c r="C49" s="20" t="n"/>
    </row>
    <row r="50" ht="16.5" customHeight="1" s="17">
      <c r="C50" s="20" t="n"/>
    </row>
    <row r="51" ht="16.5" customHeight="1" s="17">
      <c r="C51" s="20" t="n"/>
    </row>
    <row r="52" ht="16.5" customHeight="1" s="17">
      <c r="C52" s="20" t="n"/>
    </row>
    <row r="53" ht="16.5" customHeight="1" s="17">
      <c r="C53" s="20" t="n"/>
    </row>
    <row r="54" ht="16.5" customHeight="1" s="17">
      <c r="C54" s="20" t="n"/>
    </row>
    <row r="55" ht="16.5" customHeight="1" s="17">
      <c r="C55" s="20" t="n"/>
    </row>
    <row r="56" ht="16.5" customHeight="1" s="17">
      <c r="C56" s="20" t="n"/>
    </row>
    <row r="57" ht="16.5" customHeight="1" s="17">
      <c r="C57" s="20" t="n"/>
    </row>
    <row r="58" ht="16.5" customHeight="1" s="17">
      <c r="C58" s="20" t="n"/>
    </row>
    <row r="59" ht="16.5" customHeight="1" s="17">
      <c r="C59" s="20" t="n"/>
    </row>
    <row r="60" ht="16.5" customHeight="1" s="17">
      <c r="C60" s="20" t="n"/>
    </row>
    <row r="61" ht="16.5" customHeight="1" s="17">
      <c r="C61" s="20" t="n"/>
    </row>
    <row r="62" ht="16.5" customHeight="1" s="17">
      <c r="C62" s="20" t="n"/>
    </row>
    <row r="63" ht="16.5" customHeight="1" s="17">
      <c r="C63" s="20" t="n"/>
    </row>
    <row r="64" ht="16.5" customHeight="1" s="17">
      <c r="C64" s="20" t="n"/>
    </row>
    <row r="65" ht="16.5" customHeight="1" s="17">
      <c r="C65" s="20" t="n"/>
    </row>
    <row r="66" ht="16.5" customHeight="1" s="17">
      <c r="C66" s="20" t="n"/>
    </row>
    <row r="67" ht="16.5" customHeight="1" s="17">
      <c r="C67" s="20" t="n"/>
    </row>
    <row r="68" ht="16.5" customHeight="1" s="17">
      <c r="C68" s="20" t="n"/>
    </row>
    <row r="69" ht="16.5" customHeight="1" s="17">
      <c r="C69" s="20" t="n"/>
    </row>
    <row r="70" ht="16.5" customHeight="1" s="17">
      <c r="C70" s="20" t="n"/>
    </row>
    <row r="71" ht="16.5" customHeight="1" s="17">
      <c r="C71" s="20" t="n"/>
    </row>
    <row r="72" ht="16.5" customHeight="1" s="17">
      <c r="C72" s="20" t="n"/>
    </row>
    <row r="73" ht="16.5" customHeight="1" s="17">
      <c r="C73" s="20" t="n"/>
    </row>
    <row r="74" ht="16.5" customHeight="1" s="17">
      <c r="C74" s="20" t="n"/>
    </row>
    <row r="75" ht="16.5" customHeight="1" s="17">
      <c r="C75" s="20" t="n"/>
    </row>
    <row r="76" ht="16.5" customHeight="1" s="17">
      <c r="C76" s="20" t="n"/>
    </row>
    <row r="77" ht="16.5" customHeight="1" s="17">
      <c r="C77" s="20" t="n"/>
    </row>
    <row r="78" ht="16.5" customHeight="1" s="17">
      <c r="C78" s="20" t="n"/>
    </row>
    <row r="79" ht="16.5" customHeight="1" s="17">
      <c r="C79" s="20" t="n"/>
    </row>
    <row r="80" ht="16.5" customHeight="1" s="17">
      <c r="C80" s="20" t="n"/>
    </row>
    <row r="81" ht="16.5" customHeight="1" s="17">
      <c r="C81" s="20" t="n"/>
    </row>
    <row r="82" ht="16.5" customHeight="1" s="17">
      <c r="C82" s="20" t="n"/>
    </row>
    <row r="83" ht="16.5" customHeight="1" s="17">
      <c r="C83" s="20" t="n"/>
    </row>
    <row r="84" ht="16.5" customHeight="1" s="17">
      <c r="C84" s="20" t="n"/>
    </row>
    <row r="85" ht="16.5" customHeight="1" s="17">
      <c r="C85" s="20" t="n"/>
    </row>
    <row r="86" ht="16.5" customHeight="1" s="17">
      <c r="C86" s="20" t="n"/>
    </row>
    <row r="87" ht="16.5" customHeight="1" s="17">
      <c r="C87" s="20" t="n"/>
    </row>
    <row r="88" ht="16.5" customHeight="1" s="17">
      <c r="C88" s="20" t="n"/>
    </row>
    <row r="89" ht="16.5" customHeight="1" s="17">
      <c r="C89" s="20" t="n"/>
    </row>
    <row r="90" ht="16.5" customHeight="1" s="17">
      <c r="C90" s="20" t="n"/>
    </row>
    <row r="91" ht="16.5" customHeight="1" s="17">
      <c r="C91" s="20" t="n"/>
    </row>
    <row r="92" ht="16.5" customHeight="1" s="17">
      <c r="C92" s="20" t="n"/>
    </row>
    <row r="93" ht="16.5" customHeight="1" s="17">
      <c r="C93" s="20" t="n"/>
    </row>
    <row r="94" ht="16.5" customHeight="1" s="17">
      <c r="C94" s="20" t="n"/>
    </row>
    <row r="95" ht="16.5" customHeight="1" s="17">
      <c r="C95" s="20" t="n"/>
    </row>
    <row r="96" ht="16.5" customHeight="1" s="17">
      <c r="C96" s="20" t="n"/>
    </row>
    <row r="97" ht="16.5" customHeight="1" s="17">
      <c r="C97" s="20" t="n"/>
    </row>
    <row r="98" ht="16.5" customHeight="1" s="17">
      <c r="C98" s="20" t="n"/>
    </row>
    <row r="99" ht="16.5" customHeight="1" s="17">
      <c r="C99" s="20" t="n"/>
    </row>
    <row r="100" ht="16.5" customHeight="1" s="17">
      <c r="C100" s="20" t="n"/>
    </row>
    <row r="101" ht="16.5" customHeight="1" s="17">
      <c r="C101" s="20" t="n"/>
    </row>
    <row r="102" ht="16.5" customHeight="1" s="17">
      <c r="C102" s="20" t="n"/>
    </row>
    <row r="103" ht="16.5" customHeight="1" s="17">
      <c r="C103" s="20" t="n"/>
    </row>
    <row r="104" ht="16.5" customHeight="1" s="17">
      <c r="C104" s="20" t="n"/>
    </row>
    <row r="105" ht="16.5" customHeight="1" s="17">
      <c r="C105" s="20" t="n"/>
    </row>
    <row r="106" ht="16.5" customHeight="1" s="17">
      <c r="C106" s="20" t="n"/>
    </row>
    <row r="107" ht="16.5" customHeight="1" s="17">
      <c r="C107" s="20" t="n"/>
    </row>
    <row r="108" ht="16.5" customHeight="1" s="17">
      <c r="C108" s="20" t="n"/>
    </row>
    <row r="109" ht="16.5" customHeight="1" s="17">
      <c r="C109" s="20" t="n"/>
    </row>
    <row r="110" ht="16.5" customHeight="1" s="17">
      <c r="C110" s="20" t="n"/>
    </row>
    <row r="111" ht="16.5" customHeight="1" s="17">
      <c r="C111" s="20" t="n"/>
    </row>
    <row r="112" ht="16.5" customHeight="1" s="17">
      <c r="C112" s="20" t="n"/>
    </row>
    <row r="113" ht="16.5" customHeight="1" s="17">
      <c r="C113" s="20" t="n"/>
    </row>
    <row r="114" ht="16.5" customHeight="1" s="17">
      <c r="C114" s="20" t="n"/>
    </row>
    <row r="115" ht="16.5" customHeight="1" s="17">
      <c r="C115" s="20" t="n"/>
    </row>
    <row r="116" ht="16.5" customHeight="1" s="17">
      <c r="C116" s="20" t="n"/>
    </row>
    <row r="117" ht="16.5" customHeight="1" s="17">
      <c r="C117" s="20" t="n"/>
    </row>
    <row r="118" ht="16.5" customHeight="1" s="17">
      <c r="C118" s="20" t="n"/>
    </row>
    <row r="119" ht="16.5" customHeight="1" s="17">
      <c r="C119" s="20" t="n"/>
    </row>
    <row r="120" ht="16.5" customHeight="1" s="17">
      <c r="C120" s="20" t="n"/>
    </row>
    <row r="121" ht="16.5" customHeight="1" s="17">
      <c r="C121" s="20" t="n"/>
    </row>
    <row r="122" ht="16.5" customHeight="1" s="17">
      <c r="C122" s="20" t="n"/>
    </row>
    <row r="123" ht="16.5" customHeight="1" s="17">
      <c r="C123" s="20" t="n"/>
    </row>
    <row r="124" ht="16.5" customHeight="1" s="17">
      <c r="C124" s="20" t="n"/>
    </row>
    <row r="125" ht="16.5" customHeight="1" s="17">
      <c r="C125" s="20" t="n"/>
    </row>
    <row r="126" ht="16.5" customHeight="1" s="17">
      <c r="C126" s="20" t="n"/>
    </row>
    <row r="127" ht="16.5" customHeight="1" s="17">
      <c r="C127" s="20" t="n"/>
    </row>
    <row r="128" ht="16.5" customHeight="1" s="17">
      <c r="C128" s="20" t="n"/>
    </row>
    <row r="129" ht="16.5" customHeight="1" s="17">
      <c r="C129" s="20" t="n"/>
    </row>
    <row r="130" ht="16.5" customHeight="1" s="17">
      <c r="C130" s="20" t="n"/>
    </row>
    <row r="131" ht="16.5" customHeight="1" s="17">
      <c r="C131" s="20" t="n"/>
    </row>
    <row r="132" ht="16.5" customHeight="1" s="17">
      <c r="C132" s="20" t="n"/>
    </row>
    <row r="133" ht="16.5" customHeight="1" s="17">
      <c r="C133" s="20" t="n"/>
    </row>
    <row r="134" ht="16.5" customHeight="1" s="17">
      <c r="C134" s="20" t="n"/>
    </row>
    <row r="135" ht="16.5" customHeight="1" s="17">
      <c r="C135" s="20" t="n"/>
    </row>
    <row r="136" ht="16.5" customHeight="1" s="17">
      <c r="C136" s="20" t="n"/>
    </row>
    <row r="137" ht="16.5" customHeight="1" s="17">
      <c r="C137" s="20" t="n"/>
    </row>
    <row r="138" ht="16.5" customHeight="1" s="17">
      <c r="C138" s="20" t="n"/>
    </row>
    <row r="139" ht="16.5" customHeight="1" s="17">
      <c r="C139" s="20" t="n"/>
    </row>
    <row r="140" ht="16.5" customHeight="1" s="17">
      <c r="C140" s="20" t="n"/>
    </row>
    <row r="141" ht="16.5" customHeight="1" s="17">
      <c r="C141" s="20" t="n"/>
    </row>
    <row r="142" ht="16.5" customHeight="1" s="17">
      <c r="C142" s="20" t="n"/>
    </row>
    <row r="143" ht="16.5" customHeight="1" s="17">
      <c r="C143" s="20" t="n"/>
    </row>
    <row r="144" ht="16.5" customHeight="1" s="17">
      <c r="C144" s="20" t="n"/>
    </row>
    <row r="145" ht="16.5" customHeight="1" s="17">
      <c r="C145" s="20" t="n"/>
    </row>
    <row r="146" ht="16.5" customHeight="1" s="17">
      <c r="C146" s="20" t="n"/>
    </row>
    <row r="147" ht="16.5" customHeight="1" s="17">
      <c r="C147" s="20" t="n"/>
    </row>
    <row r="148" ht="16.5" customHeight="1" s="17">
      <c r="C148" s="20" t="n"/>
    </row>
    <row r="149" ht="16.5" customHeight="1" s="17">
      <c r="C149" s="20" t="n"/>
    </row>
    <row r="150" ht="16.5" customHeight="1" s="17">
      <c r="C150" s="20" t="n"/>
    </row>
    <row r="151" ht="16.5" customHeight="1" s="17">
      <c r="C151" s="20" t="n"/>
    </row>
    <row r="152" ht="16.5" customHeight="1" s="17">
      <c r="C152" s="20" t="n"/>
    </row>
    <row r="153" ht="16.5" customHeight="1" s="17">
      <c r="C153" s="20" t="n"/>
    </row>
    <row r="154" ht="16.5" customHeight="1" s="17">
      <c r="C154" s="20" t="n"/>
    </row>
    <row r="155" ht="16.5" customHeight="1" s="17">
      <c r="C155" s="20" t="n"/>
    </row>
    <row r="156" ht="16.5" customHeight="1" s="17">
      <c r="C156" s="20" t="n"/>
    </row>
    <row r="157" ht="16.5" customHeight="1" s="17">
      <c r="C157" s="20" t="n"/>
    </row>
    <row r="158" ht="16.5" customHeight="1" s="17">
      <c r="C158" s="20" t="n"/>
    </row>
    <row r="159" ht="16.5" customHeight="1" s="17">
      <c r="C159" s="20" t="n"/>
    </row>
    <row r="160" ht="16.5" customHeight="1" s="17">
      <c r="C160" s="20" t="n"/>
    </row>
    <row r="161" ht="16.5" customHeight="1" s="17">
      <c r="C161" s="20" t="n"/>
    </row>
    <row r="162" ht="16.5" customHeight="1" s="17">
      <c r="C162" s="20" t="n"/>
    </row>
    <row r="163" ht="16.5" customHeight="1" s="17">
      <c r="C163" s="20" t="n"/>
    </row>
    <row r="164" ht="16.5" customHeight="1" s="17">
      <c r="C164" s="20" t="n"/>
    </row>
    <row r="165" ht="16.5" customHeight="1" s="17">
      <c r="C165" s="20" t="n"/>
    </row>
    <row r="166" ht="16.5" customHeight="1" s="17">
      <c r="C166" s="20" t="n"/>
    </row>
    <row r="167" ht="16.5" customHeight="1" s="17">
      <c r="C167" s="20" t="n"/>
    </row>
    <row r="168" ht="16.5" customHeight="1" s="17">
      <c r="C168" s="20" t="n"/>
    </row>
    <row r="169" ht="16.5" customHeight="1" s="17">
      <c r="C169" s="20" t="n"/>
    </row>
    <row r="170" ht="16.5" customHeight="1" s="17">
      <c r="C170" s="20" t="n"/>
    </row>
    <row r="171" ht="16.5" customHeight="1" s="17">
      <c r="C171" s="20" t="n"/>
    </row>
    <row r="172" ht="16.5" customHeight="1" s="17">
      <c r="C172" s="20" t="n"/>
    </row>
    <row r="173" ht="16.5" customHeight="1" s="17">
      <c r="C173" s="20" t="n"/>
    </row>
    <row r="174" ht="16.5" customHeight="1" s="17">
      <c r="C174" s="20" t="n"/>
    </row>
    <row r="175" ht="16.5" customHeight="1" s="17">
      <c r="C175" s="20" t="n"/>
    </row>
    <row r="176" ht="16.5" customHeight="1" s="17">
      <c r="C176" s="20" t="n"/>
    </row>
    <row r="177" ht="16.5" customHeight="1" s="17">
      <c r="C177" s="20" t="n"/>
    </row>
    <row r="178" ht="16.5" customHeight="1" s="17">
      <c r="C178" s="20" t="n"/>
    </row>
    <row r="179" ht="16.5" customHeight="1" s="17">
      <c r="C179" s="20" t="n"/>
    </row>
    <row r="180" ht="16.5" customHeight="1" s="17">
      <c r="C180" s="20" t="n"/>
    </row>
    <row r="181" ht="16.5" customHeight="1" s="17">
      <c r="C181" s="20" t="n"/>
    </row>
    <row r="182" ht="16.5" customHeight="1" s="17">
      <c r="C182" s="20" t="n"/>
    </row>
    <row r="183" ht="16.5" customHeight="1" s="17">
      <c r="C183" s="20" t="n"/>
    </row>
    <row r="184" ht="16.5" customHeight="1" s="17">
      <c r="C184" s="20" t="n"/>
    </row>
    <row r="185" ht="16.5" customHeight="1" s="17">
      <c r="C185" s="20" t="n"/>
    </row>
    <row r="186" ht="16.5" customHeight="1" s="17">
      <c r="C186" s="20" t="n"/>
    </row>
    <row r="187" ht="16.5" customHeight="1" s="17">
      <c r="C187" s="20" t="n"/>
    </row>
    <row r="188" ht="16.5" customHeight="1" s="17">
      <c r="C188" s="20" t="n"/>
    </row>
    <row r="189" ht="16.5" customHeight="1" s="17">
      <c r="C189" s="20" t="n"/>
    </row>
    <row r="190" ht="16.5" customHeight="1" s="17">
      <c r="C190" s="20" t="n"/>
    </row>
    <row r="191" ht="16.5" customHeight="1" s="17">
      <c r="C191" s="20" t="n"/>
    </row>
    <row r="192" ht="16.5" customHeight="1" s="17">
      <c r="C192" s="20" t="n"/>
    </row>
    <row r="193" ht="16.5" customHeight="1" s="17">
      <c r="C193" s="20" t="n"/>
    </row>
    <row r="194" ht="16.5" customHeight="1" s="17">
      <c r="C194" s="20" t="n"/>
    </row>
    <row r="195" ht="16.5" customHeight="1" s="17">
      <c r="C195" s="20" t="n"/>
    </row>
    <row r="196" ht="16.5" customHeight="1" s="17">
      <c r="C196" s="20" t="n"/>
    </row>
    <row r="197" ht="16.5" customHeight="1" s="17">
      <c r="C197" s="20" t="n"/>
    </row>
    <row r="198" ht="16.5" customHeight="1" s="17">
      <c r="C198" s="20" t="n"/>
    </row>
    <row r="199" ht="16.5" customHeight="1" s="17">
      <c r="C199" s="20" t="n"/>
    </row>
    <row r="200" ht="16.5" customHeight="1" s="17">
      <c r="C200" s="20" t="n"/>
    </row>
    <row r="201" ht="16.5" customHeight="1" s="17">
      <c r="C201" s="20" t="n"/>
    </row>
    <row r="202" ht="16.5" customHeight="1" s="17">
      <c r="C202" s="20" t="n"/>
    </row>
    <row r="203" ht="16.5" customHeight="1" s="17">
      <c r="C203" s="20" t="n"/>
    </row>
    <row r="204" ht="16.5" customHeight="1" s="17">
      <c r="C204" s="20" t="n"/>
    </row>
    <row r="205" ht="16.5" customHeight="1" s="17">
      <c r="C205" s="20" t="n"/>
    </row>
    <row r="206" ht="16.5" customHeight="1" s="17">
      <c r="C206" s="20" t="n"/>
    </row>
    <row r="207" ht="16.5" customHeight="1" s="17">
      <c r="C207" s="20" t="n"/>
    </row>
    <row r="208" ht="16.5" customHeight="1" s="17">
      <c r="C208" s="20" t="n"/>
    </row>
    <row r="209" ht="16.5" customHeight="1" s="17">
      <c r="C209" s="20" t="n"/>
    </row>
    <row r="210" ht="16.5" customHeight="1" s="17">
      <c r="C210" s="20" t="n"/>
    </row>
    <row r="211" ht="16.5" customHeight="1" s="17">
      <c r="C211" s="20" t="n"/>
    </row>
    <row r="212" ht="16.5" customHeight="1" s="17">
      <c r="C212" s="20" t="n"/>
    </row>
    <row r="213" ht="16.5" customHeight="1" s="17">
      <c r="C213" s="20" t="n"/>
    </row>
    <row r="214" ht="16.5" customHeight="1" s="17">
      <c r="C214" s="20" t="n"/>
    </row>
    <row r="215" ht="16.5" customHeight="1" s="17">
      <c r="C215" s="20" t="n"/>
    </row>
    <row r="216" ht="16.5" customHeight="1" s="17">
      <c r="C216" s="20" t="n"/>
    </row>
    <row r="217" ht="16.5" customHeight="1" s="17">
      <c r="C217" s="20" t="n"/>
    </row>
    <row r="218" ht="16.5" customHeight="1" s="17">
      <c r="C218" s="20" t="n"/>
    </row>
    <row r="219" ht="16.5" customHeight="1" s="17">
      <c r="C219" s="20" t="n"/>
    </row>
    <row r="220" ht="16.5" customHeight="1" s="17">
      <c r="C220" s="20" t="n"/>
    </row>
    <row r="221" ht="16.5" customHeight="1" s="17">
      <c r="C221" s="20" t="n"/>
    </row>
    <row r="222" ht="16.5" customHeight="1" s="17">
      <c r="C222" s="20" t="n"/>
    </row>
    <row r="223" ht="16.5" customHeight="1" s="17">
      <c r="C223" s="20" t="n"/>
    </row>
    <row r="224" ht="16.5" customHeight="1" s="17">
      <c r="C224" s="20" t="n"/>
    </row>
    <row r="225" ht="16.5" customHeight="1" s="17">
      <c r="C225" s="20" t="n"/>
    </row>
    <row r="226" ht="16.5" customHeight="1" s="17">
      <c r="C226" s="20" t="n"/>
    </row>
    <row r="227" ht="16.5" customHeight="1" s="17">
      <c r="C227" s="20" t="n"/>
    </row>
    <row r="228" ht="16.5" customHeight="1" s="17">
      <c r="C228" s="20" t="n"/>
    </row>
    <row r="229" ht="16.5" customHeight="1" s="17">
      <c r="C229" s="20" t="n"/>
    </row>
    <row r="230" ht="16.5" customHeight="1" s="17">
      <c r="C230" s="20" t="n"/>
    </row>
    <row r="231" ht="16.5" customHeight="1" s="17">
      <c r="C231" s="20" t="n"/>
    </row>
    <row r="232" ht="16.5" customHeight="1" s="17">
      <c r="C232" s="20" t="n"/>
    </row>
    <row r="233" ht="16.5" customHeight="1" s="17">
      <c r="C233" s="20" t="n"/>
    </row>
    <row r="234" ht="16.5" customHeight="1" s="17">
      <c r="C234" s="20" t="n"/>
    </row>
    <row r="235" ht="16.5" customHeight="1" s="17">
      <c r="C235" s="20" t="n"/>
    </row>
    <row r="236" ht="16.5" customHeight="1" s="17">
      <c r="C236" s="20" t="n"/>
    </row>
    <row r="237" ht="16.5" customHeight="1" s="17">
      <c r="C237" s="20" t="n"/>
    </row>
    <row r="238" ht="16.5" customHeight="1" s="17">
      <c r="C238" s="20" t="n"/>
    </row>
    <row r="239" ht="16.5" customHeight="1" s="17">
      <c r="C239" s="20" t="n"/>
    </row>
    <row r="240" ht="16.5" customHeight="1" s="17">
      <c r="C240" s="20" t="n"/>
    </row>
    <row r="241" ht="16.5" customHeight="1" s="17">
      <c r="C241" s="20" t="n"/>
    </row>
    <row r="242" ht="16.5" customHeight="1" s="17">
      <c r="C242" s="20" t="n"/>
    </row>
    <row r="243" ht="16.5" customHeight="1" s="17">
      <c r="C243" s="20" t="n"/>
    </row>
    <row r="244" ht="16.5" customHeight="1" s="17">
      <c r="C244" s="20" t="n"/>
    </row>
    <row r="245" ht="16.5" customHeight="1" s="17">
      <c r="C245" s="20" t="n"/>
    </row>
    <row r="246" ht="16.5" customHeight="1" s="17">
      <c r="C246" s="20" t="n"/>
    </row>
    <row r="247" ht="16.5" customHeight="1" s="17">
      <c r="C247" s="20" t="n"/>
    </row>
    <row r="248" ht="16.5" customHeight="1" s="17">
      <c r="C248" s="20" t="n"/>
    </row>
    <row r="249" ht="16.5" customHeight="1" s="17">
      <c r="C249" s="20" t="n"/>
    </row>
    <row r="250" ht="16.5" customHeight="1" s="17">
      <c r="C250" s="20" t="n"/>
    </row>
    <row r="251" ht="16.5" customHeight="1" s="17">
      <c r="C251" s="20" t="n"/>
    </row>
    <row r="252" ht="16.5" customHeight="1" s="17">
      <c r="C252" s="20" t="n"/>
    </row>
    <row r="253" ht="16.5" customHeight="1" s="17">
      <c r="C253" s="20" t="n"/>
    </row>
    <row r="254" ht="16.5" customHeight="1" s="17">
      <c r="C254" s="20" t="n"/>
    </row>
    <row r="255" ht="16.5" customHeight="1" s="17">
      <c r="C255" s="20" t="n"/>
    </row>
    <row r="256" ht="16.5" customHeight="1" s="17">
      <c r="C256" s="20" t="n"/>
    </row>
    <row r="257" ht="16.5" customHeight="1" s="17">
      <c r="C257" s="20" t="n"/>
    </row>
    <row r="258" ht="16.5" customHeight="1" s="17">
      <c r="C258" s="20" t="n"/>
    </row>
    <row r="259" ht="16.5" customHeight="1" s="17">
      <c r="C259" s="20" t="n"/>
    </row>
    <row r="260" ht="16.5" customHeight="1" s="17">
      <c r="C260" s="20" t="n"/>
    </row>
    <row r="261" ht="16.5" customHeight="1" s="17">
      <c r="C261" s="20" t="n"/>
    </row>
    <row r="262" ht="16.5" customHeight="1" s="17">
      <c r="C262" s="20" t="n"/>
    </row>
    <row r="263" ht="16.5" customHeight="1" s="17">
      <c r="C263" s="20" t="n"/>
    </row>
    <row r="264" ht="16.5" customHeight="1" s="17">
      <c r="C264" s="20" t="n"/>
    </row>
    <row r="265" ht="16.5" customHeight="1" s="17">
      <c r="C265" s="20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B1:O350"/>
  <sheetViews>
    <sheetView showGridLines="0" topLeftCell="A58" zoomScale="70" zoomScaleNormal="70" workbookViewId="0">
      <selection activeCell="P72" sqref="P72"/>
    </sheetView>
  </sheetViews>
  <sheetFormatPr baseColWidth="8" defaultRowHeight="17.4"/>
  <cols>
    <col width="1.59765625" customWidth="1" style="17" min="1" max="1"/>
    <col width="15.09765625" bestFit="1" customWidth="1" style="17" min="2" max="2"/>
    <col width="14" bestFit="1" customWidth="1" style="2" min="3" max="3"/>
    <col width="9.3984375" bestFit="1" customWidth="1" style="17" min="4" max="6"/>
    <col width="7.3984375" bestFit="1" customWidth="1" style="17" min="7" max="7"/>
    <col width="7.09765625" bestFit="1" customWidth="1" style="17" min="8" max="8"/>
    <col width="8" customWidth="1" style="17" min="9" max="9"/>
    <col width="18.09765625" bestFit="1" customWidth="1" style="17" min="10" max="10"/>
    <col width="14" bestFit="1" customWidth="1" style="17" min="11" max="11"/>
    <col width="9.59765625" bestFit="1" customWidth="1" style="17" min="12" max="15"/>
    <col width="14" bestFit="1" customWidth="1" style="17" min="16" max="16"/>
    <col width="13.59765625" bestFit="1" customWidth="1" style="17" min="17" max="17"/>
    <col width="36.09765625" bestFit="1" customWidth="1" style="17" min="18" max="31"/>
    <col width="33.09765625" bestFit="1" customWidth="1" style="17" min="32" max="32"/>
    <col width="31.09765625" bestFit="1" customWidth="1" style="17" min="33" max="33"/>
    <col width="20.09765625" bestFit="1" customWidth="1" style="17" min="34" max="34"/>
    <col width="18" bestFit="1" customWidth="1" style="17" min="35" max="35"/>
    <col width="30.59765625" bestFit="1" customWidth="1" style="17" min="36" max="37"/>
    <col width="24.09765625" bestFit="1" customWidth="1" style="17" min="38" max="38"/>
    <col width="22.09765625" bestFit="1" customWidth="1" style="17" min="39" max="39"/>
    <col width="36.09765625" bestFit="1" customWidth="1" style="17" min="40" max="63"/>
    <col width="33.09765625" bestFit="1" customWidth="1" style="17" min="64" max="64"/>
    <col width="31.09765625" bestFit="1" customWidth="1" style="17" min="65" max="65"/>
    <col width="20.09765625" bestFit="1" customWidth="1" style="17" min="66" max="66"/>
    <col width="18" bestFit="1" customWidth="1" style="17" min="67" max="67"/>
    <col width="11.09765625" bestFit="1" customWidth="1" style="17" min="68" max="68"/>
    <col width="15.09765625" bestFit="1" customWidth="1" style="17" min="69" max="69"/>
    <col width="11.09765625" bestFit="1" customWidth="1" style="17" min="70" max="70"/>
    <col width="24.09765625" bestFit="1" customWidth="1" style="17" min="71" max="71"/>
    <col width="20.09765625" bestFit="1" customWidth="1" style="17" min="72" max="72"/>
    <col width="15.09765625" bestFit="1" customWidth="1" style="17" min="73" max="73"/>
    <col width="11.09765625" bestFit="1" customWidth="1" style="17" min="74" max="74"/>
    <col width="15.09765625" bestFit="1" customWidth="1" style="17" min="75" max="75"/>
    <col width="11.09765625" bestFit="1" customWidth="1" style="17" min="76" max="76"/>
    <col width="15.09765625" bestFit="1" customWidth="1" style="17" min="77" max="77"/>
    <col width="11.09765625" bestFit="1" customWidth="1" style="17" min="78" max="78"/>
    <col width="15.09765625" bestFit="1" customWidth="1" style="17" min="79" max="79"/>
    <col width="11.09765625" bestFit="1" customWidth="1" style="17" min="80" max="80"/>
    <col width="15.09765625" bestFit="1" customWidth="1" style="17" min="81" max="81"/>
    <col width="11.09765625" bestFit="1" customWidth="1" style="17" min="82" max="82"/>
    <col width="15.09765625" bestFit="1" customWidth="1" style="17" min="83" max="83"/>
    <col width="11.09765625" bestFit="1" customWidth="1" style="17" min="84" max="84"/>
    <col width="15.09765625" bestFit="1" customWidth="1" style="17" min="85" max="85"/>
    <col width="11.09765625" bestFit="1" customWidth="1" style="17" min="86" max="86"/>
    <col width="15.09765625" bestFit="1" customWidth="1" style="17" min="87" max="87"/>
    <col width="11.09765625" bestFit="1" customWidth="1" style="17" min="88" max="88"/>
    <col width="28.09765625" bestFit="1" customWidth="1" style="17" min="89" max="89"/>
    <col width="24.09765625" bestFit="1" customWidth="1" style="17" min="90" max="90"/>
    <col width="15.09765625" bestFit="1" customWidth="1" style="17" min="91" max="91"/>
    <col width="11.09765625" bestFit="1" customWidth="1" style="17" min="92" max="92"/>
    <col width="26.09765625" bestFit="1" customWidth="1" style="17" min="93" max="93"/>
    <col width="22.09765625" bestFit="1" customWidth="1" style="17" min="94" max="94"/>
    <col width="20.09765625" bestFit="1" customWidth="1" style="17" min="95" max="95"/>
    <col width="15.59765625" bestFit="1" customWidth="1" style="17" min="96" max="96"/>
  </cols>
  <sheetData>
    <row r="1" ht="16.5" customHeight="1" s="17">
      <c r="B1" s="1" t="inlineStr">
        <is>
          <t>채널</t>
        </is>
      </c>
      <c r="C1" s="20" t="inlineStr">
        <is>
          <t>(다중 항목)</t>
        </is>
      </c>
      <c r="J1" s="1" t="inlineStr">
        <is>
          <t>채널</t>
        </is>
      </c>
      <c r="K1" s="20" t="inlineStr">
        <is>
          <t>(다중 항목)</t>
        </is>
      </c>
    </row>
    <row r="2" ht="16.5" customHeight="1" s="17">
      <c r="C2" s="20" t="n"/>
    </row>
    <row r="3" ht="16.5" customHeight="1" s="17">
      <c r="B3" s="1" t="inlineStr">
        <is>
          <t>합계 : 판매수량</t>
        </is>
      </c>
      <c r="C3" s="20" t="n"/>
      <c r="D3" s="1" t="inlineStr">
        <is>
          <t>상품1</t>
        </is>
      </c>
      <c r="J3" s="1" t="inlineStr">
        <is>
          <t>합계 : 판매액</t>
        </is>
      </c>
      <c r="L3" s="1" t="inlineStr">
        <is>
          <t>상품1</t>
        </is>
      </c>
    </row>
    <row r="4" ht="16.5" customHeight="1" s="17">
      <c r="B4" s="1" t="inlineStr">
        <is>
          <t>일자</t>
        </is>
      </c>
      <c r="C4" s="1" t="inlineStr">
        <is>
          <t>요일</t>
        </is>
      </c>
      <c r="D4" s="20" t="inlineStr">
        <is>
          <t>고체향수</t>
        </is>
      </c>
      <c r="E4" s="20" t="inlineStr">
        <is>
          <t>쇼핑백</t>
        </is>
      </c>
      <c r="F4" s="20" t="inlineStr">
        <is>
          <t>0</t>
        </is>
      </c>
      <c r="G4" s="20" t="inlineStr">
        <is>
          <t>총합계</t>
        </is>
      </c>
      <c r="J4" s="1" t="inlineStr">
        <is>
          <t>일자</t>
        </is>
      </c>
      <c r="K4" s="1" t="inlineStr">
        <is>
          <t>요일</t>
        </is>
      </c>
      <c r="L4" s="20" t="inlineStr">
        <is>
          <t>고체향수</t>
        </is>
      </c>
      <c r="M4" s="20" t="inlineStr">
        <is>
          <t>쇼핑백</t>
        </is>
      </c>
      <c r="N4" s="20" t="inlineStr">
        <is>
          <t>0</t>
        </is>
      </c>
      <c r="O4" s="20" t="inlineStr">
        <is>
          <t>총합계</t>
        </is>
      </c>
    </row>
    <row r="5" ht="16.5" customHeight="1" s="17">
      <c r="B5" s="20" t="inlineStr">
        <is>
          <t>2021-02-16</t>
        </is>
      </c>
      <c r="C5" s="20" t="inlineStr">
        <is>
          <t>화</t>
        </is>
      </c>
      <c r="D5" s="20" t="n">
        <v>1148</v>
      </c>
      <c r="E5" s="20" t="n">
        <v>9</v>
      </c>
      <c r="G5" s="20" t="n">
        <v>1157</v>
      </c>
      <c r="J5" s="20" t="inlineStr">
        <is>
          <t>2021-02-16</t>
        </is>
      </c>
      <c r="K5" s="20" t="inlineStr">
        <is>
          <t>화</t>
        </is>
      </c>
      <c r="L5" s="20" t="n">
        <v>0</v>
      </c>
      <c r="M5" s="20" t="n">
        <v>0</v>
      </c>
      <c r="O5" s="20" t="n">
        <v>0</v>
      </c>
    </row>
    <row r="6" ht="16.5" customHeight="1" s="17">
      <c r="B6" s="20" t="inlineStr">
        <is>
          <t>2021-02-17</t>
        </is>
      </c>
      <c r="C6" s="20" t="inlineStr">
        <is>
          <t>수</t>
        </is>
      </c>
      <c r="D6" s="20" t="n">
        <v>1034</v>
      </c>
      <c r="E6" s="20" t="n">
        <v>9</v>
      </c>
      <c r="G6" s="20" t="n">
        <v>1043</v>
      </c>
      <c r="J6" s="20" t="inlineStr">
        <is>
          <t>2021-02-17</t>
        </is>
      </c>
      <c r="K6" s="20" t="inlineStr">
        <is>
          <t>수</t>
        </is>
      </c>
      <c r="L6" s="20" t="n">
        <v>0</v>
      </c>
      <c r="M6" s="20" t="n">
        <v>0</v>
      </c>
      <c r="O6" s="20" t="n">
        <v>0</v>
      </c>
    </row>
    <row r="7" ht="16.5" customHeight="1" s="17">
      <c r="B7" s="20" t="inlineStr">
        <is>
          <t>2021-02-21</t>
        </is>
      </c>
      <c r="C7" s="20" t="inlineStr">
        <is>
          <t>일</t>
        </is>
      </c>
      <c r="D7" s="20" t="n">
        <v>398</v>
      </c>
      <c r="E7" s="20" t="n">
        <v>8</v>
      </c>
      <c r="G7" s="20" t="n">
        <v>406</v>
      </c>
      <c r="J7" s="20" t="inlineStr">
        <is>
          <t>2021-02-21</t>
        </is>
      </c>
      <c r="K7" s="20" t="inlineStr">
        <is>
          <t>일</t>
        </is>
      </c>
      <c r="L7" s="20" t="n">
        <v>17847200</v>
      </c>
      <c r="O7" s="20" t="n">
        <v>17847200</v>
      </c>
    </row>
    <row r="8" ht="16.5" customHeight="1" s="17">
      <c r="B8" s="20" t="inlineStr">
        <is>
          <t>2021-02-22</t>
        </is>
      </c>
      <c r="C8" s="20" t="inlineStr">
        <is>
          <t>월</t>
        </is>
      </c>
      <c r="D8" s="20" t="n">
        <v>1041</v>
      </c>
      <c r="E8" s="20" t="n">
        <v>9</v>
      </c>
      <c r="G8" s="20" t="n">
        <v>1050</v>
      </c>
      <c r="J8" s="20" t="inlineStr">
        <is>
          <t>2021-02-22</t>
        </is>
      </c>
      <c r="K8" s="20" t="inlineStr">
        <is>
          <t>월</t>
        </is>
      </c>
      <c r="L8" s="20" t="n">
        <v>46503600</v>
      </c>
      <c r="O8" s="20" t="n">
        <v>46503600</v>
      </c>
    </row>
    <row r="9" ht="16.5" customHeight="1" s="17">
      <c r="B9" s="20" t="inlineStr">
        <is>
          <t>2021-02-23</t>
        </is>
      </c>
      <c r="C9" s="20" t="inlineStr">
        <is>
          <t>화</t>
        </is>
      </c>
      <c r="D9" s="20" t="n">
        <v>386</v>
      </c>
      <c r="E9" s="20" t="n">
        <v>11</v>
      </c>
      <c r="G9" s="20" t="n">
        <v>397</v>
      </c>
      <c r="J9" s="20" t="inlineStr">
        <is>
          <t>2021-02-23</t>
        </is>
      </c>
      <c r="K9" s="20" t="inlineStr">
        <is>
          <t>화</t>
        </is>
      </c>
      <c r="L9" s="20" t="n">
        <v>17340000</v>
      </c>
      <c r="O9" s="20" t="n">
        <v>17340000</v>
      </c>
    </row>
    <row r="10" ht="16.5" customHeight="1" s="17">
      <c r="B10" s="20" t="inlineStr">
        <is>
          <t>2021-02-25</t>
        </is>
      </c>
      <c r="C10" s="20" t="inlineStr">
        <is>
          <t>목</t>
        </is>
      </c>
      <c r="D10" s="20" t="n">
        <v>355</v>
      </c>
      <c r="E10" s="20" t="n">
        <v>4</v>
      </c>
      <c r="G10" s="20" t="n">
        <v>359</v>
      </c>
      <c r="J10" s="20" t="inlineStr">
        <is>
          <t>2021-02-25</t>
        </is>
      </c>
      <c r="K10" s="20" t="inlineStr">
        <is>
          <t>목</t>
        </is>
      </c>
      <c r="L10" s="20" t="n">
        <v>16170000</v>
      </c>
      <c r="O10" s="20" t="n">
        <v>16170000</v>
      </c>
    </row>
    <row r="11" ht="16.5" customHeight="1" s="17">
      <c r="B11" s="20" t="inlineStr">
        <is>
          <t>2021-02-26</t>
        </is>
      </c>
      <c r="C11" s="20" t="inlineStr">
        <is>
          <t>금</t>
        </is>
      </c>
      <c r="D11" s="20" t="n">
        <v>326</v>
      </c>
      <c r="E11" s="20" t="n">
        <v>11</v>
      </c>
      <c r="G11" s="20" t="n">
        <v>337</v>
      </c>
      <c r="J11" s="20" t="inlineStr">
        <is>
          <t>2021-02-26</t>
        </is>
      </c>
      <c r="K11" s="20" t="inlineStr">
        <is>
          <t>금</t>
        </is>
      </c>
      <c r="L11" s="20" t="n">
        <v>14535200</v>
      </c>
      <c r="M11" s="20" t="n">
        <v>22000</v>
      </c>
      <c r="O11" s="20" t="n">
        <v>14557200</v>
      </c>
    </row>
    <row r="12" ht="16.5" customHeight="1" s="17">
      <c r="B12" s="20" t="inlineStr">
        <is>
          <t>2021-02-27</t>
        </is>
      </c>
      <c r="C12" s="20" t="inlineStr">
        <is>
          <t>토</t>
        </is>
      </c>
      <c r="D12" s="20" t="n">
        <v>449</v>
      </c>
      <c r="E12" s="20" t="n">
        <v>5</v>
      </c>
      <c r="G12" s="20" t="n">
        <v>454</v>
      </c>
      <c r="J12" s="20" t="inlineStr">
        <is>
          <t>2021-02-27</t>
        </is>
      </c>
      <c r="K12" s="20" t="inlineStr">
        <is>
          <t>토</t>
        </is>
      </c>
      <c r="L12" s="20" t="n">
        <v>20498800</v>
      </c>
      <c r="M12" s="20" t="n">
        <v>10000</v>
      </c>
      <c r="O12" s="20" t="n">
        <v>20508800</v>
      </c>
    </row>
    <row r="13" ht="16.5" customHeight="1" s="17">
      <c r="B13" s="20" t="inlineStr">
        <is>
          <t>2021-02-28</t>
        </is>
      </c>
      <c r="C13" s="20" t="inlineStr">
        <is>
          <t>일</t>
        </is>
      </c>
      <c r="D13" s="20" t="n">
        <v>445</v>
      </c>
      <c r="E13" s="20" t="n">
        <v>9</v>
      </c>
      <c r="G13" s="20" t="n">
        <v>454</v>
      </c>
      <c r="J13" s="20" t="inlineStr">
        <is>
          <t>2021-02-28</t>
        </is>
      </c>
      <c r="K13" s="20" t="inlineStr">
        <is>
          <t>일</t>
        </is>
      </c>
      <c r="L13" s="20" t="n">
        <v>19742800</v>
      </c>
      <c r="M13" s="20" t="n">
        <v>18000</v>
      </c>
      <c r="O13" s="20" t="n">
        <v>19760800</v>
      </c>
    </row>
    <row r="14" ht="16.5" customHeight="1" s="17">
      <c r="B14" s="20" t="inlineStr">
        <is>
          <t>2021-03-01</t>
        </is>
      </c>
      <c r="C14" s="20" t="inlineStr">
        <is>
          <t>월</t>
        </is>
      </c>
      <c r="D14" s="20" t="n">
        <v>552</v>
      </c>
      <c r="E14" s="20" t="n">
        <v>7</v>
      </c>
      <c r="G14" s="20" t="n">
        <v>559</v>
      </c>
      <c r="J14" s="20" t="inlineStr">
        <is>
          <t>2021-03-01</t>
        </is>
      </c>
      <c r="K14" s="20" t="inlineStr">
        <is>
          <t>월</t>
        </is>
      </c>
      <c r="L14" s="20" t="n">
        <v>24372800</v>
      </c>
      <c r="M14" s="20" t="n">
        <v>14000</v>
      </c>
      <c r="O14" s="20" t="n">
        <v>24386800</v>
      </c>
    </row>
    <row r="15" ht="16.5" customHeight="1" s="17">
      <c r="B15" s="20" t="inlineStr">
        <is>
          <t>2021-03-02</t>
        </is>
      </c>
      <c r="C15" s="20" t="inlineStr">
        <is>
          <t>화</t>
        </is>
      </c>
      <c r="D15" s="20" t="n">
        <v>432</v>
      </c>
      <c r="E15" s="20" t="n">
        <v>3</v>
      </c>
      <c r="G15" s="20" t="n">
        <v>435</v>
      </c>
      <c r="J15" s="20" t="inlineStr">
        <is>
          <t>2021-03-02</t>
        </is>
      </c>
      <c r="K15" s="20" t="inlineStr">
        <is>
          <t>화</t>
        </is>
      </c>
      <c r="L15" s="20" t="n">
        <v>19028000</v>
      </c>
      <c r="M15" s="20" t="n">
        <v>6000</v>
      </c>
      <c r="O15" s="20" t="n">
        <v>19034000</v>
      </c>
    </row>
    <row r="16" ht="16.5" customHeight="1" s="17">
      <c r="B16" s="20" t="inlineStr">
        <is>
          <t>2021-03-03</t>
        </is>
      </c>
      <c r="C16" s="20" t="inlineStr">
        <is>
          <t>수</t>
        </is>
      </c>
      <c r="D16" s="20" t="n">
        <v>475</v>
      </c>
      <c r="E16" s="20" t="n">
        <v>2</v>
      </c>
      <c r="G16" s="20" t="n">
        <v>477</v>
      </c>
      <c r="J16" s="20" t="inlineStr">
        <is>
          <t>2021-03-03</t>
        </is>
      </c>
      <c r="K16" s="20" t="inlineStr">
        <is>
          <t>수</t>
        </is>
      </c>
      <c r="L16" s="20" t="n">
        <v>21705200</v>
      </c>
      <c r="M16" s="20" t="n">
        <v>4000</v>
      </c>
      <c r="O16" s="20" t="n">
        <v>21709200</v>
      </c>
    </row>
    <row r="17" ht="16.5" customHeight="1" s="17">
      <c r="B17" s="20" t="inlineStr">
        <is>
          <t>2021-03-04</t>
        </is>
      </c>
      <c r="C17" s="20" t="inlineStr">
        <is>
          <t>목</t>
        </is>
      </c>
      <c r="D17" s="20" t="n">
        <v>422</v>
      </c>
      <c r="E17" s="20" t="n">
        <v>10</v>
      </c>
      <c r="G17" s="20" t="n">
        <v>432</v>
      </c>
      <c r="J17" s="20" t="inlineStr">
        <is>
          <t>2021-03-04</t>
        </is>
      </c>
      <c r="K17" s="20" t="inlineStr">
        <is>
          <t>목</t>
        </is>
      </c>
      <c r="L17" s="20" t="n">
        <v>18737600</v>
      </c>
      <c r="M17" s="20" t="n">
        <v>20000</v>
      </c>
      <c r="O17" s="20" t="n">
        <v>18757600</v>
      </c>
    </row>
    <row r="18" ht="16.5" customHeight="1" s="17">
      <c r="B18" s="20" t="inlineStr">
        <is>
          <t>2021-03-05</t>
        </is>
      </c>
      <c r="C18" s="20" t="inlineStr">
        <is>
          <t>금</t>
        </is>
      </c>
      <c r="D18" s="20" t="n">
        <v>399</v>
      </c>
      <c r="E18" s="20" t="n">
        <v>7</v>
      </c>
      <c r="F18" s="20" t="n">
        <v>1</v>
      </c>
      <c r="G18" s="20" t="n">
        <v>407</v>
      </c>
      <c r="J18" s="20" t="inlineStr">
        <is>
          <t>2021-03-05</t>
        </is>
      </c>
      <c r="K18" s="20" t="inlineStr">
        <is>
          <t>금</t>
        </is>
      </c>
      <c r="L18" s="20" t="n">
        <v>0</v>
      </c>
      <c r="M18" s="20" t="n">
        <v>0</v>
      </c>
      <c r="N18" s="20" t="n">
        <v>0</v>
      </c>
      <c r="O18" s="20" t="n">
        <v>0</v>
      </c>
    </row>
    <row r="19" ht="16.5" customHeight="1" s="17">
      <c r="B19" s="20" t="inlineStr">
        <is>
          <t>2021-03-06</t>
        </is>
      </c>
      <c r="C19" s="20" t="inlineStr">
        <is>
          <t>토</t>
        </is>
      </c>
      <c r="D19" s="20" t="n">
        <v>470</v>
      </c>
      <c r="E19" s="20" t="n">
        <v>10</v>
      </c>
      <c r="G19" s="20" t="n">
        <v>480</v>
      </c>
      <c r="J19" s="20" t="inlineStr">
        <is>
          <t>2021-03-06</t>
        </is>
      </c>
      <c r="K19" s="20" t="inlineStr">
        <is>
          <t>토</t>
        </is>
      </c>
      <c r="L19" s="20" t="n">
        <v>0</v>
      </c>
      <c r="M19" s="20" t="n">
        <v>0</v>
      </c>
      <c r="O19" s="20" t="n">
        <v>0</v>
      </c>
    </row>
    <row r="20" ht="16.5" customHeight="1" s="17">
      <c r="B20" s="20" t="n">
        <v>43973</v>
      </c>
      <c r="C20" s="20" t="inlineStr">
        <is>
          <t>금</t>
        </is>
      </c>
      <c r="D20" s="20" t="n">
        <v>2</v>
      </c>
      <c r="G20" s="20" t="n">
        <v>2</v>
      </c>
      <c r="J20" s="20" t="n">
        <v>43973</v>
      </c>
      <c r="K20" s="20" t="inlineStr">
        <is>
          <t>금</t>
        </is>
      </c>
      <c r="L20" s="20" t="n">
        <v>76000</v>
      </c>
      <c r="O20" s="20" t="n">
        <v>76000</v>
      </c>
    </row>
    <row r="21" ht="16.5" customHeight="1" s="17">
      <c r="B21" s="20" t="n">
        <v>43974</v>
      </c>
      <c r="C21" s="20" t="inlineStr">
        <is>
          <t>토</t>
        </is>
      </c>
      <c r="D21" s="20" t="n">
        <v>1</v>
      </c>
      <c r="G21" s="20" t="n">
        <v>1</v>
      </c>
      <c r="J21" s="20" t="n">
        <v>43974</v>
      </c>
      <c r="K21" s="20" t="inlineStr">
        <is>
          <t>토</t>
        </is>
      </c>
      <c r="L21" s="20" t="n">
        <v>38000</v>
      </c>
      <c r="O21" s="20" t="n">
        <v>38000</v>
      </c>
    </row>
    <row r="22" ht="16.5" customHeight="1" s="17">
      <c r="B22" s="20" t="n">
        <v>43977</v>
      </c>
      <c r="C22" s="20" t="inlineStr">
        <is>
          <t>화</t>
        </is>
      </c>
      <c r="D22" s="20" t="n">
        <v>6</v>
      </c>
      <c r="G22" s="20" t="n">
        <v>6</v>
      </c>
      <c r="J22" s="20" t="n">
        <v>43977</v>
      </c>
      <c r="K22" s="20" t="inlineStr">
        <is>
          <t>화</t>
        </is>
      </c>
      <c r="L22" s="20" t="n">
        <v>259000</v>
      </c>
      <c r="O22" s="20" t="n">
        <v>259000</v>
      </c>
    </row>
    <row r="23" ht="16.5" customHeight="1" s="17">
      <c r="B23" s="20" t="n">
        <v>43978</v>
      </c>
      <c r="C23" s="20" t="inlineStr">
        <is>
          <t>수</t>
        </is>
      </c>
      <c r="D23" s="20" t="n">
        <v>11</v>
      </c>
      <c r="G23" s="20" t="n">
        <v>11</v>
      </c>
      <c r="J23" s="20" t="n">
        <v>43978</v>
      </c>
      <c r="K23" s="20" t="inlineStr">
        <is>
          <t>수</t>
        </is>
      </c>
      <c r="L23" s="20" t="n">
        <v>480000</v>
      </c>
      <c r="O23" s="20" t="n">
        <v>480000</v>
      </c>
    </row>
    <row r="24" ht="16.5" customHeight="1" s="17">
      <c r="B24" s="20" t="n">
        <v>43979</v>
      </c>
      <c r="C24" s="20" t="inlineStr">
        <is>
          <t>목</t>
        </is>
      </c>
      <c r="D24" s="20" t="n">
        <v>6</v>
      </c>
      <c r="G24" s="20" t="n">
        <v>6</v>
      </c>
      <c r="J24" s="20" t="n">
        <v>43979</v>
      </c>
      <c r="K24" s="20" t="inlineStr">
        <is>
          <t>목</t>
        </is>
      </c>
      <c r="L24" s="20" t="n">
        <v>228000</v>
      </c>
      <c r="O24" s="20" t="n">
        <v>228000</v>
      </c>
    </row>
    <row r="25" ht="16.5" customHeight="1" s="17">
      <c r="B25" s="20" t="n">
        <v>43980</v>
      </c>
      <c r="C25" s="20" t="inlineStr">
        <is>
          <t>금</t>
        </is>
      </c>
      <c r="D25" s="20" t="n">
        <v>2</v>
      </c>
      <c r="G25" s="20" t="n">
        <v>2</v>
      </c>
      <c r="J25" s="20" t="n">
        <v>43980</v>
      </c>
      <c r="K25" s="20" t="inlineStr">
        <is>
          <t>금</t>
        </is>
      </c>
      <c r="L25" s="20" t="n">
        <v>107000</v>
      </c>
      <c r="O25" s="20" t="n">
        <v>107000</v>
      </c>
    </row>
    <row r="26" ht="16.5" customHeight="1" s="17">
      <c r="B26" s="20" t="n">
        <v>43981</v>
      </c>
      <c r="C26" s="20" t="inlineStr">
        <is>
          <t>토</t>
        </is>
      </c>
      <c r="D26" s="20" t="n">
        <v>5</v>
      </c>
      <c r="G26" s="20" t="n">
        <v>5</v>
      </c>
      <c r="J26" s="20" t="n">
        <v>43981</v>
      </c>
      <c r="K26" s="20" t="inlineStr">
        <is>
          <t>토</t>
        </is>
      </c>
      <c r="L26" s="20" t="n">
        <v>190000</v>
      </c>
      <c r="O26" s="20" t="n">
        <v>190000</v>
      </c>
    </row>
    <row r="27" ht="16.5" customHeight="1" s="17">
      <c r="B27" s="20" t="n">
        <v>43982</v>
      </c>
      <c r="C27" s="20" t="inlineStr">
        <is>
          <t>일</t>
        </is>
      </c>
      <c r="D27" s="20" t="n">
        <v>4</v>
      </c>
      <c r="G27" s="20" t="n">
        <v>4</v>
      </c>
      <c r="J27" s="20" t="n">
        <v>43982</v>
      </c>
      <c r="K27" s="20" t="inlineStr">
        <is>
          <t>일</t>
        </is>
      </c>
      <c r="L27" s="20" t="n">
        <v>183000</v>
      </c>
      <c r="O27" s="20" t="n">
        <v>183000</v>
      </c>
    </row>
    <row r="28" ht="16.5" customHeight="1" s="17">
      <c r="B28" s="20" t="n">
        <v>43983</v>
      </c>
      <c r="C28" s="20" t="inlineStr">
        <is>
          <t>월</t>
        </is>
      </c>
      <c r="D28" s="20" t="n">
        <v>2</v>
      </c>
      <c r="G28" s="20" t="n">
        <v>2</v>
      </c>
      <c r="J28" s="20" t="n">
        <v>43983</v>
      </c>
      <c r="K28" s="20" t="inlineStr">
        <is>
          <t>월</t>
        </is>
      </c>
      <c r="L28" s="20" t="n">
        <v>76000</v>
      </c>
      <c r="O28" s="20" t="n">
        <v>76000</v>
      </c>
    </row>
    <row r="29" ht="16.5" customHeight="1" s="17">
      <c r="B29" s="20" t="n">
        <v>43984</v>
      </c>
      <c r="C29" s="20" t="inlineStr">
        <is>
          <t>화</t>
        </is>
      </c>
      <c r="D29" s="20" t="n">
        <v>3</v>
      </c>
      <c r="E29" s="20" t="n">
        <v>1</v>
      </c>
      <c r="G29" s="20" t="n">
        <v>4</v>
      </c>
      <c r="J29" s="20" t="n">
        <v>43984</v>
      </c>
      <c r="K29" s="20" t="inlineStr">
        <is>
          <t>화</t>
        </is>
      </c>
      <c r="L29" s="20" t="n">
        <v>145000</v>
      </c>
      <c r="M29" s="20" t="n">
        <v>2000</v>
      </c>
      <c r="O29" s="20" t="n">
        <v>147000</v>
      </c>
    </row>
    <row r="30" ht="16.5" customHeight="1" s="17">
      <c r="B30" s="20" t="n">
        <v>43985</v>
      </c>
      <c r="C30" s="20" t="inlineStr">
        <is>
          <t>수</t>
        </is>
      </c>
      <c r="D30" s="20" t="n">
        <v>3</v>
      </c>
      <c r="G30" s="20" t="n">
        <v>3</v>
      </c>
      <c r="J30" s="20" t="n">
        <v>43985</v>
      </c>
      <c r="K30" s="20" t="inlineStr">
        <is>
          <t>수</t>
        </is>
      </c>
      <c r="L30" s="20" t="n">
        <v>114000</v>
      </c>
      <c r="O30" s="20" t="n">
        <v>114000</v>
      </c>
    </row>
    <row r="31" ht="16.5" customHeight="1" s="17">
      <c r="B31" s="20" t="n">
        <v>43986</v>
      </c>
      <c r="C31" s="20" t="inlineStr">
        <is>
          <t>목</t>
        </is>
      </c>
      <c r="D31" s="20" t="n">
        <v>26</v>
      </c>
      <c r="G31" s="20" t="n">
        <v>26</v>
      </c>
      <c r="J31" s="20" t="n">
        <v>43986</v>
      </c>
      <c r="K31" s="20" t="inlineStr">
        <is>
          <t>목</t>
        </is>
      </c>
      <c r="L31" s="20" t="n">
        <v>1019000</v>
      </c>
      <c r="O31" s="20" t="n">
        <v>1019000</v>
      </c>
    </row>
    <row r="32" ht="16.5" customHeight="1" s="17">
      <c r="B32" s="20" t="n">
        <v>43987</v>
      </c>
      <c r="C32" s="20" t="inlineStr">
        <is>
          <t>금</t>
        </is>
      </c>
      <c r="D32" s="20" t="n">
        <v>12</v>
      </c>
      <c r="G32" s="20" t="n">
        <v>12</v>
      </c>
      <c r="J32" s="20" t="n">
        <v>43987</v>
      </c>
      <c r="K32" s="20" t="inlineStr">
        <is>
          <t>금</t>
        </is>
      </c>
      <c r="L32" s="20" t="n">
        <v>456000</v>
      </c>
      <c r="O32" s="20" t="n">
        <v>456000</v>
      </c>
    </row>
    <row r="33" ht="16.5" customHeight="1" s="17">
      <c r="B33" s="20" t="n">
        <v>43988</v>
      </c>
      <c r="C33" s="20" t="inlineStr">
        <is>
          <t>토</t>
        </is>
      </c>
      <c r="D33" s="20" t="n">
        <v>10</v>
      </c>
      <c r="G33" s="20" t="n">
        <v>10</v>
      </c>
      <c r="J33" s="20" t="n">
        <v>43988</v>
      </c>
      <c r="K33" s="20" t="inlineStr">
        <is>
          <t>토</t>
        </is>
      </c>
      <c r="L33" s="20" t="n">
        <v>411000</v>
      </c>
      <c r="O33" s="20" t="n">
        <v>411000</v>
      </c>
    </row>
    <row r="34" ht="16.5" customHeight="1" s="17">
      <c r="B34" s="20" t="n">
        <v>43989</v>
      </c>
      <c r="C34" s="20" t="inlineStr">
        <is>
          <t>일</t>
        </is>
      </c>
      <c r="D34" s="20" t="n">
        <v>13</v>
      </c>
      <c r="G34" s="20" t="n">
        <v>13</v>
      </c>
      <c r="J34" s="20" t="n">
        <v>43989</v>
      </c>
      <c r="K34" s="20" t="inlineStr">
        <is>
          <t>일</t>
        </is>
      </c>
      <c r="L34" s="20" t="n">
        <v>494000</v>
      </c>
      <c r="O34" s="20" t="n">
        <v>494000</v>
      </c>
    </row>
    <row r="35" ht="16.5" customHeight="1" s="17">
      <c r="B35" s="20" t="n">
        <v>43990</v>
      </c>
      <c r="C35" s="20" t="inlineStr">
        <is>
          <t>월</t>
        </is>
      </c>
      <c r="D35" s="20" t="n">
        <v>23</v>
      </c>
      <c r="G35" s="20" t="n">
        <v>23</v>
      </c>
      <c r="J35" s="20" t="n">
        <v>43990</v>
      </c>
      <c r="K35" s="20" t="inlineStr">
        <is>
          <t>월</t>
        </is>
      </c>
      <c r="L35" s="20" t="n">
        <v>874000</v>
      </c>
      <c r="O35" s="20" t="n">
        <v>874000</v>
      </c>
    </row>
    <row r="36" ht="16.5" customHeight="1" s="17">
      <c r="B36" s="20" t="n">
        <v>43991</v>
      </c>
      <c r="C36" s="20" t="inlineStr">
        <is>
          <t>화</t>
        </is>
      </c>
      <c r="D36" s="20" t="n">
        <v>21</v>
      </c>
      <c r="G36" s="20" t="n">
        <v>21</v>
      </c>
      <c r="J36" s="20" t="n">
        <v>43991</v>
      </c>
      <c r="K36" s="20" t="inlineStr">
        <is>
          <t>화</t>
        </is>
      </c>
      <c r="L36" s="20" t="n">
        <v>798000</v>
      </c>
      <c r="O36" s="20" t="n">
        <v>798000</v>
      </c>
    </row>
    <row r="37" ht="16.5" customHeight="1" s="17">
      <c r="B37" s="20" t="n">
        <v>43992</v>
      </c>
      <c r="C37" s="20" t="inlineStr">
        <is>
          <t>수</t>
        </is>
      </c>
      <c r="D37" s="20" t="n">
        <v>31</v>
      </c>
      <c r="G37" s="20" t="n">
        <v>31</v>
      </c>
      <c r="J37" s="20" t="n">
        <v>43992</v>
      </c>
      <c r="K37" s="20" t="inlineStr">
        <is>
          <t>수</t>
        </is>
      </c>
      <c r="L37" s="20" t="n">
        <v>960000</v>
      </c>
      <c r="O37" s="20" t="n">
        <v>960000</v>
      </c>
    </row>
    <row r="38" ht="16.5" customHeight="1" s="17">
      <c r="B38" s="20" t="n">
        <v>43993</v>
      </c>
      <c r="C38" s="20" t="inlineStr">
        <is>
          <t>목</t>
        </is>
      </c>
      <c r="D38" s="20" t="n">
        <v>20</v>
      </c>
      <c r="G38" s="20" t="n">
        <v>20</v>
      </c>
      <c r="J38" s="20" t="n">
        <v>43993</v>
      </c>
      <c r="K38" s="20" t="inlineStr">
        <is>
          <t>목</t>
        </is>
      </c>
      <c r="L38" s="20" t="n">
        <v>597200</v>
      </c>
      <c r="O38" s="20" t="n">
        <v>597200</v>
      </c>
    </row>
    <row r="39" ht="16.5" customHeight="1" s="17">
      <c r="B39" s="20" t="n">
        <v>43994</v>
      </c>
      <c r="C39" s="20" t="inlineStr">
        <is>
          <t>금</t>
        </is>
      </c>
      <c r="D39" s="20" t="n">
        <v>17</v>
      </c>
      <c r="G39" s="20" t="n">
        <v>17</v>
      </c>
      <c r="J39" s="20" t="n">
        <v>43994</v>
      </c>
      <c r="K39" s="20" t="inlineStr">
        <is>
          <t>금</t>
        </is>
      </c>
      <c r="L39" s="20" t="n">
        <v>489600</v>
      </c>
      <c r="O39" s="20" t="n">
        <v>489600</v>
      </c>
    </row>
    <row r="40" ht="16.5" customHeight="1" s="17">
      <c r="B40" s="20" t="n">
        <v>43995</v>
      </c>
      <c r="C40" s="20" t="inlineStr">
        <is>
          <t>토</t>
        </is>
      </c>
      <c r="D40" s="20" t="n">
        <v>37</v>
      </c>
      <c r="G40" s="20" t="n">
        <v>37</v>
      </c>
      <c r="J40" s="20" t="n">
        <v>43995</v>
      </c>
      <c r="K40" s="20" t="inlineStr">
        <is>
          <t>토</t>
        </is>
      </c>
      <c r="L40" s="20" t="n">
        <v>1086800</v>
      </c>
      <c r="O40" s="20" t="n">
        <v>1086800</v>
      </c>
    </row>
    <row r="41" ht="16.5" customHeight="1" s="17">
      <c r="B41" s="20" t="n">
        <v>43996</v>
      </c>
      <c r="C41" s="20" t="inlineStr">
        <is>
          <t>일</t>
        </is>
      </c>
      <c r="D41" s="20" t="n">
        <v>26</v>
      </c>
      <c r="G41" s="20" t="n">
        <v>26</v>
      </c>
      <c r="J41" s="20" t="n">
        <v>43996</v>
      </c>
      <c r="K41" s="20" t="inlineStr">
        <is>
          <t>일</t>
        </is>
      </c>
      <c r="L41" s="20" t="n">
        <v>770000</v>
      </c>
      <c r="O41" s="20" t="n">
        <v>770000</v>
      </c>
    </row>
    <row r="42" ht="16.5" customHeight="1" s="17">
      <c r="B42" s="20" t="n">
        <v>43997</v>
      </c>
      <c r="C42" s="20" t="inlineStr">
        <is>
          <t>월</t>
        </is>
      </c>
      <c r="D42" s="20" t="n">
        <v>25</v>
      </c>
      <c r="G42" s="20" t="n">
        <v>25</v>
      </c>
      <c r="J42" s="20" t="n">
        <v>43997</v>
      </c>
      <c r="K42" s="20" t="inlineStr">
        <is>
          <t>월</t>
        </is>
      </c>
      <c r="L42" s="20" t="n">
        <v>741200</v>
      </c>
      <c r="O42" s="20" t="n">
        <v>741200</v>
      </c>
    </row>
    <row r="43" ht="16.5" customHeight="1" s="17">
      <c r="B43" s="20" t="n">
        <v>43998</v>
      </c>
      <c r="C43" s="20" t="inlineStr">
        <is>
          <t>화</t>
        </is>
      </c>
      <c r="D43" s="20" t="n">
        <v>24</v>
      </c>
      <c r="G43" s="20" t="n">
        <v>24</v>
      </c>
      <c r="J43" s="20" t="n">
        <v>43998</v>
      </c>
      <c r="K43" s="20" t="inlineStr">
        <is>
          <t>화</t>
        </is>
      </c>
      <c r="L43" s="20" t="n">
        <v>712400</v>
      </c>
      <c r="O43" s="20" t="n">
        <v>712400</v>
      </c>
    </row>
    <row r="44" ht="16.5" customHeight="1" s="17">
      <c r="B44" s="20" t="n">
        <v>43999</v>
      </c>
      <c r="C44" s="20" t="inlineStr">
        <is>
          <t>수</t>
        </is>
      </c>
      <c r="D44" s="20" t="n">
        <v>30</v>
      </c>
      <c r="G44" s="20" t="n">
        <v>30</v>
      </c>
      <c r="J44" s="20" t="n">
        <v>43999</v>
      </c>
      <c r="K44" s="20" t="inlineStr">
        <is>
          <t>수</t>
        </is>
      </c>
      <c r="L44" s="20" t="n">
        <v>927600</v>
      </c>
      <c r="O44" s="20" t="n">
        <v>927600</v>
      </c>
    </row>
    <row r="45" ht="16.5" customHeight="1" s="17">
      <c r="B45" s="20" t="n">
        <v>44000</v>
      </c>
      <c r="C45" s="20" t="inlineStr">
        <is>
          <t>목</t>
        </is>
      </c>
      <c r="D45" s="20" t="n">
        <v>62</v>
      </c>
      <c r="G45" s="20" t="n">
        <v>62</v>
      </c>
      <c r="J45" s="20" t="n">
        <v>44000</v>
      </c>
      <c r="K45" s="20" t="inlineStr">
        <is>
          <t>목</t>
        </is>
      </c>
      <c r="L45" s="20" t="n">
        <v>1785600</v>
      </c>
      <c r="O45" s="20" t="n">
        <v>1785600</v>
      </c>
    </row>
    <row r="46" ht="16.5" customHeight="1" s="17">
      <c r="B46" s="20" t="n">
        <v>44001</v>
      </c>
      <c r="C46" s="20" t="inlineStr">
        <is>
          <t>금</t>
        </is>
      </c>
      <c r="D46" s="20" t="n">
        <v>65</v>
      </c>
      <c r="G46" s="20" t="n">
        <v>65</v>
      </c>
      <c r="J46" s="20" t="n">
        <v>44001</v>
      </c>
      <c r="K46" s="20" t="inlineStr">
        <is>
          <t>금</t>
        </is>
      </c>
      <c r="L46" s="20" t="n">
        <v>1893200</v>
      </c>
      <c r="O46" s="20" t="n">
        <v>1893200</v>
      </c>
    </row>
    <row r="47" ht="16.5" customHeight="1" s="17">
      <c r="B47" s="20" t="n">
        <v>44002</v>
      </c>
      <c r="C47" s="20" t="inlineStr">
        <is>
          <t>토</t>
        </is>
      </c>
      <c r="D47" s="20" t="n">
        <v>92</v>
      </c>
      <c r="G47" s="20" t="n">
        <v>92</v>
      </c>
      <c r="J47" s="20" t="n">
        <v>44002</v>
      </c>
      <c r="K47" s="20" t="inlineStr">
        <is>
          <t>토</t>
        </is>
      </c>
      <c r="L47" s="20" t="n">
        <v>2840400</v>
      </c>
      <c r="O47" s="20" t="n">
        <v>2840400</v>
      </c>
    </row>
    <row r="48" ht="16.5" customHeight="1" s="17">
      <c r="B48" s="20" t="n">
        <v>44003</v>
      </c>
      <c r="C48" s="20" t="inlineStr">
        <is>
          <t>일</t>
        </is>
      </c>
      <c r="D48" s="20" t="n">
        <v>95</v>
      </c>
      <c r="E48" s="20" t="n">
        <v>2</v>
      </c>
      <c r="G48" s="20" t="n">
        <v>97</v>
      </c>
      <c r="J48" s="20" t="n">
        <v>44003</v>
      </c>
      <c r="K48" s="20" t="inlineStr">
        <is>
          <t>일</t>
        </is>
      </c>
      <c r="L48" s="20" t="n">
        <v>3355800</v>
      </c>
      <c r="M48" s="20" t="n">
        <v>4000</v>
      </c>
      <c r="O48" s="20" t="n">
        <v>3359800</v>
      </c>
    </row>
    <row r="49" ht="16.5" customHeight="1" s="17">
      <c r="B49" s="20" t="n">
        <v>44004</v>
      </c>
      <c r="C49" s="20" t="inlineStr">
        <is>
          <t>월</t>
        </is>
      </c>
      <c r="D49" s="20" t="n">
        <v>76</v>
      </c>
      <c r="G49" s="20" t="n">
        <v>76</v>
      </c>
      <c r="J49" s="20" t="n">
        <v>44004</v>
      </c>
      <c r="K49" s="20" t="inlineStr">
        <is>
          <t>월</t>
        </is>
      </c>
      <c r="L49" s="20" t="n">
        <v>2573600</v>
      </c>
      <c r="O49" s="20" t="n">
        <v>2573600</v>
      </c>
    </row>
    <row r="50" ht="16.5" customHeight="1" s="17">
      <c r="B50" s="20" t="n">
        <v>44005</v>
      </c>
      <c r="C50" s="20" t="inlineStr">
        <is>
          <t>화</t>
        </is>
      </c>
      <c r="D50" s="20" t="n">
        <v>89</v>
      </c>
      <c r="E50" s="20" t="n">
        <v>2</v>
      </c>
      <c r="G50" s="20" t="n">
        <v>91</v>
      </c>
      <c r="J50" s="20" t="n">
        <v>44005</v>
      </c>
      <c r="K50" s="20" t="inlineStr">
        <is>
          <t>화</t>
        </is>
      </c>
      <c r="L50" s="20" t="n">
        <v>3057000</v>
      </c>
      <c r="M50" s="20" t="n">
        <v>4000</v>
      </c>
      <c r="O50" s="20" t="n">
        <v>3061000</v>
      </c>
    </row>
    <row r="51" ht="16.5" customHeight="1" s="17">
      <c r="B51" s="20" t="n">
        <v>44006</v>
      </c>
      <c r="C51" s="20" t="inlineStr">
        <is>
          <t>수</t>
        </is>
      </c>
      <c r="D51" s="20" t="n">
        <v>88</v>
      </c>
      <c r="G51" s="20" t="n">
        <v>88</v>
      </c>
      <c r="J51" s="20" t="n">
        <v>44006</v>
      </c>
      <c r="K51" s="20" t="inlineStr">
        <is>
          <t>수</t>
        </is>
      </c>
      <c r="L51" s="20" t="n">
        <v>3116000</v>
      </c>
      <c r="O51" s="20" t="n">
        <v>3116000</v>
      </c>
    </row>
    <row r="52" ht="16.5" customHeight="1" s="17">
      <c r="B52" s="20" t="n">
        <v>44007</v>
      </c>
      <c r="C52" s="20" t="inlineStr">
        <is>
          <t>목</t>
        </is>
      </c>
      <c r="D52" s="20" t="n">
        <v>93</v>
      </c>
      <c r="E52" s="20" t="n">
        <v>1</v>
      </c>
      <c r="G52" s="20" t="n">
        <v>94</v>
      </c>
      <c r="J52" s="20" t="n">
        <v>44007</v>
      </c>
      <c r="K52" s="20" t="inlineStr">
        <is>
          <t>목</t>
        </is>
      </c>
      <c r="L52" s="20" t="n">
        <v>3193000</v>
      </c>
      <c r="M52" s="20" t="n">
        <v>2000</v>
      </c>
      <c r="O52" s="20" t="n">
        <v>3195000</v>
      </c>
    </row>
    <row r="53" ht="16.5" customHeight="1" s="17">
      <c r="B53" s="20" t="n">
        <v>44008</v>
      </c>
      <c r="C53" s="20" t="inlineStr">
        <is>
          <t>금</t>
        </is>
      </c>
      <c r="D53" s="20" t="n">
        <v>75</v>
      </c>
      <c r="E53" s="20" t="n">
        <v>2</v>
      </c>
      <c r="G53" s="20" t="n">
        <v>77</v>
      </c>
      <c r="J53" s="20" t="n">
        <v>44008</v>
      </c>
      <c r="K53" s="20" t="inlineStr">
        <is>
          <t>금</t>
        </is>
      </c>
      <c r="L53" s="20" t="n">
        <v>2612000</v>
      </c>
      <c r="M53" s="20" t="n">
        <v>4000</v>
      </c>
      <c r="O53" s="20" t="n">
        <v>2616000</v>
      </c>
    </row>
    <row r="54" ht="16.5" customHeight="1" s="17">
      <c r="B54" s="20" t="n">
        <v>44009</v>
      </c>
      <c r="C54" s="20" t="inlineStr">
        <is>
          <t>토</t>
        </is>
      </c>
      <c r="D54" s="20" t="n">
        <v>69</v>
      </c>
      <c r="E54" s="20" t="n">
        <v>1</v>
      </c>
      <c r="G54" s="20" t="n">
        <v>70</v>
      </c>
      <c r="J54" s="20" t="n">
        <v>44009</v>
      </c>
      <c r="K54" s="20" t="inlineStr">
        <is>
          <t>토</t>
        </is>
      </c>
      <c r="L54" s="20" t="n">
        <v>2346000</v>
      </c>
      <c r="M54" s="20" t="n">
        <v>2000</v>
      </c>
      <c r="O54" s="20" t="n">
        <v>2348000</v>
      </c>
    </row>
    <row r="55" ht="16.5" customHeight="1" s="17">
      <c r="B55" s="20" t="n">
        <v>44010</v>
      </c>
      <c r="C55" s="20" t="inlineStr">
        <is>
          <t>일</t>
        </is>
      </c>
      <c r="D55" s="20" t="n">
        <v>82</v>
      </c>
      <c r="E55" s="20" t="n">
        <v>2</v>
      </c>
      <c r="G55" s="20" t="n">
        <v>84</v>
      </c>
      <c r="J55" s="20" t="n">
        <v>44010</v>
      </c>
      <c r="K55" s="20" t="inlineStr">
        <is>
          <t>일</t>
        </is>
      </c>
      <c r="L55" s="20" t="n">
        <v>2850000</v>
      </c>
      <c r="M55" s="20" t="n">
        <v>4000</v>
      </c>
      <c r="O55" s="20" t="n">
        <v>2854000</v>
      </c>
    </row>
    <row r="56" ht="16.5" customHeight="1" s="17">
      <c r="B56" s="20" t="n">
        <v>44011</v>
      </c>
      <c r="C56" s="20" t="inlineStr">
        <is>
          <t>월</t>
        </is>
      </c>
      <c r="D56" s="20" t="n">
        <v>59</v>
      </c>
      <c r="E56" s="20" t="n">
        <v>1</v>
      </c>
      <c r="G56" s="20" t="n">
        <v>60</v>
      </c>
      <c r="J56" s="20" t="n">
        <v>44011</v>
      </c>
      <c r="K56" s="20" t="inlineStr">
        <is>
          <t>월</t>
        </is>
      </c>
      <c r="L56" s="20" t="n">
        <v>2006000</v>
      </c>
      <c r="M56" s="20" t="n">
        <v>2000</v>
      </c>
      <c r="O56" s="20" t="n">
        <v>2008000</v>
      </c>
    </row>
    <row r="57" ht="16.5" customHeight="1" s="17">
      <c r="B57" s="20" t="n">
        <v>44012</v>
      </c>
      <c r="C57" s="20" t="inlineStr">
        <is>
          <t>화</t>
        </is>
      </c>
      <c r="D57" s="20" t="n">
        <v>63</v>
      </c>
      <c r="E57" s="20" t="n">
        <v>1</v>
      </c>
      <c r="G57" s="20" t="n">
        <v>64</v>
      </c>
      <c r="J57" s="20" t="n">
        <v>44012</v>
      </c>
      <c r="K57" s="20" t="inlineStr">
        <is>
          <t>화</t>
        </is>
      </c>
      <c r="L57" s="20" t="n">
        <v>2173000</v>
      </c>
      <c r="M57" s="20" t="n">
        <v>2000</v>
      </c>
      <c r="O57" s="20" t="n">
        <v>2175000</v>
      </c>
    </row>
    <row r="58" ht="16.5" customHeight="1" s="17">
      <c r="B58" s="20" t="n">
        <v>44013</v>
      </c>
      <c r="C58" s="20" t="inlineStr">
        <is>
          <t>수</t>
        </is>
      </c>
      <c r="D58" s="20" t="n">
        <v>57</v>
      </c>
      <c r="G58" s="20" t="n">
        <v>57</v>
      </c>
      <c r="J58" s="20" t="n">
        <v>44013</v>
      </c>
      <c r="K58" s="20" t="inlineStr">
        <is>
          <t>수</t>
        </is>
      </c>
      <c r="L58" s="20" t="n">
        <v>1938000</v>
      </c>
      <c r="O58" s="20" t="n">
        <v>1938000</v>
      </c>
    </row>
    <row r="59" ht="16.5" customHeight="1" s="17">
      <c r="B59" s="20" t="n">
        <v>44014</v>
      </c>
      <c r="C59" s="20" t="inlineStr">
        <is>
          <t>목</t>
        </is>
      </c>
      <c r="D59" s="20" t="n">
        <v>35</v>
      </c>
      <c r="E59" s="20" t="n">
        <v>1</v>
      </c>
      <c r="G59" s="20" t="n">
        <v>36</v>
      </c>
      <c r="J59" s="20" t="n">
        <v>44014</v>
      </c>
      <c r="K59" s="20" t="inlineStr">
        <is>
          <t>목</t>
        </is>
      </c>
      <c r="L59" s="20" t="n">
        <v>1190000</v>
      </c>
      <c r="M59" s="20" t="n">
        <v>2000</v>
      </c>
      <c r="O59" s="20" t="n">
        <v>1192000</v>
      </c>
    </row>
    <row r="60" ht="16.5" customHeight="1" s="17">
      <c r="B60" s="20" t="n">
        <v>44015</v>
      </c>
      <c r="C60" s="20" t="inlineStr">
        <is>
          <t>금</t>
        </is>
      </c>
      <c r="D60" s="20" t="n">
        <v>21</v>
      </c>
      <c r="E60" s="20" t="n">
        <v>1</v>
      </c>
      <c r="G60" s="20" t="n">
        <v>22</v>
      </c>
      <c r="J60" s="20" t="n">
        <v>44015</v>
      </c>
      <c r="K60" s="20" t="inlineStr">
        <is>
          <t>금</t>
        </is>
      </c>
      <c r="L60" s="20" t="n">
        <v>714000</v>
      </c>
      <c r="M60" s="20" t="n">
        <v>2000</v>
      </c>
      <c r="O60" s="20" t="n">
        <v>716000</v>
      </c>
    </row>
    <row r="61" ht="16.5" customHeight="1" s="17">
      <c r="B61" s="20" t="n">
        <v>44016</v>
      </c>
      <c r="C61" s="20" t="inlineStr">
        <is>
          <t>토</t>
        </is>
      </c>
      <c r="D61" s="20" t="n">
        <v>7</v>
      </c>
      <c r="G61" s="20" t="n">
        <v>7</v>
      </c>
      <c r="J61" s="20" t="n">
        <v>44016</v>
      </c>
      <c r="K61" s="20" t="inlineStr">
        <is>
          <t>토</t>
        </is>
      </c>
      <c r="L61" s="20" t="n">
        <v>238000</v>
      </c>
      <c r="O61" s="20" t="n">
        <v>238000</v>
      </c>
    </row>
    <row r="62" ht="16.5" customHeight="1" s="17">
      <c r="B62" s="20" t="n">
        <v>44017</v>
      </c>
      <c r="C62" s="20" t="inlineStr">
        <is>
          <t>일</t>
        </is>
      </c>
      <c r="D62" s="20" t="n">
        <v>15</v>
      </c>
      <c r="E62" s="20" t="n">
        <v>1</v>
      </c>
      <c r="G62" s="20" t="n">
        <v>16</v>
      </c>
      <c r="J62" s="20" t="n">
        <v>44017</v>
      </c>
      <c r="K62" s="20" t="inlineStr">
        <is>
          <t>일</t>
        </is>
      </c>
      <c r="L62" s="20" t="n">
        <v>510000</v>
      </c>
      <c r="M62" s="20" t="n">
        <v>2000</v>
      </c>
      <c r="O62" s="20" t="n">
        <v>512000</v>
      </c>
    </row>
    <row r="63" ht="16.5" customHeight="1" s="17">
      <c r="B63" s="20" t="n">
        <v>44018</v>
      </c>
      <c r="C63" s="20" t="inlineStr">
        <is>
          <t>월</t>
        </is>
      </c>
      <c r="D63" s="20" t="n">
        <v>31</v>
      </c>
      <c r="G63" s="20" t="n">
        <v>31</v>
      </c>
      <c r="J63" s="20" t="n">
        <v>44018</v>
      </c>
      <c r="K63" s="20" t="inlineStr">
        <is>
          <t>월</t>
        </is>
      </c>
      <c r="L63" s="20" t="n">
        <v>1054000</v>
      </c>
      <c r="O63" s="20" t="n">
        <v>1054000</v>
      </c>
    </row>
    <row r="64" ht="16.5" customHeight="1" s="17">
      <c r="B64" s="20" t="n">
        <v>44019</v>
      </c>
      <c r="C64" s="20" t="inlineStr">
        <is>
          <t>화</t>
        </is>
      </c>
      <c r="D64" s="20" t="n">
        <v>44</v>
      </c>
      <c r="G64" s="20" t="n">
        <v>44</v>
      </c>
      <c r="J64" s="20" t="n">
        <v>44019</v>
      </c>
      <c r="K64" s="20" t="inlineStr">
        <is>
          <t>화</t>
        </is>
      </c>
      <c r="L64" s="20" t="n">
        <v>1589000</v>
      </c>
      <c r="O64" s="20" t="n">
        <v>1589000</v>
      </c>
    </row>
    <row r="65" ht="16.5" customHeight="1" s="17">
      <c r="B65" s="20" t="n">
        <v>44020</v>
      </c>
      <c r="C65" s="20" t="inlineStr">
        <is>
          <t>수</t>
        </is>
      </c>
      <c r="D65" s="20" t="n">
        <v>31</v>
      </c>
      <c r="E65" s="20" t="n">
        <v>1</v>
      </c>
      <c r="G65" s="20" t="n">
        <v>32</v>
      </c>
      <c r="J65" s="20" t="n">
        <v>44020</v>
      </c>
      <c r="K65" s="20" t="inlineStr">
        <is>
          <t>수</t>
        </is>
      </c>
      <c r="L65" s="20" t="n">
        <v>1085000</v>
      </c>
      <c r="M65" s="20" t="n">
        <v>2000</v>
      </c>
      <c r="O65" s="20" t="n">
        <v>1087000</v>
      </c>
    </row>
    <row r="66" ht="16.5" customHeight="1" s="17">
      <c r="B66" s="20" t="n">
        <v>44021</v>
      </c>
      <c r="C66" s="20" t="inlineStr">
        <is>
          <t>목</t>
        </is>
      </c>
      <c r="D66" s="20" t="n">
        <v>42</v>
      </c>
      <c r="G66" s="20" t="n">
        <v>42</v>
      </c>
      <c r="J66" s="20" t="n">
        <v>44021</v>
      </c>
      <c r="K66" s="20" t="inlineStr">
        <is>
          <t>목</t>
        </is>
      </c>
      <c r="L66" s="20" t="n">
        <v>1459000</v>
      </c>
      <c r="O66" s="20" t="n">
        <v>1459000</v>
      </c>
    </row>
    <row r="67" ht="16.5" customHeight="1" s="17">
      <c r="B67" s="20" t="n">
        <v>44022</v>
      </c>
      <c r="C67" s="20" t="inlineStr">
        <is>
          <t>금</t>
        </is>
      </c>
      <c r="D67" s="20" t="n">
        <v>30</v>
      </c>
      <c r="E67" s="20" t="n">
        <v>1</v>
      </c>
      <c r="G67" s="20" t="n">
        <v>31</v>
      </c>
      <c r="J67" s="20" t="n">
        <v>44022</v>
      </c>
      <c r="K67" s="20" t="inlineStr">
        <is>
          <t>금</t>
        </is>
      </c>
      <c r="L67" s="20" t="n">
        <v>1020000</v>
      </c>
      <c r="M67" s="20" t="n">
        <v>2000</v>
      </c>
      <c r="O67" s="20" t="n">
        <v>1022000</v>
      </c>
    </row>
    <row r="68" ht="16.5" customHeight="1" s="17">
      <c r="B68" s="20" t="n">
        <v>44023</v>
      </c>
      <c r="C68" s="20" t="inlineStr">
        <is>
          <t>토</t>
        </is>
      </c>
      <c r="D68" s="20" t="n">
        <v>36</v>
      </c>
      <c r="E68" s="20" t="n">
        <v>1</v>
      </c>
      <c r="G68" s="20" t="n">
        <v>37</v>
      </c>
      <c r="J68" s="20" t="n">
        <v>44023</v>
      </c>
      <c r="K68" s="20" t="inlineStr">
        <is>
          <t>토</t>
        </is>
      </c>
      <c r="L68" s="20" t="n">
        <v>1224000</v>
      </c>
      <c r="M68" s="20" t="n">
        <v>2000</v>
      </c>
      <c r="O68" s="20" t="n">
        <v>1226000</v>
      </c>
    </row>
    <row r="69" ht="16.5" customHeight="1" s="17">
      <c r="B69" s="20" t="n">
        <v>44024</v>
      </c>
      <c r="C69" s="20" t="inlineStr">
        <is>
          <t>일</t>
        </is>
      </c>
      <c r="D69" s="20" t="n">
        <v>68</v>
      </c>
      <c r="G69" s="20" t="n">
        <v>68</v>
      </c>
      <c r="J69" s="20" t="n">
        <v>44024</v>
      </c>
      <c r="K69" s="20" t="inlineStr">
        <is>
          <t>일</t>
        </is>
      </c>
      <c r="L69" s="20" t="n">
        <v>2312000</v>
      </c>
      <c r="O69" s="20" t="n">
        <v>2312000</v>
      </c>
    </row>
    <row r="70" ht="16.5" customHeight="1" s="17">
      <c r="B70" s="20" t="n">
        <v>44025</v>
      </c>
      <c r="C70" s="20" t="inlineStr">
        <is>
          <t>월</t>
        </is>
      </c>
      <c r="D70" s="20" t="n">
        <v>50</v>
      </c>
      <c r="G70" s="20" t="n">
        <v>50</v>
      </c>
      <c r="J70" s="20" t="n">
        <v>44025</v>
      </c>
      <c r="K70" s="20" t="inlineStr">
        <is>
          <t>월</t>
        </is>
      </c>
      <c r="L70" s="20" t="n">
        <v>1762000</v>
      </c>
      <c r="O70" s="20" t="n">
        <v>1762000</v>
      </c>
    </row>
    <row r="71" ht="16.5" customHeight="1" s="17">
      <c r="B71" s="20" t="n">
        <v>44026</v>
      </c>
      <c r="C71" s="20" t="inlineStr">
        <is>
          <t>화</t>
        </is>
      </c>
      <c r="D71" s="20" t="n">
        <v>82</v>
      </c>
      <c r="E71" s="20" t="n">
        <v>3</v>
      </c>
      <c r="G71" s="20" t="n">
        <v>85</v>
      </c>
      <c r="J71" s="20" t="n">
        <v>44026</v>
      </c>
      <c r="K71" s="20" t="inlineStr">
        <is>
          <t>화</t>
        </is>
      </c>
      <c r="L71" s="20" t="n">
        <v>2881000</v>
      </c>
      <c r="M71" s="20" t="n">
        <v>6000</v>
      </c>
      <c r="O71" s="20" t="n">
        <v>2887000</v>
      </c>
    </row>
    <row r="72" ht="16.5" customHeight="1" s="17">
      <c r="B72" s="20" t="n">
        <v>44027</v>
      </c>
      <c r="C72" s="20" t="inlineStr">
        <is>
          <t>수</t>
        </is>
      </c>
      <c r="D72" s="20" t="n">
        <v>116</v>
      </c>
      <c r="E72" s="20" t="n">
        <v>1</v>
      </c>
      <c r="G72" s="20" t="n">
        <v>117</v>
      </c>
      <c r="J72" s="20" t="n">
        <v>44027</v>
      </c>
      <c r="K72" s="20" t="inlineStr">
        <is>
          <t>수</t>
        </is>
      </c>
      <c r="L72" s="20" t="n">
        <v>3975000</v>
      </c>
      <c r="M72" s="20" t="n">
        <v>2000</v>
      </c>
      <c r="O72" s="20" t="n">
        <v>3977000</v>
      </c>
    </row>
    <row r="73" ht="16.5" customHeight="1" s="17">
      <c r="B73" s="20" t="n">
        <v>44028</v>
      </c>
      <c r="C73" s="20" t="inlineStr">
        <is>
          <t>목</t>
        </is>
      </c>
      <c r="D73" s="20" t="n">
        <v>51</v>
      </c>
      <c r="G73" s="20" t="n">
        <v>51</v>
      </c>
      <c r="J73" s="20" t="n">
        <v>44028</v>
      </c>
      <c r="K73" s="20" t="inlineStr">
        <is>
          <t>목</t>
        </is>
      </c>
      <c r="L73" s="20" t="n">
        <v>1734000</v>
      </c>
      <c r="O73" s="20" t="n">
        <v>1734000</v>
      </c>
    </row>
    <row r="74" ht="16.5" customHeight="1" s="17">
      <c r="B74" s="20" t="n">
        <v>44029</v>
      </c>
      <c r="C74" s="20" t="inlineStr">
        <is>
          <t>금</t>
        </is>
      </c>
      <c r="D74" s="20" t="n">
        <v>89</v>
      </c>
      <c r="E74" s="20" t="n">
        <v>2</v>
      </c>
      <c r="G74" s="20" t="n">
        <v>91</v>
      </c>
      <c r="J74" s="20" t="n">
        <v>44029</v>
      </c>
      <c r="K74" s="20" t="inlineStr">
        <is>
          <t>금</t>
        </is>
      </c>
      <c r="L74" s="20" t="n">
        <v>3026000</v>
      </c>
      <c r="M74" s="20" t="n">
        <v>4000</v>
      </c>
      <c r="O74" s="20" t="n">
        <v>3030000</v>
      </c>
    </row>
    <row r="75" ht="16.5" customHeight="1" s="17">
      <c r="B75" s="20" t="n">
        <v>44030</v>
      </c>
      <c r="C75" s="20" t="inlineStr">
        <is>
          <t>토</t>
        </is>
      </c>
      <c r="D75" s="20" t="n">
        <v>42</v>
      </c>
      <c r="G75" s="20" t="n">
        <v>42</v>
      </c>
      <c r="J75" s="20" t="n">
        <v>44030</v>
      </c>
      <c r="K75" s="20" t="inlineStr">
        <is>
          <t>토</t>
        </is>
      </c>
      <c r="L75" s="20" t="n">
        <v>1428000</v>
      </c>
      <c r="O75" s="20" t="n">
        <v>1428000</v>
      </c>
    </row>
    <row r="76" ht="16.5" customHeight="1" s="17">
      <c r="B76" s="20" t="n">
        <v>44031</v>
      </c>
      <c r="C76" s="20" t="inlineStr">
        <is>
          <t>일</t>
        </is>
      </c>
      <c r="D76" s="20" t="n">
        <v>46</v>
      </c>
      <c r="E76" s="20" t="n">
        <v>1</v>
      </c>
      <c r="G76" s="20" t="n">
        <v>47</v>
      </c>
      <c r="J76" s="20" t="n">
        <v>44031</v>
      </c>
      <c r="K76" s="20" t="inlineStr">
        <is>
          <t>일</t>
        </is>
      </c>
      <c r="L76" s="20" t="n">
        <v>1564000</v>
      </c>
      <c r="M76" s="20" t="n">
        <v>2000</v>
      </c>
      <c r="O76" s="20" t="n">
        <v>1566000</v>
      </c>
    </row>
    <row r="77" ht="16.5" customHeight="1" s="17">
      <c r="B77" s="20" t="n">
        <v>44032</v>
      </c>
      <c r="C77" s="20" t="inlineStr">
        <is>
          <t>월</t>
        </is>
      </c>
      <c r="D77" s="20" t="n">
        <v>67</v>
      </c>
      <c r="G77" s="20" t="n">
        <v>67</v>
      </c>
      <c r="J77" s="20" t="n">
        <v>44032</v>
      </c>
      <c r="K77" s="20" t="inlineStr">
        <is>
          <t>월</t>
        </is>
      </c>
      <c r="L77" s="20" t="n">
        <v>2408200</v>
      </c>
      <c r="O77" s="20" t="n">
        <v>2408200</v>
      </c>
    </row>
    <row r="78" ht="16.5" customHeight="1" s="17">
      <c r="B78" s="20" t="n">
        <v>44033</v>
      </c>
      <c r="C78" s="20" t="inlineStr">
        <is>
          <t>화</t>
        </is>
      </c>
      <c r="D78" s="20" t="n">
        <v>98</v>
      </c>
      <c r="E78" s="20" t="n">
        <v>1</v>
      </c>
      <c r="G78" s="20" t="n">
        <v>99</v>
      </c>
      <c r="J78" s="20" t="n">
        <v>44033</v>
      </c>
      <c r="K78" s="20" t="inlineStr">
        <is>
          <t>화</t>
        </is>
      </c>
      <c r="L78" s="20" t="n">
        <v>3642000</v>
      </c>
      <c r="M78" s="20" t="n">
        <v>2000</v>
      </c>
      <c r="O78" s="20" t="n">
        <v>3644000</v>
      </c>
    </row>
    <row r="79" ht="16.5" customHeight="1" s="17">
      <c r="B79" s="20" t="n">
        <v>44034</v>
      </c>
      <c r="C79" s="20" t="inlineStr">
        <is>
          <t>수</t>
        </is>
      </c>
      <c r="D79" s="20" t="n">
        <v>105</v>
      </c>
      <c r="E79" s="20" t="n">
        <v>1</v>
      </c>
      <c r="G79" s="20" t="n">
        <v>106</v>
      </c>
      <c r="J79" s="20" t="n">
        <v>44034</v>
      </c>
      <c r="K79" s="20" t="inlineStr">
        <is>
          <t>수</t>
        </is>
      </c>
      <c r="L79" s="20" t="n">
        <v>3942000</v>
      </c>
      <c r="M79" s="20" t="n">
        <v>2000</v>
      </c>
      <c r="O79" s="20" t="n">
        <v>3944000</v>
      </c>
    </row>
    <row r="80" ht="16.5" customHeight="1" s="17">
      <c r="B80" s="20" t="n">
        <v>44035</v>
      </c>
      <c r="C80" s="20" t="inlineStr">
        <is>
          <t>목</t>
        </is>
      </c>
      <c r="D80" s="20" t="n">
        <v>116</v>
      </c>
      <c r="E80" s="20" t="n">
        <v>3</v>
      </c>
      <c r="G80" s="20" t="n">
        <v>119</v>
      </c>
      <c r="J80" s="20" t="n">
        <v>44035</v>
      </c>
      <c r="K80" s="20" t="inlineStr">
        <is>
          <t>목</t>
        </is>
      </c>
      <c r="L80" s="20" t="n">
        <v>4371800</v>
      </c>
      <c r="M80" s="20" t="n">
        <v>6000</v>
      </c>
      <c r="O80" s="20" t="n">
        <v>4377800</v>
      </c>
    </row>
    <row r="81" ht="16.5" customHeight="1" s="17">
      <c r="B81" s="20" t="n">
        <v>44036</v>
      </c>
      <c r="C81" s="20" t="inlineStr">
        <is>
          <t>금</t>
        </is>
      </c>
      <c r="D81" s="20" t="n">
        <v>127</v>
      </c>
      <c r="E81" s="20" t="n">
        <v>2</v>
      </c>
      <c r="G81" s="20" t="n">
        <v>129</v>
      </c>
      <c r="J81" s="20" t="n">
        <v>44036</v>
      </c>
      <c r="K81" s="20" t="inlineStr">
        <is>
          <t>금</t>
        </is>
      </c>
      <c r="L81" s="20" t="n">
        <v>4677600</v>
      </c>
      <c r="M81" s="20" t="n">
        <v>4000</v>
      </c>
      <c r="O81" s="20" t="n">
        <v>4681600</v>
      </c>
    </row>
    <row r="82" ht="16.5" customHeight="1" s="17">
      <c r="B82" s="20" t="n">
        <v>44037</v>
      </c>
      <c r="C82" s="20" t="inlineStr">
        <is>
          <t>토</t>
        </is>
      </c>
      <c r="D82" s="20" t="n">
        <v>107</v>
      </c>
      <c r="E82" s="20" t="n">
        <v>2</v>
      </c>
      <c r="G82" s="20" t="n">
        <v>109</v>
      </c>
      <c r="J82" s="20" t="n">
        <v>44037</v>
      </c>
      <c r="K82" s="20" t="inlineStr">
        <is>
          <t>토</t>
        </is>
      </c>
      <c r="L82" s="20" t="n">
        <v>4103000</v>
      </c>
      <c r="M82" s="20" t="n">
        <v>4000</v>
      </c>
      <c r="O82" s="20" t="n">
        <v>4107000</v>
      </c>
    </row>
    <row r="83" ht="16.5" customHeight="1" s="17">
      <c r="B83" s="20" t="n">
        <v>44038</v>
      </c>
      <c r="C83" s="20" t="inlineStr">
        <is>
          <t>일</t>
        </is>
      </c>
      <c r="D83" s="20" t="n">
        <v>152</v>
      </c>
      <c r="E83" s="20" t="n">
        <v>1</v>
      </c>
      <c r="G83" s="20" t="n">
        <v>153</v>
      </c>
      <c r="J83" s="20" t="n">
        <v>44038</v>
      </c>
      <c r="K83" s="20" t="inlineStr">
        <is>
          <t>일</t>
        </is>
      </c>
      <c r="L83" s="20" t="n">
        <v>5781800</v>
      </c>
      <c r="M83" s="20" t="n">
        <v>2000</v>
      </c>
      <c r="O83" s="20" t="n">
        <v>5783800</v>
      </c>
    </row>
    <row r="84" ht="16.5" customHeight="1" s="17">
      <c r="B84" s="20" t="n">
        <v>44039</v>
      </c>
      <c r="C84" s="20" t="inlineStr">
        <is>
          <t>월</t>
        </is>
      </c>
      <c r="D84" s="20" t="n">
        <v>110</v>
      </c>
      <c r="E84" s="20" t="n">
        <v>1</v>
      </c>
      <c r="G84" s="20" t="n">
        <v>111</v>
      </c>
      <c r="J84" s="20" t="n">
        <v>44039</v>
      </c>
      <c r="K84" s="20" t="inlineStr">
        <is>
          <t>월</t>
        </is>
      </c>
      <c r="L84" s="20" t="n">
        <v>4254600</v>
      </c>
      <c r="M84" s="20" t="n">
        <v>2000</v>
      </c>
      <c r="O84" s="20" t="n">
        <v>4256600</v>
      </c>
    </row>
    <row r="85" ht="16.5" customHeight="1" s="17">
      <c r="B85" s="20" t="n">
        <v>44040</v>
      </c>
      <c r="C85" s="20" t="inlineStr">
        <is>
          <t>화</t>
        </is>
      </c>
      <c r="D85" s="20" t="n">
        <v>126</v>
      </c>
      <c r="E85" s="20" t="n">
        <v>2</v>
      </c>
      <c r="G85" s="20" t="n">
        <v>128</v>
      </c>
      <c r="J85" s="20" t="n">
        <v>44040</v>
      </c>
      <c r="K85" s="20" t="inlineStr">
        <is>
          <t>화</t>
        </is>
      </c>
      <c r="L85" s="20" t="n">
        <v>4730400</v>
      </c>
      <c r="M85" s="20" t="n">
        <v>4000</v>
      </c>
      <c r="O85" s="20" t="n">
        <v>4734400</v>
      </c>
    </row>
    <row r="86" ht="16.5" customHeight="1" s="17">
      <c r="B86" s="20" t="n">
        <v>44041</v>
      </c>
      <c r="C86" s="20" t="inlineStr">
        <is>
          <t>수</t>
        </is>
      </c>
      <c r="D86" s="20" t="n">
        <v>103</v>
      </c>
      <c r="E86" s="20" t="n">
        <v>1</v>
      </c>
      <c r="G86" s="20" t="n">
        <v>104</v>
      </c>
      <c r="J86" s="20" t="n">
        <v>44041</v>
      </c>
      <c r="K86" s="20" t="inlineStr">
        <is>
          <t>수</t>
        </is>
      </c>
      <c r="L86" s="20" t="n">
        <v>3867800</v>
      </c>
      <c r="M86" s="20" t="n">
        <v>2000</v>
      </c>
      <c r="O86" s="20" t="n">
        <v>3869800</v>
      </c>
    </row>
    <row r="87" ht="16.5" customHeight="1" s="17">
      <c r="B87" s="20" t="n">
        <v>44042</v>
      </c>
      <c r="C87" s="20" t="inlineStr">
        <is>
          <t>목</t>
        </is>
      </c>
      <c r="D87" s="20" t="n">
        <v>66</v>
      </c>
      <c r="G87" s="20" t="n">
        <v>66</v>
      </c>
      <c r="J87" s="20" t="n">
        <v>44042</v>
      </c>
      <c r="K87" s="20" t="inlineStr">
        <is>
          <t>목</t>
        </is>
      </c>
      <c r="L87" s="20" t="n">
        <v>2554000</v>
      </c>
      <c r="O87" s="20" t="n">
        <v>2554000</v>
      </c>
    </row>
    <row r="88" ht="16.5" customHeight="1" s="17">
      <c r="B88" s="20" t="n">
        <v>44043</v>
      </c>
      <c r="C88" s="20" t="inlineStr">
        <is>
          <t>금</t>
        </is>
      </c>
      <c r="D88" s="20" t="n">
        <v>63</v>
      </c>
      <c r="G88" s="20" t="n">
        <v>63</v>
      </c>
      <c r="J88" s="20" t="n">
        <v>44043</v>
      </c>
      <c r="K88" s="20" t="inlineStr">
        <is>
          <t>금</t>
        </is>
      </c>
      <c r="L88" s="20" t="n">
        <v>2340400</v>
      </c>
      <c r="O88" s="20" t="n">
        <v>2340400</v>
      </c>
    </row>
    <row r="89" ht="16.5" customHeight="1" s="17">
      <c r="B89" s="20" t="n">
        <v>44044</v>
      </c>
      <c r="C89" s="20" t="inlineStr">
        <is>
          <t>토</t>
        </is>
      </c>
      <c r="D89" s="20" t="n">
        <v>65</v>
      </c>
      <c r="G89" s="20" t="n">
        <v>65</v>
      </c>
      <c r="J89" s="20" t="n">
        <v>44044</v>
      </c>
      <c r="K89" s="20" t="inlineStr">
        <is>
          <t>토</t>
        </is>
      </c>
      <c r="L89" s="20" t="n">
        <v>2532400</v>
      </c>
      <c r="O89" s="20" t="n">
        <v>2532400</v>
      </c>
    </row>
    <row r="90" ht="16.5" customHeight="1" s="17">
      <c r="B90" s="20" t="n">
        <v>44045</v>
      </c>
      <c r="C90" s="20" t="inlineStr">
        <is>
          <t>일</t>
        </is>
      </c>
      <c r="D90" s="20" t="n">
        <v>66</v>
      </c>
      <c r="E90" s="20" t="n">
        <v>1</v>
      </c>
      <c r="G90" s="20" t="n">
        <v>67</v>
      </c>
      <c r="J90" s="20" t="n">
        <v>44045</v>
      </c>
      <c r="K90" s="20" t="inlineStr">
        <is>
          <t>일</t>
        </is>
      </c>
      <c r="L90" s="20" t="n">
        <v>2467200</v>
      </c>
      <c r="M90" s="20" t="n">
        <v>2000</v>
      </c>
      <c r="O90" s="20" t="n">
        <v>2469200</v>
      </c>
    </row>
    <row r="91" ht="16.5" customHeight="1" s="17">
      <c r="B91" s="20" t="n">
        <v>44046</v>
      </c>
      <c r="C91" s="20" t="inlineStr">
        <is>
          <t>월</t>
        </is>
      </c>
      <c r="D91" s="20" t="n">
        <v>82</v>
      </c>
      <c r="G91" s="20" t="n">
        <v>82</v>
      </c>
      <c r="J91" s="20" t="n">
        <v>44046</v>
      </c>
      <c r="K91" s="20" t="inlineStr">
        <is>
          <t>월</t>
        </is>
      </c>
      <c r="L91" s="20" t="n">
        <v>3184800</v>
      </c>
      <c r="O91" s="20" t="n">
        <v>3184800</v>
      </c>
    </row>
    <row r="92" ht="16.5" customHeight="1" s="17">
      <c r="B92" s="20" t="n">
        <v>44047</v>
      </c>
      <c r="C92" s="20" t="inlineStr">
        <is>
          <t>화</t>
        </is>
      </c>
      <c r="D92" s="20" t="n">
        <v>86</v>
      </c>
      <c r="E92" s="20" t="n">
        <v>1</v>
      </c>
      <c r="G92" s="20" t="n">
        <v>87</v>
      </c>
      <c r="J92" s="20" t="n">
        <v>44047</v>
      </c>
      <c r="K92" s="20" t="inlineStr">
        <is>
          <t>화</t>
        </is>
      </c>
      <c r="L92" s="20" t="n">
        <v>3320800</v>
      </c>
      <c r="M92" s="20" t="n">
        <v>2000</v>
      </c>
      <c r="O92" s="20" t="n">
        <v>3322800</v>
      </c>
    </row>
    <row r="93" ht="16.5" customHeight="1" s="17">
      <c r="B93" s="20" t="n">
        <v>44048</v>
      </c>
      <c r="C93" s="20" t="inlineStr">
        <is>
          <t>수</t>
        </is>
      </c>
      <c r="D93" s="20" t="n">
        <v>80</v>
      </c>
      <c r="E93" s="20" t="n">
        <v>3</v>
      </c>
      <c r="G93" s="20" t="n">
        <v>83</v>
      </c>
      <c r="J93" s="20" t="n">
        <v>44048</v>
      </c>
      <c r="K93" s="20" t="inlineStr">
        <is>
          <t>수</t>
        </is>
      </c>
      <c r="L93" s="20" t="n">
        <v>2918400</v>
      </c>
      <c r="M93" s="20" t="n">
        <v>6000</v>
      </c>
      <c r="O93" s="20" t="n">
        <v>2924400</v>
      </c>
    </row>
    <row r="94" ht="16.5" customHeight="1" s="17">
      <c r="B94" s="20" t="n">
        <v>44049</v>
      </c>
      <c r="C94" s="20" t="inlineStr">
        <is>
          <t>목</t>
        </is>
      </c>
      <c r="D94" s="20" t="n">
        <v>67</v>
      </c>
      <c r="E94" s="20" t="n">
        <v>2</v>
      </c>
      <c r="G94" s="20" t="n">
        <v>69</v>
      </c>
      <c r="J94" s="20" t="n">
        <v>44049</v>
      </c>
      <c r="K94" s="20" t="inlineStr">
        <is>
          <t>목</t>
        </is>
      </c>
      <c r="L94" s="20" t="n">
        <v>2600400</v>
      </c>
      <c r="M94" s="20" t="n">
        <v>4000</v>
      </c>
      <c r="O94" s="20" t="n">
        <v>2604400</v>
      </c>
    </row>
    <row r="95" ht="16.5" customHeight="1" s="17">
      <c r="B95" s="20" t="n">
        <v>44050</v>
      </c>
      <c r="C95" s="20" t="inlineStr">
        <is>
          <t>금</t>
        </is>
      </c>
      <c r="D95" s="20" t="n">
        <v>79</v>
      </c>
      <c r="E95" s="20" t="n">
        <v>1</v>
      </c>
      <c r="G95" s="20" t="n">
        <v>80</v>
      </c>
      <c r="J95" s="20" t="n">
        <v>44050</v>
      </c>
      <c r="K95" s="20" t="inlineStr">
        <is>
          <t>금</t>
        </is>
      </c>
      <c r="L95" s="20" t="n">
        <v>2934000</v>
      </c>
      <c r="M95" s="20" t="n">
        <v>2000</v>
      </c>
      <c r="O95" s="20" t="n">
        <v>2936000</v>
      </c>
    </row>
    <row r="96" ht="16.5" customHeight="1" s="17">
      <c r="B96" s="20" t="n">
        <v>44051</v>
      </c>
      <c r="C96" s="20" t="inlineStr">
        <is>
          <t>토</t>
        </is>
      </c>
      <c r="D96" s="20" t="n">
        <v>76</v>
      </c>
      <c r="G96" s="20" t="n">
        <v>76</v>
      </c>
      <c r="J96" s="20" t="n">
        <v>44051</v>
      </c>
      <c r="K96" s="20" t="inlineStr">
        <is>
          <t>토</t>
        </is>
      </c>
      <c r="L96" s="20" t="n">
        <v>2832000</v>
      </c>
      <c r="O96" s="20" t="n">
        <v>2832000</v>
      </c>
    </row>
    <row r="97" ht="16.5" customHeight="1" s="17">
      <c r="B97" s="20" t="n">
        <v>44052</v>
      </c>
      <c r="C97" s="20" t="inlineStr">
        <is>
          <t>일</t>
        </is>
      </c>
      <c r="D97" s="20" t="n">
        <v>91</v>
      </c>
      <c r="G97" s="20" t="n">
        <v>91</v>
      </c>
      <c r="J97" s="20" t="n">
        <v>44052</v>
      </c>
      <c r="K97" s="20" t="inlineStr">
        <is>
          <t>일</t>
        </is>
      </c>
      <c r="L97" s="20" t="n">
        <v>3441200</v>
      </c>
      <c r="O97" s="20" t="n">
        <v>3441200</v>
      </c>
    </row>
    <row r="98" ht="16.5" customHeight="1" s="17">
      <c r="B98" s="20" t="n">
        <v>44053</v>
      </c>
      <c r="C98" s="20" t="inlineStr">
        <is>
          <t>월</t>
        </is>
      </c>
      <c r="D98" s="20" t="n">
        <v>86</v>
      </c>
      <c r="E98" s="20" t="n">
        <v>1</v>
      </c>
      <c r="G98" s="20" t="n">
        <v>87</v>
      </c>
      <c r="J98" s="20" t="n">
        <v>44053</v>
      </c>
      <c r="K98" s="20" t="inlineStr">
        <is>
          <t>월</t>
        </is>
      </c>
      <c r="L98" s="20" t="n">
        <v>3320800</v>
      </c>
      <c r="M98" s="20" t="n">
        <v>2000</v>
      </c>
      <c r="O98" s="20" t="n">
        <v>3322800</v>
      </c>
    </row>
    <row r="99" ht="16.5" customHeight="1" s="17">
      <c r="B99" s="20" t="n">
        <v>44054</v>
      </c>
      <c r="C99" s="20" t="inlineStr">
        <is>
          <t>화</t>
        </is>
      </c>
      <c r="D99" s="20" t="n">
        <v>73</v>
      </c>
      <c r="E99" s="20" t="n">
        <v>2</v>
      </c>
      <c r="G99" s="20" t="n">
        <v>75</v>
      </c>
      <c r="J99" s="20" t="n">
        <v>44054</v>
      </c>
      <c r="K99" s="20" t="inlineStr">
        <is>
          <t>화</t>
        </is>
      </c>
      <c r="L99" s="20" t="n">
        <v>2705200</v>
      </c>
      <c r="M99" s="20" t="n">
        <v>4000</v>
      </c>
      <c r="O99" s="20" t="n">
        <v>2709200</v>
      </c>
    </row>
    <row r="100" ht="16.5" customHeight="1" s="17">
      <c r="B100" s="20" t="n">
        <v>44055</v>
      </c>
      <c r="C100" s="20" t="inlineStr">
        <is>
          <t>수</t>
        </is>
      </c>
      <c r="D100" s="20" t="n">
        <v>76</v>
      </c>
      <c r="E100" s="20" t="n">
        <v>2</v>
      </c>
      <c r="G100" s="20" t="n">
        <v>78</v>
      </c>
      <c r="J100" s="20" t="n">
        <v>44055</v>
      </c>
      <c r="K100" s="20" t="inlineStr">
        <is>
          <t>수</t>
        </is>
      </c>
      <c r="L100" s="20" t="n">
        <v>2980800</v>
      </c>
      <c r="M100" s="20" t="n">
        <v>4000</v>
      </c>
      <c r="O100" s="20" t="n">
        <v>2984800</v>
      </c>
    </row>
    <row r="101" ht="16.5" customHeight="1" s="17">
      <c r="B101" s="20" t="n">
        <v>44056</v>
      </c>
      <c r="C101" s="20" t="inlineStr">
        <is>
          <t>목</t>
        </is>
      </c>
      <c r="D101" s="20" t="n">
        <v>62</v>
      </c>
      <c r="G101" s="20" t="n">
        <v>62</v>
      </c>
      <c r="J101" s="20" t="n">
        <v>44056</v>
      </c>
      <c r="K101" s="20" t="inlineStr">
        <is>
          <t>목</t>
        </is>
      </c>
      <c r="L101" s="20" t="n">
        <v>2405600</v>
      </c>
      <c r="O101" s="20" t="n">
        <v>2405600</v>
      </c>
    </row>
    <row r="102" ht="16.5" customHeight="1" s="17">
      <c r="B102" s="20" t="n">
        <v>44057</v>
      </c>
      <c r="C102" s="20" t="inlineStr">
        <is>
          <t>금</t>
        </is>
      </c>
      <c r="D102" s="20" t="n">
        <v>51</v>
      </c>
      <c r="E102" s="20" t="n">
        <v>3</v>
      </c>
      <c r="G102" s="20" t="n">
        <v>54</v>
      </c>
      <c r="J102" s="20" t="n">
        <v>44057</v>
      </c>
      <c r="K102" s="20" t="inlineStr">
        <is>
          <t>금</t>
        </is>
      </c>
      <c r="L102" s="20" t="n">
        <v>2056400</v>
      </c>
      <c r="M102" s="20" t="n">
        <v>6000</v>
      </c>
      <c r="O102" s="20" t="n">
        <v>2062400</v>
      </c>
    </row>
    <row r="103" ht="16.5" customHeight="1" s="17">
      <c r="B103" s="20" t="n">
        <v>44058</v>
      </c>
      <c r="C103" s="20" t="inlineStr">
        <is>
          <t>토</t>
        </is>
      </c>
      <c r="D103" s="20" t="n">
        <v>44</v>
      </c>
      <c r="E103" s="20" t="n">
        <v>2</v>
      </c>
      <c r="G103" s="20" t="n">
        <v>46</v>
      </c>
      <c r="J103" s="20" t="n">
        <v>44058</v>
      </c>
      <c r="K103" s="20" t="inlineStr">
        <is>
          <t>토</t>
        </is>
      </c>
      <c r="L103" s="20" t="n">
        <v>1719200</v>
      </c>
      <c r="M103" s="20" t="n">
        <v>4000</v>
      </c>
      <c r="O103" s="20" t="n">
        <v>1723200</v>
      </c>
    </row>
    <row r="104" ht="16.5" customHeight="1" s="17">
      <c r="B104" s="20" t="n">
        <v>44059</v>
      </c>
      <c r="C104" s="20" t="inlineStr">
        <is>
          <t>일</t>
        </is>
      </c>
      <c r="D104" s="20" t="n">
        <v>48</v>
      </c>
      <c r="E104" s="20" t="n">
        <v>2</v>
      </c>
      <c r="G104" s="20" t="n">
        <v>50</v>
      </c>
      <c r="J104" s="20" t="n">
        <v>44059</v>
      </c>
      <c r="K104" s="20" t="inlineStr">
        <is>
          <t>일</t>
        </is>
      </c>
      <c r="L104" s="20" t="n">
        <v>1830400</v>
      </c>
      <c r="M104" s="20" t="n">
        <v>4000</v>
      </c>
      <c r="O104" s="20" t="n">
        <v>1834400</v>
      </c>
    </row>
    <row r="105" ht="16.5" customHeight="1" s="17">
      <c r="B105" s="20" t="n">
        <v>44060</v>
      </c>
      <c r="C105" s="20" t="inlineStr">
        <is>
          <t>월</t>
        </is>
      </c>
      <c r="D105" s="20" t="n">
        <v>62</v>
      </c>
      <c r="E105" s="20" t="n">
        <v>5</v>
      </c>
      <c r="G105" s="20" t="n">
        <v>67</v>
      </c>
      <c r="J105" s="20" t="n">
        <v>44060</v>
      </c>
      <c r="K105" s="20" t="inlineStr">
        <is>
          <t>월</t>
        </is>
      </c>
      <c r="L105" s="20" t="n">
        <v>2331200</v>
      </c>
      <c r="M105" s="20" t="n">
        <v>10000</v>
      </c>
      <c r="O105" s="20" t="n">
        <v>2341200</v>
      </c>
    </row>
    <row r="106" ht="16.5" customHeight="1" s="17">
      <c r="B106" s="20" t="n">
        <v>44061</v>
      </c>
      <c r="C106" s="20" t="inlineStr">
        <is>
          <t>화</t>
        </is>
      </c>
      <c r="D106" s="20" t="n">
        <v>75</v>
      </c>
      <c r="E106" s="20" t="n">
        <v>1</v>
      </c>
      <c r="G106" s="20" t="n">
        <v>76</v>
      </c>
      <c r="J106" s="20" t="n">
        <v>44061</v>
      </c>
      <c r="K106" s="20" t="inlineStr">
        <is>
          <t>화</t>
        </is>
      </c>
      <c r="L106" s="20" t="n">
        <v>2872400</v>
      </c>
      <c r="M106" s="20" t="n">
        <v>2000</v>
      </c>
      <c r="O106" s="20" t="n">
        <v>2874400</v>
      </c>
    </row>
    <row r="107" ht="16.5" customHeight="1" s="17">
      <c r="B107" s="20" t="n">
        <v>44062</v>
      </c>
      <c r="C107" s="20" t="inlineStr">
        <is>
          <t>수</t>
        </is>
      </c>
      <c r="D107" s="20" t="n">
        <v>86</v>
      </c>
      <c r="E107" s="20" t="n">
        <v>1</v>
      </c>
      <c r="G107" s="20" t="n">
        <v>87</v>
      </c>
      <c r="J107" s="20" t="n">
        <v>44062</v>
      </c>
      <c r="K107" s="20" t="inlineStr">
        <is>
          <t>수</t>
        </is>
      </c>
      <c r="L107" s="20" t="n">
        <v>3345600</v>
      </c>
      <c r="M107" s="20" t="n">
        <v>2000</v>
      </c>
      <c r="O107" s="20" t="n">
        <v>3347600</v>
      </c>
    </row>
    <row r="108" ht="16.5" customHeight="1" s="17">
      <c r="B108" s="20" t="n">
        <v>44063</v>
      </c>
      <c r="C108" s="20" t="inlineStr">
        <is>
          <t>목</t>
        </is>
      </c>
      <c r="D108" s="20" t="n">
        <v>83</v>
      </c>
      <c r="E108" s="20" t="n">
        <v>1</v>
      </c>
      <c r="G108" s="20" t="n">
        <v>84</v>
      </c>
      <c r="J108" s="20" t="n">
        <v>44063</v>
      </c>
      <c r="K108" s="20" t="inlineStr">
        <is>
          <t>목</t>
        </is>
      </c>
      <c r="L108" s="20" t="n">
        <v>3144400</v>
      </c>
      <c r="M108" s="20" t="n">
        <v>2000</v>
      </c>
      <c r="O108" s="20" t="n">
        <v>3146400</v>
      </c>
    </row>
    <row r="109" ht="16.5" customHeight="1" s="17">
      <c r="B109" s="20" t="n">
        <v>44064</v>
      </c>
      <c r="C109" s="20" t="inlineStr">
        <is>
          <t>금</t>
        </is>
      </c>
      <c r="D109" s="20" t="n">
        <v>66</v>
      </c>
      <c r="E109" s="20" t="n">
        <v>3</v>
      </c>
      <c r="G109" s="20" t="n">
        <v>69</v>
      </c>
      <c r="J109" s="20" t="n">
        <v>44064</v>
      </c>
      <c r="K109" s="20" t="inlineStr">
        <is>
          <t>금</t>
        </is>
      </c>
      <c r="L109" s="20" t="n">
        <v>2541600</v>
      </c>
      <c r="M109" s="20" t="n">
        <v>6000</v>
      </c>
      <c r="O109" s="20" t="n">
        <v>2547600</v>
      </c>
    </row>
    <row r="110" ht="16.5" customHeight="1" s="17">
      <c r="B110" s="20" t="n">
        <v>44065</v>
      </c>
      <c r="C110" s="20" t="inlineStr">
        <is>
          <t>토</t>
        </is>
      </c>
      <c r="D110" s="20" t="n">
        <v>68</v>
      </c>
      <c r="E110" s="20" t="n">
        <v>2</v>
      </c>
      <c r="G110" s="20" t="n">
        <v>70</v>
      </c>
      <c r="J110" s="20" t="n">
        <v>44065</v>
      </c>
      <c r="K110" s="20" t="inlineStr">
        <is>
          <t>토</t>
        </is>
      </c>
      <c r="L110" s="20" t="n">
        <v>2708800</v>
      </c>
      <c r="M110" s="20" t="n">
        <v>4000</v>
      </c>
      <c r="O110" s="20" t="n">
        <v>2712800</v>
      </c>
    </row>
    <row r="111" ht="16.5" customHeight="1" s="17">
      <c r="B111" s="20" t="n">
        <v>44066</v>
      </c>
      <c r="C111" s="20" t="inlineStr">
        <is>
          <t>일</t>
        </is>
      </c>
      <c r="D111" s="20" t="n">
        <v>92</v>
      </c>
      <c r="E111" s="20" t="n">
        <v>1</v>
      </c>
      <c r="G111" s="20" t="n">
        <v>93</v>
      </c>
      <c r="J111" s="20" t="n">
        <v>44066</v>
      </c>
      <c r="K111" s="20" t="inlineStr">
        <is>
          <t>일</t>
        </is>
      </c>
      <c r="L111" s="20" t="n">
        <v>3673600</v>
      </c>
      <c r="M111" s="20" t="n">
        <v>2000</v>
      </c>
      <c r="O111" s="20" t="n">
        <v>3675600</v>
      </c>
    </row>
    <row r="112" ht="16.5" customHeight="1" s="17">
      <c r="B112" s="20" t="n">
        <v>44067</v>
      </c>
      <c r="C112" s="20" t="inlineStr">
        <is>
          <t>월</t>
        </is>
      </c>
      <c r="D112" s="20" t="n">
        <v>76</v>
      </c>
      <c r="E112" s="20" t="n">
        <v>2</v>
      </c>
      <c r="G112" s="20" t="n">
        <v>78</v>
      </c>
      <c r="J112" s="20" t="n">
        <v>44067</v>
      </c>
      <c r="K112" s="20" t="inlineStr">
        <is>
          <t>월</t>
        </is>
      </c>
      <c r="L112" s="20" t="n">
        <v>3005600</v>
      </c>
      <c r="M112" s="20" t="n">
        <v>4000</v>
      </c>
      <c r="O112" s="20" t="n">
        <v>3009600</v>
      </c>
    </row>
    <row r="113" ht="16.5" customHeight="1" s="17">
      <c r="B113" s="20" t="n">
        <v>44068</v>
      </c>
      <c r="C113" s="20" t="inlineStr">
        <is>
          <t>화</t>
        </is>
      </c>
      <c r="D113" s="20" t="n">
        <v>74</v>
      </c>
      <c r="E113" s="20" t="n">
        <v>3</v>
      </c>
      <c r="G113" s="20" t="n">
        <v>77</v>
      </c>
      <c r="J113" s="20" t="n">
        <v>44068</v>
      </c>
      <c r="K113" s="20" t="inlineStr">
        <is>
          <t>화</t>
        </is>
      </c>
      <c r="L113" s="20" t="n">
        <v>2714400</v>
      </c>
      <c r="M113" s="20" t="n">
        <v>6000</v>
      </c>
      <c r="O113" s="20" t="n">
        <v>2720400</v>
      </c>
    </row>
    <row r="114" ht="16.5" customHeight="1" s="17">
      <c r="B114" s="20" t="n">
        <v>44069</v>
      </c>
      <c r="C114" s="20" t="inlineStr">
        <is>
          <t>수</t>
        </is>
      </c>
      <c r="D114" s="20" t="n">
        <v>89</v>
      </c>
      <c r="E114" s="20" t="n">
        <v>1</v>
      </c>
      <c r="G114" s="20" t="n">
        <v>90</v>
      </c>
      <c r="J114" s="20" t="n">
        <v>44069</v>
      </c>
      <c r="K114" s="20" t="inlineStr">
        <is>
          <t>수</t>
        </is>
      </c>
      <c r="L114" s="20" t="n">
        <v>3422800</v>
      </c>
      <c r="M114" s="20" t="n">
        <v>2000</v>
      </c>
      <c r="O114" s="20" t="n">
        <v>3424800</v>
      </c>
    </row>
    <row r="115" ht="16.5" customHeight="1" s="17">
      <c r="B115" s="20" t="n">
        <v>44070</v>
      </c>
      <c r="C115" s="20" t="inlineStr">
        <is>
          <t>목</t>
        </is>
      </c>
      <c r="D115" s="20" t="n">
        <v>94</v>
      </c>
      <c r="E115" s="20" t="n">
        <v>1</v>
      </c>
      <c r="G115" s="20" t="n">
        <v>95</v>
      </c>
      <c r="J115" s="20" t="n">
        <v>44070</v>
      </c>
      <c r="K115" s="20" t="inlineStr">
        <is>
          <t>목</t>
        </is>
      </c>
      <c r="L115" s="20" t="n">
        <v>3642400</v>
      </c>
      <c r="M115" s="20" t="n">
        <v>2000</v>
      </c>
      <c r="O115" s="20" t="n">
        <v>3644400</v>
      </c>
    </row>
    <row r="116" ht="16.5" customHeight="1" s="17">
      <c r="B116" s="20" t="n">
        <v>44071</v>
      </c>
      <c r="C116" s="20" t="inlineStr">
        <is>
          <t>금</t>
        </is>
      </c>
      <c r="D116" s="20" t="n">
        <v>80</v>
      </c>
      <c r="G116" s="20" t="n">
        <v>80</v>
      </c>
      <c r="J116" s="20" t="n">
        <v>44071</v>
      </c>
      <c r="K116" s="20" t="inlineStr">
        <is>
          <t>금</t>
        </is>
      </c>
      <c r="L116" s="20" t="n">
        <v>3166400</v>
      </c>
      <c r="O116" s="20" t="n">
        <v>3166400</v>
      </c>
    </row>
    <row r="117" ht="16.5" customHeight="1" s="17">
      <c r="B117" s="20" t="n">
        <v>44072</v>
      </c>
      <c r="C117" s="20" t="inlineStr">
        <is>
          <t>토</t>
        </is>
      </c>
      <c r="D117" s="20" t="n">
        <v>80</v>
      </c>
      <c r="E117" s="20" t="n">
        <v>1</v>
      </c>
      <c r="G117" s="20" t="n">
        <v>81</v>
      </c>
      <c r="J117" s="20" t="n">
        <v>44072</v>
      </c>
      <c r="K117" s="20" t="inlineStr">
        <is>
          <t>토</t>
        </is>
      </c>
      <c r="L117" s="20" t="n">
        <v>3017600</v>
      </c>
      <c r="M117" s="20" t="n">
        <v>2000</v>
      </c>
      <c r="O117" s="20" t="n">
        <v>3019600</v>
      </c>
    </row>
    <row r="118" ht="16.5" customHeight="1" s="17">
      <c r="B118" s="20" t="n">
        <v>44073</v>
      </c>
      <c r="C118" s="20" t="inlineStr">
        <is>
          <t>일</t>
        </is>
      </c>
      <c r="D118" s="20" t="n">
        <v>96</v>
      </c>
      <c r="E118" s="20" t="n">
        <v>2</v>
      </c>
      <c r="G118" s="20" t="n">
        <v>98</v>
      </c>
      <c r="J118" s="20" t="n">
        <v>44073</v>
      </c>
      <c r="K118" s="20" t="inlineStr">
        <is>
          <t>일</t>
        </is>
      </c>
      <c r="L118" s="20" t="n">
        <v>3760000</v>
      </c>
      <c r="M118" s="20" t="n">
        <v>4000</v>
      </c>
      <c r="O118" s="20" t="n">
        <v>3764000</v>
      </c>
    </row>
    <row r="119" ht="16.5" customHeight="1" s="17">
      <c r="B119" s="20" t="n">
        <v>44074</v>
      </c>
      <c r="C119" s="20" t="inlineStr">
        <is>
          <t>월</t>
        </is>
      </c>
      <c r="D119" s="20" t="n">
        <v>97</v>
      </c>
      <c r="E119" s="20" t="n">
        <v>1</v>
      </c>
      <c r="G119" s="20" t="n">
        <v>98</v>
      </c>
      <c r="J119" s="20" t="n">
        <v>44074</v>
      </c>
      <c r="K119" s="20" t="inlineStr">
        <is>
          <t>월</t>
        </is>
      </c>
      <c r="L119" s="20" t="n">
        <v>3620400</v>
      </c>
      <c r="M119" s="20" t="n">
        <v>2000</v>
      </c>
      <c r="O119" s="20" t="n">
        <v>3622400</v>
      </c>
    </row>
    <row r="120" ht="16.5" customHeight="1" s="17">
      <c r="B120" s="20" t="n">
        <v>44075</v>
      </c>
      <c r="C120" s="20" t="inlineStr">
        <is>
          <t>화</t>
        </is>
      </c>
      <c r="D120" s="20" t="n">
        <v>109</v>
      </c>
      <c r="E120" s="20" t="n">
        <v>2</v>
      </c>
      <c r="G120" s="20" t="n">
        <v>111</v>
      </c>
      <c r="J120" s="20" t="n">
        <v>44075</v>
      </c>
      <c r="K120" s="20" t="inlineStr">
        <is>
          <t>화</t>
        </is>
      </c>
      <c r="L120" s="20" t="n">
        <v>4177200</v>
      </c>
      <c r="M120" s="20" t="n">
        <v>4000</v>
      </c>
      <c r="O120" s="20" t="n">
        <v>4181200</v>
      </c>
    </row>
    <row r="121" ht="16.5" customHeight="1" s="17">
      <c r="B121" s="20" t="n">
        <v>44076</v>
      </c>
      <c r="C121" s="20" t="inlineStr">
        <is>
          <t>수</t>
        </is>
      </c>
      <c r="D121" s="20" t="n">
        <v>106</v>
      </c>
      <c r="E121" s="20" t="n">
        <v>3</v>
      </c>
      <c r="G121" s="20" t="n">
        <v>109</v>
      </c>
      <c r="J121" s="20" t="n">
        <v>44076</v>
      </c>
      <c r="K121" s="20" t="inlineStr">
        <is>
          <t>수</t>
        </is>
      </c>
      <c r="L121" s="20" t="n">
        <v>4000800</v>
      </c>
      <c r="M121" s="20" t="n">
        <v>6000</v>
      </c>
      <c r="O121" s="20" t="n">
        <v>4006800</v>
      </c>
    </row>
    <row r="122" ht="16.5" customHeight="1" s="17">
      <c r="B122" s="20" t="n">
        <v>44077</v>
      </c>
      <c r="C122" s="20" t="inlineStr">
        <is>
          <t>목</t>
        </is>
      </c>
      <c r="D122" s="20" t="n">
        <v>87</v>
      </c>
      <c r="E122" s="20" t="n">
        <v>2</v>
      </c>
      <c r="G122" s="20" t="n">
        <v>89</v>
      </c>
      <c r="J122" s="20" t="n">
        <v>44077</v>
      </c>
      <c r="K122" s="20" t="inlineStr">
        <is>
          <t>목</t>
        </is>
      </c>
      <c r="L122" s="20" t="n">
        <v>3454000</v>
      </c>
      <c r="M122" s="20" t="n">
        <v>4000</v>
      </c>
      <c r="O122" s="20" t="n">
        <v>3458000</v>
      </c>
    </row>
    <row r="123" ht="16.5" customHeight="1" s="17">
      <c r="B123" s="20" t="n">
        <v>44078</v>
      </c>
      <c r="C123" s="20" t="inlineStr">
        <is>
          <t>금</t>
        </is>
      </c>
      <c r="D123" s="20" t="n">
        <v>97</v>
      </c>
      <c r="G123" s="20" t="n">
        <v>97</v>
      </c>
      <c r="J123" s="20" t="n">
        <v>44078</v>
      </c>
      <c r="K123" s="20" t="inlineStr">
        <is>
          <t>금</t>
        </is>
      </c>
      <c r="L123" s="20" t="n">
        <v>3744400</v>
      </c>
      <c r="O123" s="20" t="n">
        <v>3744400</v>
      </c>
    </row>
    <row r="124" ht="16.5" customHeight="1" s="17">
      <c r="B124" s="20" t="n">
        <v>44079</v>
      </c>
      <c r="C124" s="20" t="inlineStr">
        <is>
          <t>토</t>
        </is>
      </c>
      <c r="D124" s="20" t="n">
        <v>80</v>
      </c>
      <c r="E124" s="20" t="n">
        <v>2</v>
      </c>
      <c r="G124" s="20" t="n">
        <v>82</v>
      </c>
      <c r="J124" s="20" t="n">
        <v>44079</v>
      </c>
      <c r="K124" s="20" t="inlineStr">
        <is>
          <t>토</t>
        </is>
      </c>
      <c r="L124" s="20" t="n">
        <v>3042400</v>
      </c>
      <c r="M124" s="20" t="n">
        <v>4000</v>
      </c>
      <c r="O124" s="20" t="n">
        <v>3046400</v>
      </c>
    </row>
    <row r="125" ht="16.5" customHeight="1" s="17">
      <c r="B125" s="20" t="n">
        <v>44080</v>
      </c>
      <c r="C125" s="20" t="inlineStr">
        <is>
          <t>일</t>
        </is>
      </c>
      <c r="D125" s="20" t="n">
        <v>83</v>
      </c>
      <c r="E125" s="20" t="n">
        <v>1</v>
      </c>
      <c r="G125" s="20" t="n">
        <v>84</v>
      </c>
      <c r="J125" s="20" t="n">
        <v>44080</v>
      </c>
      <c r="K125" s="20" t="inlineStr">
        <is>
          <t>일</t>
        </is>
      </c>
      <c r="L125" s="20" t="n">
        <v>3130800</v>
      </c>
      <c r="M125" s="20" t="n">
        <v>2000</v>
      </c>
      <c r="O125" s="20" t="n">
        <v>3132800</v>
      </c>
    </row>
    <row r="126" ht="16.5" customHeight="1" s="17">
      <c r="B126" s="20" t="n">
        <v>44081</v>
      </c>
      <c r="C126" s="20" t="inlineStr">
        <is>
          <t>월</t>
        </is>
      </c>
      <c r="D126" s="20" t="n">
        <v>83</v>
      </c>
      <c r="E126" s="20" t="n">
        <v>4</v>
      </c>
      <c r="G126" s="20" t="n">
        <v>87</v>
      </c>
      <c r="J126" s="20" t="n">
        <v>44081</v>
      </c>
      <c r="K126" s="20" t="inlineStr">
        <is>
          <t>월</t>
        </is>
      </c>
      <c r="L126" s="20" t="n">
        <v>3094800</v>
      </c>
      <c r="M126" s="20" t="n">
        <v>8000</v>
      </c>
      <c r="O126" s="20" t="n">
        <v>3102800</v>
      </c>
    </row>
    <row r="127" ht="16.5" customHeight="1" s="17">
      <c r="B127" s="20" t="n">
        <v>44082</v>
      </c>
      <c r="C127" s="20" t="inlineStr">
        <is>
          <t>화</t>
        </is>
      </c>
      <c r="D127" s="20" t="n">
        <v>78</v>
      </c>
      <c r="E127" s="20" t="n">
        <v>7</v>
      </c>
      <c r="G127" s="20" t="n">
        <v>85</v>
      </c>
      <c r="J127" s="20" t="n">
        <v>44082</v>
      </c>
      <c r="K127" s="20" t="inlineStr">
        <is>
          <t>화</t>
        </is>
      </c>
      <c r="L127" s="20" t="n">
        <v>3098400</v>
      </c>
      <c r="M127" s="20" t="n">
        <v>14000</v>
      </c>
      <c r="O127" s="20" t="n">
        <v>3112400</v>
      </c>
    </row>
    <row r="128" ht="16.5" customHeight="1" s="17">
      <c r="B128" s="20" t="n">
        <v>44083</v>
      </c>
      <c r="C128" s="20" t="inlineStr">
        <is>
          <t>수</t>
        </is>
      </c>
      <c r="D128" s="20" t="n">
        <v>89</v>
      </c>
      <c r="E128" s="20" t="n">
        <v>2</v>
      </c>
      <c r="G128" s="20" t="n">
        <v>91</v>
      </c>
      <c r="J128" s="20" t="n">
        <v>44083</v>
      </c>
      <c r="K128" s="20" t="inlineStr">
        <is>
          <t>수</t>
        </is>
      </c>
      <c r="L128" s="20" t="n">
        <v>3497200</v>
      </c>
      <c r="M128" s="20" t="n">
        <v>4000</v>
      </c>
      <c r="O128" s="20" t="n">
        <v>3501200</v>
      </c>
    </row>
    <row r="129" ht="16.5" customHeight="1" s="17">
      <c r="B129" s="20" t="n">
        <v>44084</v>
      </c>
      <c r="C129" s="20" t="inlineStr">
        <is>
          <t>목</t>
        </is>
      </c>
      <c r="D129" s="20" t="n">
        <v>80</v>
      </c>
      <c r="E129" s="20" t="n">
        <v>1</v>
      </c>
      <c r="G129" s="20" t="n">
        <v>81</v>
      </c>
      <c r="J129" s="20" t="n">
        <v>44084</v>
      </c>
      <c r="K129" s="20" t="inlineStr">
        <is>
          <t>목</t>
        </is>
      </c>
      <c r="L129" s="20" t="n">
        <v>2992800</v>
      </c>
      <c r="M129" s="20" t="n">
        <v>2000</v>
      </c>
      <c r="O129" s="20" t="n">
        <v>2994800</v>
      </c>
    </row>
    <row r="130" ht="16.5" customHeight="1" s="17">
      <c r="B130" s="20" t="n">
        <v>44085</v>
      </c>
      <c r="C130" s="20" t="inlineStr">
        <is>
          <t>금</t>
        </is>
      </c>
      <c r="D130" s="20" t="n">
        <v>87</v>
      </c>
      <c r="E130" s="20" t="n">
        <v>3</v>
      </c>
      <c r="G130" s="20" t="n">
        <v>90</v>
      </c>
      <c r="J130" s="20" t="n">
        <v>44085</v>
      </c>
      <c r="K130" s="20" t="inlineStr">
        <is>
          <t>금</t>
        </is>
      </c>
      <c r="L130" s="20" t="n">
        <v>3454000</v>
      </c>
      <c r="M130" s="20" t="n">
        <v>6000</v>
      </c>
      <c r="O130" s="20" t="n">
        <v>3460000</v>
      </c>
    </row>
    <row r="131" ht="16.5" customHeight="1" s="17">
      <c r="B131" s="20" t="n">
        <v>44086</v>
      </c>
      <c r="C131" s="20" t="inlineStr">
        <is>
          <t>토</t>
        </is>
      </c>
      <c r="D131" s="20" t="n">
        <v>77</v>
      </c>
      <c r="E131" s="20" t="n">
        <v>2</v>
      </c>
      <c r="G131" s="20" t="n">
        <v>79</v>
      </c>
      <c r="J131" s="20" t="n">
        <v>44086</v>
      </c>
      <c r="K131" s="20" t="inlineStr">
        <is>
          <t>토</t>
        </is>
      </c>
      <c r="L131" s="20" t="n">
        <v>2940400</v>
      </c>
      <c r="M131" s="20" t="n">
        <v>4000</v>
      </c>
      <c r="O131" s="20" t="n">
        <v>2944400</v>
      </c>
    </row>
    <row r="132" ht="16.5" customHeight="1" s="17">
      <c r="B132" s="20" t="n">
        <v>44087</v>
      </c>
      <c r="C132" s="20" t="inlineStr">
        <is>
          <t>일</t>
        </is>
      </c>
      <c r="D132" s="20" t="n">
        <v>82</v>
      </c>
      <c r="E132" s="20" t="n">
        <v>3</v>
      </c>
      <c r="G132" s="20" t="n">
        <v>85</v>
      </c>
      <c r="J132" s="20" t="n">
        <v>44087</v>
      </c>
      <c r="K132" s="20" t="inlineStr">
        <is>
          <t>일</t>
        </is>
      </c>
      <c r="L132" s="20" t="n">
        <v>3284000</v>
      </c>
      <c r="M132" s="20" t="n">
        <v>6000</v>
      </c>
      <c r="O132" s="20" t="n">
        <v>3290000</v>
      </c>
    </row>
    <row r="133" ht="16.5" customHeight="1" s="17">
      <c r="B133" s="20" t="n">
        <v>44088</v>
      </c>
      <c r="C133" s="20" t="inlineStr">
        <is>
          <t>월</t>
        </is>
      </c>
      <c r="D133" s="20" t="n">
        <v>92</v>
      </c>
      <c r="E133" s="20" t="n">
        <v>3</v>
      </c>
      <c r="G133" s="20" t="n">
        <v>95</v>
      </c>
      <c r="J133" s="20" t="n">
        <v>44088</v>
      </c>
      <c r="K133" s="20" t="inlineStr">
        <is>
          <t>월</t>
        </is>
      </c>
      <c r="L133" s="20" t="n">
        <v>3610400</v>
      </c>
      <c r="M133" s="20" t="n">
        <v>6000</v>
      </c>
      <c r="O133" s="20" t="n">
        <v>3616400</v>
      </c>
    </row>
    <row r="134" ht="16.5" customHeight="1" s="17">
      <c r="B134" s="20" t="n">
        <v>44089</v>
      </c>
      <c r="C134" s="20" t="inlineStr">
        <is>
          <t>화</t>
        </is>
      </c>
      <c r="D134" s="20" t="n">
        <v>98</v>
      </c>
      <c r="E134" s="20" t="n">
        <v>1</v>
      </c>
      <c r="G134" s="20" t="n">
        <v>99</v>
      </c>
      <c r="J134" s="20" t="n">
        <v>44089</v>
      </c>
      <c r="K134" s="20" t="inlineStr">
        <is>
          <t>화</t>
        </is>
      </c>
      <c r="L134" s="20" t="n">
        <v>3902400</v>
      </c>
      <c r="M134" s="20" t="n">
        <v>2000</v>
      </c>
      <c r="O134" s="20" t="n">
        <v>3904400</v>
      </c>
    </row>
    <row r="135" ht="16.5" customHeight="1" s="17">
      <c r="B135" s="20" t="n">
        <v>44090</v>
      </c>
      <c r="C135" s="20" t="inlineStr">
        <is>
          <t>수</t>
        </is>
      </c>
      <c r="D135" s="20" t="n">
        <v>77</v>
      </c>
      <c r="E135" s="20" t="n">
        <v>1</v>
      </c>
      <c r="G135" s="20" t="n">
        <v>78</v>
      </c>
      <c r="J135" s="20" t="n">
        <v>44090</v>
      </c>
      <c r="K135" s="20" t="inlineStr">
        <is>
          <t>수</t>
        </is>
      </c>
      <c r="L135" s="20" t="n">
        <v>2965200</v>
      </c>
      <c r="M135" s="20" t="n">
        <v>2000</v>
      </c>
      <c r="O135" s="20" t="n">
        <v>2967200</v>
      </c>
    </row>
    <row r="136" ht="16.5" customHeight="1" s="17">
      <c r="B136" s="20" t="n">
        <v>44091</v>
      </c>
      <c r="C136" s="20" t="inlineStr">
        <is>
          <t>목</t>
        </is>
      </c>
      <c r="D136" s="20" t="n">
        <v>88</v>
      </c>
      <c r="E136" s="20" t="n">
        <v>1</v>
      </c>
      <c r="G136" s="20" t="n">
        <v>89</v>
      </c>
      <c r="J136" s="20" t="n">
        <v>44091</v>
      </c>
      <c r="K136" s="20" t="inlineStr">
        <is>
          <t>목</t>
        </is>
      </c>
      <c r="L136" s="20" t="n">
        <v>3463200</v>
      </c>
      <c r="M136" s="20" t="n">
        <v>2000</v>
      </c>
      <c r="O136" s="20" t="n">
        <v>3465200</v>
      </c>
    </row>
    <row r="137" ht="16.5" customHeight="1" s="17">
      <c r="B137" s="20" t="n">
        <v>44092</v>
      </c>
      <c r="C137" s="20" t="inlineStr">
        <is>
          <t>금</t>
        </is>
      </c>
      <c r="D137" s="20" t="n">
        <v>86</v>
      </c>
      <c r="G137" s="20" t="n">
        <v>86</v>
      </c>
      <c r="J137" s="20" t="n">
        <v>44092</v>
      </c>
      <c r="K137" s="20" t="inlineStr">
        <is>
          <t>금</t>
        </is>
      </c>
      <c r="L137" s="20" t="n">
        <v>3568800</v>
      </c>
      <c r="O137" s="20" t="n">
        <v>3568800</v>
      </c>
    </row>
    <row r="138" ht="16.5" customHeight="1" s="17">
      <c r="B138" s="20" t="n">
        <v>44093</v>
      </c>
      <c r="C138" s="20" t="inlineStr">
        <is>
          <t>토</t>
        </is>
      </c>
      <c r="D138" s="20" t="n">
        <v>84</v>
      </c>
      <c r="E138" s="20" t="n">
        <v>4</v>
      </c>
      <c r="G138" s="20" t="n">
        <v>88</v>
      </c>
      <c r="J138" s="20" t="n">
        <v>44093</v>
      </c>
      <c r="K138" s="20" t="inlineStr">
        <is>
          <t>토</t>
        </is>
      </c>
      <c r="L138" s="20" t="n">
        <v>3426400</v>
      </c>
      <c r="M138" s="20" t="n">
        <v>8000</v>
      </c>
      <c r="O138" s="20" t="n">
        <v>3434400</v>
      </c>
    </row>
    <row r="139" ht="16.5" customHeight="1" s="17">
      <c r="B139" s="20" t="n">
        <v>44094</v>
      </c>
      <c r="C139" s="20" t="inlineStr">
        <is>
          <t>일</t>
        </is>
      </c>
      <c r="D139" s="20" t="n">
        <v>101</v>
      </c>
      <c r="E139" s="20" t="n">
        <v>2</v>
      </c>
      <c r="G139" s="20" t="n">
        <v>103</v>
      </c>
      <c r="J139" s="20" t="n">
        <v>44094</v>
      </c>
      <c r="K139" s="20" t="inlineStr">
        <is>
          <t>일</t>
        </is>
      </c>
      <c r="L139" s="20" t="n">
        <v>3880400</v>
      </c>
      <c r="M139" s="20" t="n">
        <v>4000</v>
      </c>
      <c r="O139" s="20" t="n">
        <v>3884400</v>
      </c>
    </row>
    <row r="140" ht="16.5" customHeight="1" s="17">
      <c r="B140" s="20" t="n">
        <v>44095</v>
      </c>
      <c r="C140" s="20" t="inlineStr">
        <is>
          <t>월</t>
        </is>
      </c>
      <c r="D140" s="20" t="n">
        <v>89</v>
      </c>
      <c r="E140" s="20" t="n">
        <v>2</v>
      </c>
      <c r="G140" s="20" t="n">
        <v>91</v>
      </c>
      <c r="J140" s="20" t="n">
        <v>44095</v>
      </c>
      <c r="K140" s="20" t="inlineStr">
        <is>
          <t>월</t>
        </is>
      </c>
      <c r="L140" s="20" t="n">
        <v>3546800</v>
      </c>
      <c r="M140" s="20" t="n">
        <v>4000</v>
      </c>
      <c r="O140" s="20" t="n">
        <v>3550800</v>
      </c>
    </row>
    <row r="141" ht="16.5" customHeight="1" s="17">
      <c r="B141" s="20" t="n">
        <v>44096</v>
      </c>
      <c r="C141" s="20" t="inlineStr">
        <is>
          <t>화</t>
        </is>
      </c>
      <c r="D141" s="20" t="n">
        <v>97</v>
      </c>
      <c r="E141" s="20" t="n">
        <v>1</v>
      </c>
      <c r="G141" s="20" t="n">
        <v>98</v>
      </c>
      <c r="J141" s="20" t="n">
        <v>44096</v>
      </c>
      <c r="K141" s="20" t="inlineStr">
        <is>
          <t>화</t>
        </is>
      </c>
      <c r="L141" s="20" t="n">
        <v>3794000</v>
      </c>
      <c r="M141" s="20" t="n">
        <v>2000</v>
      </c>
      <c r="O141" s="20" t="n">
        <v>3796000</v>
      </c>
    </row>
    <row r="142" ht="16.5" customHeight="1" s="17">
      <c r="B142" s="20" t="n">
        <v>44097</v>
      </c>
      <c r="C142" s="20" t="inlineStr">
        <is>
          <t>수</t>
        </is>
      </c>
      <c r="D142" s="20" t="n">
        <v>103</v>
      </c>
      <c r="E142" s="20" t="n">
        <v>2</v>
      </c>
      <c r="G142" s="20" t="n">
        <v>105</v>
      </c>
      <c r="J142" s="20" t="n">
        <v>44097</v>
      </c>
      <c r="K142" s="20" t="inlineStr">
        <is>
          <t>수</t>
        </is>
      </c>
      <c r="L142" s="20" t="n">
        <v>4122000</v>
      </c>
      <c r="M142" s="20" t="n">
        <v>4000</v>
      </c>
      <c r="O142" s="20" t="n">
        <v>4126000</v>
      </c>
    </row>
    <row r="143" ht="16.5" customHeight="1" s="17">
      <c r="B143" s="20" t="n">
        <v>44098</v>
      </c>
      <c r="C143" s="20" t="inlineStr">
        <is>
          <t>목</t>
        </is>
      </c>
      <c r="D143" s="20" t="n">
        <v>106</v>
      </c>
      <c r="E143" s="20" t="n">
        <v>4</v>
      </c>
      <c r="G143" s="20" t="n">
        <v>110</v>
      </c>
      <c r="J143" s="20" t="n">
        <v>44098</v>
      </c>
      <c r="K143" s="20" t="inlineStr">
        <is>
          <t>목</t>
        </is>
      </c>
      <c r="L143" s="20" t="n">
        <v>4174400</v>
      </c>
      <c r="M143" s="20" t="n">
        <v>8000</v>
      </c>
      <c r="O143" s="20" t="n">
        <v>4182400</v>
      </c>
    </row>
    <row r="144" ht="16.5" customHeight="1" s="17">
      <c r="B144" s="20" t="n">
        <v>44099</v>
      </c>
      <c r="C144" s="20" t="inlineStr">
        <is>
          <t>금</t>
        </is>
      </c>
      <c r="D144" s="20" t="n">
        <v>107</v>
      </c>
      <c r="E144" s="20" t="n">
        <v>1</v>
      </c>
      <c r="G144" s="20" t="n">
        <v>108</v>
      </c>
      <c r="J144" s="20" t="n">
        <v>44099</v>
      </c>
      <c r="K144" s="20" t="inlineStr">
        <is>
          <t>금</t>
        </is>
      </c>
      <c r="L144" s="20" t="n">
        <v>4158800</v>
      </c>
      <c r="M144" s="20" t="n">
        <v>2000</v>
      </c>
      <c r="O144" s="20" t="n">
        <v>4160800</v>
      </c>
    </row>
    <row r="145" ht="16.5" customHeight="1" s="17">
      <c r="B145" s="20" t="n">
        <v>44100</v>
      </c>
      <c r="C145" s="20" t="inlineStr">
        <is>
          <t>토</t>
        </is>
      </c>
      <c r="D145" s="20" t="n">
        <v>140</v>
      </c>
      <c r="E145" s="20" t="n">
        <v>2</v>
      </c>
      <c r="G145" s="20" t="n">
        <v>142</v>
      </c>
      <c r="J145" s="20" t="n">
        <v>44100</v>
      </c>
      <c r="K145" s="20" t="inlineStr">
        <is>
          <t>토</t>
        </is>
      </c>
      <c r="L145" s="20" t="n">
        <v>5454400</v>
      </c>
      <c r="M145" s="20" t="n">
        <v>4000</v>
      </c>
      <c r="O145" s="20" t="n">
        <v>5458400</v>
      </c>
    </row>
    <row r="146" ht="16.5" customHeight="1" s="17">
      <c r="B146" s="20" t="n">
        <v>44101</v>
      </c>
      <c r="C146" s="20" t="inlineStr">
        <is>
          <t>일</t>
        </is>
      </c>
      <c r="D146" s="20" t="n">
        <v>177</v>
      </c>
      <c r="E146" s="20" t="n">
        <v>5</v>
      </c>
      <c r="G146" s="20" t="n">
        <v>182</v>
      </c>
      <c r="J146" s="20" t="n">
        <v>44101</v>
      </c>
      <c r="K146" s="20" t="inlineStr">
        <is>
          <t>일</t>
        </is>
      </c>
      <c r="L146" s="20" t="n">
        <v>7109200</v>
      </c>
      <c r="M146" s="20" t="n">
        <v>10000</v>
      </c>
      <c r="O146" s="20" t="n">
        <v>7119200</v>
      </c>
    </row>
    <row r="147" ht="16.5" customHeight="1" s="17">
      <c r="B147" s="20" t="n">
        <v>44102</v>
      </c>
      <c r="C147" s="20" t="inlineStr">
        <is>
          <t>월</t>
        </is>
      </c>
      <c r="D147" s="20" t="n">
        <v>165</v>
      </c>
      <c r="E147" s="20" t="n">
        <v>1</v>
      </c>
      <c r="G147" s="20" t="n">
        <v>166</v>
      </c>
      <c r="J147" s="20" t="n">
        <v>44102</v>
      </c>
      <c r="K147" s="20" t="inlineStr">
        <is>
          <t>월</t>
        </is>
      </c>
      <c r="L147" s="20" t="n">
        <v>6577200</v>
      </c>
      <c r="M147" s="20" t="n">
        <v>2000</v>
      </c>
      <c r="O147" s="20" t="n">
        <v>6579200</v>
      </c>
    </row>
    <row r="148" ht="16.5" customHeight="1" s="17">
      <c r="B148" s="20" t="n">
        <v>44103</v>
      </c>
      <c r="C148" s="20" t="inlineStr">
        <is>
          <t>화</t>
        </is>
      </c>
      <c r="D148" s="20" t="n">
        <v>223</v>
      </c>
      <c r="E148" s="20" t="n">
        <v>2</v>
      </c>
      <c r="G148" s="20" t="n">
        <v>225</v>
      </c>
      <c r="J148" s="20" t="n">
        <v>44103</v>
      </c>
      <c r="K148" s="20" t="inlineStr">
        <is>
          <t>화</t>
        </is>
      </c>
      <c r="L148" s="20" t="n">
        <v>9117200</v>
      </c>
      <c r="M148" s="20" t="n">
        <v>4000</v>
      </c>
      <c r="O148" s="20" t="n">
        <v>9121200</v>
      </c>
    </row>
    <row r="149" ht="16.5" customHeight="1" s="17">
      <c r="B149" s="20" t="n">
        <v>44104</v>
      </c>
      <c r="C149" s="20" t="inlineStr">
        <is>
          <t>수</t>
        </is>
      </c>
      <c r="D149" s="20" t="n">
        <v>327</v>
      </c>
      <c r="E149" s="20" t="n">
        <v>3</v>
      </c>
      <c r="G149" s="20" t="n">
        <v>330</v>
      </c>
      <c r="J149" s="20" t="n">
        <v>44104</v>
      </c>
      <c r="K149" s="20" t="inlineStr">
        <is>
          <t>수</t>
        </is>
      </c>
      <c r="L149" s="20" t="n">
        <v>13151600</v>
      </c>
      <c r="M149" s="20" t="n">
        <v>6000</v>
      </c>
      <c r="O149" s="20" t="n">
        <v>13157600</v>
      </c>
    </row>
    <row r="150" ht="16.5" customHeight="1" s="17">
      <c r="B150" s="20" t="n">
        <v>44105</v>
      </c>
      <c r="C150" s="20" t="inlineStr">
        <is>
          <t>목</t>
        </is>
      </c>
      <c r="D150" s="20" t="n">
        <v>343</v>
      </c>
      <c r="E150" s="20" t="n">
        <v>4</v>
      </c>
      <c r="G150" s="20" t="n">
        <v>347</v>
      </c>
      <c r="J150" s="20" t="n">
        <v>44105</v>
      </c>
      <c r="K150" s="20" t="inlineStr">
        <is>
          <t>목</t>
        </is>
      </c>
      <c r="L150" s="20" t="n">
        <v>13670800</v>
      </c>
      <c r="M150" s="20" t="n">
        <v>8000</v>
      </c>
      <c r="O150" s="20" t="n">
        <v>13678800</v>
      </c>
    </row>
    <row r="151" ht="16.5" customHeight="1" s="17">
      <c r="B151" s="20" t="n">
        <v>44106</v>
      </c>
      <c r="C151" s="20" t="inlineStr">
        <is>
          <t>금</t>
        </is>
      </c>
      <c r="D151" s="20" t="n">
        <v>320</v>
      </c>
      <c r="E151" s="20" t="n">
        <v>7</v>
      </c>
      <c r="G151" s="20" t="n">
        <v>327</v>
      </c>
      <c r="J151" s="20" t="n">
        <v>44106</v>
      </c>
      <c r="K151" s="20" t="inlineStr">
        <is>
          <t>금</t>
        </is>
      </c>
      <c r="L151" s="20" t="n">
        <v>12776000</v>
      </c>
      <c r="M151" s="20" t="n">
        <v>14000</v>
      </c>
      <c r="O151" s="20" t="n">
        <v>12790000</v>
      </c>
    </row>
    <row r="152" ht="16.5" customHeight="1" s="17">
      <c r="B152" s="20" t="n">
        <v>44107</v>
      </c>
      <c r="C152" s="20" t="inlineStr">
        <is>
          <t>토</t>
        </is>
      </c>
      <c r="D152" s="20" t="n">
        <v>342</v>
      </c>
      <c r="E152" s="20" t="n">
        <v>9</v>
      </c>
      <c r="G152" s="20" t="n">
        <v>351</v>
      </c>
      <c r="J152" s="20" t="n">
        <v>44107</v>
      </c>
      <c r="K152" s="20" t="inlineStr">
        <is>
          <t>토</t>
        </is>
      </c>
      <c r="L152" s="20" t="n">
        <v>13314400</v>
      </c>
      <c r="M152" s="20" t="n">
        <v>18000</v>
      </c>
      <c r="O152" s="20" t="n">
        <v>13332400</v>
      </c>
    </row>
    <row r="153" ht="16.5" customHeight="1" s="17">
      <c r="B153" s="20" t="n">
        <v>44108</v>
      </c>
      <c r="C153" s="20" t="inlineStr">
        <is>
          <t>일</t>
        </is>
      </c>
      <c r="D153" s="20" t="n">
        <v>311</v>
      </c>
      <c r="E153" s="20" t="n">
        <v>4</v>
      </c>
      <c r="G153" s="20" t="n">
        <v>315</v>
      </c>
      <c r="J153" s="20" t="n">
        <v>44108</v>
      </c>
      <c r="K153" s="20" t="inlineStr">
        <is>
          <t>일</t>
        </is>
      </c>
      <c r="L153" s="20" t="n">
        <v>12409200</v>
      </c>
      <c r="M153" s="20" t="n">
        <v>8000</v>
      </c>
      <c r="O153" s="20" t="n">
        <v>12417200</v>
      </c>
    </row>
    <row r="154" ht="16.5" customHeight="1" s="17">
      <c r="B154" s="20" t="n">
        <v>44109</v>
      </c>
      <c r="C154" s="20" t="inlineStr">
        <is>
          <t>월</t>
        </is>
      </c>
      <c r="D154" s="20" t="n">
        <v>272</v>
      </c>
      <c r="E154" s="20" t="n">
        <v>6</v>
      </c>
      <c r="G154" s="20" t="n">
        <v>278</v>
      </c>
      <c r="J154" s="20" t="n">
        <v>44109</v>
      </c>
      <c r="K154" s="20" t="inlineStr">
        <is>
          <t>월</t>
        </is>
      </c>
      <c r="L154" s="20" t="n">
        <v>11008800</v>
      </c>
      <c r="M154" s="20" t="n">
        <v>12000</v>
      </c>
      <c r="O154" s="20" t="n">
        <v>11020800</v>
      </c>
    </row>
    <row r="155" ht="16.5" customHeight="1" s="17">
      <c r="B155" s="20" t="n">
        <v>44110</v>
      </c>
      <c r="C155" s="20" t="inlineStr">
        <is>
          <t>화</t>
        </is>
      </c>
      <c r="D155" s="20" t="n">
        <v>259</v>
      </c>
      <c r="E155" s="20" t="n">
        <v>6</v>
      </c>
      <c r="G155" s="20" t="n">
        <v>265</v>
      </c>
      <c r="J155" s="20" t="n">
        <v>44110</v>
      </c>
      <c r="K155" s="20" t="inlineStr">
        <is>
          <t>화</t>
        </is>
      </c>
      <c r="L155" s="20" t="n">
        <v>10740400</v>
      </c>
      <c r="M155" s="20" t="n">
        <v>12000</v>
      </c>
      <c r="O155" s="20" t="n">
        <v>10752400</v>
      </c>
    </row>
    <row r="156" ht="16.5" customHeight="1" s="17">
      <c r="B156" s="20" t="n">
        <v>44111</v>
      </c>
      <c r="C156" s="20" t="inlineStr">
        <is>
          <t>수</t>
        </is>
      </c>
      <c r="D156" s="20" t="n">
        <v>266</v>
      </c>
      <c r="E156" s="20" t="n">
        <v>4</v>
      </c>
      <c r="G156" s="20" t="n">
        <v>270</v>
      </c>
      <c r="J156" s="20" t="n">
        <v>44111</v>
      </c>
      <c r="K156" s="20" t="inlineStr">
        <is>
          <t>수</t>
        </is>
      </c>
      <c r="L156" s="20" t="n">
        <v>10940000</v>
      </c>
      <c r="M156" s="20" t="n">
        <v>8000</v>
      </c>
      <c r="O156" s="20" t="n">
        <v>10948000</v>
      </c>
    </row>
    <row r="157" ht="16.5" customHeight="1" s="17">
      <c r="B157" s="20" t="n">
        <v>44112</v>
      </c>
      <c r="C157" s="20" t="inlineStr">
        <is>
          <t>목</t>
        </is>
      </c>
      <c r="D157" s="20" t="n">
        <v>194</v>
      </c>
      <c r="E157" s="20" t="n">
        <v>4</v>
      </c>
      <c r="G157" s="20" t="n">
        <v>198</v>
      </c>
      <c r="J157" s="20" t="n">
        <v>44112</v>
      </c>
      <c r="K157" s="20" t="inlineStr">
        <is>
          <t>목</t>
        </is>
      </c>
      <c r="L157" s="20" t="n">
        <v>7860800</v>
      </c>
      <c r="M157" s="20" t="n">
        <v>8000</v>
      </c>
      <c r="O157" s="20" t="n">
        <v>7868800</v>
      </c>
    </row>
    <row r="158" ht="16.5" customHeight="1" s="17">
      <c r="B158" s="20" t="n">
        <v>44113</v>
      </c>
      <c r="C158" s="20" t="inlineStr">
        <is>
          <t>금</t>
        </is>
      </c>
      <c r="D158" s="20" t="n">
        <v>273</v>
      </c>
      <c r="E158" s="20" t="n">
        <v>5</v>
      </c>
      <c r="G158" s="20" t="n">
        <v>278</v>
      </c>
      <c r="J158" s="20" t="n">
        <v>44113</v>
      </c>
      <c r="K158" s="20" t="inlineStr">
        <is>
          <t>금</t>
        </is>
      </c>
      <c r="L158" s="20" t="n">
        <v>11018000</v>
      </c>
      <c r="M158" s="20" t="n">
        <v>10000</v>
      </c>
      <c r="O158" s="20" t="n">
        <v>11028000</v>
      </c>
    </row>
    <row r="159" ht="16.5" customHeight="1" s="17">
      <c r="B159" s="20" t="n">
        <v>44114</v>
      </c>
      <c r="C159" s="20" t="inlineStr">
        <is>
          <t>토</t>
        </is>
      </c>
      <c r="D159" s="20" t="n">
        <v>279</v>
      </c>
      <c r="E159" s="20" t="n">
        <v>4</v>
      </c>
      <c r="G159" s="20" t="n">
        <v>283</v>
      </c>
      <c r="J159" s="20" t="n">
        <v>44114</v>
      </c>
      <c r="K159" s="20" t="inlineStr">
        <is>
          <t>토</t>
        </is>
      </c>
      <c r="L159" s="20" t="n">
        <v>11122800</v>
      </c>
      <c r="M159" s="20" t="n">
        <v>8000</v>
      </c>
      <c r="O159" s="20" t="n">
        <v>11130800</v>
      </c>
    </row>
    <row r="160" ht="16.5" customHeight="1" s="17">
      <c r="B160" s="20" t="n">
        <v>44115</v>
      </c>
      <c r="C160" s="20" t="inlineStr">
        <is>
          <t>일</t>
        </is>
      </c>
      <c r="D160" s="20" t="n">
        <v>331</v>
      </c>
      <c r="E160" s="20" t="n">
        <v>10</v>
      </c>
      <c r="G160" s="20" t="n">
        <v>341</v>
      </c>
      <c r="J160" s="20" t="n">
        <v>44115</v>
      </c>
      <c r="K160" s="20" t="inlineStr">
        <is>
          <t>일</t>
        </is>
      </c>
      <c r="L160" s="20" t="n">
        <v>13014800</v>
      </c>
      <c r="M160" s="20" t="n">
        <v>20000</v>
      </c>
      <c r="O160" s="20" t="n">
        <v>13034800</v>
      </c>
    </row>
    <row r="161" ht="16.5" customHeight="1" s="17">
      <c r="B161" s="20" t="n">
        <v>44116</v>
      </c>
      <c r="C161" s="20" t="inlineStr">
        <is>
          <t>월</t>
        </is>
      </c>
      <c r="D161" s="20" t="n">
        <v>271</v>
      </c>
      <c r="E161" s="20" t="n">
        <v>5</v>
      </c>
      <c r="G161" s="20" t="n">
        <v>276</v>
      </c>
      <c r="J161" s="20" t="n">
        <v>44116</v>
      </c>
      <c r="K161" s="20" t="inlineStr">
        <is>
          <t>월</t>
        </is>
      </c>
      <c r="L161" s="20" t="n">
        <v>10850800</v>
      </c>
      <c r="M161" s="20" t="n">
        <v>10000</v>
      </c>
      <c r="O161" s="20" t="n">
        <v>10860800</v>
      </c>
    </row>
    <row r="162" ht="16.5" customHeight="1" s="17">
      <c r="B162" s="20" t="n">
        <v>44117</v>
      </c>
      <c r="C162" s="20" t="inlineStr">
        <is>
          <t>화</t>
        </is>
      </c>
      <c r="D162" s="20" t="n">
        <v>289</v>
      </c>
      <c r="E162" s="20" t="n">
        <v>8</v>
      </c>
      <c r="G162" s="20" t="n">
        <v>297</v>
      </c>
      <c r="J162" s="20" t="n">
        <v>44117</v>
      </c>
      <c r="K162" s="20" t="inlineStr">
        <is>
          <t>화</t>
        </is>
      </c>
      <c r="L162" s="20" t="n">
        <v>11487600</v>
      </c>
      <c r="M162" s="20" t="n">
        <v>16000</v>
      </c>
      <c r="O162" s="20" t="n">
        <v>11503600</v>
      </c>
    </row>
    <row r="163" ht="16.5" customHeight="1" s="17">
      <c r="B163" s="20" t="n">
        <v>44118</v>
      </c>
      <c r="C163" s="20" t="inlineStr">
        <is>
          <t>수</t>
        </is>
      </c>
      <c r="D163" s="20" t="n">
        <v>318</v>
      </c>
      <c r="E163" s="20" t="n">
        <v>4</v>
      </c>
      <c r="G163" s="20" t="n">
        <v>322</v>
      </c>
      <c r="J163" s="20" t="n">
        <v>44118</v>
      </c>
      <c r="K163" s="20" t="inlineStr">
        <is>
          <t>수</t>
        </is>
      </c>
      <c r="L163" s="20" t="n">
        <v>12523200</v>
      </c>
      <c r="M163" s="20" t="n">
        <v>8000</v>
      </c>
      <c r="O163" s="20" t="n">
        <v>12531200</v>
      </c>
    </row>
    <row r="164" ht="16.5" customHeight="1" s="17">
      <c r="B164" s="20" t="n">
        <v>44119</v>
      </c>
      <c r="C164" s="20" t="inlineStr">
        <is>
          <t>목</t>
        </is>
      </c>
      <c r="D164" s="20" t="n">
        <v>279</v>
      </c>
      <c r="E164" s="20" t="n">
        <v>6</v>
      </c>
      <c r="G164" s="20" t="n">
        <v>285</v>
      </c>
      <c r="J164" s="20" t="n">
        <v>44119</v>
      </c>
      <c r="K164" s="20" t="inlineStr">
        <is>
          <t>목</t>
        </is>
      </c>
      <c r="L164" s="20" t="n">
        <v>11467600</v>
      </c>
      <c r="M164" s="20" t="n">
        <v>12000</v>
      </c>
      <c r="O164" s="20" t="n">
        <v>11479600</v>
      </c>
    </row>
    <row r="165" ht="16.5" customHeight="1" s="17">
      <c r="B165" s="20" t="n">
        <v>44120</v>
      </c>
      <c r="C165" s="20" t="inlineStr">
        <is>
          <t>금</t>
        </is>
      </c>
      <c r="D165" s="20" t="n">
        <v>264</v>
      </c>
      <c r="E165" s="20" t="n">
        <v>6</v>
      </c>
      <c r="G165" s="20" t="n">
        <v>270</v>
      </c>
      <c r="J165" s="20" t="n">
        <v>44120</v>
      </c>
      <c r="K165" s="20" t="inlineStr">
        <is>
          <t>금</t>
        </is>
      </c>
      <c r="L165" s="20" t="n">
        <v>10786400</v>
      </c>
      <c r="M165" s="20" t="n">
        <v>12000</v>
      </c>
      <c r="O165" s="20" t="n">
        <v>10798400</v>
      </c>
    </row>
    <row r="166" ht="16.5" customHeight="1" s="17">
      <c r="B166" s="20" t="n">
        <v>44121</v>
      </c>
      <c r="C166" s="20" t="inlineStr">
        <is>
          <t>토</t>
        </is>
      </c>
      <c r="D166" s="20" t="n">
        <v>325</v>
      </c>
      <c r="E166" s="20" t="n">
        <v>4</v>
      </c>
      <c r="G166" s="20" t="n">
        <v>329</v>
      </c>
      <c r="J166" s="20" t="n">
        <v>44121</v>
      </c>
      <c r="K166" s="20" t="inlineStr">
        <is>
          <t>토</t>
        </is>
      </c>
      <c r="L166" s="20" t="n">
        <v>13133200</v>
      </c>
      <c r="M166" s="20" t="n">
        <v>8000</v>
      </c>
      <c r="O166" s="20" t="n">
        <v>13141200</v>
      </c>
    </row>
    <row r="167" ht="16.5" customHeight="1" s="17">
      <c r="B167" s="20" t="n">
        <v>44122</v>
      </c>
      <c r="C167" s="20" t="inlineStr">
        <is>
          <t>일</t>
        </is>
      </c>
      <c r="D167" s="20" t="n">
        <v>304</v>
      </c>
      <c r="E167" s="20" t="n">
        <v>7</v>
      </c>
      <c r="G167" s="20" t="n">
        <v>311</v>
      </c>
      <c r="J167" s="20" t="n">
        <v>44122</v>
      </c>
      <c r="K167" s="20" t="inlineStr">
        <is>
          <t>일</t>
        </is>
      </c>
      <c r="L167" s="20" t="n">
        <v>12369600</v>
      </c>
      <c r="M167" s="20" t="n">
        <v>14000</v>
      </c>
      <c r="O167" s="20" t="n">
        <v>12383600</v>
      </c>
    </row>
    <row r="168" ht="16.5" customHeight="1" s="17">
      <c r="B168" s="20" t="n">
        <v>44123</v>
      </c>
      <c r="C168" s="20" t="inlineStr">
        <is>
          <t>월</t>
        </is>
      </c>
      <c r="D168" s="20" t="n">
        <v>295</v>
      </c>
      <c r="E168" s="20" t="n">
        <v>5</v>
      </c>
      <c r="G168" s="20" t="n">
        <v>300</v>
      </c>
      <c r="J168" s="20" t="n">
        <v>44123</v>
      </c>
      <c r="K168" s="20" t="inlineStr">
        <is>
          <t>월</t>
        </is>
      </c>
      <c r="L168" s="20" t="n">
        <v>11666800</v>
      </c>
      <c r="M168" s="20" t="n">
        <v>10000</v>
      </c>
      <c r="O168" s="20" t="n">
        <v>11676800</v>
      </c>
    </row>
    <row r="169" ht="16.5" customHeight="1" s="17">
      <c r="B169" s="20" t="n">
        <v>44124</v>
      </c>
      <c r="C169" s="20" t="inlineStr">
        <is>
          <t>화</t>
        </is>
      </c>
      <c r="D169" s="20" t="n">
        <v>299</v>
      </c>
      <c r="E169" s="20" t="n">
        <v>7</v>
      </c>
      <c r="G169" s="20" t="n">
        <v>306</v>
      </c>
      <c r="J169" s="20" t="n">
        <v>44124</v>
      </c>
      <c r="K169" s="20" t="inlineStr">
        <is>
          <t>화</t>
        </is>
      </c>
      <c r="L169" s="20" t="n">
        <v>11926800</v>
      </c>
      <c r="M169" s="20" t="n">
        <v>14000</v>
      </c>
      <c r="O169" s="20" t="n">
        <v>11940800</v>
      </c>
    </row>
    <row r="170" ht="16.5" customHeight="1" s="17">
      <c r="B170" s="20" t="n">
        <v>44125</v>
      </c>
      <c r="C170" s="20" t="inlineStr">
        <is>
          <t>수</t>
        </is>
      </c>
      <c r="D170" s="20" t="n">
        <v>281</v>
      </c>
      <c r="E170" s="20" t="n">
        <v>5</v>
      </c>
      <c r="G170" s="20" t="n">
        <v>286</v>
      </c>
      <c r="J170" s="20" t="n">
        <v>44125</v>
      </c>
      <c r="K170" s="20" t="inlineStr">
        <is>
          <t>수</t>
        </is>
      </c>
      <c r="L170" s="20" t="n">
        <v>11463600</v>
      </c>
      <c r="M170" s="20" t="n">
        <v>10000</v>
      </c>
      <c r="O170" s="20" t="n">
        <v>11473600</v>
      </c>
    </row>
    <row r="171" ht="16.5" customHeight="1" s="17">
      <c r="B171" s="20" t="n">
        <v>44126</v>
      </c>
      <c r="C171" s="20" t="inlineStr">
        <is>
          <t>목</t>
        </is>
      </c>
      <c r="D171" s="20" t="n">
        <v>308</v>
      </c>
      <c r="E171" s="20" t="n">
        <v>3</v>
      </c>
      <c r="G171" s="20" t="n">
        <v>311</v>
      </c>
      <c r="J171" s="20" t="n">
        <v>44126</v>
      </c>
      <c r="K171" s="20" t="inlineStr">
        <is>
          <t>목</t>
        </is>
      </c>
      <c r="L171" s="20" t="n">
        <v>12679200</v>
      </c>
      <c r="M171" s="20" t="n">
        <v>6000</v>
      </c>
      <c r="O171" s="20" t="n">
        <v>12685200</v>
      </c>
    </row>
    <row r="172" ht="16.5" customHeight="1" s="17">
      <c r="B172" s="20" t="n">
        <v>44127</v>
      </c>
      <c r="C172" s="20" t="inlineStr">
        <is>
          <t>금</t>
        </is>
      </c>
      <c r="D172" s="20" t="n">
        <v>302</v>
      </c>
      <c r="E172" s="20" t="n">
        <v>9</v>
      </c>
      <c r="G172" s="20" t="n">
        <v>311</v>
      </c>
      <c r="J172" s="20" t="n">
        <v>44127</v>
      </c>
      <c r="K172" s="20" t="inlineStr">
        <is>
          <t>금</t>
        </is>
      </c>
      <c r="L172" s="20" t="n">
        <v>12152800</v>
      </c>
      <c r="M172" s="20" t="n">
        <v>18000</v>
      </c>
      <c r="O172" s="20" t="n">
        <v>12170800</v>
      </c>
    </row>
    <row r="173" ht="16.5" customHeight="1" s="17">
      <c r="B173" s="20" t="n">
        <v>44128</v>
      </c>
      <c r="C173" s="20" t="inlineStr">
        <is>
          <t>토</t>
        </is>
      </c>
      <c r="D173" s="20" t="n">
        <v>311</v>
      </c>
      <c r="E173" s="20" t="n">
        <v>10</v>
      </c>
      <c r="G173" s="20" t="n">
        <v>321</v>
      </c>
      <c r="J173" s="20" t="n">
        <v>44128</v>
      </c>
      <c r="K173" s="20" t="inlineStr">
        <is>
          <t>토</t>
        </is>
      </c>
      <c r="L173" s="20" t="n">
        <v>12632400</v>
      </c>
      <c r="M173" s="20" t="n">
        <v>20000</v>
      </c>
      <c r="O173" s="20" t="n">
        <v>12652400</v>
      </c>
    </row>
    <row r="174" ht="16.5" customHeight="1" s="17">
      <c r="B174" s="20" t="n">
        <v>44129</v>
      </c>
      <c r="C174" s="20" t="inlineStr">
        <is>
          <t>일</t>
        </is>
      </c>
      <c r="D174" s="20" t="n">
        <v>315</v>
      </c>
      <c r="E174" s="20" t="n">
        <v>9</v>
      </c>
      <c r="G174" s="20" t="n">
        <v>324</v>
      </c>
      <c r="J174" s="20" t="n">
        <v>44129</v>
      </c>
      <c r="K174" s="20" t="inlineStr">
        <is>
          <t>일</t>
        </is>
      </c>
      <c r="L174" s="20" t="n">
        <v>12619600</v>
      </c>
      <c r="M174" s="20" t="n">
        <v>18000</v>
      </c>
      <c r="O174" s="20" t="n">
        <v>12637600</v>
      </c>
    </row>
    <row r="175" ht="16.5" customHeight="1" s="17">
      <c r="B175" s="20" t="n">
        <v>44130</v>
      </c>
      <c r="C175" s="20" t="inlineStr">
        <is>
          <t>월</t>
        </is>
      </c>
      <c r="D175" s="20" t="n">
        <v>311</v>
      </c>
      <c r="E175" s="20" t="n">
        <v>7</v>
      </c>
      <c r="G175" s="20" t="n">
        <v>318</v>
      </c>
      <c r="J175" s="20" t="n">
        <v>44130</v>
      </c>
      <c r="K175" s="20" t="inlineStr">
        <is>
          <t>월</t>
        </is>
      </c>
      <c r="L175" s="20" t="n">
        <v>12558000</v>
      </c>
      <c r="M175" s="20" t="n">
        <v>14000</v>
      </c>
      <c r="O175" s="20" t="n">
        <v>12572000</v>
      </c>
    </row>
    <row r="176" ht="16.5" customHeight="1" s="17">
      <c r="B176" s="20" t="n">
        <v>44131</v>
      </c>
      <c r="C176" s="20" t="inlineStr">
        <is>
          <t>화</t>
        </is>
      </c>
      <c r="D176" s="20" t="n">
        <v>293</v>
      </c>
      <c r="E176" s="20" t="n">
        <v>3</v>
      </c>
      <c r="G176" s="20" t="n">
        <v>296</v>
      </c>
      <c r="J176" s="20" t="n">
        <v>44131</v>
      </c>
      <c r="K176" s="20" t="inlineStr">
        <is>
          <t>화</t>
        </is>
      </c>
      <c r="L176" s="20" t="n">
        <v>11772400</v>
      </c>
      <c r="M176" s="20" t="n">
        <v>6000</v>
      </c>
      <c r="O176" s="20" t="n">
        <v>11778400</v>
      </c>
    </row>
    <row r="177" ht="16.5" customHeight="1" s="17">
      <c r="B177" s="20" t="n">
        <v>44132</v>
      </c>
      <c r="C177" s="20" t="inlineStr">
        <is>
          <t>수</t>
        </is>
      </c>
      <c r="D177" s="20" t="n">
        <v>339</v>
      </c>
      <c r="E177" s="20" t="n">
        <v>6</v>
      </c>
      <c r="G177" s="20" t="n">
        <v>345</v>
      </c>
      <c r="J177" s="20" t="n">
        <v>44132</v>
      </c>
      <c r="K177" s="20" t="inlineStr">
        <is>
          <t>수</t>
        </is>
      </c>
      <c r="L177" s="20" t="n">
        <v>13670000</v>
      </c>
      <c r="M177" s="20" t="n">
        <v>12000</v>
      </c>
      <c r="O177" s="20" t="n">
        <v>13682000</v>
      </c>
    </row>
    <row r="178" ht="16.5" customHeight="1" s="17">
      <c r="B178" s="20" t="n">
        <v>44133</v>
      </c>
      <c r="C178" s="20" t="inlineStr">
        <is>
          <t>목</t>
        </is>
      </c>
      <c r="D178" s="20" t="n">
        <v>294</v>
      </c>
      <c r="E178" s="20" t="n">
        <v>7</v>
      </c>
      <c r="G178" s="20" t="n">
        <v>301</v>
      </c>
      <c r="J178" s="20" t="n">
        <v>44133</v>
      </c>
      <c r="K178" s="20" t="inlineStr">
        <is>
          <t>목</t>
        </is>
      </c>
      <c r="L178" s="20" t="n">
        <v>11916800</v>
      </c>
      <c r="M178" s="20" t="n">
        <v>14000</v>
      </c>
      <c r="O178" s="20" t="n">
        <v>11930800</v>
      </c>
    </row>
    <row r="179" ht="16.5" customHeight="1" s="17">
      <c r="B179" s="20" t="n">
        <v>44134</v>
      </c>
      <c r="C179" s="20" t="inlineStr">
        <is>
          <t>금</t>
        </is>
      </c>
      <c r="D179" s="20" t="n">
        <v>273</v>
      </c>
      <c r="E179" s="20" t="n">
        <v>1</v>
      </c>
      <c r="G179" s="20" t="n">
        <v>274</v>
      </c>
      <c r="J179" s="20" t="n">
        <v>44134</v>
      </c>
      <c r="K179" s="20" t="inlineStr">
        <is>
          <t>금</t>
        </is>
      </c>
      <c r="L179" s="20" t="n">
        <v>10943600</v>
      </c>
      <c r="M179" s="20" t="n">
        <v>2000</v>
      </c>
      <c r="O179" s="20" t="n">
        <v>10945600</v>
      </c>
    </row>
    <row r="180" ht="16.5" customHeight="1" s="17">
      <c r="B180" s="20" t="n">
        <v>44135</v>
      </c>
      <c r="C180" s="20" t="inlineStr">
        <is>
          <t>토</t>
        </is>
      </c>
      <c r="D180" s="20" t="n">
        <v>322</v>
      </c>
      <c r="E180" s="20" t="n">
        <v>8</v>
      </c>
      <c r="G180" s="20" t="n">
        <v>330</v>
      </c>
      <c r="J180" s="20" t="n">
        <v>44135</v>
      </c>
      <c r="K180" s="20" t="inlineStr">
        <is>
          <t>토</t>
        </is>
      </c>
      <c r="L180" s="20" t="n">
        <v>12857600</v>
      </c>
      <c r="M180" s="20" t="n">
        <v>16000</v>
      </c>
      <c r="O180" s="20" t="n">
        <v>12873600</v>
      </c>
    </row>
    <row r="181" ht="16.5" customHeight="1" s="17">
      <c r="B181" s="20" t="n">
        <v>44136</v>
      </c>
      <c r="C181" s="20" t="inlineStr">
        <is>
          <t>일</t>
        </is>
      </c>
      <c r="D181" s="20" t="n">
        <v>377</v>
      </c>
      <c r="E181" s="20" t="n">
        <v>7</v>
      </c>
      <c r="G181" s="20" t="n">
        <v>384</v>
      </c>
      <c r="J181" s="20" t="n">
        <v>44136</v>
      </c>
      <c r="K181" s="20" t="inlineStr">
        <is>
          <t>일</t>
        </is>
      </c>
      <c r="L181" s="20" t="n">
        <v>14926000</v>
      </c>
      <c r="M181" s="20" t="n">
        <v>14000</v>
      </c>
      <c r="O181" s="20" t="n">
        <v>14940000</v>
      </c>
    </row>
    <row r="182" ht="16.5" customHeight="1" s="17">
      <c r="B182" s="20" t="n">
        <v>44137</v>
      </c>
      <c r="C182" s="20" t="inlineStr">
        <is>
          <t>월</t>
        </is>
      </c>
      <c r="D182" s="20" t="n">
        <v>354</v>
      </c>
      <c r="E182" s="20" t="n">
        <v>10</v>
      </c>
      <c r="G182" s="20" t="n">
        <v>364</v>
      </c>
      <c r="J182" s="20" t="n">
        <v>44137</v>
      </c>
      <c r="K182" s="20" t="inlineStr">
        <is>
          <t>월</t>
        </is>
      </c>
      <c r="L182" s="20" t="n">
        <v>14119200</v>
      </c>
      <c r="M182" s="20" t="n">
        <v>20000</v>
      </c>
      <c r="O182" s="20" t="n">
        <v>14139200</v>
      </c>
    </row>
    <row r="183" ht="16.5" customHeight="1" s="17">
      <c r="B183" s="20" t="n">
        <v>44138</v>
      </c>
      <c r="C183" s="20" t="inlineStr">
        <is>
          <t>화</t>
        </is>
      </c>
      <c r="D183" s="20" t="n">
        <v>382</v>
      </c>
      <c r="E183" s="20" t="n">
        <v>6</v>
      </c>
      <c r="G183" s="20" t="n">
        <v>388</v>
      </c>
      <c r="J183" s="20" t="n">
        <v>44138</v>
      </c>
      <c r="K183" s="20" t="inlineStr">
        <is>
          <t>화</t>
        </is>
      </c>
      <c r="L183" s="20" t="n">
        <v>15691200</v>
      </c>
      <c r="M183" s="20" t="n">
        <v>12000</v>
      </c>
      <c r="O183" s="20" t="n">
        <v>15703200</v>
      </c>
    </row>
    <row r="184" ht="16.5" customHeight="1" s="17">
      <c r="B184" s="20" t="n">
        <v>44139</v>
      </c>
      <c r="C184" s="20" t="inlineStr">
        <is>
          <t>수</t>
        </is>
      </c>
      <c r="D184" s="20" t="n">
        <v>354</v>
      </c>
      <c r="E184" s="20" t="n">
        <v>9</v>
      </c>
      <c r="G184" s="20" t="n">
        <v>363</v>
      </c>
      <c r="J184" s="20" t="n">
        <v>44139</v>
      </c>
      <c r="K184" s="20" t="inlineStr">
        <is>
          <t>수</t>
        </is>
      </c>
      <c r="L184" s="20" t="n">
        <v>14292800</v>
      </c>
      <c r="M184" s="20" t="n">
        <v>18000</v>
      </c>
      <c r="O184" s="20" t="n">
        <v>14310800</v>
      </c>
    </row>
    <row r="185" ht="16.5" customHeight="1" s="17">
      <c r="B185" s="20" t="n">
        <v>44140</v>
      </c>
      <c r="C185" s="20" t="inlineStr">
        <is>
          <t>목</t>
        </is>
      </c>
      <c r="D185" s="20" t="n">
        <v>337</v>
      </c>
      <c r="E185" s="20" t="n">
        <v>2</v>
      </c>
      <c r="G185" s="20" t="n">
        <v>339</v>
      </c>
      <c r="J185" s="20" t="n">
        <v>44140</v>
      </c>
      <c r="K185" s="20" t="inlineStr">
        <is>
          <t>목</t>
        </is>
      </c>
      <c r="L185" s="20" t="n">
        <v>13392400</v>
      </c>
      <c r="M185" s="20" t="n">
        <v>4000</v>
      </c>
      <c r="O185" s="20" t="n">
        <v>13396400</v>
      </c>
    </row>
    <row r="186" ht="16.5" customHeight="1" s="17">
      <c r="B186" s="20" t="n">
        <v>44141</v>
      </c>
      <c r="C186" s="20" t="inlineStr">
        <is>
          <t>금</t>
        </is>
      </c>
      <c r="D186" s="20" t="n">
        <v>329</v>
      </c>
      <c r="E186" s="20" t="n">
        <v>7</v>
      </c>
      <c r="G186" s="20" t="n">
        <v>336</v>
      </c>
      <c r="J186" s="20" t="n">
        <v>44141</v>
      </c>
      <c r="K186" s="20" t="inlineStr">
        <is>
          <t>금</t>
        </is>
      </c>
      <c r="L186" s="20" t="n">
        <v>13591600</v>
      </c>
      <c r="M186" s="20" t="n">
        <v>14000</v>
      </c>
      <c r="O186" s="20" t="n">
        <v>13605600</v>
      </c>
    </row>
    <row r="187" ht="16.5" customHeight="1" s="17">
      <c r="B187" s="20" t="n">
        <v>44142</v>
      </c>
      <c r="C187" s="20" t="inlineStr">
        <is>
          <t>토</t>
        </is>
      </c>
      <c r="D187" s="20" t="n">
        <v>382</v>
      </c>
      <c r="E187" s="20" t="n">
        <v>8</v>
      </c>
      <c r="G187" s="20" t="n">
        <v>390</v>
      </c>
      <c r="J187" s="20" t="n">
        <v>44142</v>
      </c>
      <c r="K187" s="20" t="inlineStr">
        <is>
          <t>토</t>
        </is>
      </c>
      <c r="L187" s="20" t="n">
        <v>15517600</v>
      </c>
      <c r="M187" s="20" t="n">
        <v>16000</v>
      </c>
      <c r="O187" s="20" t="n">
        <v>15533600</v>
      </c>
    </row>
    <row r="188" ht="16.5" customHeight="1" s="17">
      <c r="B188" s="20" t="n">
        <v>44143</v>
      </c>
      <c r="C188" s="20" t="inlineStr">
        <is>
          <t>일</t>
        </is>
      </c>
      <c r="D188" s="20" t="n">
        <v>354</v>
      </c>
      <c r="E188" s="20" t="n">
        <v>9</v>
      </c>
      <c r="G188" s="20" t="n">
        <v>363</v>
      </c>
      <c r="J188" s="20" t="n">
        <v>44143</v>
      </c>
      <c r="K188" s="20" t="inlineStr">
        <is>
          <t>일</t>
        </is>
      </c>
      <c r="L188" s="20" t="n">
        <v>14477600</v>
      </c>
      <c r="M188" s="20" t="n">
        <v>18000</v>
      </c>
      <c r="O188" s="20" t="n">
        <v>14495600</v>
      </c>
    </row>
    <row r="189" ht="16.5" customHeight="1" s="17">
      <c r="B189" s="20" t="n">
        <v>44144</v>
      </c>
      <c r="C189" s="20" t="inlineStr">
        <is>
          <t>월</t>
        </is>
      </c>
      <c r="D189" s="20" t="n">
        <v>307</v>
      </c>
      <c r="E189" s="20" t="n">
        <v>3</v>
      </c>
      <c r="G189" s="20" t="n">
        <v>310</v>
      </c>
      <c r="J189" s="20" t="n">
        <v>44144</v>
      </c>
      <c r="K189" s="20" t="inlineStr">
        <is>
          <t>월</t>
        </is>
      </c>
      <c r="L189" s="20" t="n">
        <v>12174000</v>
      </c>
      <c r="M189" s="20" t="n">
        <v>6000</v>
      </c>
      <c r="O189" s="20" t="n">
        <v>12180000</v>
      </c>
    </row>
    <row r="190" ht="16.5" customHeight="1" s="17">
      <c r="B190" s="20" t="n">
        <v>44145</v>
      </c>
      <c r="C190" s="20" t="inlineStr">
        <is>
          <t>화</t>
        </is>
      </c>
      <c r="D190" s="20" t="n">
        <v>347</v>
      </c>
      <c r="E190" s="20" t="n">
        <v>12</v>
      </c>
      <c r="G190" s="20" t="n">
        <v>359</v>
      </c>
      <c r="J190" s="20" t="n">
        <v>44145</v>
      </c>
      <c r="K190" s="20" t="inlineStr">
        <is>
          <t>화</t>
        </is>
      </c>
      <c r="L190" s="20" t="n">
        <v>14214800</v>
      </c>
      <c r="M190" s="20" t="n">
        <v>24000</v>
      </c>
      <c r="O190" s="20" t="n">
        <v>14238800</v>
      </c>
    </row>
    <row r="191" ht="16.5" customHeight="1" s="17">
      <c r="B191" s="20" t="n">
        <v>44146</v>
      </c>
      <c r="C191" s="20" t="inlineStr">
        <is>
          <t>수</t>
        </is>
      </c>
      <c r="D191" s="20" t="n">
        <v>413</v>
      </c>
      <c r="E191" s="20" t="n">
        <v>7</v>
      </c>
      <c r="G191" s="20" t="n">
        <v>420</v>
      </c>
      <c r="J191" s="20" t="n">
        <v>44146</v>
      </c>
      <c r="K191" s="20" t="inlineStr">
        <is>
          <t>수</t>
        </is>
      </c>
      <c r="L191" s="20" t="n">
        <v>16968400</v>
      </c>
      <c r="M191" s="20" t="n">
        <v>14000</v>
      </c>
      <c r="O191" s="20" t="n">
        <v>16982400</v>
      </c>
    </row>
    <row r="192" ht="16.5" customHeight="1" s="17">
      <c r="B192" s="20" t="n">
        <v>44147</v>
      </c>
      <c r="C192" s="20" t="inlineStr">
        <is>
          <t>목</t>
        </is>
      </c>
      <c r="D192" s="20" t="n">
        <v>364</v>
      </c>
      <c r="E192" s="20" t="n">
        <v>8</v>
      </c>
      <c r="G192" s="20" t="n">
        <v>372</v>
      </c>
      <c r="J192" s="20" t="n">
        <v>44147</v>
      </c>
      <c r="K192" s="20" t="inlineStr">
        <is>
          <t>목</t>
        </is>
      </c>
      <c r="L192" s="20" t="n">
        <v>14781600</v>
      </c>
      <c r="M192" s="20" t="n">
        <v>16000</v>
      </c>
      <c r="O192" s="20" t="n">
        <v>14797600</v>
      </c>
    </row>
    <row r="193" ht="16.5" customHeight="1" s="17">
      <c r="B193" s="20" t="n">
        <v>44148</v>
      </c>
      <c r="C193" s="20" t="inlineStr">
        <is>
          <t>금</t>
        </is>
      </c>
      <c r="D193" s="20" t="n">
        <v>333</v>
      </c>
      <c r="E193" s="20" t="n">
        <v>1</v>
      </c>
      <c r="G193" s="20" t="n">
        <v>334</v>
      </c>
      <c r="J193" s="20" t="n">
        <v>44148</v>
      </c>
      <c r="K193" s="20" t="inlineStr">
        <is>
          <t>금</t>
        </is>
      </c>
      <c r="L193" s="20" t="n">
        <v>13962000</v>
      </c>
      <c r="M193" s="20" t="n">
        <v>2000</v>
      </c>
      <c r="O193" s="20" t="n">
        <v>13964000</v>
      </c>
    </row>
    <row r="194" ht="16.5" customHeight="1" s="17">
      <c r="B194" s="20" t="n">
        <v>44149</v>
      </c>
      <c r="C194" s="20" t="inlineStr">
        <is>
          <t>토</t>
        </is>
      </c>
      <c r="D194" s="20" t="n">
        <v>413</v>
      </c>
      <c r="E194" s="20" t="n">
        <v>10</v>
      </c>
      <c r="G194" s="20" t="n">
        <v>423</v>
      </c>
      <c r="J194" s="20" t="n">
        <v>44149</v>
      </c>
      <c r="K194" s="20" t="inlineStr">
        <is>
          <t>토</t>
        </is>
      </c>
      <c r="L194" s="20" t="n">
        <v>16770000</v>
      </c>
      <c r="M194" s="20" t="n">
        <v>20000</v>
      </c>
      <c r="O194" s="20" t="n">
        <v>16790000</v>
      </c>
    </row>
    <row r="195" ht="16.5" customHeight="1" s="17">
      <c r="B195" s="20" t="n">
        <v>44150</v>
      </c>
      <c r="C195" s="20" t="inlineStr">
        <is>
          <t>일</t>
        </is>
      </c>
      <c r="D195" s="20" t="n">
        <v>288</v>
      </c>
      <c r="E195" s="20" t="n">
        <v>6</v>
      </c>
      <c r="G195" s="20" t="n">
        <v>294</v>
      </c>
      <c r="J195" s="20" t="n">
        <v>44150</v>
      </c>
      <c r="K195" s="20" t="inlineStr">
        <is>
          <t>일</t>
        </is>
      </c>
      <c r="L195" s="20" t="n">
        <v>11588800</v>
      </c>
      <c r="M195" s="20" t="n">
        <v>12000</v>
      </c>
      <c r="O195" s="20" t="n">
        <v>11600800</v>
      </c>
    </row>
    <row r="196" ht="16.5" customHeight="1" s="17">
      <c r="B196" s="20" t="n">
        <v>44151</v>
      </c>
      <c r="C196" s="20" t="inlineStr">
        <is>
          <t>월</t>
        </is>
      </c>
      <c r="D196" s="20" t="n">
        <v>231</v>
      </c>
      <c r="E196" s="20" t="n">
        <v>7</v>
      </c>
      <c r="G196" s="20" t="n">
        <v>238</v>
      </c>
      <c r="J196" s="20" t="n">
        <v>44151</v>
      </c>
      <c r="K196" s="20" t="inlineStr">
        <is>
          <t>월</t>
        </is>
      </c>
      <c r="L196" s="20" t="n">
        <v>9788400</v>
      </c>
      <c r="M196" s="20" t="n">
        <v>14000</v>
      </c>
      <c r="O196" s="20" t="n">
        <v>9802400</v>
      </c>
    </row>
    <row r="197" ht="16.5" customHeight="1" s="17">
      <c r="B197" s="20" t="n">
        <v>44152</v>
      </c>
      <c r="C197" s="20" t="inlineStr">
        <is>
          <t>화</t>
        </is>
      </c>
      <c r="D197" s="20" t="n">
        <v>306</v>
      </c>
      <c r="E197" s="20" t="n">
        <v>6</v>
      </c>
      <c r="G197" s="20" t="n">
        <v>312</v>
      </c>
      <c r="J197" s="20" t="n">
        <v>44152</v>
      </c>
      <c r="K197" s="20" t="inlineStr">
        <is>
          <t>화</t>
        </is>
      </c>
      <c r="L197" s="20" t="n">
        <v>12994400</v>
      </c>
      <c r="M197" s="20" t="n">
        <v>12000</v>
      </c>
      <c r="O197" s="20" t="n">
        <v>13006400</v>
      </c>
    </row>
    <row r="198" ht="16.5" customHeight="1" s="17">
      <c r="B198" s="20" t="n">
        <v>44153</v>
      </c>
      <c r="C198" s="20" t="inlineStr">
        <is>
          <t>수</t>
        </is>
      </c>
      <c r="D198" s="20" t="n">
        <v>260</v>
      </c>
      <c r="E198" s="20" t="n">
        <v>6</v>
      </c>
      <c r="G198" s="20" t="n">
        <v>266</v>
      </c>
      <c r="J198" s="20" t="n">
        <v>44153</v>
      </c>
      <c r="K198" s="20" t="inlineStr">
        <is>
          <t>수</t>
        </is>
      </c>
      <c r="L198" s="20" t="n">
        <v>11182400</v>
      </c>
      <c r="M198" s="20" t="n">
        <v>12000</v>
      </c>
      <c r="O198" s="20" t="n">
        <v>11194400</v>
      </c>
    </row>
    <row r="199" ht="16.5" customHeight="1" s="17">
      <c r="B199" s="20" t="n">
        <v>44154</v>
      </c>
      <c r="C199" s="20" t="inlineStr">
        <is>
          <t>목</t>
        </is>
      </c>
      <c r="D199" s="20" t="n">
        <v>266</v>
      </c>
      <c r="E199" s="20" t="n">
        <v>6</v>
      </c>
      <c r="G199" s="20" t="n">
        <v>272</v>
      </c>
      <c r="J199" s="20" t="n">
        <v>44154</v>
      </c>
      <c r="K199" s="20" t="inlineStr">
        <is>
          <t>목</t>
        </is>
      </c>
      <c r="L199" s="20" t="n">
        <v>11262400</v>
      </c>
      <c r="M199" s="20" t="n">
        <v>12000</v>
      </c>
      <c r="O199" s="20" t="n">
        <v>11274400</v>
      </c>
    </row>
    <row r="200" ht="16.5" customHeight="1" s="17">
      <c r="B200" s="20" t="n">
        <v>44155</v>
      </c>
      <c r="C200" s="20" t="inlineStr">
        <is>
          <t>금</t>
        </is>
      </c>
      <c r="D200" s="20" t="n">
        <v>274</v>
      </c>
      <c r="E200" s="20" t="n">
        <v>9</v>
      </c>
      <c r="G200" s="20" t="n">
        <v>283</v>
      </c>
      <c r="J200" s="20" t="n">
        <v>44155</v>
      </c>
      <c r="K200" s="20" t="inlineStr">
        <is>
          <t>금</t>
        </is>
      </c>
      <c r="L200" s="20" t="n">
        <v>11980800</v>
      </c>
      <c r="M200" s="20" t="n">
        <v>18000</v>
      </c>
      <c r="O200" s="20" t="n">
        <v>11998800</v>
      </c>
    </row>
    <row r="201" ht="16.5" customHeight="1" s="17">
      <c r="B201" s="20" t="n">
        <v>44156</v>
      </c>
      <c r="C201" s="20" t="inlineStr">
        <is>
          <t>토</t>
        </is>
      </c>
      <c r="D201" s="20" t="n">
        <v>326</v>
      </c>
      <c r="E201" s="20" t="n">
        <v>5</v>
      </c>
      <c r="G201" s="20" t="n">
        <v>331</v>
      </c>
      <c r="J201" s="20" t="n">
        <v>44156</v>
      </c>
      <c r="K201" s="20" t="inlineStr">
        <is>
          <t>토</t>
        </is>
      </c>
      <c r="L201" s="20" t="n">
        <v>13922400</v>
      </c>
      <c r="M201" s="20" t="n">
        <v>10000</v>
      </c>
      <c r="O201" s="20" t="n">
        <v>13932400</v>
      </c>
    </row>
    <row r="202" ht="16.5" customHeight="1" s="17">
      <c r="B202" s="20" t="n">
        <v>44157</v>
      </c>
      <c r="C202" s="20" t="inlineStr">
        <is>
          <t>일</t>
        </is>
      </c>
      <c r="D202" s="20" t="n">
        <v>326</v>
      </c>
      <c r="E202" s="20" t="n">
        <v>7</v>
      </c>
      <c r="G202" s="20" t="n">
        <v>333</v>
      </c>
      <c r="J202" s="20" t="n">
        <v>44157</v>
      </c>
      <c r="K202" s="20" t="inlineStr">
        <is>
          <t>일</t>
        </is>
      </c>
      <c r="L202" s="20" t="n">
        <v>14134400</v>
      </c>
      <c r="M202" s="20" t="n">
        <v>14000</v>
      </c>
      <c r="O202" s="20" t="n">
        <v>14148400</v>
      </c>
    </row>
    <row r="203" ht="16.5" customHeight="1" s="17">
      <c r="B203" s="20" t="n">
        <v>44158</v>
      </c>
      <c r="C203" s="20" t="inlineStr">
        <is>
          <t>월</t>
        </is>
      </c>
      <c r="D203" s="20" t="n">
        <v>203</v>
      </c>
      <c r="E203" s="20" t="n">
        <v>4</v>
      </c>
      <c r="G203" s="20" t="n">
        <v>207</v>
      </c>
      <c r="J203" s="20" t="n">
        <v>44158</v>
      </c>
      <c r="K203" s="20" t="inlineStr">
        <is>
          <t>월</t>
        </is>
      </c>
      <c r="L203" s="20" t="n">
        <v>8737200</v>
      </c>
      <c r="M203" s="20" t="n">
        <v>8000</v>
      </c>
      <c r="O203" s="20" t="n">
        <v>8745200</v>
      </c>
    </row>
    <row r="204" ht="16.5" customHeight="1" s="17">
      <c r="B204" s="20" t="n">
        <v>44159</v>
      </c>
      <c r="C204" s="20" t="inlineStr">
        <is>
          <t>화</t>
        </is>
      </c>
      <c r="D204" s="20" t="n">
        <v>205</v>
      </c>
      <c r="E204" s="20" t="n">
        <v>3</v>
      </c>
      <c r="G204" s="20" t="n">
        <v>208</v>
      </c>
      <c r="J204" s="20" t="n">
        <v>44159</v>
      </c>
      <c r="K204" s="20" t="inlineStr">
        <is>
          <t>화</t>
        </is>
      </c>
      <c r="L204" s="20" t="n">
        <v>8433200</v>
      </c>
      <c r="M204" s="20" t="n">
        <v>6000</v>
      </c>
      <c r="O204" s="20" t="n">
        <v>8439200</v>
      </c>
    </row>
    <row r="205" ht="16.5" customHeight="1" s="17">
      <c r="B205" s="20" t="n">
        <v>44160</v>
      </c>
      <c r="C205" s="20" t="inlineStr">
        <is>
          <t>수</t>
        </is>
      </c>
      <c r="D205" s="20" t="n">
        <v>194</v>
      </c>
      <c r="E205" s="20" t="n">
        <v>1</v>
      </c>
      <c r="G205" s="20" t="n">
        <v>195</v>
      </c>
      <c r="J205" s="20" t="n">
        <v>44160</v>
      </c>
      <c r="K205" s="20" t="inlineStr">
        <is>
          <t>수</t>
        </is>
      </c>
      <c r="L205" s="20" t="n">
        <v>8381600</v>
      </c>
      <c r="M205" s="20" t="n">
        <v>2000</v>
      </c>
      <c r="O205" s="20" t="n">
        <v>8383600</v>
      </c>
    </row>
    <row r="206" ht="16.5" customHeight="1" s="17">
      <c r="B206" s="20" t="n">
        <v>44161</v>
      </c>
      <c r="C206" s="20" t="inlineStr">
        <is>
          <t>목</t>
        </is>
      </c>
      <c r="D206" s="20" t="n">
        <v>194</v>
      </c>
      <c r="E206" s="20" t="n">
        <v>6</v>
      </c>
      <c r="G206" s="20" t="n">
        <v>200</v>
      </c>
      <c r="J206" s="20" t="n">
        <v>44161</v>
      </c>
      <c r="K206" s="20" t="inlineStr">
        <is>
          <t>목</t>
        </is>
      </c>
      <c r="L206" s="20" t="n">
        <v>7935200</v>
      </c>
      <c r="M206" s="20" t="n">
        <v>12000</v>
      </c>
      <c r="O206" s="20" t="n">
        <v>7947200</v>
      </c>
    </row>
    <row r="207" ht="16.5" customHeight="1" s="17">
      <c r="B207" s="20" t="n">
        <v>44162</v>
      </c>
      <c r="C207" s="20" t="inlineStr">
        <is>
          <t>금</t>
        </is>
      </c>
      <c r="D207" s="20" t="n">
        <v>210</v>
      </c>
      <c r="E207" s="20" t="n">
        <v>7</v>
      </c>
      <c r="G207" s="20" t="n">
        <v>217</v>
      </c>
      <c r="J207" s="20" t="n">
        <v>44162</v>
      </c>
      <c r="K207" s="20" t="inlineStr">
        <is>
          <t>금</t>
        </is>
      </c>
      <c r="L207" s="20" t="n">
        <v>8898400</v>
      </c>
      <c r="M207" s="20" t="n">
        <v>14000</v>
      </c>
      <c r="O207" s="20" t="n">
        <v>8912400</v>
      </c>
    </row>
    <row r="208" ht="16.5" customHeight="1" s="17">
      <c r="B208" s="20" t="n">
        <v>44163</v>
      </c>
      <c r="C208" s="20" t="inlineStr">
        <is>
          <t>토</t>
        </is>
      </c>
      <c r="D208" s="20" t="n">
        <v>239</v>
      </c>
      <c r="E208" s="20" t="n">
        <v>9</v>
      </c>
      <c r="G208" s="20" t="n">
        <v>248</v>
      </c>
      <c r="J208" s="20" t="n">
        <v>44163</v>
      </c>
      <c r="K208" s="20" t="inlineStr">
        <is>
          <t>토</t>
        </is>
      </c>
      <c r="L208" s="20" t="n">
        <v>10333200</v>
      </c>
      <c r="M208" s="20" t="n">
        <v>18000</v>
      </c>
      <c r="O208" s="20" t="n">
        <v>10351200</v>
      </c>
    </row>
    <row r="209" ht="16.5" customHeight="1" s="17">
      <c r="B209" s="20" t="n">
        <v>44164</v>
      </c>
      <c r="C209" s="20" t="inlineStr">
        <is>
          <t>일</t>
        </is>
      </c>
      <c r="D209" s="20" t="n">
        <v>274</v>
      </c>
      <c r="E209" s="20" t="n">
        <v>7</v>
      </c>
      <c r="G209" s="20" t="n">
        <v>281</v>
      </c>
      <c r="J209" s="20" t="n">
        <v>44164</v>
      </c>
      <c r="K209" s="20" t="inlineStr">
        <is>
          <t>일</t>
        </is>
      </c>
      <c r="L209" s="20" t="n">
        <v>12019200</v>
      </c>
      <c r="M209" s="20" t="n">
        <v>14000</v>
      </c>
      <c r="O209" s="20" t="n">
        <v>12033200</v>
      </c>
    </row>
    <row r="210" ht="16.5" customHeight="1" s="17">
      <c r="B210" s="20" t="n">
        <v>44165</v>
      </c>
      <c r="C210" s="20" t="inlineStr">
        <is>
          <t>월</t>
        </is>
      </c>
      <c r="D210" s="20" t="n">
        <v>212</v>
      </c>
      <c r="E210" s="20" t="n">
        <v>7</v>
      </c>
      <c r="G210" s="20" t="n">
        <v>219</v>
      </c>
      <c r="J210" s="20" t="n">
        <v>44165</v>
      </c>
      <c r="K210" s="20" t="inlineStr">
        <is>
          <t>월</t>
        </is>
      </c>
      <c r="L210" s="20" t="n">
        <v>9068000</v>
      </c>
      <c r="M210" s="20" t="n">
        <v>14000</v>
      </c>
      <c r="O210" s="20" t="n">
        <v>9082000</v>
      </c>
    </row>
    <row r="211" ht="16.5" customHeight="1" s="17">
      <c r="B211" s="20" t="n">
        <v>44166</v>
      </c>
      <c r="C211" s="20" t="inlineStr">
        <is>
          <t>화</t>
        </is>
      </c>
      <c r="D211" s="20" t="n">
        <v>292</v>
      </c>
      <c r="E211" s="20" t="n">
        <v>7</v>
      </c>
      <c r="G211" s="20" t="n">
        <v>299</v>
      </c>
      <c r="J211" s="20" t="n">
        <v>44166</v>
      </c>
      <c r="K211" s="20" t="inlineStr">
        <is>
          <t>화</t>
        </is>
      </c>
      <c r="L211" s="20" t="n">
        <v>12468800</v>
      </c>
      <c r="M211" s="20" t="n">
        <v>14000</v>
      </c>
      <c r="O211" s="20" t="n">
        <v>12482800</v>
      </c>
    </row>
    <row r="212" ht="16.5" customHeight="1" s="17">
      <c r="B212" s="20" t="n">
        <v>44167</v>
      </c>
      <c r="C212" s="20" t="inlineStr">
        <is>
          <t>수</t>
        </is>
      </c>
      <c r="D212" s="20" t="n">
        <v>329</v>
      </c>
      <c r="E212" s="20" t="n">
        <v>12</v>
      </c>
      <c r="G212" s="20" t="n">
        <v>341</v>
      </c>
      <c r="J212" s="20" t="n">
        <v>44167</v>
      </c>
      <c r="K212" s="20" t="inlineStr">
        <is>
          <t>수</t>
        </is>
      </c>
      <c r="L212" s="20" t="n">
        <v>15013200</v>
      </c>
      <c r="M212" s="20" t="n">
        <v>24000</v>
      </c>
      <c r="O212" s="20" t="n">
        <v>15037200</v>
      </c>
    </row>
    <row r="213" ht="16.5" customHeight="1" s="17">
      <c r="B213" s="20" t="n">
        <v>44168</v>
      </c>
      <c r="C213" s="20" t="inlineStr">
        <is>
          <t>목</t>
        </is>
      </c>
      <c r="D213" s="20" t="n">
        <v>1153</v>
      </c>
      <c r="E213" s="20" t="n">
        <v>32</v>
      </c>
      <c r="G213" s="20" t="n">
        <v>1185</v>
      </c>
      <c r="J213" s="20" t="n">
        <v>44168</v>
      </c>
      <c r="K213" s="20" t="inlineStr">
        <is>
          <t>목</t>
        </is>
      </c>
      <c r="L213" s="20" t="n">
        <v>52413200</v>
      </c>
      <c r="M213" s="20" t="n">
        <v>64000</v>
      </c>
      <c r="O213" s="20" t="n">
        <v>52477200</v>
      </c>
    </row>
    <row r="214" ht="16.5" customHeight="1" s="17">
      <c r="B214" s="20" t="n">
        <v>44169</v>
      </c>
      <c r="C214" s="20" t="inlineStr">
        <is>
          <t>금</t>
        </is>
      </c>
      <c r="D214" s="20" t="n">
        <v>247</v>
      </c>
      <c r="E214" s="20" t="n">
        <v>5</v>
      </c>
      <c r="G214" s="20" t="n">
        <v>252</v>
      </c>
      <c r="J214" s="20" t="n">
        <v>44169</v>
      </c>
      <c r="K214" s="20" t="inlineStr">
        <is>
          <t>금</t>
        </is>
      </c>
      <c r="L214" s="20" t="n">
        <v>10880400</v>
      </c>
      <c r="M214" s="20" t="n">
        <v>10000</v>
      </c>
      <c r="O214" s="20" t="n">
        <v>10890400</v>
      </c>
    </row>
    <row r="215" ht="16.5" customHeight="1" s="17">
      <c r="B215" s="20" t="n">
        <v>44170</v>
      </c>
      <c r="C215" s="20" t="inlineStr">
        <is>
          <t>토</t>
        </is>
      </c>
      <c r="D215" s="20" t="n">
        <v>286</v>
      </c>
      <c r="E215" s="20" t="n">
        <v>6</v>
      </c>
      <c r="G215" s="20" t="n">
        <v>292</v>
      </c>
      <c r="J215" s="20" t="n">
        <v>44170</v>
      </c>
      <c r="K215" s="20" t="inlineStr">
        <is>
          <t>토</t>
        </is>
      </c>
      <c r="L215" s="20" t="n">
        <v>13197400</v>
      </c>
      <c r="M215" s="20" t="n">
        <v>12000</v>
      </c>
      <c r="O215" s="20" t="n">
        <v>13209400</v>
      </c>
    </row>
    <row r="216" ht="16.5" customHeight="1" s="17">
      <c r="B216" s="20" t="n">
        <v>44171</v>
      </c>
      <c r="C216" s="20" t="inlineStr">
        <is>
          <t>일</t>
        </is>
      </c>
      <c r="D216" s="20" t="n">
        <v>307</v>
      </c>
      <c r="E216" s="20" t="n">
        <v>8</v>
      </c>
      <c r="G216" s="20" t="n">
        <v>315</v>
      </c>
      <c r="J216" s="20" t="n">
        <v>44171</v>
      </c>
      <c r="K216" s="20" t="inlineStr">
        <is>
          <t>일</t>
        </is>
      </c>
      <c r="L216" s="20" t="n">
        <v>14063400</v>
      </c>
      <c r="M216" s="20" t="n">
        <v>16000</v>
      </c>
      <c r="O216" s="20" t="n">
        <v>14079400</v>
      </c>
    </row>
    <row r="217" ht="16.5" customHeight="1" s="17">
      <c r="B217" s="20" t="n">
        <v>44172</v>
      </c>
      <c r="C217" s="20" t="inlineStr">
        <is>
          <t>월</t>
        </is>
      </c>
      <c r="D217" s="20" t="n">
        <v>505</v>
      </c>
      <c r="E217" s="20" t="n">
        <v>10</v>
      </c>
      <c r="G217" s="20" t="n">
        <v>515</v>
      </c>
      <c r="J217" s="20" t="n">
        <v>44172</v>
      </c>
      <c r="K217" s="20" t="inlineStr">
        <is>
          <t>월</t>
        </is>
      </c>
      <c r="L217" s="20" t="n">
        <v>22741200</v>
      </c>
      <c r="M217" s="20" t="n">
        <v>20000</v>
      </c>
      <c r="O217" s="20" t="n">
        <v>22761200</v>
      </c>
    </row>
    <row r="218" ht="16.5" customHeight="1" s="17">
      <c r="B218" s="20" t="n">
        <v>44173</v>
      </c>
      <c r="C218" s="20" t="inlineStr">
        <is>
          <t>화</t>
        </is>
      </c>
      <c r="D218" s="20" t="n">
        <v>241</v>
      </c>
      <c r="E218" s="20" t="n">
        <v>3</v>
      </c>
      <c r="G218" s="20" t="n">
        <v>244</v>
      </c>
      <c r="J218" s="20" t="n">
        <v>44173</v>
      </c>
      <c r="K218" s="20" t="inlineStr">
        <is>
          <t>화</t>
        </is>
      </c>
      <c r="L218" s="20" t="n">
        <v>11016600</v>
      </c>
      <c r="M218" s="20" t="n">
        <v>6000</v>
      </c>
      <c r="O218" s="20" t="n">
        <v>11022600</v>
      </c>
    </row>
    <row r="219" ht="16.5" customHeight="1" s="17">
      <c r="B219" s="20" t="n">
        <v>44174</v>
      </c>
      <c r="C219" s="20" t="inlineStr">
        <is>
          <t>수</t>
        </is>
      </c>
      <c r="D219" s="20" t="n">
        <v>236</v>
      </c>
      <c r="E219" s="20" t="n">
        <v>4</v>
      </c>
      <c r="G219" s="20" t="n">
        <v>240</v>
      </c>
      <c r="J219" s="20" t="n">
        <v>44174</v>
      </c>
      <c r="K219" s="20" t="inlineStr">
        <is>
          <t>수</t>
        </is>
      </c>
      <c r="L219" s="20" t="n">
        <v>10546800</v>
      </c>
      <c r="M219" s="20" t="n">
        <v>8000</v>
      </c>
      <c r="O219" s="20" t="n">
        <v>10554800</v>
      </c>
    </row>
    <row r="220" ht="16.5" customHeight="1" s="17">
      <c r="B220" s="20" t="n">
        <v>44175</v>
      </c>
      <c r="C220" s="20" t="inlineStr">
        <is>
          <t>목</t>
        </is>
      </c>
      <c r="D220" s="20" t="n">
        <v>245</v>
      </c>
      <c r="E220" s="20" t="n">
        <v>5</v>
      </c>
      <c r="G220" s="20" t="n">
        <v>250</v>
      </c>
      <c r="J220" s="20" t="n">
        <v>44175</v>
      </c>
      <c r="K220" s="20" t="inlineStr">
        <is>
          <t>목</t>
        </is>
      </c>
      <c r="L220" s="20" t="n">
        <v>10762800</v>
      </c>
      <c r="M220" s="20" t="n">
        <v>10000</v>
      </c>
      <c r="O220" s="20" t="n">
        <v>10772800</v>
      </c>
    </row>
    <row r="221" ht="16.5" customHeight="1" s="17">
      <c r="B221" s="20" t="n">
        <v>44176</v>
      </c>
      <c r="C221" s="20" t="inlineStr">
        <is>
          <t>금</t>
        </is>
      </c>
      <c r="D221" s="20" t="n">
        <v>257</v>
      </c>
      <c r="E221" s="20" t="n">
        <v>6</v>
      </c>
      <c r="G221" s="20" t="n">
        <v>263</v>
      </c>
      <c r="J221" s="20" t="n">
        <v>44176</v>
      </c>
      <c r="K221" s="20" t="inlineStr">
        <is>
          <t>금</t>
        </is>
      </c>
      <c r="L221" s="20" t="n">
        <v>11698000</v>
      </c>
      <c r="M221" s="20" t="n">
        <v>12000</v>
      </c>
      <c r="O221" s="20" t="n">
        <v>11710000</v>
      </c>
    </row>
    <row r="222" ht="16.5" customHeight="1" s="17">
      <c r="B222" s="20" t="n">
        <v>44177</v>
      </c>
      <c r="C222" s="20" t="inlineStr">
        <is>
          <t>토</t>
        </is>
      </c>
      <c r="D222" s="20" t="n">
        <v>350</v>
      </c>
      <c r="E222" s="20" t="n">
        <v>8</v>
      </c>
      <c r="G222" s="20" t="n">
        <v>358</v>
      </c>
      <c r="J222" s="20" t="n">
        <v>44177</v>
      </c>
      <c r="K222" s="20" t="inlineStr">
        <is>
          <t>토</t>
        </is>
      </c>
      <c r="L222" s="20" t="n">
        <v>16383400</v>
      </c>
      <c r="M222" s="20" t="n">
        <v>16000</v>
      </c>
      <c r="O222" s="20" t="n">
        <v>16399400</v>
      </c>
    </row>
    <row r="223" ht="16.5" customHeight="1" s="17">
      <c r="B223" s="20" t="n">
        <v>44178</v>
      </c>
      <c r="C223" s="20" t="inlineStr">
        <is>
          <t>일</t>
        </is>
      </c>
      <c r="D223" s="20" t="n">
        <v>343</v>
      </c>
      <c r="E223" s="20" t="n">
        <v>3</v>
      </c>
      <c r="G223" s="20" t="n">
        <v>346</v>
      </c>
      <c r="J223" s="20" t="n">
        <v>44178</v>
      </c>
      <c r="K223" s="20" t="inlineStr">
        <is>
          <t>일</t>
        </is>
      </c>
      <c r="L223" s="20" t="n">
        <v>15713200</v>
      </c>
      <c r="M223" s="20" t="n">
        <v>6000</v>
      </c>
      <c r="O223" s="20" t="n">
        <v>15719200</v>
      </c>
    </row>
    <row r="224" ht="16.5" customHeight="1" s="17">
      <c r="B224" s="20" t="n">
        <v>44179</v>
      </c>
      <c r="C224" s="20" t="inlineStr">
        <is>
          <t>월</t>
        </is>
      </c>
      <c r="D224" s="20" t="n">
        <v>424</v>
      </c>
      <c r="E224" s="20" t="n">
        <v>9</v>
      </c>
      <c r="G224" s="20" t="n">
        <v>433</v>
      </c>
      <c r="J224" s="20" t="n">
        <v>44179</v>
      </c>
      <c r="K224" s="20" t="inlineStr">
        <is>
          <t>월</t>
        </is>
      </c>
      <c r="L224" s="20" t="n">
        <v>19361800</v>
      </c>
      <c r="M224" s="20" t="n">
        <v>18000</v>
      </c>
      <c r="O224" s="20" t="n">
        <v>19379800</v>
      </c>
    </row>
    <row r="225" ht="16.5" customHeight="1" s="17">
      <c r="B225" s="20" t="n">
        <v>44180</v>
      </c>
      <c r="C225" s="20" t="inlineStr">
        <is>
          <t>화</t>
        </is>
      </c>
      <c r="D225" s="20" t="n">
        <v>453</v>
      </c>
      <c r="E225" s="20" t="n">
        <v>14</v>
      </c>
      <c r="G225" s="20" t="n">
        <v>467</v>
      </c>
      <c r="J225" s="20" t="n">
        <v>44180</v>
      </c>
      <c r="K225" s="20" t="inlineStr">
        <is>
          <t>화</t>
        </is>
      </c>
      <c r="L225" s="20" t="n">
        <v>20713800</v>
      </c>
      <c r="M225" s="20" t="n">
        <v>28000</v>
      </c>
      <c r="O225" s="20" t="n">
        <v>20741800</v>
      </c>
    </row>
    <row r="226" ht="16.5" customHeight="1" s="17">
      <c r="B226" s="20" t="n">
        <v>44181</v>
      </c>
      <c r="C226" s="20" t="inlineStr">
        <is>
          <t>수</t>
        </is>
      </c>
      <c r="D226" s="20" t="n">
        <v>411</v>
      </c>
      <c r="E226" s="20" t="n">
        <v>7</v>
      </c>
      <c r="G226" s="20" t="n">
        <v>418</v>
      </c>
      <c r="J226" s="20" t="n">
        <v>44181</v>
      </c>
      <c r="K226" s="20" t="inlineStr">
        <is>
          <t>수</t>
        </is>
      </c>
      <c r="L226" s="20" t="n">
        <v>18867400</v>
      </c>
      <c r="M226" s="20" t="n">
        <v>14000</v>
      </c>
      <c r="O226" s="20" t="n">
        <v>18881400</v>
      </c>
    </row>
    <row r="227" ht="16.5" customHeight="1" s="17">
      <c r="B227" s="20" t="n">
        <v>44182</v>
      </c>
      <c r="C227" s="20" t="inlineStr">
        <is>
          <t>목</t>
        </is>
      </c>
      <c r="D227" s="20" t="n">
        <v>444</v>
      </c>
      <c r="E227" s="20" t="n">
        <v>11</v>
      </c>
      <c r="G227" s="20" t="n">
        <v>455</v>
      </c>
      <c r="J227" s="20" t="n">
        <v>44182</v>
      </c>
      <c r="K227" s="20" t="inlineStr">
        <is>
          <t>목</t>
        </is>
      </c>
      <c r="L227" s="20" t="n">
        <v>20443600</v>
      </c>
      <c r="M227" s="20" t="n">
        <v>22000</v>
      </c>
      <c r="O227" s="20" t="n">
        <v>20465600</v>
      </c>
    </row>
    <row r="228" ht="16.5" customHeight="1" s="17">
      <c r="B228" s="20" t="n">
        <v>44183</v>
      </c>
      <c r="C228" s="20" t="inlineStr">
        <is>
          <t>금</t>
        </is>
      </c>
      <c r="D228" s="20" t="n">
        <v>392</v>
      </c>
      <c r="E228" s="20" t="n">
        <v>6</v>
      </c>
      <c r="G228" s="20" t="n">
        <v>398</v>
      </c>
      <c r="J228" s="20" t="n">
        <v>44183</v>
      </c>
      <c r="K228" s="20" t="inlineStr">
        <is>
          <t>금</t>
        </is>
      </c>
      <c r="L228" s="20" t="n">
        <v>17773200</v>
      </c>
      <c r="M228" s="20" t="n">
        <v>12000</v>
      </c>
      <c r="O228" s="20" t="n">
        <v>17785200</v>
      </c>
    </row>
    <row r="229" ht="16.5" customHeight="1" s="17">
      <c r="B229" s="20" t="n">
        <v>44184</v>
      </c>
      <c r="C229" s="20" t="inlineStr">
        <is>
          <t>토</t>
        </is>
      </c>
      <c r="D229" s="20" t="n">
        <v>497</v>
      </c>
      <c r="E229" s="20" t="n">
        <v>2</v>
      </c>
      <c r="G229" s="20" t="n">
        <v>499</v>
      </c>
      <c r="J229" s="20" t="n">
        <v>44184</v>
      </c>
      <c r="K229" s="20" t="inlineStr">
        <is>
          <t>토</t>
        </is>
      </c>
      <c r="L229" s="20" t="n">
        <v>21077800</v>
      </c>
      <c r="M229" s="20" t="n">
        <v>4000</v>
      </c>
      <c r="O229" s="20" t="n">
        <v>21081800</v>
      </c>
    </row>
    <row r="230" ht="16.5" customHeight="1" s="17">
      <c r="B230" s="20" t="n">
        <v>44185</v>
      </c>
      <c r="C230" s="20" t="inlineStr">
        <is>
          <t>일</t>
        </is>
      </c>
      <c r="D230" s="20" t="n">
        <v>431</v>
      </c>
      <c r="E230" s="20" t="n">
        <v>1</v>
      </c>
      <c r="G230" s="20" t="n">
        <v>432</v>
      </c>
      <c r="J230" s="20" t="n">
        <v>44185</v>
      </c>
      <c r="K230" s="20" t="inlineStr">
        <is>
          <t>일</t>
        </is>
      </c>
      <c r="L230" s="20" t="n">
        <v>18225000</v>
      </c>
      <c r="M230" s="20" t="n">
        <v>2000</v>
      </c>
      <c r="O230" s="20" t="n">
        <v>18227000</v>
      </c>
    </row>
    <row r="231" ht="16.5" customHeight="1" s="17">
      <c r="B231" s="20" t="n">
        <v>44186</v>
      </c>
      <c r="C231" s="20" t="inlineStr">
        <is>
          <t>월</t>
        </is>
      </c>
      <c r="D231" s="20" t="n">
        <v>291</v>
      </c>
      <c r="E231" s="20" t="n">
        <v>1</v>
      </c>
      <c r="G231" s="20" t="n">
        <v>292</v>
      </c>
      <c r="J231" s="20" t="n">
        <v>44186</v>
      </c>
      <c r="K231" s="20" t="inlineStr">
        <is>
          <t>월</t>
        </is>
      </c>
      <c r="L231" s="20" t="n">
        <v>12034000</v>
      </c>
      <c r="M231" s="20" t="n">
        <v>2000</v>
      </c>
      <c r="O231" s="20" t="n">
        <v>12036000</v>
      </c>
    </row>
    <row r="232" ht="16.5" customHeight="1" s="17">
      <c r="B232" s="20" t="n">
        <v>44187</v>
      </c>
      <c r="C232" s="20" t="inlineStr">
        <is>
          <t>화</t>
        </is>
      </c>
      <c r="D232" s="20" t="n">
        <v>289</v>
      </c>
      <c r="E232" s="20" t="n">
        <v>1</v>
      </c>
      <c r="G232" s="20" t="n">
        <v>290</v>
      </c>
      <c r="J232" s="20" t="n">
        <v>44187</v>
      </c>
      <c r="K232" s="20" t="inlineStr">
        <is>
          <t>화</t>
        </is>
      </c>
      <c r="L232" s="20" t="n">
        <v>12603400</v>
      </c>
      <c r="M232" s="20" t="n">
        <v>2000</v>
      </c>
      <c r="O232" s="20" t="n">
        <v>12605400</v>
      </c>
    </row>
    <row r="233" ht="16.5" customHeight="1" s="17">
      <c r="B233" s="20" t="n">
        <v>44188</v>
      </c>
      <c r="C233" s="20" t="inlineStr">
        <is>
          <t>수</t>
        </is>
      </c>
      <c r="D233" s="20" t="n">
        <v>425</v>
      </c>
      <c r="G233" s="20" t="n">
        <v>425</v>
      </c>
      <c r="J233" s="20" t="n">
        <v>44188</v>
      </c>
      <c r="K233" s="20" t="inlineStr">
        <is>
          <t>수</t>
        </is>
      </c>
      <c r="L233" s="20" t="n">
        <v>18672800</v>
      </c>
      <c r="O233" s="20" t="n">
        <v>18672800</v>
      </c>
    </row>
    <row r="234" ht="16.5" customHeight="1" s="17">
      <c r="B234" s="20" t="n">
        <v>44189</v>
      </c>
      <c r="C234" s="20" t="inlineStr">
        <is>
          <t>목</t>
        </is>
      </c>
      <c r="D234" s="20" t="n">
        <v>436</v>
      </c>
      <c r="G234" s="20" t="n">
        <v>436</v>
      </c>
      <c r="J234" s="20" t="n">
        <v>44189</v>
      </c>
      <c r="K234" s="20" t="inlineStr">
        <is>
          <t>목</t>
        </is>
      </c>
      <c r="L234" s="20" t="n">
        <v>18820400</v>
      </c>
      <c r="O234" s="20" t="n">
        <v>18820400</v>
      </c>
    </row>
    <row r="235" ht="16.5" customHeight="1" s="17">
      <c r="B235" s="20" t="n">
        <v>44190</v>
      </c>
      <c r="C235" s="20" t="inlineStr">
        <is>
          <t>금</t>
        </is>
      </c>
      <c r="D235" s="20" t="n">
        <v>686</v>
      </c>
      <c r="G235" s="20" t="n">
        <v>686</v>
      </c>
      <c r="J235" s="20" t="n">
        <v>44190</v>
      </c>
      <c r="K235" s="20" t="inlineStr">
        <is>
          <t>금</t>
        </is>
      </c>
      <c r="L235" s="20" t="n">
        <v>29531000</v>
      </c>
      <c r="O235" s="20" t="n">
        <v>29531000</v>
      </c>
    </row>
    <row r="236" ht="16.5" customHeight="1" s="17">
      <c r="B236" s="20" t="n">
        <v>44191</v>
      </c>
      <c r="C236" s="20" t="inlineStr">
        <is>
          <t>토</t>
        </is>
      </c>
      <c r="D236" s="20" t="n">
        <v>782</v>
      </c>
      <c r="G236" s="20" t="n">
        <v>782</v>
      </c>
      <c r="J236" s="20" t="n">
        <v>44191</v>
      </c>
      <c r="K236" s="20" t="inlineStr">
        <is>
          <t>토</t>
        </is>
      </c>
      <c r="L236" s="20" t="n">
        <v>33493600</v>
      </c>
      <c r="O236" s="20" t="n">
        <v>33493600</v>
      </c>
    </row>
    <row r="237" ht="16.5" customHeight="1" s="17">
      <c r="B237" s="20" t="n">
        <v>44192</v>
      </c>
      <c r="C237" s="20" t="inlineStr">
        <is>
          <t>일</t>
        </is>
      </c>
      <c r="D237" s="20" t="n">
        <v>685</v>
      </c>
      <c r="E237" s="20" t="n">
        <v>3</v>
      </c>
      <c r="G237" s="20" t="n">
        <v>688</v>
      </c>
      <c r="J237" s="20" t="n">
        <v>44192</v>
      </c>
      <c r="K237" s="20" t="inlineStr">
        <is>
          <t>일</t>
        </is>
      </c>
      <c r="L237" s="20" t="n">
        <v>30174800</v>
      </c>
      <c r="M237" s="20" t="n">
        <v>6000</v>
      </c>
      <c r="O237" s="20" t="n">
        <v>30180800</v>
      </c>
    </row>
    <row r="238" ht="16.5" customHeight="1" s="17">
      <c r="B238" s="20" t="n">
        <v>44193</v>
      </c>
      <c r="C238" s="20" t="inlineStr">
        <is>
          <t>월</t>
        </is>
      </c>
      <c r="D238" s="20" t="n">
        <v>450</v>
      </c>
      <c r="G238" s="20" t="n">
        <v>450</v>
      </c>
      <c r="J238" s="20" t="n">
        <v>44193</v>
      </c>
      <c r="K238" s="20" t="inlineStr">
        <is>
          <t>월</t>
        </is>
      </c>
      <c r="L238" s="20" t="n">
        <v>19059600</v>
      </c>
      <c r="O238" s="20" t="n">
        <v>19059600</v>
      </c>
    </row>
    <row r="239" ht="16.5" customHeight="1" s="17">
      <c r="B239" s="20" t="n">
        <v>44194</v>
      </c>
      <c r="C239" s="20" t="inlineStr">
        <is>
          <t>화</t>
        </is>
      </c>
      <c r="D239" s="20" t="n">
        <v>453</v>
      </c>
      <c r="G239" s="20" t="n">
        <v>453</v>
      </c>
      <c r="J239" s="20" t="n">
        <v>44194</v>
      </c>
      <c r="K239" s="20" t="inlineStr">
        <is>
          <t>화</t>
        </is>
      </c>
      <c r="L239" s="20" t="n">
        <v>19231600</v>
      </c>
      <c r="O239" s="20" t="n">
        <v>19231600</v>
      </c>
    </row>
    <row r="240" ht="16.5" customHeight="1" s="17">
      <c r="B240" s="20" t="n">
        <v>44195</v>
      </c>
      <c r="C240" s="20" t="inlineStr">
        <is>
          <t>수</t>
        </is>
      </c>
      <c r="D240" s="20" t="n">
        <v>473</v>
      </c>
      <c r="E240" s="20" t="n">
        <v>1</v>
      </c>
      <c r="G240" s="20" t="n">
        <v>474</v>
      </c>
      <c r="J240" s="20" t="n">
        <v>44195</v>
      </c>
      <c r="K240" s="20" t="inlineStr">
        <is>
          <t>수</t>
        </is>
      </c>
      <c r="L240" s="20" t="n">
        <v>19884800</v>
      </c>
      <c r="M240" s="20" t="n">
        <v>2000</v>
      </c>
      <c r="O240" s="20" t="n">
        <v>19886800</v>
      </c>
    </row>
    <row r="241" ht="16.5" customHeight="1" s="17">
      <c r="B241" s="20" t="n">
        <v>44196</v>
      </c>
      <c r="C241" s="20" t="inlineStr">
        <is>
          <t>목</t>
        </is>
      </c>
      <c r="D241" s="20" t="n">
        <v>451</v>
      </c>
      <c r="E241" s="20" t="n">
        <v>1</v>
      </c>
      <c r="G241" s="20" t="n">
        <v>452</v>
      </c>
      <c r="J241" s="20" t="n">
        <v>44196</v>
      </c>
      <c r="K241" s="20" t="inlineStr">
        <is>
          <t>목</t>
        </is>
      </c>
      <c r="L241" s="20" t="n">
        <v>18434800</v>
      </c>
      <c r="M241" s="20" t="n">
        <v>2000</v>
      </c>
      <c r="O241" s="20" t="n">
        <v>18436800</v>
      </c>
    </row>
    <row r="242" ht="16.5" customHeight="1" s="17">
      <c r="B242" s="20" t="n">
        <v>44197</v>
      </c>
      <c r="C242" s="20" t="inlineStr">
        <is>
          <t>금</t>
        </is>
      </c>
      <c r="D242" s="20" t="n">
        <v>874</v>
      </c>
      <c r="E242" s="20" t="n">
        <v>1</v>
      </c>
      <c r="G242" s="20" t="n">
        <v>875</v>
      </c>
      <c r="J242" s="20" t="n">
        <v>44197</v>
      </c>
      <c r="K242" s="20" t="inlineStr">
        <is>
          <t>금</t>
        </is>
      </c>
      <c r="L242" s="20" t="e">
        <v>#N/A</v>
      </c>
      <c r="M242" s="20" t="e">
        <v>#N/A</v>
      </c>
      <c r="O242" s="20" t="e">
        <v>#N/A</v>
      </c>
    </row>
    <row r="243" ht="16.5" customHeight="1" s="17">
      <c r="B243" s="20" t="n">
        <v>44198</v>
      </c>
      <c r="C243" s="20" t="inlineStr">
        <is>
          <t>토</t>
        </is>
      </c>
      <c r="D243" s="20" t="n">
        <v>740</v>
      </c>
      <c r="G243" s="20" t="n">
        <v>740</v>
      </c>
      <c r="J243" s="20" t="n">
        <v>44198</v>
      </c>
      <c r="K243" s="20" t="inlineStr">
        <is>
          <t>토</t>
        </is>
      </c>
      <c r="L243" s="20" t="e">
        <v>#N/A</v>
      </c>
      <c r="O243" s="20" t="e">
        <v>#N/A</v>
      </c>
    </row>
    <row r="244" ht="16.5" customHeight="1" s="17">
      <c r="B244" s="20" t="n">
        <v>44199</v>
      </c>
      <c r="C244" s="20" t="inlineStr">
        <is>
          <t>일</t>
        </is>
      </c>
      <c r="D244" s="20" t="n">
        <v>702</v>
      </c>
      <c r="E244" s="20" t="n">
        <v>1</v>
      </c>
      <c r="G244" s="20" t="n">
        <v>703</v>
      </c>
      <c r="J244" s="20" t="n">
        <v>44199</v>
      </c>
      <c r="K244" s="20" t="inlineStr">
        <is>
          <t>일</t>
        </is>
      </c>
      <c r="L244" s="20" t="e">
        <v>#N/A</v>
      </c>
      <c r="M244" s="20" t="e">
        <v>#N/A</v>
      </c>
      <c r="O244" s="20" t="e">
        <v>#N/A</v>
      </c>
    </row>
    <row r="245" ht="16.5" customHeight="1" s="17">
      <c r="B245" s="20" t="n">
        <v>44200</v>
      </c>
      <c r="C245" s="20" t="inlineStr">
        <is>
          <t>월</t>
        </is>
      </c>
      <c r="D245" s="20" t="n">
        <v>689</v>
      </c>
      <c r="G245" s="20" t="n">
        <v>689</v>
      </c>
      <c r="J245" s="20" t="n">
        <v>44200</v>
      </c>
      <c r="K245" s="20" t="inlineStr">
        <is>
          <t>월</t>
        </is>
      </c>
      <c r="L245" s="20" t="e">
        <v>#N/A</v>
      </c>
      <c r="O245" s="20" t="e">
        <v>#N/A</v>
      </c>
    </row>
    <row r="246" ht="16.5" customHeight="1" s="17">
      <c r="B246" s="20" t="n">
        <v>44201</v>
      </c>
      <c r="C246" s="20" t="inlineStr">
        <is>
          <t>화</t>
        </is>
      </c>
      <c r="D246" s="20" t="n">
        <v>693</v>
      </c>
      <c r="E246" s="20" t="n">
        <v>1</v>
      </c>
      <c r="G246" s="20" t="n">
        <v>694</v>
      </c>
      <c r="J246" s="20" t="n">
        <v>44201</v>
      </c>
      <c r="K246" s="20" t="inlineStr">
        <is>
          <t>화</t>
        </is>
      </c>
      <c r="L246" s="20" t="e">
        <v>#N/A</v>
      </c>
      <c r="M246" s="20" t="e">
        <v>#N/A</v>
      </c>
      <c r="O246" s="20" t="e">
        <v>#N/A</v>
      </c>
    </row>
    <row r="247" ht="16.5" customHeight="1" s="17">
      <c r="B247" s="20" t="n">
        <v>44202</v>
      </c>
      <c r="C247" s="20" t="inlineStr">
        <is>
          <t>수</t>
        </is>
      </c>
      <c r="D247" s="20" t="n">
        <v>630</v>
      </c>
      <c r="E247" s="20" t="n">
        <v>1</v>
      </c>
      <c r="G247" s="20" t="n">
        <v>631</v>
      </c>
      <c r="J247" s="20" t="n">
        <v>44202</v>
      </c>
      <c r="K247" s="20" t="inlineStr">
        <is>
          <t>수</t>
        </is>
      </c>
      <c r="L247" s="20" t="e">
        <v>#N/A</v>
      </c>
      <c r="M247" s="20" t="e">
        <v>#N/A</v>
      </c>
      <c r="O247" s="20" t="e">
        <v>#N/A</v>
      </c>
    </row>
    <row r="248" ht="16.5" customHeight="1" s="17">
      <c r="B248" s="20" t="n">
        <v>44203</v>
      </c>
      <c r="C248" s="20" t="inlineStr">
        <is>
          <t>목</t>
        </is>
      </c>
      <c r="D248" s="20" t="n">
        <v>609</v>
      </c>
      <c r="G248" s="20" t="n">
        <v>609</v>
      </c>
      <c r="J248" s="20" t="n">
        <v>44203</v>
      </c>
      <c r="K248" s="20" t="inlineStr">
        <is>
          <t>목</t>
        </is>
      </c>
      <c r="L248" s="20" t="e">
        <v>#N/A</v>
      </c>
      <c r="O248" s="20" t="e">
        <v>#N/A</v>
      </c>
    </row>
    <row r="249" ht="16.5" customHeight="1" s="17">
      <c r="B249" s="20" t="n">
        <v>44204</v>
      </c>
      <c r="C249" s="20" t="inlineStr">
        <is>
          <t>금</t>
        </is>
      </c>
      <c r="D249" s="20" t="n">
        <v>528</v>
      </c>
      <c r="E249" s="20" t="n">
        <v>1</v>
      </c>
      <c r="G249" s="20" t="n">
        <v>529</v>
      </c>
      <c r="J249" s="20" t="n">
        <v>44204</v>
      </c>
      <c r="K249" s="20" t="inlineStr">
        <is>
          <t>금</t>
        </is>
      </c>
      <c r="L249" s="20" t="e">
        <v>#N/A</v>
      </c>
      <c r="M249" s="20" t="e">
        <v>#N/A</v>
      </c>
      <c r="O249" s="20" t="e">
        <v>#N/A</v>
      </c>
    </row>
    <row r="250" ht="16.5" customHeight="1" s="17">
      <c r="B250" s="20" t="n">
        <v>44205</v>
      </c>
      <c r="C250" s="20" t="inlineStr">
        <is>
          <t>토</t>
        </is>
      </c>
      <c r="D250" s="20" t="n">
        <v>722</v>
      </c>
      <c r="G250" s="20" t="n">
        <v>722</v>
      </c>
      <c r="J250" s="20" t="n">
        <v>44205</v>
      </c>
      <c r="K250" s="20" t="inlineStr">
        <is>
          <t>토</t>
        </is>
      </c>
      <c r="L250" s="20" t="e">
        <v>#N/A</v>
      </c>
      <c r="O250" s="20" t="e">
        <v>#N/A</v>
      </c>
    </row>
    <row r="251" ht="16.5" customHeight="1" s="17">
      <c r="B251" s="20" t="n">
        <v>44206</v>
      </c>
      <c r="C251" s="20" t="inlineStr">
        <is>
          <t>일</t>
        </is>
      </c>
      <c r="D251" s="20" t="n">
        <v>811</v>
      </c>
      <c r="E251" s="20" t="n">
        <v>2</v>
      </c>
      <c r="G251" s="20" t="n">
        <v>813</v>
      </c>
      <c r="J251" s="20" t="n">
        <v>44206</v>
      </c>
      <c r="K251" s="20" t="inlineStr">
        <is>
          <t>일</t>
        </is>
      </c>
      <c r="L251" s="20" t="e">
        <v>#N/A</v>
      </c>
      <c r="M251" s="20" t="e">
        <v>#N/A</v>
      </c>
      <c r="O251" s="20" t="e">
        <v>#N/A</v>
      </c>
    </row>
    <row r="252" ht="16.5" customHeight="1" s="17">
      <c r="B252" s="20" t="n">
        <v>44207</v>
      </c>
      <c r="C252" s="20" t="inlineStr">
        <is>
          <t>월</t>
        </is>
      </c>
      <c r="D252" s="20" t="n">
        <v>553</v>
      </c>
      <c r="G252" s="20" t="n">
        <v>553</v>
      </c>
      <c r="J252" s="20" t="n">
        <v>44207</v>
      </c>
      <c r="K252" s="20" t="inlineStr">
        <is>
          <t>월</t>
        </is>
      </c>
      <c r="L252" s="20" t="e">
        <v>#N/A</v>
      </c>
      <c r="O252" s="20" t="e">
        <v>#N/A</v>
      </c>
    </row>
    <row r="253" ht="16.5" customHeight="1" s="17">
      <c r="B253" s="20" t="n">
        <v>44208</v>
      </c>
      <c r="C253" s="20" t="inlineStr">
        <is>
          <t>화</t>
        </is>
      </c>
      <c r="D253" s="20" t="n">
        <v>686</v>
      </c>
      <c r="G253" s="20" t="n">
        <v>686</v>
      </c>
      <c r="J253" s="20" t="n">
        <v>44208</v>
      </c>
      <c r="K253" s="20" t="inlineStr">
        <is>
          <t>화</t>
        </is>
      </c>
      <c r="L253" s="20" t="e">
        <v>#N/A</v>
      </c>
      <c r="O253" s="20" t="e">
        <v>#N/A</v>
      </c>
    </row>
    <row r="254" ht="16.5" customHeight="1" s="17">
      <c r="B254" s="20" t="n">
        <v>44209</v>
      </c>
      <c r="C254" s="20" t="inlineStr">
        <is>
          <t>수</t>
        </is>
      </c>
      <c r="D254" s="20" t="n">
        <v>735</v>
      </c>
      <c r="E254" s="20" t="n">
        <v>1</v>
      </c>
      <c r="G254" s="20" t="n">
        <v>736</v>
      </c>
      <c r="J254" s="20" t="n">
        <v>44209</v>
      </c>
      <c r="K254" s="20" t="inlineStr">
        <is>
          <t>수</t>
        </is>
      </c>
      <c r="L254" s="20" t="e">
        <v>#N/A</v>
      </c>
      <c r="M254" s="20" t="e">
        <v>#N/A</v>
      </c>
      <c r="O254" s="20" t="e">
        <v>#N/A</v>
      </c>
    </row>
    <row r="255" ht="16.5" customHeight="1" s="17">
      <c r="B255" s="20" t="n">
        <v>44210</v>
      </c>
      <c r="C255" s="20" t="inlineStr">
        <is>
          <t>목</t>
        </is>
      </c>
      <c r="D255" s="20" t="n">
        <v>552</v>
      </c>
      <c r="E255" s="20" t="n">
        <v>1</v>
      </c>
      <c r="G255" s="20" t="n">
        <v>553</v>
      </c>
      <c r="J255" s="20" t="n">
        <v>44210</v>
      </c>
      <c r="K255" s="20" t="inlineStr">
        <is>
          <t>목</t>
        </is>
      </c>
      <c r="L255" s="20" t="e">
        <v>#N/A</v>
      </c>
      <c r="M255" s="20" t="e">
        <v>#N/A</v>
      </c>
      <c r="O255" s="20" t="e">
        <v>#N/A</v>
      </c>
    </row>
    <row r="256" ht="16.5" customHeight="1" s="17">
      <c r="B256" s="20" t="n">
        <v>44211</v>
      </c>
      <c r="C256" s="20" t="inlineStr">
        <is>
          <t>금</t>
        </is>
      </c>
      <c r="D256" s="20" t="n">
        <v>550</v>
      </c>
      <c r="E256" s="20" t="n">
        <v>3</v>
      </c>
      <c r="G256" s="20" t="n">
        <v>553</v>
      </c>
      <c r="J256" s="20" t="n">
        <v>44211</v>
      </c>
      <c r="K256" s="20" t="inlineStr">
        <is>
          <t>금</t>
        </is>
      </c>
      <c r="L256" s="20" t="e">
        <v>#N/A</v>
      </c>
      <c r="M256" s="20" t="e">
        <v>#N/A</v>
      </c>
      <c r="O256" s="20" t="e">
        <v>#N/A</v>
      </c>
    </row>
    <row r="257" ht="16.5" customHeight="1" s="17">
      <c r="B257" s="20" t="n">
        <v>44212</v>
      </c>
      <c r="C257" s="20" t="inlineStr">
        <is>
          <t>토</t>
        </is>
      </c>
      <c r="D257" s="20" t="n">
        <v>604</v>
      </c>
      <c r="E257" s="20" t="n">
        <v>13</v>
      </c>
      <c r="G257" s="20" t="n">
        <v>617</v>
      </c>
      <c r="J257" s="20" t="n">
        <v>44212</v>
      </c>
      <c r="K257" s="20" t="inlineStr">
        <is>
          <t>토</t>
        </is>
      </c>
      <c r="L257" s="20" t="e">
        <v>#N/A</v>
      </c>
      <c r="M257" s="20" t="e">
        <v>#N/A</v>
      </c>
      <c r="O257" s="20" t="e">
        <v>#N/A</v>
      </c>
    </row>
    <row r="258" ht="16.5" customHeight="1" s="17">
      <c r="B258" s="20" t="n">
        <v>44213</v>
      </c>
      <c r="C258" s="20" t="inlineStr">
        <is>
          <t>일</t>
        </is>
      </c>
      <c r="D258" s="20" t="n">
        <v>706</v>
      </c>
      <c r="E258" s="20" t="n">
        <v>12</v>
      </c>
      <c r="G258" s="20" t="n">
        <v>718</v>
      </c>
      <c r="J258" s="20" t="n">
        <v>44213</v>
      </c>
      <c r="K258" s="20" t="inlineStr">
        <is>
          <t>일</t>
        </is>
      </c>
      <c r="L258" s="20" t="e">
        <v>#N/A</v>
      </c>
      <c r="M258" s="20" t="e">
        <v>#N/A</v>
      </c>
      <c r="O258" s="20" t="e">
        <v>#N/A</v>
      </c>
    </row>
    <row r="259" ht="16.5" customHeight="1" s="17">
      <c r="B259" s="20" t="n">
        <v>44214</v>
      </c>
      <c r="C259" s="20" t="inlineStr">
        <is>
          <t>월</t>
        </is>
      </c>
      <c r="D259" s="20" t="n">
        <v>543</v>
      </c>
      <c r="E259" s="20" t="n">
        <v>19</v>
      </c>
      <c r="G259" s="20" t="n">
        <v>562</v>
      </c>
      <c r="J259" s="20" t="n">
        <v>44214</v>
      </c>
      <c r="K259" s="20" t="inlineStr">
        <is>
          <t>월</t>
        </is>
      </c>
      <c r="L259" s="20" t="e">
        <v>#N/A</v>
      </c>
      <c r="M259" s="20" t="e">
        <v>#N/A</v>
      </c>
      <c r="O259" s="20" t="e">
        <v>#N/A</v>
      </c>
    </row>
    <row r="260" ht="16.5" customHeight="1" s="17">
      <c r="B260" s="20" t="n">
        <v>44215</v>
      </c>
      <c r="C260" s="20" t="inlineStr">
        <is>
          <t>화</t>
        </is>
      </c>
      <c r="D260" s="20" t="n">
        <v>457</v>
      </c>
      <c r="E260" s="20" t="n">
        <v>13</v>
      </c>
      <c r="G260" s="20" t="n">
        <v>470</v>
      </c>
      <c r="J260" s="20" t="n">
        <v>44215</v>
      </c>
      <c r="K260" s="20" t="inlineStr">
        <is>
          <t>화</t>
        </is>
      </c>
      <c r="L260" s="20" t="e">
        <v>#N/A</v>
      </c>
      <c r="M260" s="20" t="e">
        <v>#N/A</v>
      </c>
      <c r="O260" s="20" t="e">
        <v>#N/A</v>
      </c>
    </row>
    <row r="261" ht="16.5" customHeight="1" s="17">
      <c r="B261" s="20" t="n">
        <v>44216</v>
      </c>
      <c r="C261" s="20" t="inlineStr">
        <is>
          <t>수</t>
        </is>
      </c>
      <c r="D261" s="20" t="n">
        <v>465</v>
      </c>
      <c r="E261" s="20" t="n">
        <v>13</v>
      </c>
      <c r="G261" s="20" t="n">
        <v>478</v>
      </c>
      <c r="J261" s="20" t="n">
        <v>44216</v>
      </c>
      <c r="K261" s="20" t="inlineStr">
        <is>
          <t>수</t>
        </is>
      </c>
      <c r="L261" s="20" t="e">
        <v>#N/A</v>
      </c>
      <c r="M261" s="20" t="e">
        <v>#N/A</v>
      </c>
      <c r="O261" s="20" t="e">
        <v>#N/A</v>
      </c>
    </row>
    <row r="262" ht="16.5" customHeight="1" s="17">
      <c r="B262" s="20" t="n">
        <v>44217</v>
      </c>
      <c r="C262" s="20" t="inlineStr">
        <is>
          <t>목</t>
        </is>
      </c>
      <c r="D262" s="20" t="n">
        <v>480</v>
      </c>
      <c r="E262" s="20" t="n">
        <v>16</v>
      </c>
      <c r="G262" s="20" t="n">
        <v>496</v>
      </c>
      <c r="J262" s="20" t="n">
        <v>44217</v>
      </c>
      <c r="K262" s="20" t="inlineStr">
        <is>
          <t>목</t>
        </is>
      </c>
      <c r="L262" s="20" t="e">
        <v>#N/A</v>
      </c>
      <c r="M262" s="20" t="e">
        <v>#N/A</v>
      </c>
      <c r="O262" s="20" t="e">
        <v>#N/A</v>
      </c>
    </row>
    <row r="263" ht="16.5" customHeight="1" s="17">
      <c r="B263" s="20" t="n">
        <v>44218</v>
      </c>
      <c r="C263" s="20" t="inlineStr">
        <is>
          <t>금</t>
        </is>
      </c>
      <c r="D263" s="20" t="n">
        <v>400</v>
      </c>
      <c r="E263" s="20" t="n">
        <v>6</v>
      </c>
      <c r="G263" s="20" t="n">
        <v>406</v>
      </c>
      <c r="J263" s="20" t="n">
        <v>44218</v>
      </c>
      <c r="K263" s="20" t="inlineStr">
        <is>
          <t>금</t>
        </is>
      </c>
      <c r="L263" s="20" t="e">
        <v>#N/A</v>
      </c>
      <c r="M263" s="20" t="e">
        <v>#N/A</v>
      </c>
      <c r="O263" s="20" t="e">
        <v>#N/A</v>
      </c>
    </row>
    <row r="264" ht="16.5" customHeight="1" s="17">
      <c r="B264" s="20" t="n">
        <v>44219</v>
      </c>
      <c r="C264" s="20" t="inlineStr">
        <is>
          <t>토</t>
        </is>
      </c>
      <c r="D264" s="20" t="n">
        <v>615</v>
      </c>
      <c r="E264" s="20" t="n">
        <v>18</v>
      </c>
      <c r="G264" s="20" t="n">
        <v>633</v>
      </c>
      <c r="J264" s="20" t="n">
        <v>44219</v>
      </c>
      <c r="K264" s="20" t="inlineStr">
        <is>
          <t>토</t>
        </is>
      </c>
      <c r="L264" s="20" t="e">
        <v>#N/A</v>
      </c>
      <c r="M264" s="20" t="e">
        <v>#N/A</v>
      </c>
      <c r="O264" s="20" t="e">
        <v>#N/A</v>
      </c>
    </row>
    <row r="265" ht="16.5" customHeight="1" s="17">
      <c r="B265" s="20" t="n">
        <v>44220</v>
      </c>
      <c r="C265" s="20" t="inlineStr">
        <is>
          <t>일</t>
        </is>
      </c>
      <c r="D265" s="20" t="n">
        <v>659</v>
      </c>
      <c r="E265" s="20" t="n">
        <v>18</v>
      </c>
      <c r="G265" s="20" t="n">
        <v>677</v>
      </c>
      <c r="J265" s="20" t="n">
        <v>44220</v>
      </c>
      <c r="K265" s="20" t="inlineStr">
        <is>
          <t>일</t>
        </is>
      </c>
      <c r="L265" s="20" t="e">
        <v>#N/A</v>
      </c>
      <c r="M265" s="20" t="e">
        <v>#N/A</v>
      </c>
      <c r="O265" s="20" t="e">
        <v>#N/A</v>
      </c>
    </row>
    <row r="266" ht="16.5" customHeight="1" s="17">
      <c r="B266" s="20" t="n">
        <v>44221</v>
      </c>
      <c r="C266" s="20" t="inlineStr">
        <is>
          <t>월</t>
        </is>
      </c>
      <c r="D266" s="20" t="n">
        <v>487</v>
      </c>
      <c r="E266" s="20" t="n">
        <v>8</v>
      </c>
      <c r="G266" s="20" t="n">
        <v>495</v>
      </c>
      <c r="J266" s="20" t="n">
        <v>44221</v>
      </c>
      <c r="K266" s="20" t="inlineStr">
        <is>
          <t>월</t>
        </is>
      </c>
      <c r="L266" s="20" t="e">
        <v>#N/A</v>
      </c>
      <c r="M266" s="20" t="e">
        <v>#N/A</v>
      </c>
      <c r="O266" s="20" t="e">
        <v>#N/A</v>
      </c>
    </row>
    <row r="267" ht="16.5" customHeight="1" s="17">
      <c r="B267" s="20" t="n">
        <v>44222</v>
      </c>
      <c r="C267" s="20" t="inlineStr">
        <is>
          <t>화</t>
        </is>
      </c>
      <c r="D267" s="20" t="n">
        <v>400</v>
      </c>
      <c r="E267" s="20" t="n">
        <v>13</v>
      </c>
      <c r="G267" s="20" t="n">
        <v>413</v>
      </c>
      <c r="J267" s="20" t="n">
        <v>44222</v>
      </c>
      <c r="K267" s="20" t="inlineStr">
        <is>
          <t>화</t>
        </is>
      </c>
      <c r="L267" s="20" t="e">
        <v>#N/A</v>
      </c>
      <c r="M267" s="20" t="e">
        <v>#N/A</v>
      </c>
      <c r="O267" s="20" t="e">
        <v>#N/A</v>
      </c>
    </row>
    <row r="268" ht="16.5" customHeight="1" s="17">
      <c r="B268" s="20" t="n">
        <v>44223</v>
      </c>
      <c r="C268" s="20" t="inlineStr">
        <is>
          <t>수</t>
        </is>
      </c>
      <c r="D268" s="20" t="n">
        <v>456</v>
      </c>
      <c r="E268" s="20" t="n">
        <v>10</v>
      </c>
      <c r="G268" s="20" t="n">
        <v>466</v>
      </c>
      <c r="J268" s="20" t="n">
        <v>44223</v>
      </c>
      <c r="K268" s="20" t="inlineStr">
        <is>
          <t>수</t>
        </is>
      </c>
      <c r="L268" s="20" t="e">
        <v>#N/A</v>
      </c>
      <c r="M268" s="20" t="e">
        <v>#N/A</v>
      </c>
      <c r="O268" s="20" t="e">
        <v>#N/A</v>
      </c>
    </row>
    <row r="269" ht="16.5" customHeight="1" s="17">
      <c r="B269" s="20" t="n">
        <v>44224</v>
      </c>
      <c r="C269" s="20" t="inlineStr">
        <is>
          <t>목</t>
        </is>
      </c>
      <c r="D269" s="20" t="n">
        <v>424</v>
      </c>
      <c r="E269" s="20" t="n">
        <v>8</v>
      </c>
      <c r="G269" s="20" t="n">
        <v>432</v>
      </c>
      <c r="J269" s="20" t="n">
        <v>44224</v>
      </c>
      <c r="K269" s="20" t="inlineStr">
        <is>
          <t>목</t>
        </is>
      </c>
      <c r="L269" s="20" t="e">
        <v>#N/A</v>
      </c>
      <c r="M269" s="20" t="e">
        <v>#N/A</v>
      </c>
      <c r="O269" s="20" t="e">
        <v>#N/A</v>
      </c>
    </row>
    <row r="270" ht="16.5" customHeight="1" s="17">
      <c r="B270" s="20" t="n">
        <v>44225</v>
      </c>
      <c r="C270" s="20" t="inlineStr">
        <is>
          <t>금</t>
        </is>
      </c>
      <c r="D270" s="20" t="n">
        <v>385</v>
      </c>
      <c r="E270" s="20" t="n">
        <v>8</v>
      </c>
      <c r="G270" s="20" t="n">
        <v>393</v>
      </c>
      <c r="J270" s="20" t="n">
        <v>44225</v>
      </c>
      <c r="K270" s="20" t="inlineStr">
        <is>
          <t>금</t>
        </is>
      </c>
      <c r="L270" s="20" t="e">
        <v>#N/A</v>
      </c>
      <c r="M270" s="20" t="e">
        <v>#N/A</v>
      </c>
      <c r="O270" s="20" t="e">
        <v>#N/A</v>
      </c>
    </row>
    <row r="271" ht="16.5" customHeight="1" s="17">
      <c r="B271" s="20" t="n">
        <v>44226</v>
      </c>
      <c r="C271" s="20" t="inlineStr">
        <is>
          <t>토</t>
        </is>
      </c>
      <c r="D271" s="20" t="n">
        <v>409</v>
      </c>
      <c r="E271" s="20" t="n">
        <v>16</v>
      </c>
      <c r="G271" s="20" t="n">
        <v>425</v>
      </c>
      <c r="J271" s="20" t="n">
        <v>44226</v>
      </c>
      <c r="K271" s="20" t="inlineStr">
        <is>
          <t>토</t>
        </is>
      </c>
      <c r="L271" s="20" t="e">
        <v>#N/A</v>
      </c>
      <c r="M271" s="20" t="e">
        <v>#N/A</v>
      </c>
      <c r="O271" s="20" t="e">
        <v>#N/A</v>
      </c>
    </row>
    <row r="272" ht="16.5" customHeight="1" s="17">
      <c r="B272" s="20" t="n">
        <v>44227</v>
      </c>
      <c r="C272" s="20" t="inlineStr">
        <is>
          <t>일</t>
        </is>
      </c>
      <c r="D272" s="20" t="n">
        <v>472</v>
      </c>
      <c r="E272" s="20" t="n">
        <v>17</v>
      </c>
      <c r="G272" s="20" t="n">
        <v>489</v>
      </c>
      <c r="J272" s="20" t="n">
        <v>44227</v>
      </c>
      <c r="K272" s="20" t="inlineStr">
        <is>
          <t>일</t>
        </is>
      </c>
      <c r="L272" s="20" t="e">
        <v>#N/A</v>
      </c>
      <c r="M272" s="20" t="e">
        <v>#N/A</v>
      </c>
      <c r="O272" s="20" t="e">
        <v>#N/A</v>
      </c>
    </row>
    <row r="273" ht="16.5" customHeight="1" s="17">
      <c r="B273" s="20" t="n">
        <v>44228</v>
      </c>
      <c r="C273" s="20" t="inlineStr">
        <is>
          <t>월</t>
        </is>
      </c>
      <c r="D273" s="20" t="n">
        <v>466</v>
      </c>
      <c r="E273" s="20" t="n">
        <v>7</v>
      </c>
      <c r="G273" s="20" t="n">
        <v>473</v>
      </c>
      <c r="J273" s="20" t="n">
        <v>44228</v>
      </c>
      <c r="K273" s="20" t="inlineStr">
        <is>
          <t>월</t>
        </is>
      </c>
      <c r="L273" s="20" t="e">
        <v>#N/A</v>
      </c>
      <c r="M273" s="20" t="e">
        <v>#N/A</v>
      </c>
      <c r="O273" s="20" t="e">
        <v>#N/A</v>
      </c>
    </row>
    <row r="274" ht="16.5" customHeight="1" s="17">
      <c r="B274" s="20" t="n">
        <v>44229</v>
      </c>
      <c r="C274" s="20" t="inlineStr">
        <is>
          <t>화</t>
        </is>
      </c>
      <c r="D274" s="20" t="n">
        <v>445</v>
      </c>
      <c r="E274" s="20" t="n">
        <v>7</v>
      </c>
      <c r="G274" s="20" t="n">
        <v>452</v>
      </c>
      <c r="J274" s="20" t="n">
        <v>44229</v>
      </c>
      <c r="K274" s="20" t="inlineStr">
        <is>
          <t>화</t>
        </is>
      </c>
      <c r="L274" s="20" t="e">
        <v>#N/A</v>
      </c>
      <c r="M274" s="20" t="e">
        <v>#N/A</v>
      </c>
      <c r="O274" s="20" t="e">
        <v>#N/A</v>
      </c>
    </row>
    <row r="275" ht="16.5" customHeight="1" s="17">
      <c r="B275" s="20" t="n">
        <v>44230</v>
      </c>
      <c r="C275" s="20" t="inlineStr">
        <is>
          <t>수</t>
        </is>
      </c>
      <c r="D275" s="20" t="n">
        <v>657</v>
      </c>
      <c r="E275" s="20" t="n">
        <v>19</v>
      </c>
      <c r="G275" s="20" t="n">
        <v>676</v>
      </c>
      <c r="J275" s="20" t="n">
        <v>44230</v>
      </c>
      <c r="K275" s="20" t="inlineStr">
        <is>
          <t>수</t>
        </is>
      </c>
      <c r="L275" s="20" t="e">
        <v>#N/A</v>
      </c>
      <c r="M275" s="20" t="e">
        <v>#N/A</v>
      </c>
      <c r="O275" s="20" t="e">
        <v>#N/A</v>
      </c>
    </row>
    <row r="276" ht="16.5" customHeight="1" s="17">
      <c r="B276" s="20" t="n">
        <v>44231</v>
      </c>
      <c r="C276" s="20" t="inlineStr">
        <is>
          <t>목</t>
        </is>
      </c>
      <c r="D276" s="20" t="n">
        <v>441</v>
      </c>
      <c r="E276" s="20" t="n">
        <v>13</v>
      </c>
      <c r="G276" s="20" t="n">
        <v>454</v>
      </c>
      <c r="J276" s="20" t="n">
        <v>44231</v>
      </c>
      <c r="K276" s="20" t="inlineStr">
        <is>
          <t>목</t>
        </is>
      </c>
      <c r="L276" s="20" t="e">
        <v>#N/A</v>
      </c>
      <c r="M276" s="20" t="e">
        <v>#N/A</v>
      </c>
      <c r="O276" s="20" t="e">
        <v>#N/A</v>
      </c>
    </row>
    <row r="277" ht="16.5" customHeight="1" s="17">
      <c r="B277" s="20" t="n">
        <v>44232</v>
      </c>
      <c r="C277" s="20" t="inlineStr">
        <is>
          <t>금</t>
        </is>
      </c>
      <c r="D277" s="20" t="n">
        <v>356</v>
      </c>
      <c r="E277" s="20" t="n">
        <v>9</v>
      </c>
      <c r="G277" s="20" t="n">
        <v>365</v>
      </c>
      <c r="J277" s="20" t="n">
        <v>44232</v>
      </c>
      <c r="K277" s="20" t="inlineStr">
        <is>
          <t>금</t>
        </is>
      </c>
      <c r="L277" s="20" t="e">
        <v>#N/A</v>
      </c>
      <c r="M277" s="20" t="e">
        <v>#N/A</v>
      </c>
      <c r="O277" s="20" t="e">
        <v>#N/A</v>
      </c>
    </row>
    <row r="278" ht="16.5" customHeight="1" s="17">
      <c r="B278" s="20" t="n">
        <v>44233</v>
      </c>
      <c r="C278" s="20" t="inlineStr">
        <is>
          <t>토</t>
        </is>
      </c>
      <c r="D278" s="20" t="n">
        <v>393</v>
      </c>
      <c r="E278" s="20" t="n">
        <v>5</v>
      </c>
      <c r="G278" s="20" t="n">
        <v>398</v>
      </c>
      <c r="J278" s="20" t="n">
        <v>44233</v>
      </c>
      <c r="K278" s="20" t="inlineStr">
        <is>
          <t>토</t>
        </is>
      </c>
      <c r="L278" s="20" t="e">
        <v>#N/A</v>
      </c>
      <c r="M278" s="20" t="e">
        <v>#N/A</v>
      </c>
      <c r="O278" s="20" t="e">
        <v>#N/A</v>
      </c>
    </row>
    <row r="279" ht="16.5" customHeight="1" s="17">
      <c r="B279" s="20" t="n">
        <v>44234</v>
      </c>
      <c r="C279" s="20" t="inlineStr">
        <is>
          <t>일</t>
        </is>
      </c>
      <c r="D279" s="20" t="n">
        <v>450</v>
      </c>
      <c r="E279" s="20" t="n">
        <v>13</v>
      </c>
      <c r="G279" s="20" t="n">
        <v>463</v>
      </c>
      <c r="J279" s="20" t="n">
        <v>44234</v>
      </c>
      <c r="K279" s="20" t="inlineStr">
        <is>
          <t>일</t>
        </is>
      </c>
      <c r="L279" s="20" t="e">
        <v>#N/A</v>
      </c>
      <c r="M279" s="20" t="e">
        <v>#N/A</v>
      </c>
      <c r="O279" s="20" t="e">
        <v>#N/A</v>
      </c>
    </row>
    <row r="280" ht="16.5" customHeight="1" s="17">
      <c r="B280" s="20" t="n">
        <v>44235</v>
      </c>
      <c r="C280" s="20" t="inlineStr">
        <is>
          <t>월</t>
        </is>
      </c>
      <c r="D280" s="20" t="n">
        <v>303</v>
      </c>
      <c r="E280" s="20" t="n">
        <v>8</v>
      </c>
      <c r="G280" s="20" t="n">
        <v>311</v>
      </c>
      <c r="J280" s="20" t="n">
        <v>44235</v>
      </c>
      <c r="K280" s="20" t="inlineStr">
        <is>
          <t>월</t>
        </is>
      </c>
      <c r="L280" s="20" t="e">
        <v>#N/A</v>
      </c>
      <c r="M280" s="20" t="e">
        <v>#N/A</v>
      </c>
      <c r="O280" s="20" t="e">
        <v>#N/A</v>
      </c>
    </row>
    <row r="281" ht="16.5" customHeight="1" s="17">
      <c r="B281" s="20" t="n">
        <v>44236</v>
      </c>
      <c r="C281" s="20" t="inlineStr">
        <is>
          <t>화</t>
        </is>
      </c>
      <c r="D281" s="20" t="n">
        <v>350</v>
      </c>
      <c r="E281" s="20" t="n">
        <v>8</v>
      </c>
      <c r="G281" s="20" t="n">
        <v>358</v>
      </c>
      <c r="J281" s="20" t="n">
        <v>44236</v>
      </c>
      <c r="K281" s="20" t="inlineStr">
        <is>
          <t>화</t>
        </is>
      </c>
      <c r="L281" s="20" t="e">
        <v>#N/A</v>
      </c>
      <c r="M281" s="20" t="e">
        <v>#N/A</v>
      </c>
      <c r="O281" s="20" t="e">
        <v>#N/A</v>
      </c>
    </row>
    <row r="282" ht="16.5" customHeight="1" s="17">
      <c r="B282" s="20" t="n">
        <v>44257</v>
      </c>
      <c r="C282" s="20" t="inlineStr">
        <is>
          <t>화</t>
        </is>
      </c>
      <c r="D282" s="20" t="n">
        <v>432</v>
      </c>
      <c r="E282" s="20" t="n">
        <v>3</v>
      </c>
      <c r="G282" s="20" t="n">
        <v>435</v>
      </c>
      <c r="J282" s="20" t="n">
        <v>44257</v>
      </c>
      <c r="K282" s="20" t="inlineStr">
        <is>
          <t>화</t>
        </is>
      </c>
      <c r="L282" s="20" t="n">
        <v>19028000</v>
      </c>
      <c r="M282" s="20" t="n">
        <v>6000</v>
      </c>
      <c r="O282" s="20" t="n">
        <v>19034000</v>
      </c>
    </row>
    <row r="283" ht="16.5" customHeight="1" s="17">
      <c r="B283" s="20" t="n">
        <v>44258</v>
      </c>
      <c r="C283" s="20" t="inlineStr">
        <is>
          <t>수</t>
        </is>
      </c>
      <c r="D283" s="20" t="n">
        <v>475</v>
      </c>
      <c r="E283" s="20" t="n">
        <v>2</v>
      </c>
      <c r="G283" s="20" t="n">
        <v>477</v>
      </c>
      <c r="J283" s="20" t="n">
        <v>44258</v>
      </c>
      <c r="K283" s="20" t="inlineStr">
        <is>
          <t>수</t>
        </is>
      </c>
      <c r="L283" s="20" t="n">
        <v>21705200</v>
      </c>
      <c r="M283" s="20" t="n">
        <v>4000</v>
      </c>
      <c r="O283" s="20" t="n">
        <v>21709200</v>
      </c>
    </row>
    <row r="284" ht="16.5" customHeight="1" s="17">
      <c r="B284" s="20" t="n">
        <v>44259</v>
      </c>
      <c r="C284" s="20" t="inlineStr">
        <is>
          <t>목</t>
        </is>
      </c>
      <c r="D284" s="20" t="n">
        <v>422</v>
      </c>
      <c r="E284" s="20" t="n">
        <v>10</v>
      </c>
      <c r="G284" s="20" t="n">
        <v>432</v>
      </c>
      <c r="J284" s="20" t="n">
        <v>44259</v>
      </c>
      <c r="K284" s="20" t="inlineStr">
        <is>
          <t>목</t>
        </is>
      </c>
      <c r="L284" s="20" t="n">
        <v>18737600</v>
      </c>
      <c r="M284" s="20" t="n">
        <v>20000</v>
      </c>
      <c r="O284" s="20" t="n">
        <v>18757600</v>
      </c>
    </row>
    <row r="285" ht="16.5" customHeight="1" s="17">
      <c r="B285" s="20" t="n">
        <v>44260</v>
      </c>
      <c r="C285" s="20" t="inlineStr">
        <is>
          <t>금</t>
        </is>
      </c>
      <c r="D285" s="20" t="n">
        <v>399</v>
      </c>
      <c r="E285" s="20" t="n">
        <v>7</v>
      </c>
      <c r="G285" s="20" t="n">
        <v>406</v>
      </c>
      <c r="J285" s="20" t="n">
        <v>44260</v>
      </c>
      <c r="K285" s="20" t="inlineStr">
        <is>
          <t>금</t>
        </is>
      </c>
      <c r="L285" s="20" t="n">
        <v>17906000</v>
      </c>
      <c r="M285" s="20" t="n">
        <v>14000</v>
      </c>
      <c r="O285" s="20" t="n">
        <v>17920000</v>
      </c>
    </row>
    <row r="286" ht="16.5" customHeight="1" s="17">
      <c r="B286" s="20" t="n">
        <v>44261</v>
      </c>
      <c r="C286" s="20" t="inlineStr">
        <is>
          <t>토</t>
        </is>
      </c>
      <c r="D286" s="20" t="n">
        <v>470</v>
      </c>
      <c r="E286" s="20" t="n">
        <v>10</v>
      </c>
      <c r="G286" s="20" t="n">
        <v>480</v>
      </c>
      <c r="J286" s="20" t="n">
        <v>44261</v>
      </c>
      <c r="K286" s="20" t="inlineStr">
        <is>
          <t>토</t>
        </is>
      </c>
      <c r="L286" s="20" t="n">
        <v>20840800</v>
      </c>
      <c r="M286" s="20" t="n">
        <v>20000</v>
      </c>
      <c r="O286" s="20" t="n">
        <v>20860800</v>
      </c>
    </row>
    <row r="287" ht="16.5" customHeight="1" s="17">
      <c r="B287" s="20" t="n">
        <v>44262</v>
      </c>
      <c r="C287" s="20" t="inlineStr">
        <is>
          <t>일</t>
        </is>
      </c>
      <c r="D287" s="20" t="n">
        <v>463</v>
      </c>
      <c r="E287" s="20" t="n">
        <v>8</v>
      </c>
      <c r="G287" s="20" t="n">
        <v>471</v>
      </c>
      <c r="J287" s="20" t="n">
        <v>44262</v>
      </c>
      <c r="K287" s="20" t="inlineStr">
        <is>
          <t>일</t>
        </is>
      </c>
      <c r="L287" s="20" t="n">
        <v>20206000</v>
      </c>
      <c r="M287" s="20" t="n">
        <v>16000</v>
      </c>
      <c r="O287" s="20" t="n">
        <v>20222000</v>
      </c>
    </row>
    <row r="288" ht="16.5" customHeight="1" s="17">
      <c r="B288" s="20" t="n">
        <v>44263</v>
      </c>
      <c r="C288" s="20" t="inlineStr">
        <is>
          <t>월</t>
        </is>
      </c>
      <c r="D288" s="20" t="n">
        <v>328</v>
      </c>
      <c r="E288" s="20" t="n">
        <v>8</v>
      </c>
      <c r="G288" s="20" t="n">
        <v>336</v>
      </c>
      <c r="J288" s="20" t="n">
        <v>44263</v>
      </c>
      <c r="K288" s="20" t="inlineStr">
        <is>
          <t>월</t>
        </is>
      </c>
      <c r="L288" s="20" t="n">
        <v>14475200</v>
      </c>
      <c r="M288" s="20" t="n">
        <v>16000</v>
      </c>
      <c r="O288" s="20" t="n">
        <v>14491200</v>
      </c>
    </row>
    <row r="289">
      <c r="B289" s="20" t="n">
        <v>44264</v>
      </c>
      <c r="C289" s="20" t="inlineStr">
        <is>
          <t>화</t>
        </is>
      </c>
      <c r="D289" s="20" t="n">
        <v>280</v>
      </c>
      <c r="E289" s="20" t="n">
        <v>6</v>
      </c>
      <c r="G289" s="20" t="n">
        <v>286</v>
      </c>
      <c r="J289" s="20" t="n">
        <v>44264</v>
      </c>
      <c r="K289" s="20" t="inlineStr">
        <is>
          <t>화</t>
        </is>
      </c>
      <c r="L289" s="20" t="n">
        <v>12223200</v>
      </c>
      <c r="M289" s="20" t="n">
        <v>12000</v>
      </c>
      <c r="O289" s="20" t="n">
        <v>12235200</v>
      </c>
    </row>
    <row r="290">
      <c r="B290" s="20" t="n">
        <v>44265</v>
      </c>
      <c r="C290" s="20" t="inlineStr">
        <is>
          <t>수</t>
        </is>
      </c>
      <c r="D290" s="20" t="n">
        <v>326</v>
      </c>
      <c r="E290" s="20" t="n">
        <v>8</v>
      </c>
      <c r="G290" s="20" t="n">
        <v>334</v>
      </c>
      <c r="J290" s="20" t="n">
        <v>44265</v>
      </c>
      <c r="K290" s="20" t="inlineStr">
        <is>
          <t>수</t>
        </is>
      </c>
      <c r="L290" s="20" t="n">
        <v>14556000</v>
      </c>
      <c r="M290" s="20" t="n">
        <v>16000</v>
      </c>
      <c r="O290" s="20" t="n">
        <v>14572000</v>
      </c>
    </row>
    <row r="291">
      <c r="B291" s="20" t="n">
        <v>44266</v>
      </c>
      <c r="C291" s="20" t="inlineStr">
        <is>
          <t>목</t>
        </is>
      </c>
      <c r="D291" s="20" t="n">
        <v>288</v>
      </c>
      <c r="E291" s="20" t="n">
        <v>7</v>
      </c>
      <c r="G291" s="20" t="n">
        <v>295</v>
      </c>
      <c r="J291" s="20" t="n">
        <v>44266</v>
      </c>
      <c r="K291" s="20" t="inlineStr">
        <is>
          <t>목</t>
        </is>
      </c>
      <c r="L291" s="20" t="n">
        <v>12594400</v>
      </c>
      <c r="M291" s="20" t="n">
        <v>14000</v>
      </c>
      <c r="O291" s="20" t="n">
        <v>12608400</v>
      </c>
    </row>
    <row r="292">
      <c r="B292" s="20" t="n">
        <v>44270</v>
      </c>
      <c r="C292" s="20" t="inlineStr">
        <is>
          <t>월</t>
        </is>
      </c>
      <c r="D292" s="20" t="n">
        <v>331</v>
      </c>
      <c r="E292" s="20" t="n">
        <v>11</v>
      </c>
      <c r="G292" s="20" t="n">
        <v>342</v>
      </c>
      <c r="J292" s="20" t="n">
        <v>44270</v>
      </c>
      <c r="K292" s="20" t="inlineStr">
        <is>
          <t>월</t>
        </is>
      </c>
      <c r="L292" s="20" t="n">
        <v>14254800</v>
      </c>
      <c r="M292" s="20" t="n">
        <v>22000</v>
      </c>
      <c r="O292" s="20" t="n">
        <v>14276800</v>
      </c>
    </row>
    <row r="293">
      <c r="B293" s="20" t="n">
        <v>44271</v>
      </c>
      <c r="C293" s="20" t="inlineStr">
        <is>
          <t>화</t>
        </is>
      </c>
      <c r="D293" s="20" t="n">
        <v>366</v>
      </c>
      <c r="E293" s="20" t="n">
        <v>8</v>
      </c>
      <c r="G293" s="20" t="n">
        <v>374</v>
      </c>
      <c r="J293" s="20" t="n">
        <v>44271</v>
      </c>
      <c r="K293" s="20" t="inlineStr">
        <is>
          <t>화</t>
        </is>
      </c>
      <c r="L293" s="20" t="n">
        <v>16806400</v>
      </c>
      <c r="M293" s="20" t="n">
        <v>16000</v>
      </c>
      <c r="O293" s="20" t="n">
        <v>16822400</v>
      </c>
    </row>
    <row r="294">
      <c r="B294" s="20" t="n">
        <v>44272</v>
      </c>
      <c r="C294" s="20" t="inlineStr">
        <is>
          <t>수</t>
        </is>
      </c>
      <c r="D294" s="20" t="n">
        <v>738</v>
      </c>
      <c r="E294" s="20" t="n">
        <v>8</v>
      </c>
      <c r="G294" s="20" t="n">
        <v>746</v>
      </c>
      <c r="J294" s="20" t="n">
        <v>44272</v>
      </c>
      <c r="K294" s="20" t="inlineStr">
        <is>
          <t>수</t>
        </is>
      </c>
      <c r="L294" s="20" t="n">
        <v>33068000</v>
      </c>
      <c r="M294" s="20" t="n">
        <v>16000</v>
      </c>
      <c r="O294" s="20" t="n">
        <v>33084000</v>
      </c>
    </row>
    <row r="295">
      <c r="B295" s="20" t="n">
        <v>44273</v>
      </c>
      <c r="C295" s="20" t="inlineStr">
        <is>
          <t>목</t>
        </is>
      </c>
      <c r="D295" s="20" t="n">
        <v>360</v>
      </c>
      <c r="E295" s="20" t="n">
        <v>8</v>
      </c>
      <c r="G295" s="20" t="n">
        <v>368</v>
      </c>
      <c r="J295" s="20" t="n">
        <v>44273</v>
      </c>
      <c r="K295" s="20" t="inlineStr">
        <is>
          <t>목</t>
        </is>
      </c>
      <c r="L295" s="20" t="n">
        <v>16392800</v>
      </c>
      <c r="M295" s="20" t="n">
        <v>16000</v>
      </c>
      <c r="O295" s="20" t="n">
        <v>16408800</v>
      </c>
    </row>
    <row r="296">
      <c r="B296" s="20" t="n">
        <v>44274</v>
      </c>
      <c r="C296" s="20" t="inlineStr">
        <is>
          <t>금</t>
        </is>
      </c>
      <c r="D296" s="20" t="n">
        <v>355</v>
      </c>
      <c r="E296" s="20" t="n">
        <v>5</v>
      </c>
      <c r="G296" s="20" t="n">
        <v>360</v>
      </c>
      <c r="J296" s="20" t="n">
        <v>44274</v>
      </c>
      <c r="K296" s="20" t="inlineStr">
        <is>
          <t>금</t>
        </is>
      </c>
      <c r="L296" s="20" t="n">
        <v>16166000</v>
      </c>
      <c r="M296" s="20" t="n">
        <v>10000</v>
      </c>
      <c r="O296" s="20" t="n">
        <v>16176000</v>
      </c>
    </row>
    <row r="297">
      <c r="B297" s="20" t="n">
        <v>44275</v>
      </c>
      <c r="C297" s="20" t="inlineStr">
        <is>
          <t>토</t>
        </is>
      </c>
      <c r="D297" s="20" t="n">
        <v>362</v>
      </c>
      <c r="E297" s="20" t="n">
        <v>7</v>
      </c>
      <c r="G297" s="20" t="n">
        <v>369</v>
      </c>
      <c r="J297" s="20" t="n">
        <v>44275</v>
      </c>
      <c r="K297" s="20" t="inlineStr">
        <is>
          <t>토</t>
        </is>
      </c>
      <c r="L297" s="20" t="n">
        <v>16431200</v>
      </c>
      <c r="M297" s="20" t="n">
        <v>14000</v>
      </c>
      <c r="O297" s="20" t="n">
        <v>16445200</v>
      </c>
    </row>
    <row r="298">
      <c r="B298" s="20" t="n">
        <v>44276</v>
      </c>
      <c r="C298" s="20" t="inlineStr">
        <is>
          <t>일</t>
        </is>
      </c>
      <c r="D298" s="20" t="n">
        <v>372</v>
      </c>
      <c r="E298" s="20" t="n">
        <v>4</v>
      </c>
      <c r="G298" s="20" t="n">
        <v>376</v>
      </c>
      <c r="J298" s="20" t="n">
        <v>44276</v>
      </c>
      <c r="K298" s="20" t="inlineStr">
        <is>
          <t>일</t>
        </is>
      </c>
      <c r="L298" s="20" t="n">
        <v>16591200</v>
      </c>
      <c r="M298" s="20" t="n">
        <v>8000</v>
      </c>
      <c r="O298" s="20" t="n">
        <v>16599200</v>
      </c>
    </row>
    <row r="299">
      <c r="B299" s="20" t="n">
        <v>44277</v>
      </c>
      <c r="C299" s="20" t="inlineStr">
        <is>
          <t>월</t>
        </is>
      </c>
      <c r="D299" s="20" t="n">
        <v>342</v>
      </c>
      <c r="E299" s="20" t="n">
        <v>11</v>
      </c>
      <c r="G299" s="20" t="n">
        <v>353</v>
      </c>
      <c r="J299" s="20" t="n">
        <v>44277</v>
      </c>
      <c r="K299" s="20" t="inlineStr">
        <is>
          <t>월</t>
        </is>
      </c>
      <c r="L299" s="20" t="n">
        <v>14876800</v>
      </c>
      <c r="M299" s="20" t="n">
        <v>22000</v>
      </c>
      <c r="O299" s="20" t="n">
        <v>14898800</v>
      </c>
    </row>
    <row r="300">
      <c r="B300" s="20" t="n">
        <v>44278</v>
      </c>
      <c r="C300" s="20" t="inlineStr">
        <is>
          <t>화</t>
        </is>
      </c>
      <c r="D300" s="20" t="n">
        <v>302</v>
      </c>
      <c r="E300" s="20" t="n">
        <v>4</v>
      </c>
      <c r="G300" s="20" t="n">
        <v>306</v>
      </c>
      <c r="J300" s="20" t="n">
        <v>44278</v>
      </c>
      <c r="K300" s="20" t="inlineStr">
        <is>
          <t>화</t>
        </is>
      </c>
      <c r="L300" s="20" t="n">
        <v>12946400</v>
      </c>
      <c r="M300" s="20" t="n">
        <v>8000</v>
      </c>
      <c r="O300" s="20" t="n">
        <v>12954400</v>
      </c>
    </row>
    <row r="301">
      <c r="B301" s="20" t="n">
        <v>44279</v>
      </c>
      <c r="C301" s="20" t="inlineStr">
        <is>
          <t>수</t>
        </is>
      </c>
      <c r="D301" s="20" t="n">
        <v>275</v>
      </c>
      <c r="E301" s="20" t="n">
        <v>9</v>
      </c>
      <c r="G301" s="20" t="n">
        <v>284</v>
      </c>
      <c r="J301" s="20" t="n">
        <v>44279</v>
      </c>
      <c r="K301" s="20" t="inlineStr">
        <is>
          <t>수</t>
        </is>
      </c>
      <c r="L301" s="20" t="n">
        <v>12226800</v>
      </c>
      <c r="M301" s="20" t="n">
        <v>18000</v>
      </c>
      <c r="O301" s="20" t="n">
        <v>12244800</v>
      </c>
    </row>
    <row r="302">
      <c r="B302" s="20" t="n">
        <v>44280</v>
      </c>
      <c r="C302" s="20" t="inlineStr">
        <is>
          <t>목</t>
        </is>
      </c>
      <c r="D302" s="20" t="n">
        <v>264</v>
      </c>
      <c r="E302" s="20" t="n">
        <v>7</v>
      </c>
      <c r="G302" s="20" t="n">
        <v>271</v>
      </c>
      <c r="J302" s="20" t="n">
        <v>44280</v>
      </c>
      <c r="K302" s="20" t="inlineStr">
        <is>
          <t>목</t>
        </is>
      </c>
      <c r="L302" s="20" t="n">
        <v>11803200</v>
      </c>
      <c r="M302" s="20" t="n">
        <v>14000</v>
      </c>
      <c r="O302" s="20" t="n">
        <v>11817200</v>
      </c>
    </row>
    <row r="303">
      <c r="B303" s="20" t="n">
        <v>44281</v>
      </c>
      <c r="C303" s="20" t="inlineStr">
        <is>
          <t>금</t>
        </is>
      </c>
      <c r="D303" s="20" t="n">
        <v>280</v>
      </c>
      <c r="E303" s="20" t="n">
        <v>2</v>
      </c>
      <c r="G303" s="20" t="n">
        <v>282</v>
      </c>
      <c r="J303" s="20" t="n">
        <v>44281</v>
      </c>
      <c r="K303" s="20" t="inlineStr">
        <is>
          <t>금</t>
        </is>
      </c>
      <c r="L303" s="20" t="n">
        <v>12049600</v>
      </c>
      <c r="M303" s="20" t="n">
        <v>4000</v>
      </c>
      <c r="O303" s="20" t="n">
        <v>12053600</v>
      </c>
    </row>
    <row r="304">
      <c r="B304" s="20" t="n">
        <v>44282</v>
      </c>
      <c r="C304" s="20" t="inlineStr">
        <is>
          <t>토</t>
        </is>
      </c>
      <c r="D304" s="20" t="n">
        <v>369</v>
      </c>
      <c r="E304" s="20" t="n">
        <v>8</v>
      </c>
      <c r="G304" s="20" t="n">
        <v>377</v>
      </c>
      <c r="J304" s="20" t="n">
        <v>44282</v>
      </c>
      <c r="K304" s="20" t="inlineStr">
        <is>
          <t>토</t>
        </is>
      </c>
      <c r="L304" s="20" t="n">
        <v>16638000</v>
      </c>
      <c r="M304" s="20" t="n">
        <v>16000</v>
      </c>
      <c r="O304" s="20" t="n">
        <v>16654000</v>
      </c>
    </row>
    <row r="305">
      <c r="B305" s="20" t="n">
        <v>44283</v>
      </c>
      <c r="C305" s="20" t="inlineStr">
        <is>
          <t>일</t>
        </is>
      </c>
      <c r="D305" s="20" t="n">
        <v>377</v>
      </c>
      <c r="E305" s="20" t="n">
        <v>7</v>
      </c>
      <c r="G305" s="20" t="n">
        <v>384</v>
      </c>
      <c r="J305" s="20" t="n">
        <v>44283</v>
      </c>
      <c r="K305" s="20" t="inlineStr">
        <is>
          <t>일</t>
        </is>
      </c>
      <c r="L305" s="20" t="n">
        <v>16810800</v>
      </c>
      <c r="M305" s="20" t="n">
        <v>14000</v>
      </c>
      <c r="O305" s="20" t="n">
        <v>16824800</v>
      </c>
    </row>
    <row r="306">
      <c r="B306" s="20" t="n">
        <v>44284</v>
      </c>
      <c r="C306" s="20" t="inlineStr">
        <is>
          <t>월</t>
        </is>
      </c>
      <c r="D306" s="20" t="n">
        <v>331</v>
      </c>
      <c r="E306" s="20" t="n">
        <v>11</v>
      </c>
      <c r="G306" s="20" t="n">
        <v>342</v>
      </c>
      <c r="J306" s="20" t="n">
        <v>44284</v>
      </c>
      <c r="K306" s="20" t="inlineStr">
        <is>
          <t>월</t>
        </is>
      </c>
      <c r="L306" s="20" t="n">
        <v>14205200</v>
      </c>
      <c r="M306" s="20" t="n">
        <v>22000</v>
      </c>
      <c r="O306" s="20" t="n">
        <v>14227200</v>
      </c>
    </row>
    <row r="307">
      <c r="B307" s="20" t="n">
        <v>44285</v>
      </c>
      <c r="C307" s="20" t="inlineStr">
        <is>
          <t>화</t>
        </is>
      </c>
      <c r="D307" s="20" t="n">
        <v>313</v>
      </c>
      <c r="E307" s="20" t="n">
        <v>4</v>
      </c>
      <c r="G307" s="20" t="n">
        <v>317</v>
      </c>
      <c r="J307" s="20" t="n">
        <v>44285</v>
      </c>
      <c r="K307" s="20" t="inlineStr">
        <is>
          <t>화</t>
        </is>
      </c>
      <c r="L307" s="20" t="n">
        <v>13717200</v>
      </c>
      <c r="M307" s="20" t="n">
        <v>8000</v>
      </c>
      <c r="O307" s="20" t="n">
        <v>13725200</v>
      </c>
    </row>
    <row r="308">
      <c r="B308" s="20" t="n">
        <v>44286</v>
      </c>
      <c r="C308" s="20" t="inlineStr">
        <is>
          <t>수</t>
        </is>
      </c>
      <c r="D308" s="20" t="n">
        <v>261</v>
      </c>
      <c r="E308" s="20" t="n">
        <v>5</v>
      </c>
      <c r="G308" s="20" t="n">
        <v>266</v>
      </c>
      <c r="J308" s="20" t="n">
        <v>44286</v>
      </c>
      <c r="K308" s="20" t="inlineStr">
        <is>
          <t>수</t>
        </is>
      </c>
      <c r="L308" s="20" t="n">
        <v>11378800</v>
      </c>
      <c r="M308" s="20" t="n">
        <v>10000</v>
      </c>
      <c r="O308" s="20" t="n">
        <v>11388800</v>
      </c>
    </row>
    <row r="309">
      <c r="B309" s="20" t="n">
        <v>44287</v>
      </c>
      <c r="C309" s="20" t="inlineStr">
        <is>
          <t>목</t>
        </is>
      </c>
      <c r="D309" s="20" t="n">
        <v>354</v>
      </c>
      <c r="E309" s="20" t="n">
        <v>8</v>
      </c>
      <c r="G309" s="20" t="n">
        <v>362</v>
      </c>
      <c r="J309" s="20" t="n">
        <v>44287</v>
      </c>
      <c r="K309" s="20" t="inlineStr">
        <is>
          <t>목</t>
        </is>
      </c>
      <c r="L309" s="20" t="n">
        <v>16227200</v>
      </c>
      <c r="M309" s="20" t="n">
        <v>16000</v>
      </c>
      <c r="O309" s="20" t="n">
        <v>16243200</v>
      </c>
    </row>
    <row r="310">
      <c r="B310" s="20" t="n">
        <v>44288</v>
      </c>
      <c r="C310" s="20" t="inlineStr">
        <is>
          <t>금</t>
        </is>
      </c>
      <c r="D310" s="20" t="n">
        <v>292</v>
      </c>
      <c r="E310" s="20" t="n">
        <v>5</v>
      </c>
      <c r="G310" s="20" t="n">
        <v>297</v>
      </c>
      <c r="J310" s="20" t="n">
        <v>44288</v>
      </c>
      <c r="K310" s="20" t="inlineStr">
        <is>
          <t>금</t>
        </is>
      </c>
      <c r="L310" s="20" t="n">
        <v>12804800</v>
      </c>
      <c r="M310" s="20" t="n">
        <v>10000</v>
      </c>
      <c r="O310" s="20" t="n">
        <v>12814800</v>
      </c>
    </row>
    <row r="311">
      <c r="B311" s="20" t="n">
        <v>44289</v>
      </c>
      <c r="C311" s="20" t="inlineStr">
        <is>
          <t>토</t>
        </is>
      </c>
      <c r="D311" s="20" t="n">
        <v>393</v>
      </c>
      <c r="E311" s="20" t="n">
        <v>5</v>
      </c>
      <c r="G311" s="20" t="n">
        <v>398</v>
      </c>
      <c r="J311" s="20" t="n">
        <v>44289</v>
      </c>
      <c r="K311" s="20" t="inlineStr">
        <is>
          <t>토</t>
        </is>
      </c>
      <c r="L311" s="20" t="n">
        <v>17999600</v>
      </c>
      <c r="M311" s="20" t="n">
        <v>10000</v>
      </c>
      <c r="O311" s="20" t="n">
        <v>18009600</v>
      </c>
    </row>
    <row r="312">
      <c r="B312" s="20" t="n">
        <v>44290</v>
      </c>
      <c r="C312" s="20" t="inlineStr">
        <is>
          <t>일</t>
        </is>
      </c>
      <c r="D312" s="20" t="n">
        <v>396</v>
      </c>
      <c r="E312" s="20" t="n">
        <v>10</v>
      </c>
      <c r="G312" s="20" t="n">
        <v>406</v>
      </c>
      <c r="J312" s="20" t="n">
        <v>44290</v>
      </c>
      <c r="K312" s="20" t="inlineStr">
        <is>
          <t>일</t>
        </is>
      </c>
      <c r="L312" s="20" t="n">
        <v>17779200</v>
      </c>
      <c r="M312" s="20" t="n">
        <v>20000</v>
      </c>
      <c r="O312" s="20" t="n">
        <v>17799200</v>
      </c>
    </row>
    <row r="313">
      <c r="B313" s="20" t="n">
        <v>44291</v>
      </c>
      <c r="C313" s="20" t="inlineStr">
        <is>
          <t>월</t>
        </is>
      </c>
      <c r="D313" s="20" t="n">
        <v>345</v>
      </c>
      <c r="E313" s="20" t="n">
        <v>6</v>
      </c>
      <c r="G313" s="20" t="n">
        <v>351</v>
      </c>
      <c r="J313" s="20" t="n">
        <v>44291</v>
      </c>
      <c r="K313" s="20" t="inlineStr">
        <is>
          <t>월</t>
        </is>
      </c>
      <c r="L313" s="20" t="n">
        <v>14929200</v>
      </c>
      <c r="M313" s="20" t="n">
        <v>12000</v>
      </c>
      <c r="O313" s="20" t="n">
        <v>14941200</v>
      </c>
    </row>
    <row r="314">
      <c r="B314" s="20" t="n">
        <v>44292</v>
      </c>
      <c r="C314" s="20" t="inlineStr">
        <is>
          <t>화</t>
        </is>
      </c>
      <c r="D314" s="20" t="n">
        <v>344</v>
      </c>
      <c r="E314" s="20" t="n">
        <v>9</v>
      </c>
      <c r="G314" s="20" t="n">
        <v>353</v>
      </c>
      <c r="J314" s="20" t="n">
        <v>44292</v>
      </c>
      <c r="K314" s="20" t="inlineStr">
        <is>
          <t>화</t>
        </is>
      </c>
      <c r="L314" s="20" t="n">
        <v>15292000</v>
      </c>
      <c r="M314" s="20" t="n">
        <v>18000</v>
      </c>
      <c r="O314" s="20" t="n">
        <v>15310000</v>
      </c>
    </row>
    <row r="315">
      <c r="B315" s="20" t="n">
        <v>44293</v>
      </c>
      <c r="C315" s="20" t="inlineStr">
        <is>
          <t>수</t>
        </is>
      </c>
      <c r="D315" s="20" t="n">
        <v>397</v>
      </c>
      <c r="E315" s="20" t="n">
        <v>11</v>
      </c>
      <c r="G315" s="20" t="n">
        <v>408</v>
      </c>
      <c r="J315" s="20" t="n">
        <v>44293</v>
      </c>
      <c r="K315" s="20" t="inlineStr">
        <is>
          <t>수</t>
        </is>
      </c>
      <c r="L315" s="20" t="n">
        <v>17366800</v>
      </c>
      <c r="M315" s="20" t="n">
        <v>22000</v>
      </c>
      <c r="O315" s="20" t="n">
        <v>17388800</v>
      </c>
    </row>
    <row r="316">
      <c r="B316" s="20" t="n">
        <v>44294</v>
      </c>
      <c r="C316" s="20" t="inlineStr">
        <is>
          <t>목</t>
        </is>
      </c>
      <c r="D316" s="20" t="n">
        <v>359</v>
      </c>
      <c r="E316" s="20" t="n">
        <v>9</v>
      </c>
      <c r="G316" s="20" t="n">
        <v>368</v>
      </c>
      <c r="J316" s="20" t="n">
        <v>44294</v>
      </c>
      <c r="K316" s="20" t="inlineStr">
        <is>
          <t>목</t>
        </is>
      </c>
      <c r="L316" s="20" t="n">
        <v>16174000</v>
      </c>
      <c r="M316" s="20" t="n">
        <v>18000</v>
      </c>
      <c r="O316" s="20" t="n">
        <v>16192000</v>
      </c>
    </row>
    <row r="317">
      <c r="B317" s="20" t="n">
        <v>44295</v>
      </c>
      <c r="C317" s="20" t="inlineStr">
        <is>
          <t>금</t>
        </is>
      </c>
      <c r="D317" s="20" t="n">
        <v>372</v>
      </c>
      <c r="E317" s="20" t="n">
        <v>9</v>
      </c>
      <c r="G317" s="20" t="n">
        <v>381</v>
      </c>
      <c r="J317" s="20" t="n">
        <v>44295</v>
      </c>
      <c r="K317" s="20" t="inlineStr">
        <is>
          <t>금</t>
        </is>
      </c>
      <c r="L317" s="20" t="n">
        <v>16616000</v>
      </c>
      <c r="M317" s="20" t="n">
        <v>18000</v>
      </c>
      <c r="O317" s="20" t="n">
        <v>16634000</v>
      </c>
    </row>
    <row r="318">
      <c r="B318" s="20" t="n">
        <v>44296</v>
      </c>
      <c r="C318" s="20" t="inlineStr">
        <is>
          <t>토</t>
        </is>
      </c>
      <c r="D318" s="20" t="n">
        <v>409</v>
      </c>
      <c r="E318" s="20" t="n">
        <v>4</v>
      </c>
      <c r="G318" s="20" t="n">
        <v>413</v>
      </c>
      <c r="J318" s="20" t="n">
        <v>44296</v>
      </c>
      <c r="K318" s="20" t="inlineStr">
        <is>
          <t>토</t>
        </is>
      </c>
      <c r="L318" s="20" t="n">
        <v>18146800</v>
      </c>
      <c r="M318" s="20" t="n">
        <v>8000</v>
      </c>
      <c r="O318" s="20" t="n">
        <v>18154800</v>
      </c>
    </row>
    <row r="319">
      <c r="B319" s="20" t="n">
        <v>44297</v>
      </c>
      <c r="C319" s="20" t="inlineStr">
        <is>
          <t>일</t>
        </is>
      </c>
      <c r="D319" s="20" t="n">
        <v>408</v>
      </c>
      <c r="E319" s="20" t="n">
        <v>8</v>
      </c>
      <c r="G319" s="20" t="n">
        <v>416</v>
      </c>
      <c r="J319" s="20" t="n">
        <v>44297</v>
      </c>
      <c r="K319" s="20" t="inlineStr">
        <is>
          <t>일</t>
        </is>
      </c>
      <c r="L319" s="20" t="n">
        <v>18484800</v>
      </c>
      <c r="M319" s="20" t="n">
        <v>16000</v>
      </c>
      <c r="O319" s="20" t="n">
        <v>18500800</v>
      </c>
    </row>
    <row r="320">
      <c r="B320" s="20" t="n">
        <v>44298</v>
      </c>
      <c r="C320" s="20" t="inlineStr">
        <is>
          <t>월</t>
        </is>
      </c>
      <c r="D320" s="20" t="n">
        <v>406</v>
      </c>
      <c r="E320" s="20" t="n">
        <v>8</v>
      </c>
      <c r="G320" s="20" t="n">
        <v>414</v>
      </c>
      <c r="J320" s="20" t="n">
        <v>44298</v>
      </c>
      <c r="K320" s="20" t="inlineStr">
        <is>
          <t>월</t>
        </is>
      </c>
      <c r="L320" s="20" t="n">
        <v>18044800</v>
      </c>
      <c r="M320" s="20" t="n">
        <v>16000</v>
      </c>
      <c r="O320" s="20" t="n">
        <v>18060800</v>
      </c>
    </row>
    <row r="321">
      <c r="B321" s="20" t="n">
        <v>44299</v>
      </c>
      <c r="C321" s="20" t="inlineStr">
        <is>
          <t>화</t>
        </is>
      </c>
      <c r="D321" s="20" t="n">
        <v>371</v>
      </c>
      <c r="E321" s="20" t="n">
        <v>6</v>
      </c>
      <c r="G321" s="20" t="n">
        <v>377</v>
      </c>
      <c r="J321" s="20" t="n">
        <v>44299</v>
      </c>
      <c r="K321" s="20" t="inlineStr">
        <is>
          <t>화</t>
        </is>
      </c>
      <c r="L321" s="20" t="n">
        <v>16606800</v>
      </c>
      <c r="M321" s="20" t="n">
        <v>12000</v>
      </c>
      <c r="O321" s="20" t="n">
        <v>16618800</v>
      </c>
    </row>
    <row r="322">
      <c r="B322" s="20" t="n">
        <v>44300</v>
      </c>
      <c r="C322" s="20" t="inlineStr">
        <is>
          <t>수</t>
        </is>
      </c>
      <c r="D322" s="20" t="n">
        <v>360</v>
      </c>
      <c r="E322" s="20" t="n">
        <v>6</v>
      </c>
      <c r="G322" s="20" t="n">
        <v>366</v>
      </c>
      <c r="J322" s="20" t="n">
        <v>44300</v>
      </c>
      <c r="K322" s="20" t="inlineStr">
        <is>
          <t>수</t>
        </is>
      </c>
      <c r="L322" s="20" t="n">
        <v>15860800</v>
      </c>
      <c r="M322" s="20" t="n">
        <v>12000</v>
      </c>
      <c r="O322" s="20" t="n">
        <v>15872800</v>
      </c>
    </row>
    <row r="323">
      <c r="B323" s="20" t="n">
        <v>44301</v>
      </c>
      <c r="C323" s="20" t="inlineStr">
        <is>
          <t>목</t>
        </is>
      </c>
      <c r="D323" s="20" t="n">
        <v>327</v>
      </c>
      <c r="E323" s="20" t="n">
        <v>6</v>
      </c>
      <c r="G323" s="20" t="n">
        <v>333</v>
      </c>
      <c r="J323" s="20" t="n">
        <v>44301</v>
      </c>
      <c r="K323" s="20" t="inlineStr">
        <is>
          <t>목</t>
        </is>
      </c>
      <c r="L323" s="20" t="n">
        <v>14292400</v>
      </c>
      <c r="M323" s="20" t="n">
        <v>12000</v>
      </c>
      <c r="O323" s="20" t="n">
        <v>14304400</v>
      </c>
    </row>
    <row r="324">
      <c r="B324" s="20" t="n">
        <v>44302</v>
      </c>
      <c r="C324" s="20" t="inlineStr">
        <is>
          <t>금</t>
        </is>
      </c>
      <c r="D324" s="20" t="n">
        <v>406</v>
      </c>
      <c r="E324" s="20" t="n">
        <v>9</v>
      </c>
      <c r="G324" s="20" t="n">
        <v>415</v>
      </c>
      <c r="J324" s="20" t="n">
        <v>44302</v>
      </c>
      <c r="K324" s="20" t="inlineStr">
        <is>
          <t>금</t>
        </is>
      </c>
      <c r="L324" s="20" t="n">
        <v>17821600</v>
      </c>
      <c r="M324" s="20" t="n">
        <v>18000</v>
      </c>
      <c r="O324" s="20" t="n">
        <v>17839600</v>
      </c>
    </row>
    <row r="325">
      <c r="B325" s="20" t="n">
        <v>44303</v>
      </c>
      <c r="C325" s="20" t="inlineStr">
        <is>
          <t>토</t>
        </is>
      </c>
      <c r="D325" s="20" t="n">
        <v>385</v>
      </c>
      <c r="E325" s="20" t="n">
        <v>6</v>
      </c>
      <c r="G325" s="20" t="n">
        <v>391</v>
      </c>
      <c r="J325" s="20" t="n">
        <v>44303</v>
      </c>
      <c r="K325" s="20" t="inlineStr">
        <is>
          <t>토</t>
        </is>
      </c>
      <c r="L325" s="20" t="n">
        <v>17405200</v>
      </c>
      <c r="M325" s="20" t="n">
        <v>12000</v>
      </c>
      <c r="O325" s="20" t="n">
        <v>17417200</v>
      </c>
    </row>
    <row r="326">
      <c r="B326" s="20" t="n">
        <v>44304</v>
      </c>
      <c r="C326" s="20" t="inlineStr">
        <is>
          <t>일</t>
        </is>
      </c>
      <c r="D326" s="20" t="n">
        <v>379</v>
      </c>
      <c r="E326" s="20" t="n">
        <v>7</v>
      </c>
      <c r="G326" s="20" t="n">
        <v>386</v>
      </c>
      <c r="J326" s="20" t="n">
        <v>44304</v>
      </c>
      <c r="K326" s="20" t="inlineStr">
        <is>
          <t>일</t>
        </is>
      </c>
      <c r="L326" s="20" t="n">
        <v>17226000</v>
      </c>
      <c r="M326" s="20" t="n">
        <v>14000</v>
      </c>
      <c r="O326" s="20" t="n">
        <v>17240000</v>
      </c>
    </row>
    <row r="327">
      <c r="B327" s="20" t="n">
        <v>44305</v>
      </c>
      <c r="C327" s="20" t="inlineStr">
        <is>
          <t>월</t>
        </is>
      </c>
      <c r="D327" s="20" t="n">
        <v>384</v>
      </c>
      <c r="E327" s="20" t="n">
        <v>7</v>
      </c>
      <c r="G327" s="20" t="n">
        <v>391</v>
      </c>
      <c r="J327" s="20" t="n">
        <v>44305</v>
      </c>
      <c r="K327" s="20" t="inlineStr">
        <is>
          <t>월</t>
        </is>
      </c>
      <c r="L327" s="20" t="n">
        <v>17098400</v>
      </c>
      <c r="M327" s="20" t="n">
        <v>14000</v>
      </c>
      <c r="O327" s="20" t="n">
        <v>17112400</v>
      </c>
    </row>
    <row r="328">
      <c r="B328" s="20" t="n">
        <v>44306</v>
      </c>
      <c r="C328" s="20" t="inlineStr">
        <is>
          <t>화</t>
        </is>
      </c>
      <c r="D328" s="20" t="n">
        <v>369</v>
      </c>
      <c r="E328" s="20" t="n">
        <v>8</v>
      </c>
      <c r="G328" s="20" t="n">
        <v>377</v>
      </c>
      <c r="J328" s="20" t="n">
        <v>44306</v>
      </c>
      <c r="K328" s="20" t="inlineStr">
        <is>
          <t>화</t>
        </is>
      </c>
      <c r="L328" s="20" t="n">
        <v>16464400</v>
      </c>
      <c r="M328" s="20" t="n">
        <v>16000</v>
      </c>
      <c r="O328" s="20" t="n">
        <v>16480400</v>
      </c>
    </row>
    <row r="329">
      <c r="B329" s="20" t="n">
        <v>44307</v>
      </c>
      <c r="C329" s="20" t="inlineStr">
        <is>
          <t>수</t>
        </is>
      </c>
      <c r="D329" s="20" t="n">
        <v>366</v>
      </c>
      <c r="E329" s="20" t="n">
        <v>11</v>
      </c>
      <c r="G329" s="20" t="n">
        <v>377</v>
      </c>
      <c r="J329" s="20" t="n">
        <v>44307</v>
      </c>
      <c r="K329" s="20" t="inlineStr">
        <is>
          <t>수</t>
        </is>
      </c>
      <c r="L329" s="20" t="n">
        <v>16908000</v>
      </c>
      <c r="M329" s="20" t="n">
        <v>22000</v>
      </c>
      <c r="O329" s="20" t="n">
        <v>16930000</v>
      </c>
    </row>
    <row r="330">
      <c r="B330" s="20" t="n">
        <v>44308</v>
      </c>
      <c r="C330" s="20" t="inlineStr">
        <is>
          <t>목</t>
        </is>
      </c>
      <c r="D330" s="20" t="n">
        <v>307</v>
      </c>
      <c r="E330" s="20" t="n">
        <v>5</v>
      </c>
      <c r="G330" s="20" t="n">
        <v>312</v>
      </c>
      <c r="J330" s="20" t="n">
        <v>44308</v>
      </c>
      <c r="K330" s="20" t="inlineStr">
        <is>
          <t>목</t>
        </is>
      </c>
      <c r="L330" s="20" t="n">
        <v>13934800</v>
      </c>
      <c r="M330" s="20" t="n">
        <v>10000</v>
      </c>
      <c r="O330" s="20" t="n">
        <v>13944800</v>
      </c>
    </row>
    <row r="331">
      <c r="B331" s="20" t="n">
        <v>44309</v>
      </c>
      <c r="C331" s="20" t="inlineStr">
        <is>
          <t>금</t>
        </is>
      </c>
      <c r="D331" s="20" t="n">
        <v>306</v>
      </c>
      <c r="E331" s="20" t="n">
        <v>3</v>
      </c>
      <c r="G331" s="20" t="n">
        <v>309</v>
      </c>
      <c r="J331" s="20" t="n">
        <v>44309</v>
      </c>
      <c r="K331" s="20" t="inlineStr">
        <is>
          <t>금</t>
        </is>
      </c>
      <c r="L331" s="20" t="n">
        <v>13826400</v>
      </c>
      <c r="M331" s="20" t="n">
        <v>6000</v>
      </c>
      <c r="O331" s="20" t="n">
        <v>13832400</v>
      </c>
    </row>
    <row r="332">
      <c r="B332" s="20" t="n">
        <v>44310</v>
      </c>
      <c r="C332" s="20" t="inlineStr">
        <is>
          <t>토</t>
        </is>
      </c>
      <c r="D332" s="20" t="n">
        <v>350</v>
      </c>
      <c r="E332" s="20" t="n">
        <v>5</v>
      </c>
      <c r="G332" s="20" t="n">
        <v>355</v>
      </c>
      <c r="J332" s="20" t="n">
        <v>44310</v>
      </c>
      <c r="K332" s="20" t="inlineStr">
        <is>
          <t>토</t>
        </is>
      </c>
      <c r="L332" s="20" t="n">
        <v>16562400</v>
      </c>
      <c r="M332" s="20" t="n">
        <v>10000</v>
      </c>
      <c r="O332" s="20" t="n">
        <v>16572400</v>
      </c>
    </row>
    <row r="333">
      <c r="B333" s="20" t="n">
        <v>44311</v>
      </c>
      <c r="C333" s="20" t="inlineStr">
        <is>
          <t>일</t>
        </is>
      </c>
      <c r="D333" s="20" t="n">
        <v>398</v>
      </c>
      <c r="E333" s="20" t="n">
        <v>10</v>
      </c>
      <c r="G333" s="20" t="n">
        <v>408</v>
      </c>
      <c r="J333" s="20" t="n">
        <v>44311</v>
      </c>
      <c r="K333" s="20" t="inlineStr">
        <is>
          <t>일</t>
        </is>
      </c>
      <c r="L333" s="20" t="n">
        <v>18268800</v>
      </c>
      <c r="M333" s="20" t="n">
        <v>20000</v>
      </c>
      <c r="O333" s="20" t="n">
        <v>18288800</v>
      </c>
    </row>
    <row r="334">
      <c r="B334" s="20" t="n">
        <v>44312</v>
      </c>
      <c r="C334" s="20" t="inlineStr">
        <is>
          <t>월</t>
        </is>
      </c>
      <c r="D334" s="20" t="n">
        <v>347</v>
      </c>
      <c r="E334" s="20" t="n">
        <v>6</v>
      </c>
      <c r="G334" s="20" t="n">
        <v>353</v>
      </c>
      <c r="J334" s="20" t="n">
        <v>44312</v>
      </c>
      <c r="K334" s="20" t="inlineStr">
        <is>
          <t>월</t>
        </is>
      </c>
      <c r="L334" s="20" t="n">
        <v>15691600</v>
      </c>
      <c r="M334" s="20" t="n">
        <v>12000</v>
      </c>
      <c r="O334" s="20" t="n">
        <v>15703600</v>
      </c>
    </row>
    <row r="335">
      <c r="B335" s="20" t="n">
        <v>44313</v>
      </c>
      <c r="C335" s="20" t="inlineStr">
        <is>
          <t>화</t>
        </is>
      </c>
      <c r="D335" s="20" t="n">
        <v>372</v>
      </c>
      <c r="E335" s="20" t="n">
        <v>6</v>
      </c>
      <c r="G335" s="20" t="n">
        <v>378</v>
      </c>
      <c r="J335" s="20" t="n">
        <v>44313</v>
      </c>
      <c r="K335" s="20" t="inlineStr">
        <is>
          <t>화</t>
        </is>
      </c>
      <c r="L335" s="20" t="n">
        <v>16938400</v>
      </c>
      <c r="M335" s="20" t="n">
        <v>12000</v>
      </c>
      <c r="O335" s="20" t="n">
        <v>16950400</v>
      </c>
    </row>
    <row r="336">
      <c r="B336" s="20" t="n">
        <v>44314</v>
      </c>
      <c r="C336" s="20" t="inlineStr">
        <is>
          <t>수</t>
        </is>
      </c>
      <c r="D336" s="20" t="n">
        <v>360</v>
      </c>
      <c r="E336" s="20" t="n">
        <v>5</v>
      </c>
      <c r="G336" s="20" t="n">
        <v>365</v>
      </c>
      <c r="J336" s="20" t="n">
        <v>44314</v>
      </c>
      <c r="K336" s="20" t="inlineStr">
        <is>
          <t>수</t>
        </is>
      </c>
      <c r="L336" s="20" t="n">
        <v>15935200</v>
      </c>
      <c r="M336" s="20" t="n">
        <v>10000</v>
      </c>
      <c r="O336" s="20" t="n">
        <v>15945200</v>
      </c>
    </row>
    <row r="337">
      <c r="B337" s="20" t="n">
        <v>44315</v>
      </c>
      <c r="C337" s="20" t="inlineStr">
        <is>
          <t>목</t>
        </is>
      </c>
      <c r="D337" s="20" t="n">
        <v>327</v>
      </c>
      <c r="E337" s="20" t="n">
        <v>5</v>
      </c>
      <c r="G337" s="20" t="n">
        <v>332</v>
      </c>
      <c r="J337" s="20" t="n">
        <v>44315</v>
      </c>
      <c r="K337" s="20" t="inlineStr">
        <is>
          <t>목</t>
        </is>
      </c>
      <c r="L337" s="20" t="n">
        <v>14614800</v>
      </c>
      <c r="M337" s="20" t="n">
        <v>10000</v>
      </c>
      <c r="O337" s="20" t="n">
        <v>14624800</v>
      </c>
    </row>
    <row r="338">
      <c r="B338" s="20" t="n">
        <v>44316</v>
      </c>
      <c r="C338" s="20" t="inlineStr">
        <is>
          <t>금</t>
        </is>
      </c>
      <c r="D338" s="20" t="n">
        <v>345</v>
      </c>
      <c r="E338" s="20" t="n">
        <v>4</v>
      </c>
      <c r="G338" s="20" t="n">
        <v>349</v>
      </c>
      <c r="J338" s="20" t="n">
        <v>44316</v>
      </c>
      <c r="K338" s="20" t="inlineStr">
        <is>
          <t>금</t>
        </is>
      </c>
      <c r="L338" s="20" t="n">
        <v>15102800</v>
      </c>
      <c r="M338" s="20" t="n">
        <v>8000</v>
      </c>
      <c r="O338" s="20" t="n">
        <v>15110800</v>
      </c>
    </row>
    <row r="339">
      <c r="B339" s="20" t="n">
        <v>44317</v>
      </c>
      <c r="C339" s="20" t="inlineStr">
        <is>
          <t>토</t>
        </is>
      </c>
      <c r="D339" s="20" t="n">
        <v>515</v>
      </c>
      <c r="E339" s="20" t="n">
        <v>8</v>
      </c>
      <c r="G339" s="20" t="n">
        <v>523</v>
      </c>
      <c r="J339" s="20" t="n">
        <v>44317</v>
      </c>
      <c r="K339" s="20" t="inlineStr">
        <is>
          <t>토</t>
        </is>
      </c>
      <c r="L339" s="20" t="n">
        <v>23114800</v>
      </c>
      <c r="M339" s="20" t="n">
        <v>16000</v>
      </c>
      <c r="O339" s="20" t="n">
        <v>23130800</v>
      </c>
    </row>
    <row r="340">
      <c r="B340" s="20" t="n">
        <v>44318</v>
      </c>
      <c r="C340" s="20" t="inlineStr">
        <is>
          <t>일</t>
        </is>
      </c>
      <c r="D340" s="20" t="n">
        <v>495</v>
      </c>
      <c r="E340" s="20" t="n">
        <v>15</v>
      </c>
      <c r="G340" s="20" t="n">
        <v>510</v>
      </c>
      <c r="J340" s="20" t="n">
        <v>44318</v>
      </c>
      <c r="K340" s="20" t="inlineStr">
        <is>
          <t>일</t>
        </is>
      </c>
      <c r="L340" s="20" t="n">
        <v>22434800</v>
      </c>
      <c r="M340" s="20" t="n">
        <v>30000</v>
      </c>
      <c r="O340" s="20" t="n">
        <v>22464800</v>
      </c>
    </row>
    <row r="341">
      <c r="B341" s="20" t="n">
        <v>44319</v>
      </c>
      <c r="C341" s="20" t="inlineStr">
        <is>
          <t>월</t>
        </is>
      </c>
      <c r="D341" s="20" t="n">
        <v>376</v>
      </c>
      <c r="E341" s="20" t="n">
        <v>16</v>
      </c>
      <c r="G341" s="20" t="n">
        <v>392</v>
      </c>
      <c r="J341" s="20" t="n">
        <v>44319</v>
      </c>
      <c r="K341" s="20" t="inlineStr">
        <is>
          <t>월</t>
        </is>
      </c>
      <c r="L341" s="20" t="n">
        <v>16801600</v>
      </c>
      <c r="M341" s="20" t="n">
        <v>32000</v>
      </c>
      <c r="O341" s="20" t="n">
        <v>16833600</v>
      </c>
    </row>
    <row r="342">
      <c r="B342" s="20" t="n">
        <v>44320</v>
      </c>
      <c r="C342" s="20" t="inlineStr">
        <is>
          <t>화</t>
        </is>
      </c>
      <c r="D342" s="20" t="n">
        <v>350</v>
      </c>
      <c r="E342" s="20" t="n">
        <v>12</v>
      </c>
      <c r="G342" s="20" t="n">
        <v>362</v>
      </c>
      <c r="J342" s="20" t="n">
        <v>44320</v>
      </c>
      <c r="K342" s="20" t="inlineStr">
        <is>
          <t>화</t>
        </is>
      </c>
      <c r="L342" s="20" t="n">
        <v>16091200</v>
      </c>
      <c r="M342" s="20" t="n">
        <v>24000</v>
      </c>
      <c r="O342" s="20" t="n">
        <v>16115200</v>
      </c>
    </row>
    <row r="343">
      <c r="B343" s="20" t="n">
        <v>44321</v>
      </c>
      <c r="C343" s="20" t="inlineStr">
        <is>
          <t>수</t>
        </is>
      </c>
      <c r="D343" s="20" t="n">
        <v>392</v>
      </c>
      <c r="E343" s="20" t="n">
        <v>4</v>
      </c>
      <c r="G343" s="20" t="n">
        <v>396</v>
      </c>
      <c r="J343" s="20" t="n">
        <v>44321</v>
      </c>
      <c r="K343" s="20" t="inlineStr">
        <is>
          <t>수</t>
        </is>
      </c>
      <c r="L343" s="20" t="n">
        <v>17965600</v>
      </c>
      <c r="M343" s="20" t="n">
        <v>8000</v>
      </c>
      <c r="O343" s="20" t="n">
        <v>17973600</v>
      </c>
    </row>
    <row r="344">
      <c r="B344" s="20" t="n">
        <v>44322</v>
      </c>
      <c r="C344" s="20" t="inlineStr">
        <is>
          <t>목</t>
        </is>
      </c>
      <c r="D344" s="20" t="n">
        <v>390</v>
      </c>
      <c r="E344" s="20" t="n">
        <v>16</v>
      </c>
      <c r="G344" s="20" t="n">
        <v>406</v>
      </c>
      <c r="J344" s="20" t="n">
        <v>44322</v>
      </c>
      <c r="K344" s="20" t="inlineStr">
        <is>
          <t>목</t>
        </is>
      </c>
      <c r="L344" s="20" t="n">
        <v>17401600</v>
      </c>
      <c r="M344" s="20" t="n">
        <v>32000</v>
      </c>
      <c r="O344" s="20" t="n">
        <v>17433600</v>
      </c>
    </row>
    <row r="345">
      <c r="B345" s="20" t="n">
        <v>44323</v>
      </c>
      <c r="C345" s="20" t="inlineStr">
        <is>
          <t>금</t>
        </is>
      </c>
      <c r="D345" s="20" t="n">
        <v>326</v>
      </c>
      <c r="E345" s="20" t="n">
        <v>10</v>
      </c>
      <c r="G345" s="20" t="n">
        <v>336</v>
      </c>
      <c r="J345" s="20" t="n">
        <v>44323</v>
      </c>
      <c r="K345" s="20" t="inlineStr">
        <is>
          <t>금</t>
        </is>
      </c>
      <c r="L345" s="20" t="n">
        <v>14592000</v>
      </c>
      <c r="M345" s="20" t="n">
        <v>20000</v>
      </c>
      <c r="O345" s="20" t="n">
        <v>14612000</v>
      </c>
    </row>
    <row r="346">
      <c r="B346" s="20" t="n">
        <v>44324</v>
      </c>
      <c r="C346" s="20" t="inlineStr">
        <is>
          <t>토</t>
        </is>
      </c>
      <c r="D346" s="20" t="n">
        <v>387</v>
      </c>
      <c r="E346" s="20" t="n">
        <v>9</v>
      </c>
      <c r="G346" s="20" t="n">
        <v>396</v>
      </c>
      <c r="J346" s="20" t="n">
        <v>44324</v>
      </c>
      <c r="K346" s="20" t="inlineStr">
        <is>
          <t>토</t>
        </is>
      </c>
      <c r="L346" s="20" t="n">
        <v>17473200</v>
      </c>
      <c r="M346" s="20" t="n">
        <v>18000</v>
      </c>
      <c r="O346" s="20" t="n">
        <v>17491200</v>
      </c>
    </row>
    <row r="347">
      <c r="B347" s="20" t="n">
        <v>44325</v>
      </c>
      <c r="C347" s="20" t="inlineStr">
        <is>
          <t>일</t>
        </is>
      </c>
      <c r="D347" s="20" t="n">
        <v>420</v>
      </c>
      <c r="E347" s="20" t="n">
        <v>13</v>
      </c>
      <c r="G347" s="20" t="n">
        <v>433</v>
      </c>
      <c r="J347" s="20" t="n">
        <v>44325</v>
      </c>
      <c r="K347" s="20" t="inlineStr">
        <is>
          <t>일</t>
        </is>
      </c>
      <c r="L347" s="20" t="n">
        <v>18744000</v>
      </c>
      <c r="M347" s="20" t="n">
        <v>26000</v>
      </c>
      <c r="O347" s="20" t="n">
        <v>18770000</v>
      </c>
    </row>
    <row r="348">
      <c r="B348" s="20" t="n">
        <v>44326</v>
      </c>
      <c r="C348" s="20" t="inlineStr">
        <is>
          <t>월</t>
        </is>
      </c>
      <c r="D348" s="20" t="n">
        <v>379</v>
      </c>
      <c r="E348" s="20" t="n">
        <v>11</v>
      </c>
      <c r="G348" s="20" t="n">
        <v>390</v>
      </c>
      <c r="J348" s="20" t="n">
        <v>44326</v>
      </c>
      <c r="K348" s="20" t="inlineStr">
        <is>
          <t>월</t>
        </is>
      </c>
      <c r="L348" s="20" t="n">
        <v>16705200</v>
      </c>
      <c r="M348" s="20" t="n">
        <v>22000</v>
      </c>
      <c r="O348" s="20" t="n">
        <v>16727200</v>
      </c>
    </row>
    <row r="349">
      <c r="B349" s="20" t="n">
        <v>44327</v>
      </c>
      <c r="C349" s="20" t="inlineStr">
        <is>
          <t>화</t>
        </is>
      </c>
      <c r="D349" s="20" t="n">
        <v>400</v>
      </c>
      <c r="E349" s="20" t="n">
        <v>3</v>
      </c>
      <c r="G349" s="20" t="n">
        <v>403</v>
      </c>
      <c r="J349" s="20" t="n">
        <v>44327</v>
      </c>
      <c r="K349" s="20" t="inlineStr">
        <is>
          <t>화</t>
        </is>
      </c>
      <c r="L349" s="20" t="n">
        <v>18188000</v>
      </c>
      <c r="M349" s="20" t="n">
        <v>6000</v>
      </c>
      <c r="O349" s="20" t="n">
        <v>18194000</v>
      </c>
    </row>
    <row r="350">
      <c r="B350" s="20" t="inlineStr">
        <is>
          <t>총합계</t>
        </is>
      </c>
      <c r="C350" s="20" t="n"/>
      <c r="D350" s="20" t="n">
        <v>96124</v>
      </c>
      <c r="E350" s="20" t="n">
        <v>1631</v>
      </c>
      <c r="F350" s="20" t="n">
        <v>1</v>
      </c>
      <c r="G350" s="20" t="n">
        <v>97756</v>
      </c>
      <c r="J350" s="20" t="inlineStr">
        <is>
          <t>총합계</t>
        </is>
      </c>
      <c r="L350" s="20" t="e">
        <v>#N/A</v>
      </c>
      <c r="M350" s="20" t="e">
        <v>#N/A</v>
      </c>
      <c r="N350" s="20" t="n">
        <v>0</v>
      </c>
      <c r="O350" s="20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B1:R240"/>
  <sheetViews>
    <sheetView showGridLines="0" zoomScale="70" zoomScaleNormal="70" workbookViewId="0">
      <selection activeCell="F30" sqref="F30"/>
    </sheetView>
  </sheetViews>
  <sheetFormatPr baseColWidth="8" defaultRowHeight="17.4"/>
  <cols>
    <col width="1.59765625" customWidth="1" style="17" min="1" max="1"/>
    <col width="15.09765625" bestFit="1" customWidth="1" style="17" min="2" max="2"/>
    <col width="14" bestFit="1" customWidth="1" style="2" min="3" max="3"/>
    <col width="8.09765625" bestFit="1" customWidth="1" style="17" min="4" max="4"/>
    <col width="14.59765625" bestFit="1" customWidth="1" style="17" min="5" max="7"/>
    <col width="7.09765625" bestFit="1" customWidth="1" style="17" min="8" max="8"/>
    <col width="20.59765625" bestFit="1" customWidth="1" style="17" min="9" max="9"/>
    <col width="7.59765625" bestFit="1" customWidth="1" style="17" min="10" max="10"/>
    <col width="20.59765625" bestFit="1" customWidth="1" style="17" min="11" max="13"/>
    <col width="8.59765625" bestFit="1" customWidth="1" style="17" min="14" max="14"/>
    <col width="8" customWidth="1" style="17" min="15" max="15"/>
    <col width="18.09765625" bestFit="1" customWidth="1" style="17" min="16" max="16"/>
    <col width="14" bestFit="1" customWidth="1" style="17" min="17" max="17"/>
    <col width="8.09765625" bestFit="1" customWidth="1" style="17" min="18" max="18"/>
    <col width="14.59765625" bestFit="1" customWidth="1" style="17" min="19" max="21"/>
    <col width="14" bestFit="1" customWidth="1" style="17" min="22" max="22"/>
    <col width="20.59765625" bestFit="1" customWidth="1" style="17" min="23" max="23"/>
    <col width="13.59765625" bestFit="1" customWidth="1" style="17" min="24" max="24"/>
    <col width="20.59765625" bestFit="1" customWidth="1" style="17" min="25" max="27"/>
    <col width="13.59765625" bestFit="1" customWidth="1" style="17" min="28" max="28"/>
    <col width="36.09765625" bestFit="1" customWidth="1" style="17" min="29" max="37"/>
    <col width="33.09765625" bestFit="1" customWidth="1" style="17" min="38" max="38"/>
    <col width="31.09765625" bestFit="1" customWidth="1" style="17" min="39" max="39"/>
    <col width="20.09765625" bestFit="1" customWidth="1" style="17" min="40" max="40"/>
    <col width="18" bestFit="1" customWidth="1" style="17" min="41" max="41"/>
    <col width="30.59765625" bestFit="1" customWidth="1" style="17" min="42" max="43"/>
    <col width="24.09765625" bestFit="1" customWidth="1" style="17" min="44" max="44"/>
    <col width="22.09765625" bestFit="1" customWidth="1" style="17" min="45" max="45"/>
    <col width="36.09765625" bestFit="1" customWidth="1" style="17" min="46" max="69"/>
    <col width="33.09765625" bestFit="1" customWidth="1" style="17" min="70" max="70"/>
    <col width="31.09765625" bestFit="1" customWidth="1" style="17" min="71" max="71"/>
    <col width="20.09765625" bestFit="1" customWidth="1" style="17" min="72" max="72"/>
    <col width="18" bestFit="1" customWidth="1" style="17" min="73" max="73"/>
    <col width="11.09765625" bestFit="1" customWidth="1" style="17" min="74" max="74"/>
    <col width="15.09765625" bestFit="1" customWidth="1" style="17" min="75" max="75"/>
    <col width="11.09765625" bestFit="1" customWidth="1" style="17" min="76" max="76"/>
    <col width="24.09765625" bestFit="1" customWidth="1" style="17" min="77" max="77"/>
    <col width="20.09765625" bestFit="1" customWidth="1" style="17" min="78" max="78"/>
    <col width="15.09765625" bestFit="1" customWidth="1" style="17" min="79" max="79"/>
    <col width="11.09765625" bestFit="1" customWidth="1" style="17" min="80" max="80"/>
    <col width="15.09765625" bestFit="1" customWidth="1" style="17" min="81" max="81"/>
    <col width="11.09765625" bestFit="1" customWidth="1" style="17" min="82" max="82"/>
    <col width="15.09765625" bestFit="1" customWidth="1" style="17" min="83" max="83"/>
    <col width="11.09765625" bestFit="1" customWidth="1" style="17" min="84" max="84"/>
    <col width="15.09765625" bestFit="1" customWidth="1" style="17" min="85" max="85"/>
    <col width="11.09765625" bestFit="1" customWidth="1" style="17" min="86" max="86"/>
    <col width="15.09765625" bestFit="1" customWidth="1" style="17" min="87" max="87"/>
    <col width="11.09765625" bestFit="1" customWidth="1" style="17" min="88" max="88"/>
    <col width="15.09765625" bestFit="1" customWidth="1" style="17" min="89" max="89"/>
    <col width="11.09765625" bestFit="1" customWidth="1" style="17" min="90" max="90"/>
    <col width="15.09765625" bestFit="1" customWidth="1" style="17" min="91" max="91"/>
    <col width="11.09765625" bestFit="1" customWidth="1" style="17" min="92" max="92"/>
    <col width="15.09765625" bestFit="1" customWidth="1" style="17" min="93" max="93"/>
    <col width="11.09765625" bestFit="1" customWidth="1" style="17" min="94" max="94"/>
    <col width="28.09765625" bestFit="1" customWidth="1" style="17" min="95" max="95"/>
    <col width="24.09765625" bestFit="1" customWidth="1" style="17" min="96" max="96"/>
    <col width="15.09765625" bestFit="1" customWidth="1" style="17" min="97" max="97"/>
    <col width="11.09765625" bestFit="1" customWidth="1" style="17" min="98" max="98"/>
    <col width="26.09765625" bestFit="1" customWidth="1" style="17" min="99" max="99"/>
    <col width="22.09765625" bestFit="1" customWidth="1" style="17" min="100" max="100"/>
    <col width="20.09765625" bestFit="1" customWidth="1" style="17" min="101" max="101"/>
    <col width="15.59765625" bestFit="1" customWidth="1" style="17" min="102" max="102"/>
  </cols>
  <sheetData>
    <row r="1" ht="16.5" customHeight="1" s="17">
      <c r="B1" s="1" t="inlineStr">
        <is>
          <t>상품1</t>
        </is>
      </c>
      <c r="C1" s="20" t="inlineStr">
        <is>
          <t>(다중 항목)</t>
        </is>
      </c>
      <c r="P1" s="1" t="inlineStr">
        <is>
          <t>상품1</t>
        </is>
      </c>
      <c r="Q1" s="20" t="inlineStr">
        <is>
          <t>(다중 항목)</t>
        </is>
      </c>
    </row>
    <row r="2" ht="16.5" customHeight="1" s="17">
      <c r="C2" s="20" t="n"/>
    </row>
    <row r="3" ht="16.5" customHeight="1" s="17">
      <c r="B3" s="1" t="inlineStr">
        <is>
          <t>합계 : 판매수량</t>
        </is>
      </c>
      <c r="C3" s="20" t="n"/>
      <c r="D3" s="1" t="inlineStr">
        <is>
          <t>채널</t>
        </is>
      </c>
      <c r="P3" s="1" t="inlineStr">
        <is>
          <t>합계 : 판매액</t>
        </is>
      </c>
      <c r="R3" s="1" t="inlineStr">
        <is>
          <t>채널</t>
        </is>
      </c>
    </row>
    <row r="4" ht="16.5" customHeight="1" s="17">
      <c r="B4" s="1" t="inlineStr">
        <is>
          <t>일자</t>
        </is>
      </c>
      <c r="C4" s="1" t="inlineStr">
        <is>
          <t>요일</t>
        </is>
      </c>
      <c r="D4" s="20" t="inlineStr">
        <is>
          <t>총합계</t>
        </is>
      </c>
      <c r="P4" s="1" t="inlineStr">
        <is>
          <t>일자</t>
        </is>
      </c>
      <c r="Q4" s="1" t="inlineStr">
        <is>
          <t>요일</t>
        </is>
      </c>
      <c r="R4" s="20" t="inlineStr">
        <is>
          <t>총합계</t>
        </is>
      </c>
    </row>
    <row r="5" ht="16.5" customHeight="1" s="17">
      <c r="B5" s="20" t="inlineStr">
        <is>
          <t>총합계</t>
        </is>
      </c>
      <c r="C5" s="20" t="n"/>
      <c r="P5" s="20" t="inlineStr">
        <is>
          <t>총합계</t>
        </is>
      </c>
    </row>
    <row r="6" ht="16.5" customHeight="1" s="17">
      <c r="C6" s="20" t="n"/>
    </row>
    <row r="7" ht="16.5" customHeight="1" s="17">
      <c r="C7" s="20" t="n"/>
    </row>
    <row r="8" ht="16.5" customHeight="1" s="17">
      <c r="C8" s="20" t="n"/>
    </row>
    <row r="9" ht="16.5" customHeight="1" s="17">
      <c r="C9" s="20" t="n"/>
    </row>
    <row r="10" ht="16.5" customHeight="1" s="17">
      <c r="C10" s="20" t="n"/>
    </row>
    <row r="11" ht="16.5" customHeight="1" s="17">
      <c r="C11" s="20" t="n"/>
    </row>
    <row r="12" ht="16.5" customHeight="1" s="17">
      <c r="C12" s="20" t="n"/>
    </row>
    <row r="13" ht="16.5" customHeight="1" s="17">
      <c r="C13" s="20" t="n"/>
    </row>
    <row r="14" ht="16.5" customHeight="1" s="17">
      <c r="C14" s="20" t="n"/>
    </row>
    <row r="15" ht="16.5" customHeight="1" s="17">
      <c r="C15" s="20" t="n"/>
    </row>
    <row r="16" ht="16.5" customHeight="1" s="17">
      <c r="C16" s="20" t="n"/>
    </row>
    <row r="17" ht="16.5" customHeight="1" s="17">
      <c r="C17" s="20" t="n"/>
    </row>
    <row r="18" ht="16.5" customHeight="1" s="17">
      <c r="C18" s="20" t="n"/>
    </row>
    <row r="19" ht="16.5" customHeight="1" s="17">
      <c r="C19" s="20" t="n"/>
    </row>
    <row r="20" ht="16.5" customHeight="1" s="17">
      <c r="C20" s="20" t="n"/>
    </row>
    <row r="21" ht="16.5" customHeight="1" s="17">
      <c r="C21" s="20" t="n"/>
    </row>
    <row r="22" ht="16.5" customHeight="1" s="17">
      <c r="C22" s="20" t="n"/>
    </row>
    <row r="23" ht="16.5" customHeight="1" s="17">
      <c r="C23" s="20" t="n"/>
    </row>
    <row r="24" ht="16.5" customHeight="1" s="17">
      <c r="C24" s="20" t="n"/>
    </row>
    <row r="25" ht="16.5" customHeight="1" s="17">
      <c r="C25" s="20" t="n"/>
    </row>
    <row r="26" ht="16.5" customHeight="1" s="17">
      <c r="C26" s="20" t="n"/>
    </row>
    <row r="27" ht="16.5" customHeight="1" s="17">
      <c r="C27" s="20" t="n"/>
    </row>
    <row r="28" ht="16.5" customHeight="1" s="17">
      <c r="C28" s="20" t="n"/>
    </row>
    <row r="29" ht="16.5" customHeight="1" s="17">
      <c r="C29" s="20" t="n"/>
    </row>
    <row r="30" ht="16.5" customHeight="1" s="17">
      <c r="C30" s="20" t="n"/>
    </row>
    <row r="31" ht="16.5" customHeight="1" s="17">
      <c r="C31" s="20" t="n"/>
    </row>
    <row r="32" ht="16.5" customHeight="1" s="17">
      <c r="C32" s="20" t="n"/>
    </row>
    <row r="33" ht="16.5" customHeight="1" s="17">
      <c r="C33" s="20" t="n"/>
    </row>
    <row r="34" ht="16.5" customHeight="1" s="17">
      <c r="C34" s="20" t="n"/>
    </row>
    <row r="35" ht="16.5" customHeight="1" s="17">
      <c r="C35" s="20" t="n"/>
    </row>
    <row r="36" ht="16.5" customHeight="1" s="17">
      <c r="C36" s="20" t="n"/>
    </row>
    <row r="37" ht="16.5" customHeight="1" s="17">
      <c r="C37" s="20" t="n"/>
    </row>
    <row r="38" ht="16.5" customHeight="1" s="17">
      <c r="C38" s="20" t="n"/>
    </row>
    <row r="39" ht="16.5" customHeight="1" s="17">
      <c r="C39" s="20" t="n"/>
    </row>
    <row r="40" ht="16.5" customHeight="1" s="17">
      <c r="C40" s="20" t="n"/>
    </row>
    <row r="41" ht="16.5" customHeight="1" s="17">
      <c r="C41" s="20" t="n"/>
    </row>
    <row r="42" ht="16.5" customHeight="1" s="17">
      <c r="C42" s="20" t="n"/>
    </row>
    <row r="43" ht="16.5" customHeight="1" s="17">
      <c r="C43" s="20" t="n"/>
    </row>
    <row r="44" ht="16.5" customHeight="1" s="17">
      <c r="C44" s="20" t="n"/>
    </row>
    <row r="45" ht="16.5" customHeight="1" s="17">
      <c r="C45" s="20" t="n"/>
    </row>
    <row r="46" ht="16.5" customHeight="1" s="17">
      <c r="C46" s="20" t="n"/>
    </row>
    <row r="47" ht="16.5" customHeight="1" s="17">
      <c r="C47" s="20" t="n"/>
    </row>
    <row r="48" ht="16.5" customHeight="1" s="17">
      <c r="C48" s="20" t="n"/>
    </row>
    <row r="49" ht="16.5" customHeight="1" s="17">
      <c r="C49" s="20" t="n"/>
    </row>
    <row r="50" ht="16.5" customHeight="1" s="17">
      <c r="C50" s="20" t="n"/>
    </row>
    <row r="51" ht="16.5" customHeight="1" s="17">
      <c r="C51" s="20" t="n"/>
    </row>
    <row r="52" ht="16.5" customHeight="1" s="17">
      <c r="C52" s="20" t="n"/>
    </row>
    <row r="53" ht="16.5" customHeight="1" s="17">
      <c r="C53" s="20" t="n"/>
    </row>
    <row r="54" ht="16.5" customHeight="1" s="17">
      <c r="C54" s="20" t="n"/>
    </row>
    <row r="55" ht="16.5" customHeight="1" s="17">
      <c r="C55" s="20" t="n"/>
    </row>
    <row r="56" ht="16.5" customHeight="1" s="17">
      <c r="C56" s="20" t="n"/>
    </row>
    <row r="57" ht="16.5" customHeight="1" s="17">
      <c r="C57" s="20" t="n"/>
    </row>
    <row r="58" ht="16.5" customHeight="1" s="17">
      <c r="C58" s="20" t="n"/>
    </row>
    <row r="59" ht="16.5" customHeight="1" s="17">
      <c r="C59" s="20" t="n"/>
    </row>
    <row r="60" ht="16.5" customHeight="1" s="17">
      <c r="C60" s="20" t="n"/>
    </row>
    <row r="61" ht="16.5" customHeight="1" s="17">
      <c r="C61" s="20" t="n"/>
    </row>
    <row r="62" ht="16.5" customHeight="1" s="17">
      <c r="C62" s="20" t="n"/>
    </row>
    <row r="63" ht="16.5" customHeight="1" s="17">
      <c r="C63" s="20" t="n"/>
    </row>
    <row r="64" ht="16.5" customHeight="1" s="17">
      <c r="C64" s="20" t="n"/>
    </row>
    <row r="65" ht="16.5" customHeight="1" s="17">
      <c r="C65" s="20" t="n"/>
    </row>
    <row r="66" ht="16.5" customHeight="1" s="17">
      <c r="C66" s="20" t="n"/>
    </row>
    <row r="67" ht="16.5" customHeight="1" s="17">
      <c r="C67" s="20" t="n"/>
    </row>
    <row r="68" ht="16.5" customHeight="1" s="17">
      <c r="C68" s="20" t="n"/>
    </row>
    <row r="69" ht="16.5" customHeight="1" s="17">
      <c r="C69" s="20" t="n"/>
    </row>
    <row r="70" ht="16.5" customHeight="1" s="17">
      <c r="C70" s="20" t="n"/>
    </row>
    <row r="71" ht="16.5" customHeight="1" s="17">
      <c r="C71" s="20" t="n"/>
    </row>
    <row r="72" ht="16.5" customHeight="1" s="17">
      <c r="C72" s="20" t="n"/>
    </row>
    <row r="73" ht="16.5" customHeight="1" s="17">
      <c r="C73" s="20" t="n"/>
    </row>
    <row r="74" ht="16.5" customHeight="1" s="17">
      <c r="C74" s="20" t="n"/>
    </row>
    <row r="75" ht="16.5" customHeight="1" s="17">
      <c r="C75" s="20" t="n"/>
    </row>
    <row r="76" ht="16.5" customHeight="1" s="17">
      <c r="C76" s="20" t="n"/>
    </row>
    <row r="77" ht="16.5" customHeight="1" s="17">
      <c r="C77" s="20" t="n"/>
    </row>
    <row r="78" ht="16.5" customHeight="1" s="17">
      <c r="C78" s="20" t="n"/>
    </row>
    <row r="79" ht="16.5" customHeight="1" s="17">
      <c r="C79" s="20" t="n"/>
    </row>
    <row r="80" ht="16.5" customHeight="1" s="17">
      <c r="C80" s="20" t="n"/>
    </row>
    <row r="81" ht="16.5" customHeight="1" s="17">
      <c r="C81" s="20" t="n"/>
    </row>
    <row r="82" ht="16.5" customHeight="1" s="17">
      <c r="C82" s="20" t="n"/>
    </row>
    <row r="83" ht="16.5" customHeight="1" s="17">
      <c r="C83" s="20" t="n"/>
    </row>
    <row r="84" ht="16.5" customHeight="1" s="17">
      <c r="C84" s="20" t="n"/>
    </row>
    <row r="85" ht="16.5" customHeight="1" s="17">
      <c r="C85" s="20" t="n"/>
    </row>
    <row r="86" ht="16.5" customHeight="1" s="17">
      <c r="C86" s="20" t="n"/>
    </row>
    <row r="87" ht="16.5" customHeight="1" s="17">
      <c r="C87" s="20" t="n"/>
    </row>
    <row r="88" ht="16.5" customHeight="1" s="17">
      <c r="C88" s="20" t="n"/>
    </row>
    <row r="89" ht="16.5" customHeight="1" s="17">
      <c r="C89" s="20" t="n"/>
    </row>
    <row r="90" ht="16.5" customHeight="1" s="17">
      <c r="C90" s="20" t="n"/>
    </row>
    <row r="91" ht="16.5" customHeight="1" s="17">
      <c r="C91" s="20" t="n"/>
    </row>
    <row r="92" ht="16.5" customHeight="1" s="17">
      <c r="C92" s="20" t="n"/>
    </row>
    <row r="93" ht="16.5" customHeight="1" s="17">
      <c r="C93" s="20" t="n"/>
    </row>
    <row r="94" ht="16.5" customHeight="1" s="17">
      <c r="C94" s="20" t="n"/>
    </row>
    <row r="95" ht="16.5" customHeight="1" s="17">
      <c r="C95" s="20" t="n"/>
    </row>
    <row r="96" ht="16.5" customHeight="1" s="17">
      <c r="C96" s="20" t="n"/>
    </row>
    <row r="97" ht="16.5" customHeight="1" s="17">
      <c r="C97" s="20" t="n"/>
    </row>
    <row r="98" ht="16.5" customHeight="1" s="17">
      <c r="C98" s="20" t="n"/>
    </row>
    <row r="99" ht="16.5" customHeight="1" s="17">
      <c r="C99" s="20" t="n"/>
    </row>
    <row r="100" ht="16.5" customHeight="1" s="17">
      <c r="C100" s="20" t="n"/>
    </row>
    <row r="101" ht="16.5" customHeight="1" s="17">
      <c r="C101" s="20" t="n"/>
    </row>
    <row r="102" ht="16.5" customHeight="1" s="17">
      <c r="C102" s="20" t="n"/>
    </row>
    <row r="103" ht="16.5" customHeight="1" s="17">
      <c r="C103" s="20" t="n"/>
    </row>
    <row r="104" ht="16.5" customHeight="1" s="17">
      <c r="C104" s="20" t="n"/>
    </row>
    <row r="105" ht="16.5" customHeight="1" s="17">
      <c r="C105" s="20" t="n"/>
    </row>
    <row r="106" ht="16.5" customHeight="1" s="17">
      <c r="C106" s="20" t="n"/>
    </row>
    <row r="107" ht="16.5" customHeight="1" s="17">
      <c r="C107" s="20" t="n"/>
    </row>
    <row r="108" ht="16.5" customHeight="1" s="17">
      <c r="C108" s="20" t="n"/>
    </row>
    <row r="109" ht="16.5" customHeight="1" s="17">
      <c r="C109" s="20" t="n"/>
    </row>
    <row r="110" ht="16.5" customHeight="1" s="17">
      <c r="C110" s="20" t="n"/>
    </row>
    <row r="111" ht="16.5" customHeight="1" s="17">
      <c r="C111" s="20" t="n"/>
    </row>
    <row r="112" ht="16.5" customHeight="1" s="17">
      <c r="C112" s="20" t="n"/>
    </row>
    <row r="113" ht="16.5" customHeight="1" s="17">
      <c r="C113" s="20" t="n"/>
    </row>
    <row r="114" ht="16.5" customHeight="1" s="17">
      <c r="C114" s="20" t="n"/>
    </row>
    <row r="115" ht="16.5" customHeight="1" s="17">
      <c r="C115" s="20" t="n"/>
    </row>
    <row r="116" ht="16.5" customHeight="1" s="17">
      <c r="C116" s="20" t="n"/>
    </row>
    <row r="117" ht="16.5" customHeight="1" s="17">
      <c r="C117" s="20" t="n"/>
    </row>
    <row r="118" ht="16.5" customHeight="1" s="17">
      <c r="C118" s="20" t="n"/>
    </row>
    <row r="119" ht="16.5" customHeight="1" s="17">
      <c r="C119" s="20" t="n"/>
    </row>
    <row r="120" ht="16.5" customHeight="1" s="17">
      <c r="C120" s="20" t="n"/>
    </row>
    <row r="121" ht="16.5" customHeight="1" s="17">
      <c r="C121" s="20" t="n"/>
    </row>
    <row r="122" ht="16.5" customHeight="1" s="17">
      <c r="C122" s="20" t="n"/>
    </row>
    <row r="123" ht="16.5" customHeight="1" s="17">
      <c r="C123" s="20" t="n"/>
    </row>
    <row r="124" ht="16.5" customHeight="1" s="17">
      <c r="C124" s="20" t="n"/>
    </row>
    <row r="125" ht="16.5" customHeight="1" s="17">
      <c r="C125" s="20" t="n"/>
    </row>
    <row r="126" ht="16.5" customHeight="1" s="17">
      <c r="C126" s="20" t="n"/>
    </row>
    <row r="127" ht="16.5" customHeight="1" s="17">
      <c r="C127" s="20" t="n"/>
    </row>
    <row r="128" ht="16.5" customHeight="1" s="17">
      <c r="C128" s="20" t="n"/>
    </row>
    <row r="129" ht="16.5" customHeight="1" s="17">
      <c r="C129" s="20" t="n"/>
    </row>
    <row r="130" ht="16.5" customHeight="1" s="17">
      <c r="C130" s="20" t="n"/>
    </row>
    <row r="131" ht="16.5" customHeight="1" s="17">
      <c r="C131" s="20" t="n"/>
    </row>
    <row r="132" ht="16.5" customHeight="1" s="17">
      <c r="C132" s="20" t="n"/>
    </row>
    <row r="133" ht="16.5" customHeight="1" s="17">
      <c r="C133" s="20" t="n"/>
    </row>
    <row r="134" ht="16.5" customHeight="1" s="17">
      <c r="C134" s="20" t="n"/>
    </row>
    <row r="135" ht="16.5" customHeight="1" s="17">
      <c r="C135" s="20" t="n"/>
    </row>
    <row r="136" ht="16.5" customHeight="1" s="17">
      <c r="C136" s="20" t="n"/>
    </row>
    <row r="137" ht="16.5" customHeight="1" s="17">
      <c r="C137" s="20" t="n"/>
    </row>
    <row r="138" ht="16.5" customHeight="1" s="17">
      <c r="C138" s="20" t="n"/>
    </row>
    <row r="139" ht="16.5" customHeight="1" s="17">
      <c r="C139" s="20" t="n"/>
    </row>
    <row r="140" ht="16.5" customHeight="1" s="17">
      <c r="C140" s="20" t="n"/>
    </row>
    <row r="141" ht="16.5" customHeight="1" s="17">
      <c r="C141" s="20" t="n"/>
    </row>
    <row r="142" ht="16.5" customHeight="1" s="17">
      <c r="C142" s="20" t="n"/>
    </row>
    <row r="143" ht="16.5" customHeight="1" s="17">
      <c r="C143" s="20" t="n"/>
    </row>
    <row r="144" ht="16.5" customHeight="1" s="17">
      <c r="C144" s="20" t="n"/>
    </row>
    <row r="145" ht="16.5" customHeight="1" s="17">
      <c r="C145" s="20" t="n"/>
    </row>
    <row r="146" ht="16.5" customHeight="1" s="17">
      <c r="C146" s="20" t="n"/>
    </row>
    <row r="147" ht="16.5" customHeight="1" s="17">
      <c r="C147" s="20" t="n"/>
    </row>
    <row r="148" ht="16.5" customHeight="1" s="17">
      <c r="C148" s="20" t="n"/>
    </row>
    <row r="149" ht="16.5" customHeight="1" s="17">
      <c r="C149" s="20" t="n"/>
    </row>
    <row r="150" ht="16.5" customHeight="1" s="17">
      <c r="C150" s="20" t="n"/>
    </row>
    <row r="151" ht="16.5" customHeight="1" s="17">
      <c r="C151" s="20" t="n"/>
    </row>
    <row r="152" ht="16.5" customHeight="1" s="17">
      <c r="C152" s="20" t="n"/>
    </row>
    <row r="153" ht="16.5" customHeight="1" s="17">
      <c r="C153" s="20" t="n"/>
    </row>
    <row r="154" ht="16.5" customHeight="1" s="17">
      <c r="C154" s="20" t="n"/>
    </row>
    <row r="155" ht="16.5" customHeight="1" s="17">
      <c r="C155" s="20" t="n"/>
    </row>
    <row r="156" ht="16.5" customHeight="1" s="17">
      <c r="C156" s="20" t="n"/>
    </row>
    <row r="157" ht="16.5" customHeight="1" s="17">
      <c r="C157" s="20" t="n"/>
    </row>
    <row r="158" ht="16.5" customHeight="1" s="17">
      <c r="C158" s="20" t="n"/>
    </row>
    <row r="159" ht="16.5" customHeight="1" s="17">
      <c r="C159" s="20" t="n"/>
    </row>
    <row r="160" ht="16.5" customHeight="1" s="17">
      <c r="C160" s="20" t="n"/>
    </row>
    <row r="161" ht="16.5" customHeight="1" s="17">
      <c r="C161" s="20" t="n"/>
    </row>
    <row r="162" ht="16.5" customHeight="1" s="17">
      <c r="C162" s="20" t="n"/>
    </row>
    <row r="163" ht="16.5" customHeight="1" s="17">
      <c r="C163" s="20" t="n"/>
    </row>
    <row r="164" ht="16.5" customHeight="1" s="17">
      <c r="C164" s="20" t="n"/>
    </row>
    <row r="165" ht="16.5" customHeight="1" s="17">
      <c r="C165" s="20" t="n"/>
    </row>
    <row r="166" ht="16.5" customHeight="1" s="17">
      <c r="C166" s="20" t="n"/>
    </row>
    <row r="167" ht="16.5" customHeight="1" s="17">
      <c r="C167" s="20" t="n"/>
    </row>
    <row r="168" ht="16.5" customHeight="1" s="17">
      <c r="C168" s="20" t="n"/>
    </row>
    <row r="169" ht="16.5" customHeight="1" s="17">
      <c r="C169" s="20" t="n"/>
    </row>
    <row r="170" ht="16.5" customHeight="1" s="17">
      <c r="C170" s="20" t="n"/>
    </row>
    <row r="171" ht="16.5" customHeight="1" s="17">
      <c r="C171" s="20" t="n"/>
    </row>
    <row r="172" ht="16.5" customHeight="1" s="17">
      <c r="C172" s="20" t="n"/>
    </row>
    <row r="173" ht="16.5" customHeight="1" s="17">
      <c r="C173" s="20" t="n"/>
    </row>
    <row r="174" ht="16.5" customHeight="1" s="17">
      <c r="C174" s="20" t="n"/>
    </row>
    <row r="175" ht="16.5" customHeight="1" s="17">
      <c r="C175" s="20" t="n"/>
    </row>
    <row r="176" ht="16.5" customHeight="1" s="17">
      <c r="C176" s="20" t="n"/>
    </row>
    <row r="177" ht="16.5" customHeight="1" s="17">
      <c r="C177" s="20" t="n"/>
    </row>
    <row r="178" ht="16.5" customHeight="1" s="17">
      <c r="C178" s="20" t="n"/>
    </row>
    <row r="179" ht="16.5" customHeight="1" s="17">
      <c r="C179" s="20" t="n"/>
    </row>
    <row r="180" ht="16.5" customHeight="1" s="17">
      <c r="C180" s="20" t="n"/>
    </row>
    <row r="181" ht="16.5" customHeight="1" s="17">
      <c r="C181" s="20" t="n"/>
    </row>
    <row r="182" ht="16.5" customHeight="1" s="17">
      <c r="C182" s="20" t="n"/>
    </row>
    <row r="183" ht="16.5" customHeight="1" s="17">
      <c r="C183" s="20" t="n"/>
    </row>
    <row r="184" ht="16.5" customHeight="1" s="17">
      <c r="C184" s="20" t="n"/>
    </row>
    <row r="185" ht="16.5" customHeight="1" s="17">
      <c r="C185" s="20" t="n"/>
    </row>
    <row r="186" ht="16.5" customHeight="1" s="17">
      <c r="C186" s="20" t="n"/>
    </row>
    <row r="187" ht="16.5" customHeight="1" s="17">
      <c r="C187" s="20" t="n"/>
    </row>
    <row r="188" ht="16.5" customHeight="1" s="17">
      <c r="C188" s="20" t="n"/>
    </row>
    <row r="189" ht="16.5" customHeight="1" s="17">
      <c r="C189" s="20" t="n"/>
    </row>
    <row r="190" ht="16.5" customHeight="1" s="17">
      <c r="C190" s="20" t="n"/>
    </row>
    <row r="191" ht="16.5" customHeight="1" s="17">
      <c r="C191" s="20" t="n"/>
    </row>
    <row r="192" ht="16.5" customHeight="1" s="17">
      <c r="C192" s="20" t="n"/>
    </row>
    <row r="193" ht="16.5" customHeight="1" s="17">
      <c r="C193" s="20" t="n"/>
    </row>
    <row r="194" ht="16.5" customHeight="1" s="17">
      <c r="C194" s="20" t="n"/>
    </row>
    <row r="195" ht="16.5" customHeight="1" s="17">
      <c r="C195" s="20" t="n"/>
    </row>
    <row r="196" ht="16.5" customHeight="1" s="17">
      <c r="C196" s="20" t="n"/>
    </row>
    <row r="197" ht="16.5" customHeight="1" s="17">
      <c r="C197" s="20" t="n"/>
    </row>
    <row r="198" ht="16.5" customHeight="1" s="17">
      <c r="C198" s="20" t="n"/>
    </row>
    <row r="199" ht="16.5" customHeight="1" s="17">
      <c r="C199" s="20" t="n"/>
    </row>
    <row r="200" ht="16.5" customHeight="1" s="17">
      <c r="C200" s="20" t="n"/>
    </row>
    <row r="201" ht="16.5" customHeight="1" s="17">
      <c r="C201" s="20" t="n"/>
    </row>
    <row r="202" ht="16.5" customHeight="1" s="17">
      <c r="C202" s="20" t="n"/>
    </row>
    <row r="203" ht="16.5" customHeight="1" s="17">
      <c r="C203" s="20" t="n"/>
    </row>
    <row r="204" ht="16.5" customHeight="1" s="17">
      <c r="C204" s="20" t="n"/>
    </row>
    <row r="205" ht="16.5" customHeight="1" s="17">
      <c r="C205" s="20" t="n"/>
    </row>
    <row r="206" ht="16.5" customHeight="1" s="17">
      <c r="C206" s="20" t="n"/>
    </row>
    <row r="207" ht="16.5" customHeight="1" s="17">
      <c r="C207" s="20" t="n"/>
    </row>
    <row r="208" ht="16.5" customHeight="1" s="17">
      <c r="C208" s="20" t="n"/>
    </row>
    <row r="209" ht="16.5" customHeight="1" s="17">
      <c r="C209" s="20" t="n"/>
    </row>
    <row r="210" ht="16.5" customHeight="1" s="17">
      <c r="C210" s="20" t="n"/>
    </row>
    <row r="211" ht="16.5" customHeight="1" s="17">
      <c r="C211" s="20" t="n"/>
    </row>
    <row r="212" ht="16.5" customHeight="1" s="17">
      <c r="C212" s="20" t="n"/>
    </row>
    <row r="213" ht="16.5" customHeight="1" s="17">
      <c r="C213" s="20" t="n"/>
    </row>
    <row r="214" ht="16.5" customHeight="1" s="17">
      <c r="C214" s="20" t="n"/>
    </row>
    <row r="215" ht="16.5" customHeight="1" s="17">
      <c r="C215" s="20" t="n"/>
    </row>
    <row r="216" ht="16.5" customHeight="1" s="17">
      <c r="C216" s="20" t="n"/>
    </row>
    <row r="217" ht="16.5" customHeight="1" s="17">
      <c r="C217" s="20" t="n"/>
    </row>
    <row r="218" ht="16.5" customHeight="1" s="17">
      <c r="C218" s="20" t="n"/>
    </row>
    <row r="219" ht="16.5" customHeight="1" s="17">
      <c r="C219" s="20" t="n"/>
    </row>
    <row r="220" ht="16.5" customHeight="1" s="17">
      <c r="C220" s="20" t="n"/>
    </row>
    <row r="221" ht="16.5" customHeight="1" s="17">
      <c r="C221" s="20" t="n"/>
    </row>
    <row r="222" ht="16.5" customHeight="1" s="17">
      <c r="C222" s="20" t="n"/>
    </row>
    <row r="223" ht="16.5" customHeight="1" s="17">
      <c r="C223" s="20" t="n"/>
    </row>
    <row r="224" ht="16.5" customHeight="1" s="17">
      <c r="C224" s="20" t="n"/>
    </row>
    <row r="225" ht="16.5" customHeight="1" s="17">
      <c r="C225" s="20" t="n"/>
    </row>
    <row r="226" ht="16.5" customHeight="1" s="17">
      <c r="C226" s="20" t="n"/>
    </row>
    <row r="227" ht="16.5" customHeight="1" s="17">
      <c r="C227" s="20" t="n"/>
    </row>
    <row r="228" ht="16.5" customHeight="1" s="17">
      <c r="C228" s="20" t="n"/>
    </row>
    <row r="229" ht="16.5" customHeight="1" s="17">
      <c r="C229" s="20" t="n"/>
    </row>
    <row r="230" ht="16.5" customHeight="1" s="17">
      <c r="C230" s="20" t="n"/>
    </row>
    <row r="231" ht="16.5" customHeight="1" s="17">
      <c r="C231" s="20" t="n"/>
    </row>
    <row r="232" ht="16.5" customHeight="1" s="17">
      <c r="C232" s="20" t="n"/>
    </row>
    <row r="233" ht="16.5" customHeight="1" s="17">
      <c r="C233" s="20" t="n"/>
    </row>
    <row r="234" ht="16.5" customHeight="1" s="17">
      <c r="C234" s="20" t="n"/>
    </row>
    <row r="235" ht="16.5" customHeight="1" s="17">
      <c r="C235" s="20" t="n"/>
    </row>
    <row r="236" ht="16.5" customHeight="1" s="17">
      <c r="C236" s="20" t="n"/>
    </row>
    <row r="237" ht="16.5" customHeight="1" s="17">
      <c r="C237" s="20" t="n"/>
    </row>
    <row r="238" ht="16.5" customHeight="1" s="17">
      <c r="C238" s="20" t="n"/>
    </row>
    <row r="239" ht="16.5" customHeight="1" s="17">
      <c r="C239" s="20" t="n"/>
    </row>
    <row r="240" ht="16.5" customHeight="1" s="17">
      <c r="C240" s="20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B1:L701"/>
  <sheetViews>
    <sheetView zoomScale="70" zoomScaleNormal="70" workbookViewId="0">
      <pane ySplit="1" topLeftCell="A575" activePane="bottomLeft" state="frozen"/>
      <selection pane="bottomLeft" activeCell="C602" sqref="C602:D603"/>
    </sheetView>
  </sheetViews>
  <sheetFormatPr baseColWidth="8" defaultRowHeight="17.4"/>
  <cols>
    <col width="1.59765625" customWidth="1" style="17" min="1" max="1"/>
    <col width="53.59765625" customWidth="1" style="17" min="2" max="2"/>
    <col width="21.09765625" customWidth="1" style="17" min="3" max="3"/>
    <col width="116.59765625" customWidth="1" style="17" min="4" max="4"/>
    <col width="41.09765625" customWidth="1" style="17" min="5" max="5"/>
    <col width="12" customWidth="1" style="17" min="6" max="6"/>
    <col width="58.09765625" bestFit="1" customWidth="1" style="17" min="7" max="7"/>
  </cols>
  <sheetData>
    <row r="1" ht="16.5" customHeight="1" s="17">
      <c r="B1" s="20" t="inlineStr">
        <is>
          <t>채널</t>
        </is>
      </c>
      <c r="C1" s="20" t="inlineStr">
        <is>
          <t>상품1</t>
        </is>
      </c>
      <c r="D1" s="20" t="inlineStr">
        <is>
          <t>상품2</t>
        </is>
      </c>
      <c r="E1" s="20" t="inlineStr">
        <is>
          <t>상품 상세</t>
        </is>
      </c>
      <c r="F1" s="20" t="inlineStr">
        <is>
          <t>구분(판매가)</t>
        </is>
      </c>
      <c r="G1" s="20" t="inlineStr">
        <is>
          <t>구분값</t>
        </is>
      </c>
      <c r="H1" s="20" t="inlineStr">
        <is>
          <t>판매가</t>
        </is>
      </c>
      <c r="I1" s="20" t="inlineStr">
        <is>
          <t>수수료</t>
        </is>
      </c>
      <c r="J1" s="20" t="inlineStr">
        <is>
          <t>원가</t>
        </is>
      </c>
    </row>
    <row r="2" hidden="1" ht="16.5" customHeight="1" s="17">
      <c r="B2" s="20" t="inlineStr">
        <is>
          <t>카페24</t>
        </is>
      </c>
      <c r="C2" s="20" t="inlineStr">
        <is>
          <t>고체향수</t>
        </is>
      </c>
      <c r="D2" s="20" t="inlineStr">
        <is>
          <t>이그나이트</t>
        </is>
      </c>
      <c r="F2" s="20" t="n">
        <v>200520</v>
      </c>
      <c r="G2" s="20">
        <f>B2&amp;C2&amp;D2&amp;F2</f>
        <v/>
      </c>
      <c r="H2" s="20" t="n">
        <v>38000</v>
      </c>
      <c r="I2" s="20" t="n">
        <v>0.0585</v>
      </c>
      <c r="J2" s="20" t="n">
        <v>2888</v>
      </c>
    </row>
    <row r="3" hidden="1" ht="16.5" customHeight="1" s="17">
      <c r="B3" s="20" t="inlineStr">
        <is>
          <t>카페24</t>
        </is>
      </c>
      <c r="C3" s="20" t="inlineStr">
        <is>
          <t>고체향수</t>
        </is>
      </c>
      <c r="D3" s="20" t="inlineStr">
        <is>
          <t>스테이포에버</t>
        </is>
      </c>
      <c r="F3" s="20" t="n">
        <v>200520</v>
      </c>
      <c r="G3" s="20">
        <f>B3&amp;C3&amp;D3&amp;F3</f>
        <v/>
      </c>
      <c r="H3" s="20" t="n">
        <v>38000</v>
      </c>
      <c r="I3" s="20" t="n">
        <v>0.0585</v>
      </c>
      <c r="J3" s="20" t="n">
        <v>2783</v>
      </c>
    </row>
    <row r="4" hidden="1" ht="16.5" customHeight="1" s="17">
      <c r="B4" s="20" t="inlineStr">
        <is>
          <t>카페24</t>
        </is>
      </c>
      <c r="C4" s="20" t="inlineStr">
        <is>
          <t>고체향수</t>
        </is>
      </c>
      <c r="D4" s="20" t="inlineStr">
        <is>
          <t>이그나이트 + 스테이포에버</t>
        </is>
      </c>
      <c r="F4" s="20" t="n">
        <v>200520</v>
      </c>
      <c r="G4" s="20">
        <f>B4&amp;C4&amp;D4&amp;F4</f>
        <v/>
      </c>
      <c r="H4" s="20" t="n">
        <v>69000</v>
      </c>
      <c r="I4" s="20" t="n">
        <v>0.0585</v>
      </c>
      <c r="J4" s="20" t="n">
        <v>5671</v>
      </c>
    </row>
    <row r="5" hidden="1" ht="16.5" customHeight="1" s="17">
      <c r="B5" s="20" t="inlineStr">
        <is>
          <t>카페24</t>
        </is>
      </c>
      <c r="C5" s="20" t="inlineStr">
        <is>
          <t>쇼핑백</t>
        </is>
      </c>
      <c r="D5" s="20" t="inlineStr">
        <is>
          <t>유즈쇼핑백</t>
        </is>
      </c>
      <c r="F5" s="20" t="n">
        <v>200520</v>
      </c>
      <c r="G5" s="20">
        <f>B5&amp;C5&amp;D5&amp;F5</f>
        <v/>
      </c>
      <c r="H5" s="20" t="n">
        <v>2000</v>
      </c>
      <c r="I5" s="20" t="n">
        <v>0.0585</v>
      </c>
      <c r="J5" s="20" t="n">
        <v>1210</v>
      </c>
    </row>
    <row r="6" hidden="1" ht="16.5" customHeight="1" s="17">
      <c r="B6" s="20" t="inlineStr">
        <is>
          <t>유즈 CS</t>
        </is>
      </c>
      <c r="C6" s="20" t="inlineStr">
        <is>
          <t>고체향수</t>
        </is>
      </c>
      <c r="D6" s="20" t="inlineStr">
        <is>
          <t>이그나이트</t>
        </is>
      </c>
      <c r="F6" s="20" t="n">
        <v>200520</v>
      </c>
      <c r="G6" s="20">
        <f>B6&amp;C6&amp;D6&amp;F6</f>
        <v/>
      </c>
      <c r="H6" s="20" t="n">
        <v>0</v>
      </c>
      <c r="I6" s="20" t="n">
        <v>0</v>
      </c>
      <c r="J6" s="20" t="n">
        <v>2888</v>
      </c>
    </row>
    <row r="7" hidden="1" ht="16.5" customHeight="1" s="17">
      <c r="B7" s="20" t="inlineStr">
        <is>
          <t>유즈 CS</t>
        </is>
      </c>
      <c r="C7" s="20" t="inlineStr">
        <is>
          <t>고체향수</t>
        </is>
      </c>
      <c r="D7" s="20" t="inlineStr">
        <is>
          <t>스테이포에버</t>
        </is>
      </c>
      <c r="F7" s="20" t="n">
        <v>200520</v>
      </c>
      <c r="G7" s="20">
        <f>B7&amp;C7&amp;D7&amp;F7</f>
        <v/>
      </c>
      <c r="H7" s="20" t="n">
        <v>0</v>
      </c>
      <c r="I7" s="20" t="n">
        <v>0</v>
      </c>
      <c r="J7" s="20" t="n">
        <v>2783</v>
      </c>
    </row>
    <row r="8" hidden="1" ht="16.5" customHeight="1" s="17">
      <c r="B8" s="20" t="inlineStr">
        <is>
          <t>유즈 CS</t>
        </is>
      </c>
      <c r="C8" s="20" t="inlineStr">
        <is>
          <t>고체향수</t>
        </is>
      </c>
      <c r="D8" s="20" t="inlineStr">
        <is>
          <t>이그나이트 + 스테이포에버</t>
        </is>
      </c>
      <c r="F8" s="20" t="n">
        <v>200520</v>
      </c>
      <c r="G8" s="20">
        <f>B8&amp;C8&amp;D8&amp;F8</f>
        <v/>
      </c>
      <c r="H8" s="20" t="n">
        <v>0</v>
      </c>
      <c r="I8" s="20" t="n">
        <v>0</v>
      </c>
      <c r="J8" s="20" t="n">
        <v>5671</v>
      </c>
    </row>
    <row r="9" hidden="1" ht="16.5" customHeight="1" s="17">
      <c r="B9" s="20" t="inlineStr">
        <is>
          <t>유즈 CS</t>
        </is>
      </c>
      <c r="C9" s="20" t="inlineStr">
        <is>
          <t>쇼핑백</t>
        </is>
      </c>
      <c r="D9" s="20" t="inlineStr">
        <is>
          <t>유즈쇼핑백</t>
        </is>
      </c>
      <c r="F9" s="20" t="n">
        <v>200520</v>
      </c>
      <c r="G9" s="20">
        <f>B9&amp;C9&amp;D9&amp;F9</f>
        <v/>
      </c>
      <c r="H9" s="20" t="n">
        <v>0</v>
      </c>
      <c r="I9" s="20" t="n">
        <v>0</v>
      </c>
      <c r="J9" s="20" t="n">
        <v>1210</v>
      </c>
    </row>
    <row r="10" hidden="1" ht="16.5" customHeight="1" s="17">
      <c r="B10" s="20" t="inlineStr">
        <is>
          <t>카페24</t>
        </is>
      </c>
      <c r="C10" s="20" t="inlineStr">
        <is>
          <t>고체향수</t>
        </is>
      </c>
      <c r="D10" s="20" t="inlineStr">
        <is>
          <t>스테이포에버 + 쇼핑백</t>
        </is>
      </c>
      <c r="F10" s="20" t="n">
        <v>200520</v>
      </c>
      <c r="G10" s="20">
        <f>B10&amp;C10&amp;D10&amp;F10</f>
        <v/>
      </c>
      <c r="H10" s="20" t="n">
        <v>28800</v>
      </c>
      <c r="I10" s="20" t="n">
        <v>0.0585</v>
      </c>
      <c r="J10" s="20" t="n">
        <v>3993</v>
      </c>
    </row>
    <row r="11" hidden="1" ht="16.5" customHeight="1" s="17">
      <c r="B11" s="20" t="inlineStr">
        <is>
          <t>카페24</t>
        </is>
      </c>
      <c r="C11" s="20" t="inlineStr">
        <is>
          <t>고체향수</t>
        </is>
      </c>
      <c r="D11" s="20" t="inlineStr">
        <is>
          <t>이그나이트 + 쇼핑백</t>
        </is>
      </c>
      <c r="F11" s="20" t="n">
        <v>200520</v>
      </c>
      <c r="G11" s="20">
        <f>B11&amp;C11&amp;D11&amp;F11</f>
        <v/>
      </c>
      <c r="H11" s="20" t="n">
        <v>28800</v>
      </c>
      <c r="I11" s="20" t="n">
        <v>0.0585</v>
      </c>
      <c r="J11" s="20" t="n">
        <v>4098</v>
      </c>
    </row>
    <row r="12" hidden="1" ht="16.5" customHeight="1" s="17">
      <c r="B12" s="20" t="inlineStr">
        <is>
          <t>카페24</t>
        </is>
      </c>
      <c r="C12" s="20" t="inlineStr">
        <is>
          <t>고체향수</t>
        </is>
      </c>
      <c r="D12" s="20" t="inlineStr">
        <is>
          <t>이그나이트 + 스테이포에버 + 쇼핑백2개</t>
        </is>
      </c>
      <c r="F12" s="20" t="n">
        <v>200520</v>
      </c>
      <c r="G12" s="20">
        <f>B12&amp;C12&amp;D12&amp;F12</f>
        <v/>
      </c>
      <c r="H12" s="20" t="n">
        <v>50000</v>
      </c>
      <c r="I12" s="20" t="n">
        <v>0.0585</v>
      </c>
      <c r="J12" s="20" t="n">
        <v>8091</v>
      </c>
    </row>
    <row r="13" hidden="1" ht="16.5" customHeight="1" s="17">
      <c r="B13" s="20" t="inlineStr">
        <is>
          <t>카페24</t>
        </is>
      </c>
      <c r="C13" s="20" t="inlineStr">
        <is>
          <t>고체향수</t>
        </is>
      </c>
      <c r="D13" s="20" t="inlineStr">
        <is>
          <t>이그나이트</t>
        </is>
      </c>
      <c r="F13" s="20" t="n">
        <v>200622</v>
      </c>
      <c r="G13" s="20">
        <f>B13&amp;C13&amp;D13&amp;F13</f>
        <v/>
      </c>
      <c r="H13" s="20" t="n">
        <v>34000</v>
      </c>
      <c r="I13" s="20" t="n">
        <v>0.0585</v>
      </c>
      <c r="J13" s="20" t="n">
        <v>2888</v>
      </c>
    </row>
    <row r="14" hidden="1" ht="16.5" customHeight="1" s="17">
      <c r="B14" s="20" t="inlineStr">
        <is>
          <t>카페24</t>
        </is>
      </c>
      <c r="C14" s="20" t="inlineStr">
        <is>
          <t>고체향수</t>
        </is>
      </c>
      <c r="D14" s="20" t="inlineStr">
        <is>
          <t>스테이포에버</t>
        </is>
      </c>
      <c r="F14" s="20" t="n">
        <v>200622</v>
      </c>
      <c r="G14" s="20">
        <f>B14&amp;C14&amp;D14&amp;F14</f>
        <v/>
      </c>
      <c r="H14" s="20" t="n">
        <v>34000</v>
      </c>
      <c r="I14" s="20" t="n">
        <v>0.0585</v>
      </c>
      <c r="J14" s="20" t="n">
        <v>2783</v>
      </c>
    </row>
    <row r="15" hidden="1" ht="16.5" customHeight="1" s="17">
      <c r="B15" s="20" t="inlineStr">
        <is>
          <t>카페24</t>
        </is>
      </c>
      <c r="C15" s="20" t="inlineStr">
        <is>
          <t>고체향수</t>
        </is>
      </c>
      <c r="D15" s="20" t="inlineStr">
        <is>
          <t>이그나이트 + 스테이포에버</t>
        </is>
      </c>
      <c r="F15" s="20" t="n">
        <v>200622</v>
      </c>
      <c r="G15" s="20">
        <f>B15&amp;C15&amp;D15&amp;F15</f>
        <v/>
      </c>
      <c r="H15" s="20" t="n">
        <v>65000</v>
      </c>
      <c r="I15" s="20" t="n">
        <v>0.0585</v>
      </c>
      <c r="J15" s="20" t="n">
        <v>5671</v>
      </c>
    </row>
    <row r="16" hidden="1" ht="16.5" customHeight="1" s="17">
      <c r="B16" s="20" t="inlineStr">
        <is>
          <t>카페24</t>
        </is>
      </c>
      <c r="C16" s="20" t="inlineStr">
        <is>
          <t>쇼핑백</t>
        </is>
      </c>
      <c r="D16" s="20" t="inlineStr">
        <is>
          <t>유즈쇼핑백</t>
        </is>
      </c>
      <c r="F16" s="20" t="n">
        <v>200622</v>
      </c>
      <c r="G16" s="20">
        <f>B16&amp;C16&amp;D16&amp;F16</f>
        <v/>
      </c>
      <c r="H16" s="20" t="n">
        <v>2000</v>
      </c>
      <c r="I16" s="20" t="n">
        <v>0.0585</v>
      </c>
      <c r="J16" s="20" t="n">
        <v>1210</v>
      </c>
    </row>
    <row r="17" hidden="1" ht="16.5" customHeight="1" s="17">
      <c r="B17" s="20" t="inlineStr">
        <is>
          <t>카페24</t>
        </is>
      </c>
      <c r="C17" s="20" t="inlineStr">
        <is>
          <t>고체향수</t>
        </is>
      </c>
      <c r="D17" s="20" t="inlineStr">
        <is>
          <t>이그나이트 2set</t>
        </is>
      </c>
      <c r="F17" s="20" t="n">
        <v>200622</v>
      </c>
      <c r="G17" s="20">
        <f>B17&amp;C17&amp;D17&amp;F17</f>
        <v/>
      </c>
      <c r="H17" s="20" t="n">
        <v>58800</v>
      </c>
      <c r="I17" s="20" t="n">
        <v>0.0585</v>
      </c>
      <c r="J17" s="20" t="n">
        <v>5776</v>
      </c>
      <c r="K17" s="20" t="inlineStr">
        <is>
          <t>7/20 부터 판매</t>
        </is>
      </c>
    </row>
    <row r="18" hidden="1" ht="17.1" customHeight="1" s="17" thickBot="1">
      <c r="B18" s="20" t="inlineStr">
        <is>
          <t>카페24</t>
        </is>
      </c>
      <c r="C18" s="20" t="inlineStr">
        <is>
          <t>고체향수</t>
        </is>
      </c>
      <c r="D18" s="20" t="inlineStr">
        <is>
          <t>스테이포에버 2set</t>
        </is>
      </c>
      <c r="F18" s="20" t="n">
        <v>200622</v>
      </c>
      <c r="G18" s="20">
        <f>B18&amp;C18&amp;D18&amp;F18</f>
        <v/>
      </c>
      <c r="H18" s="20" t="n">
        <v>58800</v>
      </c>
      <c r="I18" s="20" t="n">
        <v>0.0585</v>
      </c>
      <c r="J18" s="20" t="n">
        <v>5566</v>
      </c>
      <c r="K18" s="20" t="inlineStr">
        <is>
          <t>7/20 부터 판매</t>
        </is>
      </c>
    </row>
    <row r="19" hidden="1" ht="17.1" customHeight="1" s="17" thickTop="1">
      <c r="B19" s="20" t="inlineStr">
        <is>
          <t>카페24</t>
        </is>
      </c>
      <c r="C19" s="20" t="inlineStr">
        <is>
          <t>고체향수</t>
        </is>
      </c>
      <c r="D19" s="20" t="inlineStr">
        <is>
          <t>이그나이트</t>
        </is>
      </c>
      <c r="F19" s="20" t="n">
        <v>200720</v>
      </c>
      <c r="G19" s="20">
        <f>B19&amp;C19&amp;D19&amp;F19</f>
        <v/>
      </c>
      <c r="H19" s="20" t="n">
        <v>34000</v>
      </c>
      <c r="I19" s="20" t="n">
        <v>0.0585</v>
      </c>
      <c r="J19" s="20" t="n">
        <v>2888</v>
      </c>
    </row>
    <row r="20" hidden="1" ht="16.5" customHeight="1" s="17">
      <c r="B20" s="20" t="inlineStr">
        <is>
          <t>카페24</t>
        </is>
      </c>
      <c r="C20" s="20" t="inlineStr">
        <is>
          <t>고체향수</t>
        </is>
      </c>
      <c r="D20" s="20" t="inlineStr">
        <is>
          <t>스테이포에버</t>
        </is>
      </c>
      <c r="F20" s="20" t="n">
        <v>200720</v>
      </c>
      <c r="G20" s="20">
        <f>B20&amp;C20&amp;D20&amp;F20</f>
        <v/>
      </c>
      <c r="H20" s="20" t="n">
        <v>34000</v>
      </c>
      <c r="I20" s="20" t="n">
        <v>0.0585</v>
      </c>
      <c r="J20" s="20" t="n">
        <v>2783</v>
      </c>
    </row>
    <row r="21" hidden="1" ht="16.5" customHeight="1" s="17">
      <c r="B21" s="20" t="inlineStr">
        <is>
          <t>카페24</t>
        </is>
      </c>
      <c r="C21" s="20" t="inlineStr">
        <is>
          <t>고체향수</t>
        </is>
      </c>
      <c r="D21" s="20" t="inlineStr">
        <is>
          <t>이그나이트 + 스테이포에버</t>
        </is>
      </c>
      <c r="F21" s="20" t="n">
        <v>200720</v>
      </c>
      <c r="G21" s="20">
        <f>B21&amp;C21&amp;D21&amp;F21</f>
        <v/>
      </c>
      <c r="H21" s="20" t="n">
        <v>58800</v>
      </c>
      <c r="I21" s="20" t="n">
        <v>0.0585</v>
      </c>
      <c r="J21" s="20" t="n">
        <v>5671</v>
      </c>
    </row>
    <row r="22" hidden="1" ht="16.5" customHeight="1" s="17">
      <c r="B22" s="20" t="inlineStr">
        <is>
          <t>카페24</t>
        </is>
      </c>
      <c r="C22" s="20" t="inlineStr">
        <is>
          <t>고체향수</t>
        </is>
      </c>
      <c r="D22" s="20" t="inlineStr">
        <is>
          <t>이그나이트 + 스테이포에버 2set</t>
        </is>
      </c>
      <c r="F22" s="20" t="n">
        <v>200720</v>
      </c>
      <c r="G22" s="20">
        <f>B22&amp;C22&amp;D22&amp;F22</f>
        <v/>
      </c>
      <c r="H22" s="20" t="n">
        <v>94800</v>
      </c>
      <c r="I22" s="20" t="n">
        <v>0.0585</v>
      </c>
      <c r="J22" s="20" t="n">
        <v>11342</v>
      </c>
    </row>
    <row r="23" hidden="1" ht="16.5" customHeight="1" s="17">
      <c r="B23" s="20" t="inlineStr">
        <is>
          <t>카페24</t>
        </is>
      </c>
      <c r="C23" s="20" t="inlineStr">
        <is>
          <t>쇼핑백</t>
        </is>
      </c>
      <c r="D23" s="20" t="inlineStr">
        <is>
          <t>유즈쇼핑백</t>
        </is>
      </c>
      <c r="F23" s="20" t="n">
        <v>200720</v>
      </c>
      <c r="G23" s="20">
        <f>B23&amp;C23&amp;D23&amp;F23</f>
        <v/>
      </c>
      <c r="H23" s="20" t="n">
        <v>2000</v>
      </c>
      <c r="I23" s="20" t="n">
        <v>0.0585</v>
      </c>
      <c r="J23" s="20" t="n">
        <v>1210</v>
      </c>
    </row>
    <row r="24" hidden="1" ht="16.5" customHeight="1" s="17">
      <c r="B24" s="20" t="inlineStr">
        <is>
          <t>카페24</t>
        </is>
      </c>
      <c r="C24" s="20" t="inlineStr">
        <is>
          <t>고체향수</t>
        </is>
      </c>
      <c r="D24" s="20" t="inlineStr">
        <is>
          <t>이그나이트 2set</t>
        </is>
      </c>
      <c r="F24" s="20" t="n">
        <v>200720</v>
      </c>
      <c r="G24" s="20">
        <f>B24&amp;C24&amp;D24&amp;F24</f>
        <v/>
      </c>
      <c r="H24" s="20" t="n">
        <v>58800</v>
      </c>
      <c r="I24" s="20" t="n">
        <v>0.0585</v>
      </c>
      <c r="J24" s="20" t="n">
        <v>5776</v>
      </c>
      <c r="K24" s="20" t="inlineStr">
        <is>
          <t>7/20 부터 판매</t>
        </is>
      </c>
    </row>
    <row r="25" hidden="1" ht="16.5" customHeight="1" s="17">
      <c r="B25" s="20" t="inlineStr">
        <is>
          <t>카페24</t>
        </is>
      </c>
      <c r="C25" s="20" t="inlineStr">
        <is>
          <t>고체향수</t>
        </is>
      </c>
      <c r="D25" s="20" t="inlineStr">
        <is>
          <t>스테이포에버 2set</t>
        </is>
      </c>
      <c r="F25" s="20" t="n">
        <v>200720</v>
      </c>
      <c r="G25" s="20">
        <f>B25&amp;C25&amp;D25&amp;F25</f>
        <v/>
      </c>
      <c r="H25" s="20" t="n">
        <v>58800</v>
      </c>
      <c r="I25" s="20" t="n">
        <v>0.0585</v>
      </c>
      <c r="J25" s="20" t="n">
        <v>5566</v>
      </c>
      <c r="K25" s="20" t="inlineStr">
        <is>
          <t>7/20 부터 판매</t>
        </is>
      </c>
    </row>
    <row r="26" hidden="1" ht="16.5" customHeight="1" s="17">
      <c r="B26" s="20" t="inlineStr">
        <is>
          <t>카페24</t>
        </is>
      </c>
      <c r="C26" s="20" t="inlineStr">
        <is>
          <t>고체향수</t>
        </is>
      </c>
      <c r="D26" s="20" t="inlineStr">
        <is>
          <t>유즈 솔리드퍼퓸 - 30ml (스테이포에버 주문 시 12/14 부터 순차배송)향=스테이포에버, 세트 선택=1 개</t>
        </is>
      </c>
      <c r="E26" s="20" t="inlineStr">
        <is>
          <t>스테이포에버</t>
        </is>
      </c>
      <c r="F26" s="20" t="n">
        <v>201210</v>
      </c>
      <c r="G26" s="20">
        <f>B26&amp;C26&amp;D26&amp;F26</f>
        <v/>
      </c>
      <c r="H26" s="20" t="n">
        <v>38000</v>
      </c>
      <c r="I26" s="20" t="n">
        <v>0.0585</v>
      </c>
      <c r="J26" s="20" t="n">
        <v>2783</v>
      </c>
    </row>
    <row r="27" hidden="1" ht="16.5" customHeight="1" s="17">
      <c r="B27" s="20" t="inlineStr">
        <is>
          <t>카페24</t>
        </is>
      </c>
      <c r="C27" s="20" t="inlineStr">
        <is>
          <t>고체향수</t>
        </is>
      </c>
      <c r="D27" s="20" t="inlineStr">
        <is>
          <t>유즈 솔리드퍼퓸 - 30ml (스테이포에버 주문 시 12/14 부터 순차배송)향=스테이포에버, 세트 선택=2개 (28% off)</t>
        </is>
      </c>
      <c r="E27" s="20" t="inlineStr">
        <is>
          <t>스테이포에버 2set</t>
        </is>
      </c>
      <c r="F27" s="20" t="n">
        <v>201210</v>
      </c>
      <c r="G27" s="20">
        <f>B27&amp;C27&amp;D27&amp;F27</f>
        <v/>
      </c>
      <c r="H27" s="20" t="n">
        <v>58800</v>
      </c>
      <c r="I27" s="20" t="n">
        <v>0.0585</v>
      </c>
      <c r="J27" s="20" t="n">
        <v>5566</v>
      </c>
    </row>
    <row r="28" hidden="1" ht="16.5" customHeight="1" s="17">
      <c r="B28" s="20" t="inlineStr">
        <is>
          <t>카페24</t>
        </is>
      </c>
      <c r="C28" s="20" t="inlineStr">
        <is>
          <t>고체향수</t>
        </is>
      </c>
      <c r="D28" s="20" t="inlineStr">
        <is>
          <t>유즈 솔리드퍼퓸 - 30ml (스테이포에버 주문 시 12/14 부터 순차배송)향=이그나이트 + 스테이포에버, 세트 선택=1 SET</t>
        </is>
      </c>
      <c r="E28" s="20" t="inlineStr">
        <is>
          <t>이그나이트 + 스테이포에버</t>
        </is>
      </c>
      <c r="F28" s="20" t="n">
        <v>201210</v>
      </c>
      <c r="G28" s="20">
        <f>B28&amp;C28&amp;D28&amp;F28</f>
        <v/>
      </c>
      <c r="H28" s="20" t="n">
        <v>69000</v>
      </c>
      <c r="I28" s="20" t="n">
        <v>0.0585</v>
      </c>
      <c r="J28" s="20" t="n">
        <v>5671</v>
      </c>
    </row>
    <row r="29" hidden="1" ht="16.5" customHeight="1" s="17">
      <c r="B29" s="20" t="inlineStr">
        <is>
          <t>카페24</t>
        </is>
      </c>
      <c r="C29" s="20" t="inlineStr">
        <is>
          <t>고체향수</t>
        </is>
      </c>
      <c r="D29" s="20" t="inlineStr">
        <is>
          <t>유즈 솔리드퍼퓸 - 30ml (스테이포에버 주문 시 12/14 부터 순차배송)향=이그나이트, 세트 선택=1 개</t>
        </is>
      </c>
      <c r="E29" s="20" t="inlineStr">
        <is>
          <t>이그나이트</t>
        </is>
      </c>
      <c r="F29" s="20" t="n">
        <v>201210</v>
      </c>
      <c r="G29" s="20">
        <f>B29&amp;C29&amp;D29&amp;F29</f>
        <v/>
      </c>
      <c r="H29" s="20" t="n">
        <v>38000</v>
      </c>
      <c r="I29" s="20" t="n">
        <v>0.0585</v>
      </c>
      <c r="J29" s="20" t="n">
        <v>2888</v>
      </c>
    </row>
    <row r="30" hidden="1" ht="16.5" customHeight="1" s="17">
      <c r="B30" s="20" t="inlineStr">
        <is>
          <t>카페24</t>
        </is>
      </c>
      <c r="C30" s="20" t="inlineStr">
        <is>
          <t>고체향수</t>
        </is>
      </c>
      <c r="D30" s="20" t="inlineStr">
        <is>
          <t>유즈 솔리드퍼퓸 - 30ml (스테이포에버 주문 시 12/14 순차배송)향=스테이포에버, 세트 선택=1 개</t>
        </is>
      </c>
      <c r="E30" s="20" t="inlineStr">
        <is>
          <t>스테이포에버</t>
        </is>
      </c>
      <c r="F30" s="20" t="n">
        <v>201210</v>
      </c>
      <c r="G30" s="20">
        <f>B30&amp;C30&amp;D30&amp;F30</f>
        <v/>
      </c>
      <c r="H30" s="20" t="n">
        <v>38000</v>
      </c>
      <c r="I30" s="20" t="n">
        <v>0.0585</v>
      </c>
      <c r="J30" s="20" t="n">
        <v>2783</v>
      </c>
    </row>
    <row r="31" hidden="1" ht="16.5" customHeight="1" s="17">
      <c r="B31" s="20" t="inlineStr">
        <is>
          <t>카페24</t>
        </is>
      </c>
      <c r="C31" s="20" t="inlineStr">
        <is>
          <t>고체향수</t>
        </is>
      </c>
      <c r="D31" s="20" t="inlineStr">
        <is>
          <t>유즈 솔리드퍼퓸 - 30ml (스테이포에버 주문 시 12/14 순차배송)향=스테이포에버, 세트 선택=2개 (28% off)</t>
        </is>
      </c>
      <c r="E31" s="20" t="inlineStr">
        <is>
          <t>스테이포에버 2set</t>
        </is>
      </c>
      <c r="F31" s="20" t="n">
        <v>201210</v>
      </c>
      <c r="G31" s="20">
        <f>B31&amp;C31&amp;D31&amp;F31</f>
        <v/>
      </c>
      <c r="H31" s="20" t="n">
        <v>58800</v>
      </c>
      <c r="I31" s="20" t="n">
        <v>0.0585</v>
      </c>
      <c r="J31" s="20" t="n">
        <v>5566</v>
      </c>
    </row>
    <row r="32" hidden="1" ht="16.5" customHeight="1" s="17">
      <c r="B32" s="20" t="inlineStr">
        <is>
          <t>카페24</t>
        </is>
      </c>
      <c r="C32" s="20" t="inlineStr">
        <is>
          <t>고체향수</t>
        </is>
      </c>
      <c r="D32" s="20" t="inlineStr">
        <is>
          <t>유즈 솔리드퍼퓸 - 30ml (스테이포에버 주문 시 12/14 순차배송)향=이그나이트 + 스테이포에버, 세트 선택=1 SET</t>
        </is>
      </c>
      <c r="E32" s="20" t="inlineStr">
        <is>
          <t>이그나이트 + 스테이포에버</t>
        </is>
      </c>
      <c r="F32" s="20" t="n">
        <v>201210</v>
      </c>
      <c r="G32" s="20">
        <f>B32&amp;C32&amp;D32&amp;F32</f>
        <v/>
      </c>
      <c r="H32" s="20" t="n">
        <v>69000</v>
      </c>
      <c r="I32" s="20" t="n">
        <v>0.0585</v>
      </c>
      <c r="J32" s="20" t="n">
        <v>5671</v>
      </c>
    </row>
    <row r="33" hidden="1" ht="16.5" customHeight="1" s="17">
      <c r="B33" s="20" t="inlineStr">
        <is>
          <t>카페24</t>
        </is>
      </c>
      <c r="C33" s="20" t="inlineStr">
        <is>
          <t>고체향수</t>
        </is>
      </c>
      <c r="D33" s="20" t="inlineStr">
        <is>
          <t>유즈 솔리드퍼퓸 - 30ml (스테이포에버 주문 시 12/14 순차배송)향=이그나이트 + 스테이포에버, 세트 선택=2 SET (42% off)</t>
        </is>
      </c>
      <c r="E33" s="20" t="inlineStr">
        <is>
          <t>이그나이트 + 스테이포에버 2set</t>
        </is>
      </c>
      <c r="F33" s="20" t="n">
        <v>201210</v>
      </c>
      <c r="G33" s="20">
        <f>B33&amp;C33&amp;D33&amp;F33</f>
        <v/>
      </c>
      <c r="H33" s="20" t="n">
        <v>94800</v>
      </c>
      <c r="I33" s="20" t="n">
        <v>0.0585</v>
      </c>
      <c r="J33" s="20" t="n">
        <v>11342</v>
      </c>
    </row>
    <row r="34" hidden="1" ht="16.5" customHeight="1" s="17">
      <c r="B34" s="20" t="inlineStr">
        <is>
          <t>카페24</t>
        </is>
      </c>
      <c r="C34" s="20" t="inlineStr">
        <is>
          <t>고체향수</t>
        </is>
      </c>
      <c r="D34" s="20" t="inlineStr">
        <is>
          <t>유즈 솔리드퍼퓸 - 30ml (스테이포에버 주문 시 12/14 순차배송)향=이그나이트, 세트 선택=1 개</t>
        </is>
      </c>
      <c r="E34" s="20" t="inlineStr">
        <is>
          <t>이그나이트</t>
        </is>
      </c>
      <c r="F34" s="20" t="n">
        <v>201210</v>
      </c>
      <c r="G34" s="20">
        <f>B34&amp;C34&amp;D34&amp;F34</f>
        <v/>
      </c>
      <c r="H34" s="20" t="n">
        <v>38000</v>
      </c>
      <c r="I34" s="20" t="n">
        <v>0.0585</v>
      </c>
      <c r="J34" s="20" t="n">
        <v>2888</v>
      </c>
    </row>
    <row r="35" hidden="1" ht="16.5" customHeight="1" s="17">
      <c r="B35" s="20" t="inlineStr">
        <is>
          <t>카페24</t>
        </is>
      </c>
      <c r="C35" s="20" t="inlineStr">
        <is>
          <t>고체향수</t>
        </is>
      </c>
      <c r="D35" s="20" t="inlineStr">
        <is>
          <t>유즈 솔리드퍼퓸 - 30ml (스테이포에버 주문 시 12/15 순차배송)향=스테이포에버, 세트 선택=1 개</t>
        </is>
      </c>
      <c r="E35" s="20" t="inlineStr">
        <is>
          <t>스테이포에버</t>
        </is>
      </c>
      <c r="F35" s="20" t="n">
        <v>201210</v>
      </c>
      <c r="G35" s="20">
        <f>B35&amp;C35&amp;D35&amp;F35</f>
        <v/>
      </c>
      <c r="H35" s="20" t="n">
        <v>38000</v>
      </c>
      <c r="I35" s="20" t="n">
        <v>0.0585</v>
      </c>
      <c r="J35" s="20" t="n">
        <v>2783</v>
      </c>
    </row>
    <row r="36" hidden="1" ht="16.5" customHeight="1" s="17">
      <c r="B36" s="20" t="inlineStr">
        <is>
          <t>카페24</t>
        </is>
      </c>
      <c r="C36" s="20" t="inlineStr">
        <is>
          <t>고체향수</t>
        </is>
      </c>
      <c r="D36" s="20" t="inlineStr">
        <is>
          <t>유즈 솔리드퍼퓸 - 30ml (스테이포에버 주문 시 12/15 순차배송)향=스테이포에버, 세트 선택=2개 (28% off)</t>
        </is>
      </c>
      <c r="E36" s="20" t="inlineStr">
        <is>
          <t>스테이포에버 2set</t>
        </is>
      </c>
      <c r="F36" s="20" t="n">
        <v>201210</v>
      </c>
      <c r="G36" s="20">
        <f>B36&amp;C36&amp;D36&amp;F36</f>
        <v/>
      </c>
      <c r="H36" s="20" t="n">
        <v>58800</v>
      </c>
      <c r="I36" s="20" t="n">
        <v>0.0585</v>
      </c>
      <c r="J36" s="20" t="n">
        <v>5566</v>
      </c>
    </row>
    <row r="37" hidden="1" ht="16.5" customHeight="1" s="17">
      <c r="B37" s="20" t="inlineStr">
        <is>
          <t>카페24</t>
        </is>
      </c>
      <c r="C37" s="20" t="inlineStr">
        <is>
          <t>고체향수</t>
        </is>
      </c>
      <c r="D37" s="20" t="inlineStr">
        <is>
          <t>유즈 솔리드퍼퓸 - 30ml (스테이포에버 주문 시 12/15 순차배송)향=이그나이트 + 스테이포에버, 세트 선택=1 SET</t>
        </is>
      </c>
      <c r="E37" s="20" t="inlineStr">
        <is>
          <t>이그나이트 + 스테이포에버</t>
        </is>
      </c>
      <c r="F37" s="20" t="n">
        <v>201210</v>
      </c>
      <c r="G37" s="20">
        <f>B37&amp;C37&amp;D37&amp;F37</f>
        <v/>
      </c>
      <c r="H37" s="20" t="n">
        <v>69000</v>
      </c>
      <c r="I37" s="20" t="n">
        <v>0.0585</v>
      </c>
      <c r="J37" s="20" t="n">
        <v>5671</v>
      </c>
    </row>
    <row r="38" hidden="1" ht="16.5" customHeight="1" s="17">
      <c r="B38" s="20" t="inlineStr">
        <is>
          <t>카페24</t>
        </is>
      </c>
      <c r="C38" s="20" t="inlineStr">
        <is>
          <t>고체향수</t>
        </is>
      </c>
      <c r="D38" s="20" t="inlineStr">
        <is>
          <t>유즈 솔리드퍼퓸 - 30ml (스테이포에버 주문 시 12/15 순차배송)향=이그나이트 + 스테이포에버, 세트 선택=2 SET (42% off)</t>
        </is>
      </c>
      <c r="E38" s="20" t="inlineStr">
        <is>
          <t>스테이포에버 2set</t>
        </is>
      </c>
      <c r="F38" s="20" t="n">
        <v>201210</v>
      </c>
      <c r="G38" s="20">
        <f>B38&amp;C38&amp;D38&amp;F38</f>
        <v/>
      </c>
      <c r="H38" s="20" t="n">
        <v>58800</v>
      </c>
      <c r="I38" s="20" t="n">
        <v>0.0585</v>
      </c>
      <c r="J38" s="20" t="n">
        <v>5566</v>
      </c>
    </row>
    <row r="39" hidden="1" ht="16.5" customHeight="1" s="17">
      <c r="B39" s="20" t="inlineStr">
        <is>
          <t>카페24</t>
        </is>
      </c>
      <c r="C39" s="20" t="inlineStr">
        <is>
          <t>고체향수</t>
        </is>
      </c>
      <c r="D39" s="20" t="inlineStr">
        <is>
          <t>유즈 솔리드퍼퓸 - 30ml (스테이포에버 주문 시 12/15 순차배송)향=이그나이트, 세트 선택=1 개</t>
        </is>
      </c>
      <c r="E39" s="20" t="inlineStr">
        <is>
          <t>이그나이트</t>
        </is>
      </c>
      <c r="F39" s="20" t="n">
        <v>201210</v>
      </c>
      <c r="G39" s="20">
        <f>B39&amp;C39&amp;D39&amp;F39</f>
        <v/>
      </c>
      <c r="H39" s="20" t="n">
        <v>38000</v>
      </c>
      <c r="I39" s="20" t="n">
        <v>0.0585</v>
      </c>
      <c r="J39" s="20" t="n">
        <v>2888</v>
      </c>
    </row>
    <row r="40" hidden="1" ht="16.5" customHeight="1" s="17">
      <c r="B40" s="20" t="inlineStr">
        <is>
          <t>카페24</t>
        </is>
      </c>
      <c r="C40" s="20" t="inlineStr">
        <is>
          <t>고체향수</t>
        </is>
      </c>
      <c r="D40" s="20" t="inlineStr">
        <is>
          <t>유즈 솔리드퍼퓸 - 30ml (스테이포에버 주문 시 12/4 부터 순차배송)향=스테이포에버, 세트 선택=1 개</t>
        </is>
      </c>
      <c r="E40" s="20" t="inlineStr">
        <is>
          <t>스테이포에버</t>
        </is>
      </c>
      <c r="F40" s="20" t="n">
        <v>201210</v>
      </c>
      <c r="G40" s="20">
        <f>B40&amp;C40&amp;D40&amp;F40</f>
        <v/>
      </c>
      <c r="H40" s="20" t="n">
        <v>38000</v>
      </c>
      <c r="I40" s="20" t="n">
        <v>0.0585</v>
      </c>
      <c r="J40" s="20" t="n">
        <v>2783</v>
      </c>
    </row>
    <row r="41" hidden="1" ht="16.5" customHeight="1" s="17">
      <c r="B41" s="20" t="inlineStr">
        <is>
          <t>카페24</t>
        </is>
      </c>
      <c r="C41" s="20" t="inlineStr">
        <is>
          <t>고체향수</t>
        </is>
      </c>
      <c r="D41" s="20" t="inlineStr">
        <is>
          <t>유즈 솔리드퍼퓸 - 30ml (스테이포에버 주문 시 12/4 부터 순차배송)향=이그나이트 + 스테이포에버, 세트 선택=1 SET</t>
        </is>
      </c>
      <c r="E41" s="20" t="inlineStr">
        <is>
          <t>이그나이트 + 스테이포에버</t>
        </is>
      </c>
      <c r="F41" s="20" t="n">
        <v>201210</v>
      </c>
      <c r="G41" s="20">
        <f>B41&amp;C41&amp;D41&amp;F41</f>
        <v/>
      </c>
      <c r="H41" s="20" t="n">
        <v>69000</v>
      </c>
      <c r="I41" s="20" t="n">
        <v>0.0585</v>
      </c>
      <c r="J41" s="20" t="n">
        <v>5671</v>
      </c>
    </row>
    <row r="42" hidden="1" ht="16.5" customHeight="1" s="17">
      <c r="B42" s="20" t="inlineStr">
        <is>
          <t>카페24</t>
        </is>
      </c>
      <c r="C42" s="20" t="inlineStr">
        <is>
          <t>쇼핑백</t>
        </is>
      </c>
      <c r="D42" s="20" t="inlineStr">
        <is>
          <t>유즈 스테이포에버 솔리드퍼퓸 002 (12/14 부터 순차배송)쇼핑백=선물용 쇼핑백</t>
        </is>
      </c>
      <c r="E42" s="20" t="inlineStr">
        <is>
          <t>쇼핑백</t>
        </is>
      </c>
      <c r="F42" s="20" t="n">
        <v>201210</v>
      </c>
      <c r="G42" s="20">
        <f>B42&amp;C42&amp;D42&amp;F42</f>
        <v/>
      </c>
      <c r="H42" s="20" t="n">
        <v>2000</v>
      </c>
      <c r="I42" s="20" t="n">
        <v>0.0585</v>
      </c>
      <c r="J42" s="20" t="n">
        <v>1210</v>
      </c>
    </row>
    <row r="43" hidden="1" ht="16.5" customHeight="1" s="17">
      <c r="B43" s="20" t="inlineStr">
        <is>
          <t>카페24</t>
        </is>
      </c>
      <c r="C43" s="20" t="inlineStr">
        <is>
          <t>고체향수</t>
        </is>
      </c>
      <c r="D43" s="20" t="inlineStr">
        <is>
          <t>유즈 스테이포에버 솔리드퍼퓸 002 (12/14 부터 순차배송)제품선택=스테이포에버 + 이그나이트 세트</t>
        </is>
      </c>
      <c r="E43" s="20" t="inlineStr">
        <is>
          <t>이그나이트 + 스테이포에버</t>
        </is>
      </c>
      <c r="F43" s="20" t="n">
        <v>201210</v>
      </c>
      <c r="G43" s="20">
        <f>B43&amp;C43&amp;D43&amp;F43</f>
        <v/>
      </c>
      <c r="H43" s="20" t="n">
        <v>69000</v>
      </c>
      <c r="I43" s="20" t="n">
        <v>0.0585</v>
      </c>
      <c r="J43" s="20" t="n">
        <v>5671</v>
      </c>
    </row>
    <row r="44" hidden="1" ht="16.5" customHeight="1" s="17">
      <c r="B44" s="20" t="inlineStr">
        <is>
          <t>카페24</t>
        </is>
      </c>
      <c r="C44" s="20" t="inlineStr">
        <is>
          <t>고체향수</t>
        </is>
      </c>
      <c r="D44" s="20" t="inlineStr">
        <is>
          <t>유즈 스테이포에버 솔리드퍼퓸 002 (12/14 부터 순차배송)제품선택=스테이포에버 2개 세트[Pre-order 이벤트 28% 할인]</t>
        </is>
      </c>
      <c r="E44" s="20" t="inlineStr">
        <is>
          <t>스테이포에버 2set</t>
        </is>
      </c>
      <c r="F44" s="20" t="n">
        <v>201210</v>
      </c>
      <c r="G44" s="20">
        <f>B44&amp;C44&amp;D44&amp;F44</f>
        <v/>
      </c>
      <c r="H44" s="20" t="n">
        <v>58800</v>
      </c>
      <c r="I44" s="20" t="n">
        <v>0.0585</v>
      </c>
      <c r="J44" s="20" t="n">
        <v>5566</v>
      </c>
    </row>
    <row r="45" hidden="1" ht="16.5" customHeight="1" s="17">
      <c r="B45" s="20" t="inlineStr">
        <is>
          <t>카페24</t>
        </is>
      </c>
      <c r="C45" s="20" t="inlineStr">
        <is>
          <t>고체향수</t>
        </is>
      </c>
      <c r="D45" s="20" t="inlineStr">
        <is>
          <t>유즈 스테이포에버 솔리드퍼퓸 002 (12/14 부터 순차배송)제품선택=스테이포에버 솔리드퍼퓸 002[Pre-order 이벤트 17% 할인]</t>
        </is>
      </c>
      <c r="E45" s="20" t="inlineStr">
        <is>
          <t>스테이포에버</t>
        </is>
      </c>
      <c r="F45" s="20" t="n">
        <v>201210</v>
      </c>
      <c r="G45" s="20">
        <f>B45&amp;C45&amp;D45&amp;F45</f>
        <v/>
      </c>
      <c r="H45" s="20" t="n">
        <v>38000</v>
      </c>
      <c r="I45" s="20" t="n">
        <v>0.0585</v>
      </c>
      <c r="J45" s="20" t="n">
        <v>2783</v>
      </c>
    </row>
    <row r="46" hidden="1" ht="16.5" customHeight="1" s="17">
      <c r="B46" s="20" t="inlineStr">
        <is>
          <t>카페24</t>
        </is>
      </c>
      <c r="C46" s="20" t="inlineStr">
        <is>
          <t>쇼핑백</t>
        </is>
      </c>
      <c r="D46" s="20" t="inlineStr">
        <is>
          <t>유즈 스테이포에버 솔리드퍼퓸 002 (12/14 순차배송)쇼핑백=선물용 쇼핑백</t>
        </is>
      </c>
      <c r="E46" s="20" t="inlineStr">
        <is>
          <t>쇼핑백</t>
        </is>
      </c>
      <c r="F46" s="20" t="n">
        <v>201210</v>
      </c>
      <c r="G46" s="20">
        <f>B46&amp;C46&amp;D46&amp;F46</f>
        <v/>
      </c>
      <c r="H46" s="20" t="n">
        <v>2000</v>
      </c>
      <c r="I46" s="20" t="n">
        <v>0.0585</v>
      </c>
      <c r="J46" s="20" t="n">
        <v>1210</v>
      </c>
    </row>
    <row r="47" hidden="1" ht="16.5" customHeight="1" s="17">
      <c r="B47" s="20" t="inlineStr">
        <is>
          <t>카페24</t>
        </is>
      </c>
      <c r="C47" s="20" t="inlineStr">
        <is>
          <t>고체향수</t>
        </is>
      </c>
      <c r="D47" s="20" t="inlineStr">
        <is>
          <t>유즈 스테이포에버 솔리드퍼퓸 002 (12/14 순차배송)제품선택=스테이포에버 2개 세트[Pre-order 이벤트 28% 할인]</t>
        </is>
      </c>
      <c r="E47" s="20" t="inlineStr">
        <is>
          <t>스테이포에버 2set</t>
        </is>
      </c>
      <c r="F47" s="20" t="n">
        <v>201210</v>
      </c>
      <c r="G47" s="20">
        <f>B47&amp;C47&amp;D47&amp;F47</f>
        <v/>
      </c>
      <c r="H47" s="20" t="n">
        <v>58800</v>
      </c>
      <c r="I47" s="20" t="n">
        <v>0.0585</v>
      </c>
      <c r="J47" s="20" t="n">
        <v>5566</v>
      </c>
    </row>
    <row r="48" hidden="1" ht="16.5" customHeight="1" s="17">
      <c r="B48" s="20" t="inlineStr">
        <is>
          <t>카페24</t>
        </is>
      </c>
      <c r="C48" s="20" t="inlineStr">
        <is>
          <t>고체향수</t>
        </is>
      </c>
      <c r="D48" s="20" t="inlineStr">
        <is>
          <t>유즈 스테이포에버 솔리드퍼퓸 002 (12/14 순차배송)제품선택=스테이포에버 솔리드퍼퓸 002[Pre-order 이벤트 17% 할인]</t>
        </is>
      </c>
      <c r="E48" s="20" t="inlineStr">
        <is>
          <t>스테이포에버</t>
        </is>
      </c>
      <c r="F48" s="20" t="n">
        <v>201210</v>
      </c>
      <c r="G48" s="20">
        <f>B48&amp;C48&amp;D48&amp;F48</f>
        <v/>
      </c>
      <c r="H48" s="20" t="n">
        <v>38000</v>
      </c>
      <c r="I48" s="20" t="n">
        <v>0.0585</v>
      </c>
      <c r="J48" s="20" t="n">
        <v>2783</v>
      </c>
    </row>
    <row r="49" hidden="1" ht="16.5" customHeight="1" s="17">
      <c r="B49" s="20" t="inlineStr">
        <is>
          <t>카페24</t>
        </is>
      </c>
      <c r="C49" s="20" t="inlineStr">
        <is>
          <t>고체향수</t>
        </is>
      </c>
      <c r="D49" s="20" t="inlineStr">
        <is>
          <t>유즈 스테이포에버 솔리드퍼퓸 002 (12/14 입고 이후 순차배송)제품선택=스테이포에버 솔리드퍼퓸 002[Pre-order 이벤트 17% 할인]</t>
        </is>
      </c>
      <c r="E49" s="20" t="inlineStr">
        <is>
          <t>스테이포에버</t>
        </is>
      </c>
      <c r="F49" s="20" t="n">
        <v>201210</v>
      </c>
      <c r="G49" s="20">
        <f>B49&amp;C49&amp;D49&amp;F49</f>
        <v/>
      </c>
      <c r="H49" s="20" t="n">
        <v>38000</v>
      </c>
      <c r="I49" s="20" t="n">
        <v>0.0585</v>
      </c>
      <c r="J49" s="20" t="n">
        <v>2783</v>
      </c>
    </row>
    <row r="50" hidden="1" ht="16.5" customHeight="1" s="17">
      <c r="B50" s="20" t="inlineStr">
        <is>
          <t>카페24</t>
        </is>
      </c>
      <c r="C50" s="20" t="inlineStr">
        <is>
          <t>쇼핑백</t>
        </is>
      </c>
      <c r="D50" s="20" t="inlineStr">
        <is>
          <t>유즈 스테이포에버 솔리드퍼퓸 002 (12/4 부터 순차배송)쇼핑백=선물용 쇼핑백</t>
        </is>
      </c>
      <c r="E50" s="20" t="inlineStr">
        <is>
          <t>쇼핑백</t>
        </is>
      </c>
      <c r="F50" s="20" t="n">
        <v>201210</v>
      </c>
      <c r="G50" s="20">
        <f>B50&amp;C50&amp;D50&amp;F50</f>
        <v/>
      </c>
      <c r="H50" s="20" t="n">
        <v>2000</v>
      </c>
      <c r="I50" s="20" t="n">
        <v>0.0585</v>
      </c>
      <c r="J50" s="20" t="n">
        <v>1210</v>
      </c>
    </row>
    <row r="51" hidden="1" ht="16.5" customHeight="1" s="17">
      <c r="B51" s="20" t="inlineStr">
        <is>
          <t>카페24</t>
        </is>
      </c>
      <c r="C51" s="20" t="inlineStr">
        <is>
          <t>고체향수</t>
        </is>
      </c>
      <c r="D51" s="20" t="inlineStr">
        <is>
          <t>유즈 스테이포에버 솔리드퍼퓸 002 (12/4 부터 순차배송)제품선택=스테이포에버 + 이그나이트 세트</t>
        </is>
      </c>
      <c r="E51" s="20" t="inlineStr">
        <is>
          <t>이그나이트 + 스테이포에버</t>
        </is>
      </c>
      <c r="F51" s="20" t="n">
        <v>201210</v>
      </c>
      <c r="G51" s="20">
        <f>B51&amp;C51&amp;D51&amp;F51</f>
        <v/>
      </c>
      <c r="H51" s="20" t="n">
        <v>69000</v>
      </c>
      <c r="I51" s="20" t="n">
        <v>0.0585</v>
      </c>
      <c r="J51" s="20" t="n">
        <v>5671</v>
      </c>
    </row>
    <row r="52" hidden="1" ht="16.5" customHeight="1" s="17">
      <c r="B52" s="20" t="inlineStr">
        <is>
          <t>카페24</t>
        </is>
      </c>
      <c r="C52" s="20" t="inlineStr">
        <is>
          <t>고체향수</t>
        </is>
      </c>
      <c r="D52" s="20" t="inlineStr">
        <is>
          <t>유즈 스테이포에버 솔리드퍼퓸 002 (12/4 부터 순차배송)제품선택=스테이포에버 2개 세트[Pre-order 이벤트 28% 할인]</t>
        </is>
      </c>
      <c r="E52" s="20" t="inlineStr">
        <is>
          <t>스테이포에버 2set</t>
        </is>
      </c>
      <c r="F52" s="20" t="n">
        <v>201210</v>
      </c>
      <c r="G52" s="20">
        <f>B52&amp;C52&amp;D52&amp;F52</f>
        <v/>
      </c>
      <c r="H52" s="20" t="n">
        <v>58800</v>
      </c>
      <c r="I52" s="20" t="n">
        <v>0.0585</v>
      </c>
      <c r="J52" s="20" t="n">
        <v>5566</v>
      </c>
    </row>
    <row r="53" hidden="1" ht="16.5" customHeight="1" s="17">
      <c r="B53" s="20" t="inlineStr">
        <is>
          <t>카페24</t>
        </is>
      </c>
      <c r="C53" s="20" t="inlineStr">
        <is>
          <t>고체향수</t>
        </is>
      </c>
      <c r="D53" s="20" t="inlineStr">
        <is>
          <t>유즈 스테이포에버 솔리드퍼퓸 002 (12/4 부터 순차배송)제품선택=스테이포에버 솔리드퍼퓸 002[Pre-order 이벤트 17% 할인]</t>
        </is>
      </c>
      <c r="E53" s="20" t="inlineStr">
        <is>
          <t>스테이포에버</t>
        </is>
      </c>
      <c r="F53" s="20" t="n">
        <v>201210</v>
      </c>
      <c r="G53" s="20">
        <f>B53&amp;C53&amp;D53&amp;F53</f>
        <v/>
      </c>
      <c r="H53" s="20" t="n">
        <v>38000</v>
      </c>
      <c r="I53" s="20" t="n">
        <v>0.0585</v>
      </c>
      <c r="J53" s="20" t="n">
        <v>2783</v>
      </c>
    </row>
    <row r="54" hidden="1" ht="16.5" customHeight="1" s="17">
      <c r="B54" s="20" t="inlineStr">
        <is>
          <t>카페24</t>
        </is>
      </c>
      <c r="C54" s="20" t="inlineStr">
        <is>
          <t>쇼핑백</t>
        </is>
      </c>
      <c r="D54" s="20" t="inlineStr">
        <is>
          <t>유즈 스테이포에버 솔리드퍼퓸 002 (스테이포에버 주문시 12/14 순차배송)쇼핑백=선물용 쇼핑백</t>
        </is>
      </c>
      <c r="E54" s="20" t="inlineStr">
        <is>
          <t>쇼핑백</t>
        </is>
      </c>
      <c r="F54" s="20" t="n">
        <v>201210</v>
      </c>
      <c r="G54" s="20">
        <f>B54&amp;C54&amp;D54&amp;F54</f>
        <v/>
      </c>
      <c r="H54" s="20" t="n">
        <v>2000</v>
      </c>
      <c r="I54" s="20" t="n">
        <v>0.0585</v>
      </c>
      <c r="J54" s="20" t="n">
        <v>1210</v>
      </c>
    </row>
    <row r="55" hidden="1" ht="16.5" customHeight="1" s="17">
      <c r="B55" s="20" t="inlineStr">
        <is>
          <t>카페24</t>
        </is>
      </c>
      <c r="C55" s="20" t="inlineStr">
        <is>
          <t>고체향수</t>
        </is>
      </c>
      <c r="D55" s="20" t="inlineStr">
        <is>
          <t>유즈 스테이포에버 솔리드퍼퓸 002 (스테이포에버 주문시 12/14 순차배송)제품선택=스테이포에버 + 이그나이트 세트</t>
        </is>
      </c>
      <c r="E55" s="20" t="inlineStr">
        <is>
          <t>이그나이트 + 스테이포에버</t>
        </is>
      </c>
      <c r="F55" s="20" t="n">
        <v>201210</v>
      </c>
      <c r="G55" s="20">
        <f>B55&amp;C55&amp;D55&amp;F55</f>
        <v/>
      </c>
      <c r="H55" s="20" t="n">
        <v>69000</v>
      </c>
      <c r="I55" s="20" t="n">
        <v>0.0585</v>
      </c>
      <c r="J55" s="20" t="n">
        <v>5671</v>
      </c>
    </row>
    <row r="56" hidden="1" ht="16.5" customHeight="1" s="17">
      <c r="B56" s="20" t="inlineStr">
        <is>
          <t>카페24</t>
        </is>
      </c>
      <c r="C56" s="20" t="inlineStr">
        <is>
          <t>고체향수</t>
        </is>
      </c>
      <c r="D56" s="20" t="inlineStr">
        <is>
          <t>유즈 스테이포에버 솔리드퍼퓸 002 (스테이포에버 주문시 12/14 순차배송)제품선택=스테이포에버 2개 세트[Pre-order 이벤트 28% 할인]</t>
        </is>
      </c>
      <c r="E56" s="20" t="inlineStr">
        <is>
          <t>스테이포에버 2set</t>
        </is>
      </c>
      <c r="F56" s="20" t="n">
        <v>201210</v>
      </c>
      <c r="G56" s="20">
        <f>B56&amp;C56&amp;D56&amp;F56</f>
        <v/>
      </c>
      <c r="H56" s="20" t="n">
        <v>58800</v>
      </c>
      <c r="I56" s="20" t="n">
        <v>0.0585</v>
      </c>
      <c r="J56" s="20" t="n">
        <v>5566</v>
      </c>
    </row>
    <row r="57" hidden="1" ht="16.5" customHeight="1" s="17">
      <c r="B57" s="20" t="inlineStr">
        <is>
          <t>카페24</t>
        </is>
      </c>
      <c r="C57" s="20" t="inlineStr">
        <is>
          <t>고체향수</t>
        </is>
      </c>
      <c r="D57" s="20" t="inlineStr">
        <is>
          <t>유즈 스테이포에버 솔리드퍼퓸 002 (스테이포에버 주문시 12/14 순차배송)제품선택=스테이포에버 솔리드퍼퓸 002[Pre-order 이벤트 17% 할인]</t>
        </is>
      </c>
      <c r="E57" s="20" t="inlineStr">
        <is>
          <t>스테이포에버</t>
        </is>
      </c>
      <c r="F57" s="20" t="n">
        <v>201210</v>
      </c>
      <c r="G57" s="20">
        <f>B57&amp;C57&amp;D57&amp;F57</f>
        <v/>
      </c>
      <c r="H57" s="20" t="n">
        <v>38000</v>
      </c>
      <c r="I57" s="20" t="n">
        <v>0.0585</v>
      </c>
      <c r="J57" s="20" t="n">
        <v>2783</v>
      </c>
    </row>
    <row r="58" hidden="1" ht="16.5" customHeight="1" s="17">
      <c r="B58" s="20" t="inlineStr">
        <is>
          <t>카페24</t>
        </is>
      </c>
      <c r="C58" s="20" t="inlineStr">
        <is>
          <t>쇼핑백</t>
        </is>
      </c>
      <c r="D58" s="20" t="inlineStr">
        <is>
          <t>유즈 스테이포에버 솔리드퍼퓸 002 (스테이포에버 주문시 12/15 순차배송)쇼핑백=선물용 쇼핑백</t>
        </is>
      </c>
      <c r="E58" s="20" t="inlineStr">
        <is>
          <t>쇼핑백</t>
        </is>
      </c>
      <c r="F58" s="20" t="n">
        <v>201210</v>
      </c>
      <c r="G58" s="20">
        <f>B58&amp;C58&amp;D58&amp;F58</f>
        <v/>
      </c>
      <c r="H58" s="20" t="n">
        <v>2000</v>
      </c>
      <c r="I58" s="20" t="n">
        <v>0.0585</v>
      </c>
      <c r="J58" s="20" t="n">
        <v>1210</v>
      </c>
    </row>
    <row r="59" hidden="1" ht="16.5" customHeight="1" s="17">
      <c r="B59" s="20" t="inlineStr">
        <is>
          <t>카페24</t>
        </is>
      </c>
      <c r="C59" s="20" t="inlineStr">
        <is>
          <t>고체향수</t>
        </is>
      </c>
      <c r="D59" s="20" t="inlineStr">
        <is>
          <t>유즈 스테이포에버 솔리드퍼퓸 002 (스테이포에버 주문시 12/15 순차배송)제품선택=스테이포에버 + 이그나이트 세트</t>
        </is>
      </c>
      <c r="E59" s="20" t="inlineStr">
        <is>
          <t>이그나이트 + 스테이포에버</t>
        </is>
      </c>
      <c r="F59" s="20" t="n">
        <v>201210</v>
      </c>
      <c r="G59" s="20">
        <f>B59&amp;C59&amp;D59&amp;F59</f>
        <v/>
      </c>
      <c r="H59" s="20" t="n">
        <v>69000</v>
      </c>
      <c r="I59" s="20" t="n">
        <v>0.0585</v>
      </c>
      <c r="J59" s="20" t="n">
        <v>5671</v>
      </c>
    </row>
    <row r="60" hidden="1" ht="16.5" customHeight="1" s="17">
      <c r="B60" s="20" t="inlineStr">
        <is>
          <t>카페24</t>
        </is>
      </c>
      <c r="C60" s="20" t="inlineStr">
        <is>
          <t>고체향수</t>
        </is>
      </c>
      <c r="D60" s="20" t="inlineStr">
        <is>
          <t>유즈 스테이포에버 솔리드퍼퓸 002 (스테이포에버 주문시 12/15 순차배송)제품선택=스테이포에버 2개 세트[Pre-order 이벤트 28% 할인]</t>
        </is>
      </c>
      <c r="E60" s="20" t="inlineStr">
        <is>
          <t>스테이포에버 2set</t>
        </is>
      </c>
      <c r="F60" s="20" t="n">
        <v>201210</v>
      </c>
      <c r="G60" s="20">
        <f>B60&amp;C60&amp;D60&amp;F60</f>
        <v/>
      </c>
      <c r="H60" s="20" t="n">
        <v>58800</v>
      </c>
      <c r="I60" s="20" t="n">
        <v>0.0585</v>
      </c>
      <c r="J60" s="20" t="n">
        <v>5566</v>
      </c>
    </row>
    <row r="61" hidden="1" ht="16.5" customHeight="1" s="17">
      <c r="B61" s="20" t="inlineStr">
        <is>
          <t>카페24</t>
        </is>
      </c>
      <c r="C61" s="20" t="inlineStr">
        <is>
          <t>고체향수</t>
        </is>
      </c>
      <c r="D61" s="20" t="inlineStr">
        <is>
          <t>유즈 스테이포에버 솔리드퍼퓸 002 (스테이포에버 주문시 12/15 순차배송)제품선택=스테이포에버 솔리드퍼퓸 002[Pre-order 이벤트 17% 할인]</t>
        </is>
      </c>
      <c r="E61" s="20" t="inlineStr">
        <is>
          <t>스테이포에버</t>
        </is>
      </c>
      <c r="F61" s="20" t="n">
        <v>201210</v>
      </c>
      <c r="G61" s="20">
        <f>B61&amp;C61&amp;D61&amp;F61</f>
        <v/>
      </c>
      <c r="H61" s="20" t="n">
        <v>38000</v>
      </c>
      <c r="I61" s="20" t="n">
        <v>0.0585</v>
      </c>
      <c r="J61" s="20" t="n">
        <v>2783</v>
      </c>
    </row>
    <row r="62" hidden="1" ht="16.5" customHeight="1" s="17">
      <c r="B62" s="20" t="inlineStr">
        <is>
          <t>카페24</t>
        </is>
      </c>
      <c r="C62" s="20" t="inlineStr">
        <is>
          <t>고체향수</t>
        </is>
      </c>
      <c r="D62" s="20" t="inlineStr">
        <is>
          <t>유즈 스테이포에버 솔리드퍼퓸 002제품선택=스테이포에버 솔리드퍼퓸</t>
        </is>
      </c>
      <c r="E62" s="20" t="inlineStr">
        <is>
          <t>스테이포에버</t>
        </is>
      </c>
      <c r="F62" s="20" t="n">
        <v>201210</v>
      </c>
      <c r="G62" s="20">
        <f>B62&amp;C62&amp;D62&amp;F62</f>
        <v/>
      </c>
      <c r="H62" s="20" t="n">
        <v>38000</v>
      </c>
      <c r="I62" s="20" t="n">
        <v>0.0585</v>
      </c>
      <c r="J62" s="20" t="n">
        <v>2783</v>
      </c>
    </row>
    <row r="63" hidden="1" ht="16.5" customHeight="1" s="17">
      <c r="B63" s="20" t="inlineStr">
        <is>
          <t>카페24</t>
        </is>
      </c>
      <c r="C63" s="20" t="inlineStr">
        <is>
          <t>고체향수</t>
        </is>
      </c>
      <c r="D63" s="20" t="inlineStr">
        <is>
          <t>유즈 이그나이트 솔리드퍼퓸 001제품선택=이그나이트 2개 세트</t>
        </is>
      </c>
      <c r="E63" s="20" t="inlineStr">
        <is>
          <t>이그나이트 2set</t>
        </is>
      </c>
      <c r="F63" s="20" t="n">
        <v>201210</v>
      </c>
      <c r="G63" s="20">
        <f>B63&amp;C63&amp;D63&amp;F63</f>
        <v/>
      </c>
      <c r="H63" s="20" t="n">
        <v>58800</v>
      </c>
      <c r="I63" s="20" t="n">
        <v>0.0585</v>
      </c>
      <c r="J63" s="20" t="n">
        <v>5776</v>
      </c>
    </row>
    <row r="64" hidden="1" ht="16.5" customHeight="1" s="17">
      <c r="B64" s="20" t="inlineStr">
        <is>
          <t>카페24</t>
        </is>
      </c>
      <c r="C64" s="20" t="inlineStr">
        <is>
          <t>고체향수</t>
        </is>
      </c>
      <c r="D64" s="20" t="inlineStr">
        <is>
          <t>유즈 이그나이트 솔리드퍼퓸 001제품선택=이그나이트 솔리드퍼퓸 - 30ml</t>
        </is>
      </c>
      <c r="E64" s="20" t="inlineStr">
        <is>
          <t>이그나이트</t>
        </is>
      </c>
      <c r="F64" s="20" t="n">
        <v>201210</v>
      </c>
      <c r="G64" s="20">
        <f>B64&amp;C64&amp;D64&amp;F64</f>
        <v/>
      </c>
      <c r="H64" s="20" t="n">
        <v>38000</v>
      </c>
      <c r="I64" s="20" t="n">
        <v>0.0585</v>
      </c>
      <c r="J64" s="20" t="n">
        <v>2888</v>
      </c>
    </row>
    <row r="65" hidden="1" ht="16.5" customHeight="1" s="17">
      <c r="B65" s="20" t="inlineStr">
        <is>
          <t>유즈 CS</t>
        </is>
      </c>
      <c r="C65" s="20" t="inlineStr">
        <is>
          <t>고체향수</t>
        </is>
      </c>
      <c r="D65" s="20" t="inlineStr">
        <is>
          <t>솔리드퍼퓸 스테이포에버 002 30ml</t>
        </is>
      </c>
      <c r="E65" s="20" t="inlineStr">
        <is>
          <t>스테이포에버</t>
        </is>
      </c>
      <c r="F65" s="20" t="n">
        <v>201210</v>
      </c>
      <c r="G65" s="20">
        <f>B65&amp;C65&amp;D65&amp;F65</f>
        <v/>
      </c>
      <c r="H65" s="20" t="n">
        <v>0</v>
      </c>
      <c r="I65" s="20" t="n">
        <v>0</v>
      </c>
      <c r="J65" s="20" t="n">
        <v>2783</v>
      </c>
    </row>
    <row r="66" hidden="1" ht="16.5" customHeight="1" s="17">
      <c r="B66" s="20" t="inlineStr">
        <is>
          <t>유즈 CS</t>
        </is>
      </c>
      <c r="C66" s="20" t="inlineStr">
        <is>
          <t>고체향수</t>
        </is>
      </c>
      <c r="D66" s="20" t="inlineStr">
        <is>
          <t>솔리드퍼퓸 이그나이트 001 30ml</t>
        </is>
      </c>
      <c r="E66" s="20" t="inlineStr">
        <is>
          <t>이그나이트</t>
        </is>
      </c>
      <c r="F66" s="20" t="n">
        <v>201210</v>
      </c>
      <c r="G66" s="20">
        <f>B66&amp;C66&amp;D66&amp;F66</f>
        <v/>
      </c>
      <c r="H66" s="20" t="n">
        <v>0</v>
      </c>
      <c r="I66" s="20" t="n">
        <v>0</v>
      </c>
      <c r="J66" s="20" t="n">
        <v>2888</v>
      </c>
    </row>
    <row r="67" hidden="1" ht="16.5" customHeight="1" s="17">
      <c r="B67" s="20" t="inlineStr">
        <is>
          <t>카페24</t>
        </is>
      </c>
      <c r="C67" s="20" t="inlineStr">
        <is>
          <t>고체향수</t>
        </is>
      </c>
      <c r="D67" s="20" t="inlineStr">
        <is>
          <t>유즈 솔리드퍼퓸 - 30ml (스테이포에버 주문 시 12/15 순차배송)향=커플세트(이그나이트 + 스테이포에버), 세트 선택=1 SET</t>
        </is>
      </c>
      <c r="E67" s="20" t="inlineStr">
        <is>
          <t>이그나이트 + 스테이포에버</t>
        </is>
      </c>
      <c r="F67" s="20" t="n">
        <v>201210</v>
      </c>
      <c r="G67" s="20">
        <f>B67&amp;C67&amp;D67&amp;F67</f>
        <v/>
      </c>
      <c r="H67" s="20" t="n">
        <v>69000</v>
      </c>
      <c r="I67" s="20" t="n">
        <v>0.0585</v>
      </c>
      <c r="J67" s="20" t="n">
        <v>5671</v>
      </c>
    </row>
    <row r="68" hidden="1" ht="16.5" customHeight="1" s="17">
      <c r="B68" s="20" t="inlineStr">
        <is>
          <t>카페24</t>
        </is>
      </c>
      <c r="C68" s="20" t="inlineStr">
        <is>
          <t>고체향수</t>
        </is>
      </c>
      <c r="D68" s="20" t="inlineStr">
        <is>
          <t>유즈 스테이포에버 솔리드퍼퓸 002 (스테이포에버 주문시 12/15 순차배송)제품선택=스테이포에버 [17% 할인]</t>
        </is>
      </c>
      <c r="E68" s="20" t="inlineStr">
        <is>
          <t>스테이포에버</t>
        </is>
      </c>
      <c r="F68" s="20" t="n">
        <v>201210</v>
      </c>
      <c r="G68" s="20">
        <f>B68&amp;C68&amp;D68&amp;F68</f>
        <v/>
      </c>
      <c r="H68" s="20" t="n">
        <v>38000</v>
      </c>
      <c r="I68" s="20" t="n">
        <v>0.0585</v>
      </c>
      <c r="J68" s="20" t="n">
        <v>2783</v>
      </c>
    </row>
    <row r="69" hidden="1" ht="16.5" customHeight="1" s="17">
      <c r="B69" s="20" t="inlineStr">
        <is>
          <t>카페24</t>
        </is>
      </c>
      <c r="C69" s="20" t="inlineStr">
        <is>
          <t>고체향수</t>
        </is>
      </c>
      <c r="D69" s="20" t="inlineStr">
        <is>
          <t>유즈 스테이포에버 솔리드퍼퓸 002 (스테이포에버 주문시 12/15 순차배송)제품선택=best</t>
        </is>
      </c>
      <c r="E69" s="20" t="inlineStr">
        <is>
          <t>스테이포에버 2set</t>
        </is>
      </c>
      <c r="F69" s="20" t="n">
        <v>201210</v>
      </c>
      <c r="G69" s="20">
        <f>B69&amp;C69&amp;D69&amp;F69</f>
        <v/>
      </c>
      <c r="H69" s="20" t="n">
        <v>58800</v>
      </c>
      <c r="I69" s="20" t="n">
        <v>0.0585</v>
      </c>
      <c r="J69" s="20" t="n">
        <v>5566</v>
      </c>
    </row>
    <row r="70" hidden="1" ht="16.5" customHeight="1" s="17">
      <c r="B70" s="20" t="inlineStr">
        <is>
          <t>카페24</t>
        </is>
      </c>
      <c r="C70" s="20" t="inlineStr">
        <is>
          <t>고체향수</t>
        </is>
      </c>
      <c r="D70" s="20" t="inlineStr">
        <is>
          <t>유즈 스테이포에버 솔리드퍼퓸 002 (스테이포에버 주문시 12/15 순차배송)제품선택=best스테이포에버 2개[28% 할인]</t>
        </is>
      </c>
      <c r="E70" s="20" t="inlineStr">
        <is>
          <t>스테이포에버 2set</t>
        </is>
      </c>
      <c r="F70" s="20" t="n">
        <v>201210</v>
      </c>
      <c r="G70" s="20">
        <f>B70&amp;C70&amp;D70&amp;F70</f>
        <v/>
      </c>
      <c r="H70" s="20" t="n">
        <v>58800</v>
      </c>
      <c r="I70" s="20" t="n">
        <v>0.0585</v>
      </c>
      <c r="J70" s="20" t="n">
        <v>5566</v>
      </c>
    </row>
    <row r="71" hidden="1" ht="16.5" customHeight="1" s="17">
      <c r="B71" s="20" t="inlineStr">
        <is>
          <t>카페24</t>
        </is>
      </c>
      <c r="C71" s="20" t="inlineStr">
        <is>
          <t>고체향수</t>
        </is>
      </c>
      <c r="D71" s="20" t="inlineStr">
        <is>
          <t>솔리드퍼퓸 스테이포에버 002 30ml</t>
        </is>
      </c>
      <c r="E71" s="20" t="inlineStr">
        <is>
          <t>스테이포에버</t>
        </is>
      </c>
      <c r="F71" s="20" t="n">
        <v>201210</v>
      </c>
      <c r="G71" s="20">
        <f>B71&amp;C71&amp;D71&amp;F71</f>
        <v/>
      </c>
      <c r="H71" s="20" t="n">
        <v>38000</v>
      </c>
      <c r="I71" s="20" t="n">
        <v>0.0585</v>
      </c>
      <c r="J71" s="20" t="n">
        <v>2783</v>
      </c>
    </row>
    <row r="72" hidden="1" ht="16.5" customHeight="1" s="17">
      <c r="B72" s="20" t="inlineStr">
        <is>
          <t>카페24</t>
        </is>
      </c>
      <c r="C72" s="20" t="inlineStr">
        <is>
          <t>고체향수</t>
        </is>
      </c>
      <c r="D72" s="20" t="inlineStr">
        <is>
          <t>유즈 솔리드퍼퓸 - 30ml (스테이포에버 주문 시 12/15 순차배송)향=스테이포에버 002 SOLID PERFUME, 세트 선택=1</t>
        </is>
      </c>
      <c r="E72" s="20" t="inlineStr">
        <is>
          <t>스테이포에버</t>
        </is>
      </c>
      <c r="F72" s="20" t="n">
        <v>201210</v>
      </c>
      <c r="G72" s="20">
        <f>B72&amp;C72&amp;D72&amp;F72</f>
        <v/>
      </c>
      <c r="H72" s="20" t="n">
        <v>38000</v>
      </c>
      <c r="I72" s="20" t="n">
        <v>0.0585</v>
      </c>
      <c r="J72" s="20" t="n">
        <v>2783</v>
      </c>
    </row>
    <row r="73" hidden="1" ht="16.5" customHeight="1" s="17">
      <c r="B73" s="20" t="inlineStr">
        <is>
          <t>카페24</t>
        </is>
      </c>
      <c r="C73" s="20" t="inlineStr">
        <is>
          <t>고체향수</t>
        </is>
      </c>
      <c r="D73" s="20" t="inlineStr">
        <is>
          <t>유즈 솔리드퍼퓸 - 30ml (스테이포에버 주문 시 12/15 순차배송)향=스테이포에버 002 SOLID PERFUME, 세트 선택=1 개(17% 할인)</t>
        </is>
      </c>
      <c r="E73" s="20" t="inlineStr">
        <is>
          <t>스테이포에버</t>
        </is>
      </c>
      <c r="F73" s="20" t="n">
        <v>201210</v>
      </c>
      <c r="G73" s="20">
        <f>B73&amp;C73&amp;D73&amp;F73</f>
        <v/>
      </c>
      <c r="H73" s="20" t="n">
        <v>38000</v>
      </c>
      <c r="I73" s="20" t="n">
        <v>0.0585</v>
      </c>
      <c r="J73" s="20" t="n">
        <v>2783</v>
      </c>
    </row>
    <row r="74" hidden="1" ht="16.5" customHeight="1" s="17">
      <c r="B74" s="20" t="inlineStr">
        <is>
          <t>카페24</t>
        </is>
      </c>
      <c r="C74" s="20" t="inlineStr">
        <is>
          <t>고체향수</t>
        </is>
      </c>
      <c r="D74" s="20" t="inlineStr">
        <is>
          <t>유즈 솔리드퍼퓸 - 30ml (스테이포에버 주문 시 12/15 순차배송)향=스테이포에버 002 SOLID PERFUME, 세트 선택=best</t>
        </is>
      </c>
      <c r="E74" s="20" t="inlineStr">
        <is>
          <t>스테이포에버</t>
        </is>
      </c>
      <c r="F74" s="20" t="n">
        <v>201210</v>
      </c>
      <c r="G74" s="20">
        <f>B74&amp;C74&amp;D74&amp;F74</f>
        <v/>
      </c>
      <c r="H74" s="20" t="n">
        <v>38000</v>
      </c>
      <c r="I74" s="20" t="n">
        <v>0.0585</v>
      </c>
      <c r="J74" s="20" t="n">
        <v>2783</v>
      </c>
    </row>
    <row r="75" hidden="1" ht="16.5" customHeight="1" s="17">
      <c r="B75" s="20" t="inlineStr">
        <is>
          <t>카페24</t>
        </is>
      </c>
      <c r="C75" s="20" t="inlineStr">
        <is>
          <t>고체향수</t>
        </is>
      </c>
      <c r="D75" s="20" t="inlineStr">
        <is>
          <t>유즈 솔리드퍼퓸 - 30ml (스테이포에버 주문 시 12/15 순차배송)향=스테이포에버 002 SOLID PERFUME, 세트 선택=best(28% 할인)2개</t>
        </is>
      </c>
      <c r="E75" s="20" t="inlineStr">
        <is>
          <t>스테이포에버 2set</t>
        </is>
      </c>
      <c r="F75" s="20" t="n">
        <v>201210</v>
      </c>
      <c r="G75" s="20">
        <f>B75&amp;C75&amp;D75&amp;F75</f>
        <v/>
      </c>
      <c r="H75" s="20" t="n">
        <v>58800</v>
      </c>
      <c r="I75" s="20" t="n">
        <v>0.0585</v>
      </c>
      <c r="J75" s="20" t="n">
        <v>5566</v>
      </c>
    </row>
    <row r="76" hidden="1" ht="16.5" customHeight="1" s="17">
      <c r="B76" s="20" t="inlineStr">
        <is>
          <t>카페24</t>
        </is>
      </c>
      <c r="C76" s="20" t="inlineStr">
        <is>
          <t>고체향수</t>
        </is>
      </c>
      <c r="D76" s="20" t="inlineStr">
        <is>
          <t>유즈 솔리드퍼퓸 - 30ml (스테이포에버 주문 시 12/15 순차배송)향=커플세트</t>
        </is>
      </c>
      <c r="E76" s="20" t="inlineStr">
        <is>
          <t>이그나이트 + 스테이포에버</t>
        </is>
      </c>
      <c r="F76" s="20" t="n">
        <v>201210</v>
      </c>
      <c r="G76" s="20">
        <f>B76&amp;C76&amp;D76&amp;F76</f>
        <v/>
      </c>
      <c r="H76" s="20" t="n">
        <v>69000</v>
      </c>
      <c r="I76" s="20" t="n">
        <v>0.0585</v>
      </c>
      <c r="J76" s="20" t="n">
        <v>5671</v>
      </c>
    </row>
    <row r="77" hidden="1" ht="16.5" customHeight="1" s="17">
      <c r="B77" s="20" t="inlineStr">
        <is>
          <t>카페24</t>
        </is>
      </c>
      <c r="C77" s="20" t="inlineStr">
        <is>
          <t>고체향수</t>
        </is>
      </c>
      <c r="D77" s="20" t="inlineStr">
        <is>
          <t>유즈 스테이포에버 솔리드퍼퓸 002 (스테이포에버 주문시 12/15 순차배송)제품선택=스테이포에버 1개</t>
        </is>
      </c>
      <c r="E77" s="20" t="inlineStr">
        <is>
          <t>스테이포에버</t>
        </is>
      </c>
      <c r="F77" s="20" t="n">
        <v>201210</v>
      </c>
      <c r="G77" s="20">
        <f>B77&amp;C77&amp;D77&amp;F77</f>
        <v/>
      </c>
      <c r="H77" s="20" t="n">
        <v>38000</v>
      </c>
      <c r="I77" s="20" t="n">
        <v>0.0585</v>
      </c>
      <c r="J77" s="20" t="n">
        <v>2783</v>
      </c>
    </row>
    <row r="78" hidden="1" ht="16.5" customHeight="1" s="17">
      <c r="B78" s="20" t="inlineStr">
        <is>
          <t>카페24</t>
        </is>
      </c>
      <c r="C78" s="20" t="inlineStr">
        <is>
          <t>고체향수</t>
        </is>
      </c>
      <c r="D78" s="20" t="inlineStr">
        <is>
          <t>유즈 스테이포에버 솔리드퍼퓸 002 (스테이포에버 주문시 12/15 순차배송)제품선택=스테이포에버 1개 [17% 할인]</t>
        </is>
      </c>
      <c r="E78" s="20" t="inlineStr">
        <is>
          <t>스테이포에버</t>
        </is>
      </c>
      <c r="F78" s="20" t="n">
        <v>201210</v>
      </c>
      <c r="G78" s="20">
        <f>B78&amp;C78&amp;D78&amp;F78</f>
        <v/>
      </c>
      <c r="H78" s="20" t="n">
        <v>38000</v>
      </c>
      <c r="I78" s="20" t="n">
        <v>0.0585</v>
      </c>
      <c r="J78" s="20" t="n">
        <v>2783</v>
      </c>
    </row>
    <row r="79" hidden="1" ht="16.5" customHeight="1" s="17">
      <c r="B79" s="20" t="inlineStr">
        <is>
          <t>카페24</t>
        </is>
      </c>
      <c r="C79" s="20" t="inlineStr">
        <is>
          <t>고체향수</t>
        </is>
      </c>
      <c r="D79" s="20" t="inlineStr">
        <is>
          <t>유즈 스테이포에버 솔리드퍼퓸 002 (스테이포에버 주문시 12/15 순차배송)제품선택=커플추천</t>
        </is>
      </c>
      <c r="E79" s="20" t="inlineStr">
        <is>
          <t>이그나이트 + 스테이포에버</t>
        </is>
      </c>
      <c r="F79" s="20" t="n">
        <v>201210</v>
      </c>
      <c r="G79" s="20">
        <f>B79&amp;C79&amp;D79&amp;F79</f>
        <v/>
      </c>
      <c r="H79" s="20" t="n">
        <v>69000</v>
      </c>
      <c r="I79" s="20" t="n">
        <v>0.0585</v>
      </c>
      <c r="J79" s="20" t="n">
        <v>5671</v>
      </c>
    </row>
    <row r="80" hidden="1" ht="16.5" customHeight="1" s="17">
      <c r="B80" s="20" t="inlineStr">
        <is>
          <t>카페24</t>
        </is>
      </c>
      <c r="C80" s="20" t="inlineStr">
        <is>
          <t>고체향수</t>
        </is>
      </c>
      <c r="D80" s="20" t="inlineStr">
        <is>
          <t>유즈 솔리드퍼퓸 - 30ml (스테이포에버 주문 시 12/15 순차배송)향=이그나이트 001 SOLID PERFUME, 세트 선택=1</t>
        </is>
      </c>
      <c r="E80" s="20" t="inlineStr">
        <is>
          <t>이그나이트</t>
        </is>
      </c>
      <c r="F80" s="20" t="n">
        <v>201210</v>
      </c>
      <c r="G80" s="20">
        <f>B80&amp;C80&amp;D80&amp;F80</f>
        <v/>
      </c>
      <c r="H80" s="20" t="n">
        <v>38000</v>
      </c>
      <c r="I80" s="20" t="n">
        <v>0.0585</v>
      </c>
      <c r="J80" s="20" t="n">
        <v>2888</v>
      </c>
    </row>
    <row r="81" hidden="1" ht="16.5" customHeight="1" s="17">
      <c r="B81" s="20" t="inlineStr">
        <is>
          <t>카페24</t>
        </is>
      </c>
      <c r="C81" s="20" t="inlineStr">
        <is>
          <t>고체향수</t>
        </is>
      </c>
      <c r="D81" s="20" t="inlineStr">
        <is>
          <t>유즈 솔리드퍼퓸 - 30ml (스테이포에버 주문 시 12/15 순차배송)향=커플세트(이그나이트 + 스테이포에버), 세트 선택=2 SET (42% 할인)</t>
        </is>
      </c>
      <c r="E81" s="20" t="inlineStr">
        <is>
          <t>이그나이트 + 스테이포에버</t>
        </is>
      </c>
      <c r="F81" s="20" t="n">
        <v>201210</v>
      </c>
      <c r="G81" s="20">
        <f>B81&amp;C81&amp;D81&amp;F81</f>
        <v/>
      </c>
      <c r="H81" s="20" t="n">
        <v>69000</v>
      </c>
      <c r="I81" s="20" t="n">
        <v>0.0585</v>
      </c>
      <c r="J81" s="20" t="n">
        <v>5671</v>
      </c>
    </row>
    <row r="82" hidden="1" ht="16.5" customHeight="1" s="17">
      <c r="B82" s="20" t="inlineStr">
        <is>
          <t>카페24</t>
        </is>
      </c>
      <c r="C82" s="20" t="inlineStr">
        <is>
          <t>고체향수</t>
        </is>
      </c>
      <c r="D82" s="20" t="inlineStr">
        <is>
          <t>유즈 스테이포에버 솔리드퍼퓸 002 (스테이포에버 주문시 12/15 순차배송)제품선택=커플추천스테이포에버 + 이그나이트 세트</t>
        </is>
      </c>
      <c r="E82" s="20" t="inlineStr">
        <is>
          <t>이그나이트 + 스테이포에버</t>
        </is>
      </c>
      <c r="F82" s="20" t="n">
        <v>201210</v>
      </c>
      <c r="G82" s="20">
        <f>B82&amp;C82&amp;D82&amp;F82</f>
        <v/>
      </c>
      <c r="H82" s="20" t="n">
        <v>69000</v>
      </c>
      <c r="I82" s="20" t="n">
        <v>0.0585</v>
      </c>
      <c r="J82" s="20" t="n">
        <v>5671</v>
      </c>
    </row>
    <row r="83" hidden="1" ht="16.5" customHeight="1" s="17">
      <c r="B83" s="20" t="inlineStr">
        <is>
          <t>카페24</t>
        </is>
      </c>
      <c r="C83" s="20" t="inlineStr">
        <is>
          <t>고체향수</t>
        </is>
      </c>
      <c r="D83" s="20" t="inlineStr">
        <is>
          <t>스테이포에버 솔리드퍼퓸 002 (10차 재입고 완료제품선택=스테이포에버 1개</t>
        </is>
      </c>
      <c r="E83" s="20" t="inlineStr">
        <is>
          <t>스테이포에버</t>
        </is>
      </c>
      <c r="F83" s="20" t="n">
        <v>201210</v>
      </c>
      <c r="G83" s="20">
        <f>B83&amp;C83&amp;D83&amp;F83</f>
        <v/>
      </c>
      <c r="H83" s="20" t="n">
        <v>38000</v>
      </c>
      <c r="I83" s="20" t="n">
        <v>0.0585</v>
      </c>
      <c r="J83" s="20" t="n">
        <v>2783</v>
      </c>
    </row>
    <row r="84" hidden="1" ht="16.5" customHeight="1" s="17">
      <c r="B84" s="20" t="inlineStr">
        <is>
          <t>카페24</t>
        </is>
      </c>
      <c r="C84" s="20" t="inlineStr">
        <is>
          <t>고체향수</t>
        </is>
      </c>
      <c r="D84" s="20" t="inlineStr">
        <is>
          <t>스테이포에버 솔리드퍼퓸 002 (10차 재입고 완료제품선택=best</t>
        </is>
      </c>
      <c r="E84" s="20" t="inlineStr">
        <is>
          <t>스테이포에버 2set</t>
        </is>
      </c>
      <c r="F84" s="20" t="n">
        <v>201210</v>
      </c>
      <c r="G84" s="20">
        <f>B84&amp;C84&amp;D84&amp;F84</f>
        <v/>
      </c>
      <c r="H84" s="20" t="n">
        <v>58800</v>
      </c>
      <c r="I84" s="20" t="n">
        <v>0.0585</v>
      </c>
      <c r="J84" s="20" t="n">
        <v>5566</v>
      </c>
    </row>
    <row r="85" hidden="1" ht="16.5" customHeight="1" s="17">
      <c r="B85" s="20" t="inlineStr">
        <is>
          <t>카페24</t>
        </is>
      </c>
      <c r="C85" s="20" t="inlineStr">
        <is>
          <t>고체향수</t>
        </is>
      </c>
      <c r="D85" s="20" t="inlineStr">
        <is>
          <t>스테이포에버 솔리드퍼퓸 002 (10차 재입고 완료)제품선택=best스테이포에버 2개[28% 할인]</t>
        </is>
      </c>
      <c r="E85" s="20" t="inlineStr">
        <is>
          <t>스테이포에버 2set</t>
        </is>
      </c>
      <c r="F85" s="20" t="n">
        <v>201210</v>
      </c>
      <c r="G85" s="20">
        <f>B85&amp;C85&amp;D85&amp;F85</f>
        <v/>
      </c>
      <c r="H85" s="20" t="n">
        <v>58800</v>
      </c>
      <c r="I85" s="20" t="n">
        <v>0.0585</v>
      </c>
      <c r="J85" s="20" t="n">
        <v>5566</v>
      </c>
    </row>
    <row r="86" hidden="1" ht="16.5" customHeight="1" s="17">
      <c r="B86" s="20" t="inlineStr">
        <is>
          <t>카페24</t>
        </is>
      </c>
      <c r="C86" s="20" t="inlineStr">
        <is>
          <t>고체향수</t>
        </is>
      </c>
      <c r="D86" s="20" t="inlineStr">
        <is>
          <t>스테이포에버 솔리드퍼퓸 002 (10차 재입고 완료제품선택=커플추천</t>
        </is>
      </c>
      <c r="E86" s="20" t="inlineStr">
        <is>
          <t>이그나이트 + 스테이포에버</t>
        </is>
      </c>
      <c r="F86" s="20" t="n">
        <v>201210</v>
      </c>
      <c r="G86" s="20">
        <f>B86&amp;C86&amp;D86&amp;F86</f>
        <v/>
      </c>
      <c r="H86" s="20" t="n">
        <v>69000</v>
      </c>
      <c r="I86" s="20" t="n">
        <v>0.0585</v>
      </c>
      <c r="J86" s="20" t="n">
        <v>5671</v>
      </c>
    </row>
    <row r="87" hidden="1" ht="16.5" customHeight="1" s="17">
      <c r="B87" s="20" t="inlineStr">
        <is>
          <t>카페24</t>
        </is>
      </c>
      <c r="C87" s="20" t="inlineStr">
        <is>
          <t>쇼핑백</t>
        </is>
      </c>
      <c r="D87" s="20" t="inlineStr">
        <is>
          <t>스테이포에버 솔리드퍼퓸 002 (10차 재입고 완료쇼핑백=선물용 쇼핑백</t>
        </is>
      </c>
      <c r="E87" s="20" t="inlineStr">
        <is>
          <t>쇼핑백</t>
        </is>
      </c>
      <c r="F87" s="20" t="n">
        <v>201210</v>
      </c>
      <c r="G87" s="20">
        <f>B87&amp;C87&amp;D87&amp;F87</f>
        <v/>
      </c>
      <c r="H87" s="20" t="n">
        <v>2000</v>
      </c>
      <c r="I87" s="20" t="n">
        <v>0.0585</v>
      </c>
      <c r="J87" s="20" t="n">
        <v>1210</v>
      </c>
    </row>
    <row r="88" hidden="1" ht="16.5" customHeight="1" s="17">
      <c r="B88" s="20" t="inlineStr">
        <is>
          <t>카페24</t>
        </is>
      </c>
      <c r="C88" s="20" t="inlineStr">
        <is>
          <t>고체향수</t>
        </is>
      </c>
      <c r="D88" s="20" t="inlineStr">
        <is>
          <t>스테이포에버 솔리드퍼퓸 002 (10차 재입고 완료)제품선택=스테이포에버 1개</t>
        </is>
      </c>
      <c r="E88" s="20" t="inlineStr">
        <is>
          <t>스테이포에버</t>
        </is>
      </c>
      <c r="F88" s="20" t="n">
        <v>201210</v>
      </c>
      <c r="G88" s="20">
        <f>B88&amp;C88&amp;D88&amp;F88</f>
        <v/>
      </c>
      <c r="H88" s="20" t="n">
        <v>38000</v>
      </c>
      <c r="I88" s="20" t="n">
        <v>0.0585</v>
      </c>
      <c r="J88" s="20" t="n">
        <v>2783</v>
      </c>
    </row>
    <row r="89" hidden="1" ht="16.5" customHeight="1" s="17">
      <c r="B89" s="20" t="inlineStr">
        <is>
          <t>카페24</t>
        </is>
      </c>
      <c r="C89" s="20" t="inlineStr">
        <is>
          <t>고체향수</t>
        </is>
      </c>
      <c r="D89" s="20" t="inlineStr">
        <is>
          <t>스테이포에버 솔리드퍼퓸 002 (10차 재입고 완료)제품선택=커플추천스테이포에버 + 이그나이트 세트</t>
        </is>
      </c>
      <c r="E89" s="20" t="inlineStr">
        <is>
          <t>이그나이트 + 스테이포에버</t>
        </is>
      </c>
      <c r="F89" s="20" t="n">
        <v>201210</v>
      </c>
      <c r="G89" s="20">
        <f>B89&amp;C89&amp;D89&amp;F89</f>
        <v/>
      </c>
      <c r="H89" s="20" t="n">
        <v>69000</v>
      </c>
      <c r="I89" s="20" t="n">
        <v>0.0585</v>
      </c>
      <c r="J89" s="20" t="n">
        <v>5671</v>
      </c>
    </row>
    <row r="90" hidden="1" ht="16.5" customHeight="1" s="17">
      <c r="B90" s="20" t="inlineStr">
        <is>
          <t>카페24</t>
        </is>
      </c>
      <c r="C90" s="20" t="inlineStr">
        <is>
          <t>쇼핑백</t>
        </is>
      </c>
      <c r="D90" s="20" t="inlineStr">
        <is>
          <t>스테이포에버 솔리드퍼퓸 002 (10차 재입고 완료)쇼핑백=선물용 쇼핑백</t>
        </is>
      </c>
      <c r="E90" s="20" t="inlineStr">
        <is>
          <t>쇼핑백</t>
        </is>
      </c>
      <c r="F90" s="20" t="n">
        <v>201210</v>
      </c>
      <c r="G90" s="20">
        <f>B90&amp;C90&amp;D90&amp;F90</f>
        <v/>
      </c>
      <c r="H90" s="20" t="n">
        <v>2000</v>
      </c>
      <c r="I90" s="20" t="n">
        <v>0.0585</v>
      </c>
      <c r="J90" s="20" t="n">
        <v>1210</v>
      </c>
    </row>
    <row r="91" hidden="1" ht="16.5" customHeight="1" s="17">
      <c r="B91" s="20" t="inlineStr">
        <is>
          <t>카페24</t>
        </is>
      </c>
      <c r="C91" s="20" t="inlineStr">
        <is>
          <t>고체향수</t>
        </is>
      </c>
      <c r="D91" s="20" t="inlineStr">
        <is>
          <t>유즈 솔리드퍼퓸 - 30ml (10차 재입고 완료향=스테이포에버 002 SOLID PERFUME, 세트 선택=1개</t>
        </is>
      </c>
      <c r="E91" s="20" t="inlineStr">
        <is>
          <t>스테이포에버</t>
        </is>
      </c>
      <c r="F91" s="20" t="n">
        <v>201210</v>
      </c>
      <c r="G91" s="20">
        <f>B91&amp;C91&amp;D91&amp;F91</f>
        <v/>
      </c>
      <c r="H91" s="20" t="n">
        <v>38000</v>
      </c>
      <c r="I91" s="20" t="n">
        <v>0.0585</v>
      </c>
      <c r="J91" s="20" t="n">
        <v>2783</v>
      </c>
    </row>
    <row r="92" hidden="1" ht="16.5" customHeight="1" s="17">
      <c r="B92" s="20" t="inlineStr">
        <is>
          <t>카페24</t>
        </is>
      </c>
      <c r="C92" s="20" t="inlineStr">
        <is>
          <t>고체향수</t>
        </is>
      </c>
      <c r="D92" s="20" t="inlineStr">
        <is>
          <t>유즈 솔리드퍼퓸 - 30ml (10차 재입고 완료 )향=스테이포에버 002 SOLID PERFUME, 세트 선택=1개</t>
        </is>
      </c>
      <c r="E92" s="20" t="inlineStr">
        <is>
          <t>스테이포에버</t>
        </is>
      </c>
      <c r="F92" s="20" t="n">
        <v>201210</v>
      </c>
      <c r="G92" s="20">
        <f>B92&amp;C92&amp;D92&amp;F92</f>
        <v/>
      </c>
      <c r="H92" s="20" t="n">
        <v>38000</v>
      </c>
      <c r="I92" s="20" t="n">
        <v>0.0585</v>
      </c>
      <c r="J92" s="20" t="n">
        <v>2783</v>
      </c>
    </row>
    <row r="93" hidden="1" ht="16.5" customHeight="1" s="17">
      <c r="B93" s="20" t="inlineStr">
        <is>
          <t>카페24</t>
        </is>
      </c>
      <c r="C93" s="20" t="inlineStr">
        <is>
          <t>고체향수</t>
        </is>
      </c>
      <c r="D93" s="20" t="inlineStr">
        <is>
          <t>유즈 솔리드퍼퓸 - 30ml (10차 재입고 완료 )향=스테이포에버 002 SOLID PERFUME, 세트 선택=best 2개 (28% 할인)</t>
        </is>
      </c>
      <c r="E93" s="20" t="inlineStr">
        <is>
          <t>스테이포에버 2set</t>
        </is>
      </c>
      <c r="F93" s="20" t="n">
        <v>201210</v>
      </c>
      <c r="G93" s="20">
        <f>B93&amp;C93&amp;D93&amp;F93</f>
        <v/>
      </c>
      <c r="H93" s="20" t="n">
        <v>58800</v>
      </c>
      <c r="I93" s="20" t="n">
        <v>0.0585</v>
      </c>
      <c r="J93" s="20" t="n">
        <v>5566</v>
      </c>
    </row>
    <row r="94" hidden="1" ht="16.5" customHeight="1" s="17">
      <c r="B94" s="20" t="inlineStr">
        <is>
          <t>카페24</t>
        </is>
      </c>
      <c r="C94" s="20" t="inlineStr">
        <is>
          <t>고체향수</t>
        </is>
      </c>
      <c r="D94" s="20" t="inlineStr">
        <is>
          <t>유즈 스테이포에버 솔리드퍼퓸 002 (10차 재입고 완료제품선택=커플추천</t>
        </is>
      </c>
      <c r="E94" s="20" t="inlineStr">
        <is>
          <t>이그나이트 + 스테이포에버</t>
        </is>
      </c>
      <c r="F94" s="20" t="n">
        <v>201210</v>
      </c>
      <c r="G94" s="20">
        <f>B94&amp;C94&amp;D94&amp;F94</f>
        <v/>
      </c>
      <c r="H94" s="20" t="n">
        <v>69000</v>
      </c>
      <c r="I94" s="20" t="n">
        <v>0.0585</v>
      </c>
      <c r="J94" s="20" t="n">
        <v>5671</v>
      </c>
    </row>
    <row r="95" hidden="1" ht="16.5" customHeight="1" s="17">
      <c r="B95" s="20" t="inlineStr">
        <is>
          <t>카페24</t>
        </is>
      </c>
      <c r="C95" s="20" t="inlineStr">
        <is>
          <t>고체향수</t>
        </is>
      </c>
      <c r="D95" s="20" t="inlineStr">
        <is>
          <t>유즈 스테이포에버 솔리드퍼퓸 002 (10차 재입고 완료)제품선택=스테이포에버 1개</t>
        </is>
      </c>
      <c r="E95" s="20" t="inlineStr">
        <is>
          <t>스테이포에버</t>
        </is>
      </c>
      <c r="F95" s="20" t="n">
        <v>201210</v>
      </c>
      <c r="G95" s="20">
        <f>B95&amp;C95&amp;D95&amp;F95</f>
        <v/>
      </c>
      <c r="H95" s="20" t="n">
        <v>38000</v>
      </c>
      <c r="I95" s="20" t="n">
        <v>0.0585</v>
      </c>
      <c r="J95" s="20" t="n">
        <v>2783</v>
      </c>
    </row>
    <row r="96" hidden="1" ht="16.5" customHeight="1" s="17">
      <c r="B96" s="20" t="inlineStr">
        <is>
          <t>카페24</t>
        </is>
      </c>
      <c r="C96" s="20" t="inlineStr">
        <is>
          <t>쇼핑백</t>
        </is>
      </c>
      <c r="D96" s="20" t="inlineStr">
        <is>
          <t>유즈 스테이포에버 솔리드퍼퓸 002 (스테이포에버 주문시 12/15 순차배송)쇼핑백=선물용 쇼핑백</t>
        </is>
      </c>
      <c r="E96" s="20" t="inlineStr">
        <is>
          <t>쇼핑백</t>
        </is>
      </c>
      <c r="F96" s="20" t="n">
        <v>201210</v>
      </c>
      <c r="G96" s="20">
        <f>B96&amp;C96&amp;D96&amp;F96</f>
        <v/>
      </c>
      <c r="H96" s="20" t="n">
        <v>2000</v>
      </c>
      <c r="I96" s="20" t="n">
        <v>0.0585</v>
      </c>
      <c r="J96" s="20" t="n">
        <v>1210</v>
      </c>
    </row>
    <row r="97" hidden="1" ht="16.5" customHeight="1" s="17">
      <c r="B97" s="20" t="inlineStr">
        <is>
          <t>카페24</t>
        </is>
      </c>
      <c r="C97" s="20" t="inlineStr">
        <is>
          <t>고체향수</t>
        </is>
      </c>
      <c r="D97" s="20" t="inlineStr">
        <is>
          <t>유즈 솔리드퍼퓸 - 30ml (10차 재입고 완료향=이그나이트 001 SOLID PERFUME, 세트 선택=1개</t>
        </is>
      </c>
      <c r="E97" s="20" t="inlineStr">
        <is>
          <t>이그나이트</t>
        </is>
      </c>
      <c r="F97" s="20" t="n">
        <v>201210</v>
      </c>
      <c r="G97" s="20">
        <f>B97&amp;C97&amp;D97&amp;F97</f>
        <v/>
      </c>
      <c r="H97" s="20" t="n">
        <v>38000</v>
      </c>
      <c r="I97" s="20" t="n">
        <v>0.0585</v>
      </c>
      <c r="J97" s="20" t="n">
        <v>2888</v>
      </c>
    </row>
    <row r="98" hidden="1" ht="16.5" customHeight="1" s="17">
      <c r="B98" s="20" t="inlineStr">
        <is>
          <t>카페24</t>
        </is>
      </c>
      <c r="C98" s="20" t="inlineStr">
        <is>
          <t>고체향수</t>
        </is>
      </c>
      <c r="D98" s="20" t="inlineStr">
        <is>
          <t>유즈 솔리드퍼퓸 - 30ml (10차 재입고 완료 )향=이그나이트 001 SOLID PERFUME, 세트 선택=1개</t>
        </is>
      </c>
      <c r="E98" s="20" t="inlineStr">
        <is>
          <t>이그나이트</t>
        </is>
      </c>
      <c r="F98" s="20" t="n">
        <v>201210</v>
      </c>
      <c r="G98" s="20">
        <f>B98&amp;C98&amp;D98&amp;F98</f>
        <v/>
      </c>
      <c r="H98" s="20" t="n">
        <v>38000</v>
      </c>
      <c r="I98" s="20" t="n">
        <v>0.0585</v>
      </c>
      <c r="J98" s="20" t="n">
        <v>2888</v>
      </c>
    </row>
    <row r="99" hidden="1" ht="16.5" customHeight="1" s="17">
      <c r="B99" s="20" t="inlineStr">
        <is>
          <t>카페24</t>
        </is>
      </c>
      <c r="C99" s="20" t="inlineStr">
        <is>
          <t>고체향수</t>
        </is>
      </c>
      <c r="D99" s="20" t="inlineStr">
        <is>
          <t>유즈 솔리드퍼퓸 - 30ml (10차 재입고 완료향=스테이포에버 002 SOLID PERFUME, 세트 선택=best</t>
        </is>
      </c>
      <c r="E99" s="20" t="inlineStr">
        <is>
          <t>스테이포에버 2set</t>
        </is>
      </c>
      <c r="F99" s="20" t="n">
        <v>201210</v>
      </c>
      <c r="G99" s="20">
        <f>B99&amp;C99&amp;D99&amp;F99</f>
        <v/>
      </c>
      <c r="H99" s="20" t="n">
        <v>58800</v>
      </c>
      <c r="I99" s="20" t="n">
        <v>0.0585</v>
      </c>
      <c r="J99" s="20" t="n">
        <v>5566</v>
      </c>
    </row>
    <row r="100" hidden="1" ht="16.5" customHeight="1" s="17">
      <c r="B100" s="20" t="inlineStr">
        <is>
          <t>카페24</t>
        </is>
      </c>
      <c r="C100" s="20" t="inlineStr">
        <is>
          <t>고체향수</t>
        </is>
      </c>
      <c r="D100" s="20" t="inlineStr">
        <is>
          <t>유즈 솔리드퍼퓸 - 30ml (10차 재입고 완료 )향=커플세트(이그나이트 + 스테이포에버), 세트 선택=1 SET</t>
        </is>
      </c>
      <c r="E100" s="20" t="inlineStr">
        <is>
          <t>이그나이트 + 스테이포에버</t>
        </is>
      </c>
      <c r="F100" s="20" t="n">
        <v>201210</v>
      </c>
      <c r="G100" s="20">
        <f>B100&amp;C100&amp;D100&amp;F100</f>
        <v/>
      </c>
      <c r="H100" s="20" t="n">
        <v>69000</v>
      </c>
      <c r="I100" s="20" t="n">
        <v>0.0585</v>
      </c>
      <c r="J100" s="20" t="n">
        <v>5671</v>
      </c>
    </row>
    <row r="101" hidden="1" ht="16.5" customHeight="1" s="17">
      <c r="B101" s="20" t="inlineStr">
        <is>
          <t>카페24</t>
        </is>
      </c>
      <c r="C101" s="20" t="inlineStr">
        <is>
          <t>고체향수</t>
        </is>
      </c>
      <c r="D101" s="20" t="inlineStr">
        <is>
          <t>유즈 솔리드퍼퓸 - 30ml (10차 재입고 완료향=커플세트</t>
        </is>
      </c>
      <c r="E101" s="20" t="inlineStr">
        <is>
          <t>이그나이트 + 스테이포에버</t>
        </is>
      </c>
      <c r="F101" s="20" t="n">
        <v>201210</v>
      </c>
      <c r="G101" s="20">
        <f>B101&amp;C101&amp;D101&amp;F101</f>
        <v/>
      </c>
      <c r="H101" s="20" t="n">
        <v>69000</v>
      </c>
      <c r="I101" s="20" t="n">
        <v>0.0585</v>
      </c>
      <c r="J101" s="20" t="n">
        <v>5671</v>
      </c>
    </row>
    <row r="102" hidden="1" ht="16.5" customHeight="1" s="17">
      <c r="B102" s="20" t="inlineStr">
        <is>
          <t>유즈 CS</t>
        </is>
      </c>
      <c r="C102" s="20" t="inlineStr">
        <is>
          <t>고체향수</t>
        </is>
      </c>
      <c r="D102" s="20" t="inlineStr">
        <is>
          <t>유즈 솔리드퍼퓸 - 30ml (10차 재입고 완료향=커플세트</t>
        </is>
      </c>
      <c r="E102" s="20" t="inlineStr">
        <is>
          <t>이그나이트 + 스테이포에버</t>
        </is>
      </c>
      <c r="F102" s="20" t="n">
        <v>201210</v>
      </c>
      <c r="G102" s="20">
        <f>B102&amp;C102&amp;D102&amp;F102</f>
        <v/>
      </c>
      <c r="H102" s="20" t="n">
        <v>0</v>
      </c>
      <c r="I102" s="20" t="n">
        <v>0</v>
      </c>
      <c r="J102" s="20" t="n">
        <v>5671</v>
      </c>
    </row>
    <row r="103" hidden="1" ht="16.5" customHeight="1" s="17">
      <c r="B103" s="20" t="inlineStr">
        <is>
          <t>카페24</t>
        </is>
      </c>
      <c r="C103" s="20" t="inlineStr">
        <is>
          <t>고체향수</t>
        </is>
      </c>
      <c r="D103" s="20" t="inlineStr">
        <is>
          <t>유즈 솔리드퍼퓸 - 30ml (10차 재입고 완료향=이그나이트 001 SOLID PERFUME, 세트 선택=best</t>
        </is>
      </c>
      <c r="E103" s="20" t="inlineStr">
        <is>
          <t>이그나이트 2set</t>
        </is>
      </c>
      <c r="F103" s="20" t="n">
        <v>201210</v>
      </c>
      <c r="G103" s="20">
        <f>B103&amp;C103&amp;D103&amp;F103</f>
        <v/>
      </c>
      <c r="H103" s="20" t="n">
        <v>58800</v>
      </c>
      <c r="I103" s="20" t="n">
        <v>0.0585</v>
      </c>
      <c r="J103" s="20" t="n">
        <v>5776</v>
      </c>
    </row>
    <row r="104" hidden="1" ht="16.5" customHeight="1" s="17">
      <c r="B104" s="20" t="inlineStr">
        <is>
          <t>카페24</t>
        </is>
      </c>
      <c r="C104" s="20" t="inlineStr">
        <is>
          <t>쇼핑백</t>
        </is>
      </c>
      <c r="D104" s="20" t="inlineStr">
        <is>
          <t>SHOPPING BAG</t>
        </is>
      </c>
      <c r="E104" s="20" t="inlineStr">
        <is>
          <t>쇼핑백</t>
        </is>
      </c>
      <c r="F104" s="20" t="n">
        <v>201210</v>
      </c>
      <c r="G104" s="20">
        <f>B104&amp;C104&amp;D104&amp;F104</f>
        <v/>
      </c>
      <c r="H104" s="20" t="n">
        <v>2000</v>
      </c>
      <c r="I104" s="20" t="n">
        <v>0.0585</v>
      </c>
      <c r="J104" s="20" t="n">
        <v>1210</v>
      </c>
    </row>
    <row r="105" hidden="1" ht="16.5" customHeight="1" s="17">
      <c r="B105" s="20" t="inlineStr">
        <is>
          <t>카페24</t>
        </is>
      </c>
      <c r="C105" s="20" t="inlineStr">
        <is>
          <t>쇼핑백</t>
        </is>
      </c>
      <c r="D105" s="20" t="inlineStr">
        <is>
          <t>유즈 이그나이트 솔리드퍼퓸 001쇼핑백=선물용 쇼핑백</t>
        </is>
      </c>
      <c r="E105" s="20" t="inlineStr">
        <is>
          <t>쇼핑백</t>
        </is>
      </c>
      <c r="F105" s="20" t="n">
        <v>201210</v>
      </c>
      <c r="G105" s="20">
        <f>B105&amp;C105&amp;D105&amp;F105</f>
        <v/>
      </c>
      <c r="H105" s="20" t="n">
        <v>2000</v>
      </c>
      <c r="I105" s="20" t="n">
        <v>0.0585</v>
      </c>
      <c r="J105" s="20" t="n">
        <v>1210</v>
      </c>
    </row>
    <row r="106" hidden="1" ht="16.5" customHeight="1" s="17">
      <c r="B106" s="20" t="inlineStr">
        <is>
          <t>카페24</t>
        </is>
      </c>
      <c r="C106" s="20" t="inlineStr">
        <is>
          <t>고체향수</t>
        </is>
      </c>
      <c r="D106" s="20" t="inlineStr">
        <is>
          <t>유즈 스테이포에버 솔리드퍼퓸 002 (10차 재입고 완료제품선택=스테이포에버 1개</t>
        </is>
      </c>
      <c r="E106" s="20" t="inlineStr">
        <is>
          <t>스테이포에버</t>
        </is>
      </c>
      <c r="F106" s="20" t="n">
        <v>201210</v>
      </c>
      <c r="G106" s="20">
        <f>B106&amp;C106&amp;D106&amp;F106</f>
        <v/>
      </c>
      <c r="H106" s="20" t="n">
        <v>38000</v>
      </c>
      <c r="I106" s="20" t="n">
        <v>0.0585</v>
      </c>
      <c r="J106" s="20" t="n">
        <v>2783</v>
      </c>
    </row>
    <row r="107" hidden="1" ht="16.5" customHeight="1" s="17">
      <c r="B107" s="20" t="inlineStr">
        <is>
          <t>카페24</t>
        </is>
      </c>
      <c r="C107" s="20" t="inlineStr">
        <is>
          <t>고체향수</t>
        </is>
      </c>
      <c r="D107" s="20" t="inlineStr">
        <is>
          <t>유즈 스테이포에버 솔리드퍼퓸 002 (10차 재입고 완료제품선택=best</t>
        </is>
      </c>
      <c r="E107" s="20" t="inlineStr">
        <is>
          <t>스테이포에버 2set</t>
        </is>
      </c>
      <c r="F107" s="20" t="n">
        <v>201210</v>
      </c>
      <c r="G107" s="20">
        <f>B107&amp;C107&amp;D107&amp;F107</f>
        <v/>
      </c>
      <c r="H107" s="20" t="n">
        <v>58800</v>
      </c>
      <c r="I107" s="20" t="n">
        <v>0.0585</v>
      </c>
      <c r="J107" s="20" t="n">
        <v>5566</v>
      </c>
    </row>
    <row r="108" hidden="1" ht="16.5" customHeight="1" s="17">
      <c r="B108" s="20" t="inlineStr">
        <is>
          <t>카페24</t>
        </is>
      </c>
      <c r="C108" s="20" t="inlineStr">
        <is>
          <t>고체향수</t>
        </is>
      </c>
      <c r="D108" s="20" t="inlineStr">
        <is>
          <t>유즈 스테이포에버 솔리드퍼퓸 002 (10차 재입고 완료쇼핑백=선물용 쇼핑백</t>
        </is>
      </c>
      <c r="E108" s="20" t="inlineStr">
        <is>
          <t>쇼핑백</t>
        </is>
      </c>
      <c r="F108" s="20" t="n">
        <v>201210</v>
      </c>
      <c r="G108" s="20">
        <f>B108&amp;C108&amp;D108&amp;F108</f>
        <v/>
      </c>
      <c r="H108" s="20" t="n">
        <v>2000</v>
      </c>
      <c r="I108" s="20" t="n">
        <v>0.0585</v>
      </c>
      <c r="J108" s="20" t="n">
        <v>1210</v>
      </c>
    </row>
    <row r="109" hidden="1" ht="16.5" customHeight="1" s="17">
      <c r="B109" s="20" t="inlineStr">
        <is>
          <t>카페24</t>
        </is>
      </c>
      <c r="C109" s="20" t="inlineStr">
        <is>
          <t>고체향수</t>
        </is>
      </c>
      <c r="D109" s="20" t="inlineStr">
        <is>
          <t>유즈 스테이포에버 솔리드퍼퓸 002 (10차 재입고 완료)제품선택=best스테이포에버 2개[28% 할인]</t>
        </is>
      </c>
      <c r="E109" s="20" t="inlineStr">
        <is>
          <t>스테이포에버 2set</t>
        </is>
      </c>
      <c r="F109" s="20" t="n">
        <v>201210</v>
      </c>
      <c r="G109" s="20">
        <f>B109&amp;C109&amp;D109&amp;F109</f>
        <v/>
      </c>
      <c r="H109" s="20" t="n">
        <v>58800</v>
      </c>
      <c r="I109" s="20" t="n">
        <v>0.0585</v>
      </c>
      <c r="J109" s="20" t="n">
        <v>5566</v>
      </c>
    </row>
    <row r="110" hidden="1" ht="16.5" customHeight="1" s="17">
      <c r="B110" s="20" t="inlineStr">
        <is>
          <t>카페24</t>
        </is>
      </c>
      <c r="C110" s="20" t="inlineStr">
        <is>
          <t>고체향수</t>
        </is>
      </c>
      <c r="D110" s="20" t="inlineStr">
        <is>
          <t>유즈 스테이포에버 솔리드퍼퓸 002 (10차 재입고 완료)제품선택=커플추천스테이포에버 + 이그나이트 세트</t>
        </is>
      </c>
      <c r="E110" s="20" t="inlineStr">
        <is>
          <t>이그나이트 + 스테이포에버</t>
        </is>
      </c>
      <c r="F110" s="20" t="n">
        <v>201210</v>
      </c>
      <c r="G110" s="20">
        <f>B110&amp;C110&amp;D110&amp;F110</f>
        <v/>
      </c>
      <c r="H110" s="20" t="n">
        <v>0</v>
      </c>
      <c r="I110" s="20" t="n">
        <v>0</v>
      </c>
      <c r="J110" s="20" t="n">
        <v>5671</v>
      </c>
    </row>
    <row r="111" hidden="1" ht="16.5" customHeight="1" s="17">
      <c r="B111" s="20" t="inlineStr">
        <is>
          <t>카페24</t>
        </is>
      </c>
      <c r="C111" s="20" t="inlineStr">
        <is>
          <t>고체향수</t>
        </is>
      </c>
      <c r="D111" s="20" t="inlineStr">
        <is>
          <t>유즈 스테이포에버 솔리드퍼퓸 002 (10차 재입고 완료)쇼핑백=선물용 쇼핑백</t>
        </is>
      </c>
      <c r="E111" s="20" t="inlineStr">
        <is>
          <t>쇼핑백</t>
        </is>
      </c>
      <c r="F111" s="20" t="n">
        <v>201210</v>
      </c>
      <c r="G111" s="20">
        <f>B111&amp;C111&amp;D111&amp;F111</f>
        <v/>
      </c>
      <c r="H111" s="20" t="n">
        <v>2000</v>
      </c>
      <c r="I111" s="20" t="n">
        <v>0.0585</v>
      </c>
      <c r="J111" s="20" t="n">
        <v>1210</v>
      </c>
    </row>
    <row r="112" hidden="1" ht="16.5" customHeight="1" s="17">
      <c r="B112" s="20" t="inlineStr">
        <is>
          <t>카페24</t>
        </is>
      </c>
      <c r="C112" s="20" t="inlineStr">
        <is>
          <t>고체향수</t>
        </is>
      </c>
      <c r="D112" s="20" t="inlineStr">
        <is>
          <t>유즈 솔리드퍼퓸 - 30ml (10차 재입고 완료 )향=이그나이트 001 SOLID PERFUME, 세트 선택=best 2개 (28% 할인)</t>
        </is>
      </c>
      <c r="E112" s="20" t="inlineStr">
        <is>
          <t>이그나이트 2set</t>
        </is>
      </c>
      <c r="F112" s="20" t="n">
        <v>201210</v>
      </c>
      <c r="G112" s="20">
        <f>B112&amp;C112&amp;D112&amp;F112</f>
        <v/>
      </c>
      <c r="H112" s="20" t="n">
        <v>58800</v>
      </c>
      <c r="I112" s="20" t="n">
        <v>0.0585</v>
      </c>
      <c r="J112" s="20" t="n">
        <v>5776</v>
      </c>
    </row>
    <row r="113" hidden="1" ht="16.5" customHeight="1" s="17">
      <c r="B113" s="20" t="inlineStr">
        <is>
          <t>카페24</t>
        </is>
      </c>
      <c r="C113" s="20" t="inlineStr">
        <is>
          <t>고체향수</t>
        </is>
      </c>
      <c r="D113" s="20" t="inlineStr">
        <is>
          <t>유즈 솔리드퍼퓸 - 30ml (10차 재입고 완료 )향=커플세트(이그나이트 + 스테이포에버), 세트 선택=2 SET (42% 할인)</t>
        </is>
      </c>
      <c r="E113" s="20" t="inlineStr">
        <is>
          <t>이그나이트 + 스테이포에버</t>
        </is>
      </c>
      <c r="F113" s="20" t="n">
        <v>201210</v>
      </c>
      <c r="G113" s="20">
        <f>B113&amp;C113&amp;D113&amp;F113</f>
        <v/>
      </c>
      <c r="H113" s="20" t="n">
        <v>0</v>
      </c>
      <c r="I113" s="20" t="n">
        <v>0</v>
      </c>
      <c r="J113" s="20" t="n">
        <v>5671</v>
      </c>
    </row>
    <row r="114" hidden="1" ht="16.5" customHeight="1" s="17">
      <c r="B114" s="20" t="inlineStr">
        <is>
          <t>유즈 CS</t>
        </is>
      </c>
      <c r="C114" s="20" t="inlineStr">
        <is>
          <t>고체향수</t>
        </is>
      </c>
      <c r="D114" s="20" t="inlineStr">
        <is>
          <t>유즈 스테이포에버 솔리드퍼퓸 002 (10차 재입고 완료)제품선택=커플추천스테이포에버 + 이그나이트 세트</t>
        </is>
      </c>
      <c r="E114" s="20" t="inlineStr">
        <is>
          <t>이그나이트 + 스테이포에버</t>
        </is>
      </c>
      <c r="F114" s="20" t="n">
        <v>201210</v>
      </c>
      <c r="G114" s="20">
        <f>B114&amp;C114&amp;D114&amp;F114</f>
        <v/>
      </c>
      <c r="H114" s="20" t="n">
        <v>0</v>
      </c>
      <c r="I114" s="20" t="n">
        <v>0</v>
      </c>
      <c r="J114" s="20" t="n">
        <v>5671</v>
      </c>
    </row>
    <row r="115" hidden="1" ht="16.5" customHeight="1" s="17">
      <c r="B115" s="20" t="inlineStr">
        <is>
          <t>카페24</t>
        </is>
      </c>
      <c r="C115" s="20" t="inlineStr">
        <is>
          <t>고체향수</t>
        </is>
      </c>
      <c r="D115" s="20" t="inlineStr">
        <is>
          <t>유즈 솔리드퍼퓸 - 30ml (10차 재입고 완료)향=커플세트</t>
        </is>
      </c>
      <c r="E115" s="20" t="inlineStr">
        <is>
          <t>이그나이트 + 스테이포에버</t>
        </is>
      </c>
      <c r="F115" s="20" t="n">
        <v>201210</v>
      </c>
      <c r="G115" s="20">
        <f>B115&amp;C115&amp;D115&amp;F115</f>
        <v/>
      </c>
      <c r="H115" s="20" t="n">
        <v>69000</v>
      </c>
      <c r="I115" s="20" t="n">
        <v>0.0585</v>
      </c>
      <c r="J115" s="20" t="n">
        <v>5671</v>
      </c>
    </row>
    <row r="116" hidden="1" ht="16.5" customHeight="1" s="17">
      <c r="B116" s="20" t="inlineStr">
        <is>
          <t>카페24</t>
        </is>
      </c>
      <c r="C116" s="20" t="inlineStr">
        <is>
          <t>고체향수</t>
        </is>
      </c>
      <c r="D116" s="20" t="inlineStr">
        <is>
          <t>유즈 솔리드퍼퓸 - 30ml (10차 재입고 완료)향=이그나이트 001 SOLID PERFUME, 세트 선택=1개</t>
        </is>
      </c>
      <c r="E116" s="20" t="inlineStr">
        <is>
          <t>이그나이트</t>
        </is>
      </c>
      <c r="F116" s="20" t="n">
        <v>201210</v>
      </c>
      <c r="G116" s="20">
        <f>B116&amp;C116&amp;D116&amp;F116</f>
        <v/>
      </c>
      <c r="H116" s="20" t="n">
        <v>38000</v>
      </c>
      <c r="I116" s="20" t="n">
        <v>0.0585</v>
      </c>
      <c r="J116" s="20" t="n">
        <v>2888</v>
      </c>
    </row>
    <row r="117" hidden="1" ht="16.5" customHeight="1" s="17">
      <c r="B117" s="20" t="inlineStr">
        <is>
          <t>카페24</t>
        </is>
      </c>
      <c r="C117" s="20" t="inlineStr">
        <is>
          <t>고체향수</t>
        </is>
      </c>
      <c r="D117" s="20" t="inlineStr">
        <is>
          <t>유즈 솔리드퍼퓸 - 30ml (10차 재입고 완료)향=이그나이트 001 SOLID PERFUME, 세트 선택=best</t>
        </is>
      </c>
      <c r="E117" s="20" t="inlineStr">
        <is>
          <t>이그나이트 2set</t>
        </is>
      </c>
      <c r="F117" s="20" t="n">
        <v>201210</v>
      </c>
      <c r="G117" s="20">
        <f>B117&amp;C117&amp;D117&amp;F117</f>
        <v/>
      </c>
      <c r="H117" s="20" t="n">
        <v>58800</v>
      </c>
      <c r="I117" s="20" t="n">
        <v>0.0585</v>
      </c>
      <c r="J117" s="20" t="n">
        <v>5776</v>
      </c>
    </row>
    <row r="118" hidden="1" ht="16.5" customHeight="1" s="17">
      <c r="B118" s="20" t="inlineStr">
        <is>
          <t>카페24</t>
        </is>
      </c>
      <c r="C118" s="20" t="inlineStr">
        <is>
          <t>고체향수</t>
        </is>
      </c>
      <c r="D118" s="20" t="inlineStr">
        <is>
          <t>유즈 솔리드퍼퓸 - 30ml (10차 재입고 완료)향=스테이포에버 002 SOLID PERFUME, 세트 선택=1개</t>
        </is>
      </c>
      <c r="E118" s="20" t="inlineStr">
        <is>
          <t>스테이포에버</t>
        </is>
      </c>
      <c r="F118" s="20" t="n">
        <v>201210</v>
      </c>
      <c r="G118" s="20">
        <f>B118&amp;C118&amp;D118&amp;F118</f>
        <v/>
      </c>
      <c r="H118" s="20" t="n">
        <v>38000</v>
      </c>
      <c r="I118" s="20" t="n">
        <v>0.0585</v>
      </c>
      <c r="J118" s="20" t="n">
        <v>2783</v>
      </c>
    </row>
    <row r="119" hidden="1" ht="16.5" customHeight="1" s="17">
      <c r="B119" s="20" t="inlineStr">
        <is>
          <t>카페24</t>
        </is>
      </c>
      <c r="C119" s="20" t="inlineStr">
        <is>
          <t>고체향수</t>
        </is>
      </c>
      <c r="D119" s="20" t="inlineStr">
        <is>
          <t>유즈 솔리드퍼퓸 - 30ml (10차 재입고 완료)향=스테이포에버 002 SOLID PERFUME, 세트 선택=best 2개 (28% 할인)</t>
        </is>
      </c>
      <c r="E119" s="20" t="inlineStr">
        <is>
          <t>스테이포에버 2set</t>
        </is>
      </c>
      <c r="F119" s="20" t="n">
        <v>201210</v>
      </c>
      <c r="G119" s="20">
        <f>B119&amp;C119&amp;D119&amp;F119</f>
        <v/>
      </c>
      <c r="H119" s="20" t="n">
        <v>58800</v>
      </c>
      <c r="I119" s="20" t="n">
        <v>0.0585</v>
      </c>
      <c r="J119" s="20" t="n">
        <v>5566</v>
      </c>
    </row>
    <row r="120" hidden="1" ht="16.5" customHeight="1" s="17">
      <c r="B120" s="20" t="inlineStr">
        <is>
          <t>카페24</t>
        </is>
      </c>
      <c r="C120" s="20" t="inlineStr">
        <is>
          <t>고체향수</t>
        </is>
      </c>
      <c r="D120" s="20" t="inlineStr">
        <is>
          <t>유즈 솔리드퍼퓸 - 30ml (10차 재입고 완료)향=커플세트(이그나이트 + 스테이포에버), 세트 선택=1 SET</t>
        </is>
      </c>
      <c r="E120" s="20" t="inlineStr">
        <is>
          <t>이그나이트 + 스테이포에버</t>
        </is>
      </c>
      <c r="F120" s="20" t="n">
        <v>201210</v>
      </c>
      <c r="G120" s="20">
        <f>B120&amp;C120&amp;D120&amp;F120</f>
        <v/>
      </c>
      <c r="H120" s="20" t="n">
        <v>69000</v>
      </c>
      <c r="I120" s="20" t="n">
        <v>0.0585</v>
      </c>
      <c r="J120" s="20" t="n">
        <v>5671</v>
      </c>
    </row>
    <row r="121" hidden="1" ht="16.5" customHeight="1" s="17">
      <c r="B121" s="20" t="inlineStr">
        <is>
          <t>카페24</t>
        </is>
      </c>
      <c r="C121" s="20" t="inlineStr">
        <is>
          <t>고체향수</t>
        </is>
      </c>
      <c r="D121" s="20" t="inlineStr">
        <is>
          <t>유즈 스테이포에버 솔리드퍼퓸 002 (10차 재입고 완료)제품선택=best</t>
        </is>
      </c>
      <c r="E121" s="20" t="inlineStr">
        <is>
          <t>스테이포에버 2set</t>
        </is>
      </c>
      <c r="F121" s="20" t="n">
        <v>201210</v>
      </c>
      <c r="G121" s="20">
        <f>B121&amp;C121&amp;D121&amp;F121</f>
        <v/>
      </c>
      <c r="H121" s="20" t="n">
        <v>58800</v>
      </c>
      <c r="I121" s="20" t="n">
        <v>0.0585</v>
      </c>
      <c r="J121" s="20" t="n">
        <v>5566</v>
      </c>
    </row>
    <row r="122" hidden="1" ht="16.5" customHeight="1" s="17">
      <c r="B122" s="20" t="inlineStr">
        <is>
          <t>카페24</t>
        </is>
      </c>
      <c r="C122" s="20" t="inlineStr">
        <is>
          <t>고체향수</t>
        </is>
      </c>
      <c r="D122" s="20" t="inlineStr">
        <is>
          <t>유즈 스테이포에버 솔리드퍼퓸 002 (10차 재입고 완료)제품선택=커플추천</t>
        </is>
      </c>
      <c r="E122" s="20" t="inlineStr">
        <is>
          <t>이그나이트 + 스테이포에버</t>
        </is>
      </c>
      <c r="F122" s="20" t="n">
        <v>201210</v>
      </c>
      <c r="G122" s="20">
        <f>B122&amp;C122&amp;D122&amp;F122</f>
        <v/>
      </c>
      <c r="H122" s="20" t="n">
        <v>58800</v>
      </c>
      <c r="I122" s="20" t="n">
        <v>0.0585</v>
      </c>
      <c r="J122" s="20" t="n">
        <v>5776</v>
      </c>
    </row>
    <row r="123" hidden="1" ht="16.5" customHeight="1" s="17">
      <c r="B123" s="20" t="inlineStr">
        <is>
          <t>카페24</t>
        </is>
      </c>
      <c r="C123" s="20" t="inlineStr">
        <is>
          <t>고체향수</t>
        </is>
      </c>
      <c r="D123" s="20" t="inlineStr">
        <is>
          <t>유즈 솔리드퍼퓸 - 30ml (10차 재입고 완료)향=스테이포에버 002 SOLID PERFUME, 세트 선택=best</t>
        </is>
      </c>
      <c r="E123" s="20" t="inlineStr">
        <is>
          <t>스테이포에버 2set</t>
        </is>
      </c>
      <c r="F123" s="20" t="n">
        <v>201210</v>
      </c>
      <c r="G123" s="20">
        <f>B123&amp;C123&amp;D123&amp;F123</f>
        <v/>
      </c>
      <c r="H123" s="20" t="n">
        <v>58800</v>
      </c>
      <c r="I123" s="20" t="n">
        <v>0.0585</v>
      </c>
      <c r="J123" s="20" t="n">
        <v>5566</v>
      </c>
    </row>
    <row r="124" hidden="1" ht="16.5" customHeight="1" s="17">
      <c r="B124" s="20" t="inlineStr">
        <is>
          <t>카페24</t>
        </is>
      </c>
      <c r="C124" s="20" t="inlineStr">
        <is>
          <t>고체향수</t>
        </is>
      </c>
      <c r="D124" s="20" t="inlineStr">
        <is>
          <t>유즈 솔리드퍼퓸 - 30ml (10차 재입고 완료)향=커플세트(이그나이트 + 스테이포에버), 세트 선택=2 SET (42% 할인)</t>
        </is>
      </c>
      <c r="E124" s="20" t="inlineStr">
        <is>
          <t>이그나이트 + 스테이포에버</t>
        </is>
      </c>
      <c r="F124" s="20" t="n">
        <v>201210</v>
      </c>
      <c r="G124" s="20">
        <f>B124&amp;C124&amp;D124&amp;F124</f>
        <v/>
      </c>
      <c r="H124" s="20" t="n">
        <v>58800</v>
      </c>
      <c r="I124" s="20" t="n">
        <v>0.0585</v>
      </c>
      <c r="J124" s="20" t="n">
        <v>5776</v>
      </c>
    </row>
    <row r="125" hidden="1" ht="16.5" customHeight="1" s="17">
      <c r="B125" s="20" t="inlineStr">
        <is>
          <t>카페24</t>
        </is>
      </c>
      <c r="C125" s="20" t="inlineStr">
        <is>
          <t>고체향수</t>
        </is>
      </c>
      <c r="D125" s="20" t="inlineStr">
        <is>
          <t>유즈 솔리드퍼퓸 - 30ml (11차 예약구매 진행중)향=스테이포에버 002 SOLID PERFUME, 세트 선택=1개</t>
        </is>
      </c>
      <c r="E125" s="20" t="inlineStr">
        <is>
          <t>스테이포에버</t>
        </is>
      </c>
      <c r="F125" s="20" t="n">
        <v>201210</v>
      </c>
      <c r="G125" s="20">
        <f>B125&amp;C125&amp;D125&amp;F125</f>
        <v/>
      </c>
      <c r="H125" s="20" t="n">
        <v>34000</v>
      </c>
      <c r="I125" s="20" t="n">
        <v>0.0585</v>
      </c>
      <c r="J125" s="20" t="n">
        <v>2783</v>
      </c>
    </row>
    <row r="126" hidden="1" ht="16.5" customHeight="1" s="17">
      <c r="B126" s="20" t="inlineStr">
        <is>
          <t>카페24</t>
        </is>
      </c>
      <c r="C126" s="20" t="inlineStr">
        <is>
          <t>고체향수</t>
        </is>
      </c>
      <c r="D126" s="20" t="inlineStr">
        <is>
          <t>유즈 솔리드퍼퓸 - 30ml (11차 예약구매 진행중)향=스테이포에버 002 SOLID PERFUME, 세트 선택=best 2개 (28% 할인)</t>
        </is>
      </c>
      <c r="E126" s="20" t="inlineStr">
        <is>
          <t>스테이포에버 2set</t>
        </is>
      </c>
      <c r="F126" s="20" t="n">
        <v>201210</v>
      </c>
      <c r="G126" s="20">
        <f>B126&amp;C126&amp;D126&amp;F126</f>
        <v/>
      </c>
      <c r="H126" s="20" t="n">
        <v>58800</v>
      </c>
      <c r="I126" s="20" t="n">
        <v>0.0585</v>
      </c>
      <c r="J126" s="20" t="n">
        <v>5566</v>
      </c>
    </row>
    <row r="127" hidden="1" ht="16.5" customHeight="1" s="17">
      <c r="B127" s="20" t="inlineStr">
        <is>
          <t>카페24</t>
        </is>
      </c>
      <c r="C127" s="20" t="inlineStr">
        <is>
          <t>고체향수</t>
        </is>
      </c>
      <c r="D127" s="20" t="inlineStr">
        <is>
          <t>유즈 스테이포에버 솔리드퍼퓸 002 (11차 예약구매 진행중)제품선택=스테이포에버 1개</t>
        </is>
      </c>
      <c r="E127" s="20" t="inlineStr">
        <is>
          <t>스테이포에버</t>
        </is>
      </c>
      <c r="F127" s="20" t="n">
        <v>201210</v>
      </c>
      <c r="G127" s="20">
        <f>B127&amp;C127&amp;D127&amp;F127</f>
        <v/>
      </c>
      <c r="H127" s="20" t="n">
        <v>34000</v>
      </c>
      <c r="I127" s="20" t="n">
        <v>0.0585</v>
      </c>
      <c r="J127" s="20" t="n">
        <v>2783</v>
      </c>
    </row>
    <row r="128" hidden="1" ht="16.5" customHeight="1" s="17">
      <c r="B128" s="20" t="inlineStr">
        <is>
          <t>카페24</t>
        </is>
      </c>
      <c r="C128" s="20" t="inlineStr">
        <is>
          <t>고체향수</t>
        </is>
      </c>
      <c r="D128" s="20" t="inlineStr">
        <is>
          <t>유즈 스테이포에버 솔리드퍼퓸 002 (11차 예약구매 진행중)제품선택=best</t>
        </is>
      </c>
      <c r="E128" s="20" t="inlineStr">
        <is>
          <t>스테이포에버</t>
        </is>
      </c>
      <c r="F128" s="20" t="n">
        <v>201210</v>
      </c>
      <c r="G128" s="20">
        <f>B128&amp;C128&amp;D128&amp;F128</f>
        <v/>
      </c>
      <c r="H128" s="20" t="n">
        <v>34000</v>
      </c>
      <c r="I128" s="20" t="n">
        <v>0.0585</v>
      </c>
      <c r="J128" s="20" t="n">
        <v>2783</v>
      </c>
    </row>
    <row r="129" hidden="1" ht="16.5" customHeight="1" s="17">
      <c r="B129" s="20" t="inlineStr">
        <is>
          <t>카페24</t>
        </is>
      </c>
      <c r="C129" s="20" t="inlineStr">
        <is>
          <t>고체향수</t>
        </is>
      </c>
      <c r="D129" s="20" t="inlineStr">
        <is>
          <t>유즈 스테이포에버 솔리드퍼퓸 002 (11차 예약구매 진행중)제품선택=best스테이포에버 2개[28% 할인]</t>
        </is>
      </c>
      <c r="E129" s="20" t="inlineStr">
        <is>
          <t>스테이포에버 2set</t>
        </is>
      </c>
      <c r="F129" s="20" t="n">
        <v>201210</v>
      </c>
      <c r="G129" s="20">
        <f>B129&amp;C129&amp;D129&amp;F129</f>
        <v/>
      </c>
      <c r="H129" s="20" t="n">
        <v>58800</v>
      </c>
      <c r="I129" s="20" t="n">
        <v>0.0585</v>
      </c>
      <c r="J129" s="20" t="n">
        <v>5566</v>
      </c>
    </row>
    <row r="130" hidden="1" ht="16.5" customHeight="1" s="17">
      <c r="B130" s="20" t="inlineStr">
        <is>
          <t>카페24</t>
        </is>
      </c>
      <c r="C130" s="20" t="inlineStr">
        <is>
          <t>고체향수</t>
        </is>
      </c>
      <c r="D130" s="20" t="inlineStr">
        <is>
          <t>유즈 스테이포에버 솔리드퍼퓸 002 (11차 예약구매 진행중)제품선택=커플추천</t>
        </is>
      </c>
      <c r="E130" s="20" t="inlineStr">
        <is>
          <t>스테이포에버</t>
        </is>
      </c>
      <c r="F130" s="20" t="n">
        <v>201210</v>
      </c>
      <c r="G130" s="20">
        <f>B130&amp;C130&amp;D130&amp;F130</f>
        <v/>
      </c>
      <c r="H130" s="20" t="n">
        <v>34000</v>
      </c>
      <c r="I130" s="20" t="n">
        <v>0.0585</v>
      </c>
      <c r="J130" s="20" t="n">
        <v>2783</v>
      </c>
    </row>
    <row r="131" hidden="1" ht="16.5" customHeight="1" s="17">
      <c r="B131" s="20" t="inlineStr">
        <is>
          <t>카페24</t>
        </is>
      </c>
      <c r="C131" s="20" t="inlineStr">
        <is>
          <t>고체향수</t>
        </is>
      </c>
      <c r="D131" s="20" t="inlineStr">
        <is>
          <t>유즈 스테이포에버 솔리드퍼퓸 002 (11차 예약구매 진행중)제품선택=커플추천스테이포에버 + 이그나이트 세트</t>
        </is>
      </c>
      <c r="E131" s="20" t="inlineStr">
        <is>
          <t>이그나이트 + 스테이포에버</t>
        </is>
      </c>
      <c r="F131" s="20" t="n">
        <v>201210</v>
      </c>
      <c r="G131" s="20">
        <f>B131&amp;C131&amp;D131&amp;F131</f>
        <v/>
      </c>
      <c r="H131" s="20" t="n">
        <v>58800</v>
      </c>
      <c r="I131" s="20" t="n">
        <v>0.0585</v>
      </c>
      <c r="J131" s="20" t="n">
        <v>5776</v>
      </c>
    </row>
    <row r="132" hidden="1" ht="16.5" customHeight="1" s="17">
      <c r="B132" s="20" t="inlineStr">
        <is>
          <t>카페24</t>
        </is>
      </c>
      <c r="C132" s="20" t="inlineStr">
        <is>
          <t>고체향수</t>
        </is>
      </c>
      <c r="D132" s="20" t="inlineStr">
        <is>
          <t>유즈 스테이포에버 솔리드퍼퓸 002 (11차 예약구매 진행중)쇼핑백=선물용 쇼핑백</t>
        </is>
      </c>
      <c r="E132" s="20" t="inlineStr">
        <is>
          <t>쇼핑백</t>
        </is>
      </c>
      <c r="F132" s="20" t="n">
        <v>201210</v>
      </c>
      <c r="G132" s="20">
        <f>B132&amp;C132&amp;D132&amp;F132</f>
        <v/>
      </c>
      <c r="H132" s="20" t="n">
        <v>2000</v>
      </c>
      <c r="I132" s="20" t="n">
        <v>0.0585</v>
      </c>
      <c r="J132" s="20" t="n">
        <v>1210</v>
      </c>
    </row>
    <row r="133" hidden="1" ht="16.5" customHeight="1" s="17">
      <c r="B133" s="20" t="inlineStr">
        <is>
          <t>카페24</t>
        </is>
      </c>
      <c r="C133" s="20" t="inlineStr">
        <is>
          <t>고체향수</t>
        </is>
      </c>
      <c r="D133" s="20" t="inlineStr">
        <is>
          <t>유즈 솔리드퍼퓸 - 30ml (11차 예약구매 진행중)향=이그나이트 001 SOLID PERFUME, 세트 선택=1개</t>
        </is>
      </c>
      <c r="E133" s="20" t="inlineStr">
        <is>
          <t>이그나이트</t>
        </is>
      </c>
      <c r="F133" s="20" t="n">
        <v>201210</v>
      </c>
      <c r="G133" s="20">
        <f>B133&amp;C133&amp;D133&amp;F133</f>
        <v/>
      </c>
      <c r="H133" s="20" t="n">
        <v>34000</v>
      </c>
      <c r="I133" s="20" t="n">
        <v>0.0585</v>
      </c>
      <c r="J133" s="20" t="n">
        <v>2888</v>
      </c>
    </row>
    <row r="134" hidden="1" ht="16.5" customHeight="1" s="17">
      <c r="B134" s="20" t="inlineStr">
        <is>
          <t>카페24</t>
        </is>
      </c>
      <c r="C134" s="20" t="inlineStr">
        <is>
          <t>고체향수</t>
        </is>
      </c>
      <c r="D134" s="20" t="inlineStr">
        <is>
          <t>유즈 솔리드퍼퓸 - 30ml (11차 예약구매 진행중)향=스테이포에버 002 SOLID PERFUME, 세트 선택=best</t>
        </is>
      </c>
      <c r="E134" s="20" t="inlineStr">
        <is>
          <t>스테이포에버</t>
        </is>
      </c>
      <c r="F134" s="20" t="n">
        <v>201210</v>
      </c>
      <c r="G134" s="20">
        <f>B134&amp;C134&amp;D134&amp;F134</f>
        <v/>
      </c>
      <c r="H134" s="20" t="n">
        <v>34000</v>
      </c>
      <c r="I134" s="20" t="n">
        <v>0.0585</v>
      </c>
      <c r="J134" s="20" t="n">
        <v>2783</v>
      </c>
    </row>
    <row r="135" hidden="1" ht="16.5" customHeight="1" s="17">
      <c r="B135" s="20" t="inlineStr">
        <is>
          <t>카페24</t>
        </is>
      </c>
      <c r="C135" s="20" t="inlineStr">
        <is>
          <t>고체향수</t>
        </is>
      </c>
      <c r="D135" s="20" t="inlineStr">
        <is>
          <t>유즈 솔리드퍼퓸 - 30ml (11차 예약구매 진행중)향=커플세트</t>
        </is>
      </c>
      <c r="E135" s="20" t="inlineStr">
        <is>
          <t>이그나이트 + 스테이포에버</t>
        </is>
      </c>
      <c r="F135" s="20" t="n">
        <v>201210</v>
      </c>
      <c r="G135" s="20">
        <f>B135&amp;C135&amp;D135&amp;F135</f>
        <v/>
      </c>
      <c r="H135" s="20" t="n">
        <v>58800</v>
      </c>
      <c r="I135" s="20" t="n">
        <v>0.0585</v>
      </c>
      <c r="J135" s="20" t="n">
        <v>5776</v>
      </c>
    </row>
    <row r="136" hidden="1" ht="16.5" customHeight="1" s="17">
      <c r="B136" s="20" t="inlineStr">
        <is>
          <t>카페24</t>
        </is>
      </c>
      <c r="C136" s="20" t="inlineStr">
        <is>
          <t>고체향수</t>
        </is>
      </c>
      <c r="D136" s="20" t="inlineStr">
        <is>
          <t>유즈 솔리드퍼퓸 - 30ml (11차 예약구매 진행중)향=커플세트(이그나이트 + 스테이포에버), 세트 선택=1 SET</t>
        </is>
      </c>
      <c r="E136" s="20" t="inlineStr">
        <is>
          <t>이그나이트 + 스테이포에버</t>
        </is>
      </c>
      <c r="F136" s="20" t="n">
        <v>201210</v>
      </c>
      <c r="G136" s="20">
        <f>B136&amp;C136&amp;D136&amp;F136</f>
        <v/>
      </c>
      <c r="H136" s="20" t="n">
        <v>58800</v>
      </c>
      <c r="I136" s="20" t="n">
        <v>0.0585</v>
      </c>
      <c r="J136" s="20" t="n">
        <v>5776</v>
      </c>
    </row>
    <row r="137" hidden="1" ht="16.5" customHeight="1" s="17">
      <c r="B137" s="20" t="inlineStr">
        <is>
          <t>카페24</t>
        </is>
      </c>
      <c r="C137" s="20" t="inlineStr">
        <is>
          <t>고체향수</t>
        </is>
      </c>
      <c r="D137" s="20" t="inlineStr">
        <is>
          <t>유즈 솔리드퍼퓸 - 30ml (11차 예약구매 진행중)향=커플세트(이그나이트 + 스테이포에버), 세트 선택=2 SET (42% 할인)</t>
        </is>
      </c>
      <c r="E137" s="20" t="inlineStr">
        <is>
          <t>이그나이트 + 스테이포에버</t>
        </is>
      </c>
      <c r="F137" s="20" t="n">
        <v>201210</v>
      </c>
      <c r="G137" s="20">
        <f>B137&amp;C137&amp;D137&amp;F137</f>
        <v/>
      </c>
      <c r="H137" s="20" t="n">
        <v>58800</v>
      </c>
      <c r="I137" s="20" t="n">
        <v>0.0585</v>
      </c>
      <c r="J137" s="20" t="n">
        <v>5776</v>
      </c>
    </row>
    <row r="138" hidden="1" ht="16.5" customHeight="1" s="17">
      <c r="B138" s="20" t="inlineStr">
        <is>
          <t>카페24</t>
        </is>
      </c>
      <c r="C138" s="20" t="inlineStr">
        <is>
          <t>고체향수</t>
        </is>
      </c>
      <c r="D138" s="20" t="inlineStr">
        <is>
          <t>유즈 솔리드퍼퓸 - 30ml (11차 예약구매 진행중)향=이그나이트 001 SOLID PERFUME, 세트 선택=best</t>
        </is>
      </c>
      <c r="E138" s="20" t="inlineStr">
        <is>
          <t>이그나이트</t>
        </is>
      </c>
      <c r="F138" s="20" t="n">
        <v>201210</v>
      </c>
      <c r="G138" s="20">
        <f>B138&amp;C138&amp;D138&amp;F138</f>
        <v/>
      </c>
      <c r="H138" s="20" t="n">
        <v>34000</v>
      </c>
      <c r="I138" s="20" t="n">
        <v>0.0585</v>
      </c>
      <c r="J138" s="20" t="n">
        <v>2888</v>
      </c>
    </row>
    <row r="139" hidden="1" ht="16.5" customHeight="1" s="17">
      <c r="B139" s="20" t="inlineStr">
        <is>
          <t>유즈 CS</t>
        </is>
      </c>
      <c r="C139" s="20" t="inlineStr">
        <is>
          <t>고체향수</t>
        </is>
      </c>
      <c r="D139" s="20" t="inlineStr">
        <is>
          <t>유즈 솔리드퍼퓸 - 30ml (스테이포에버 주문 시 12/14 순차배송)향=스테이포에버, 세트 선택=1 개</t>
        </is>
      </c>
      <c r="E139" s="20" t="inlineStr">
        <is>
          <t>스테이포에버</t>
        </is>
      </c>
      <c r="F139" s="20" t="n">
        <v>201210</v>
      </c>
      <c r="G139" s="20">
        <f>B139&amp;C139&amp;D139&amp;F139</f>
        <v/>
      </c>
      <c r="H139" s="20" t="n">
        <v>0</v>
      </c>
      <c r="I139" s="20" t="n">
        <v>0</v>
      </c>
      <c r="J139" s="20" t="n">
        <v>5671</v>
      </c>
    </row>
    <row r="140" hidden="1" ht="16.5" customHeight="1" s="17">
      <c r="B140" s="20" t="inlineStr">
        <is>
          <t>유즈 CS</t>
        </is>
      </c>
      <c r="C140" s="20" t="inlineStr">
        <is>
          <t>고체향수</t>
        </is>
      </c>
      <c r="D140" s="20" t="inlineStr">
        <is>
          <t>유즈 스테이포에버 솔리드퍼퓸 002 (스테이포에버 주문시 12/14 순차배송)제품선택=스테이포에버 솔리드퍼퓸 002[Pre-order 이벤트 17% 할인]</t>
        </is>
      </c>
      <c r="E140" s="20" t="inlineStr">
        <is>
          <t>스테이포에버</t>
        </is>
      </c>
      <c r="F140" s="20" t="n">
        <v>201210</v>
      </c>
      <c r="G140" s="20">
        <f>B140&amp;C140&amp;D140&amp;F140</f>
        <v/>
      </c>
      <c r="H140" s="20" t="n">
        <v>0</v>
      </c>
      <c r="I140" s="20" t="n">
        <v>0</v>
      </c>
      <c r="J140" s="20" t="n">
        <v>5671</v>
      </c>
    </row>
    <row r="141" hidden="1" ht="16.5" customHeight="1" s="17">
      <c r="B141" s="20" t="inlineStr">
        <is>
          <t>카페24</t>
        </is>
      </c>
      <c r="C141" s="20" t="inlineStr">
        <is>
          <t>고체향수</t>
        </is>
      </c>
      <c r="D141" s="20" t="inlineStr">
        <is>
          <t>유즈 솔리드퍼퓸 - 30ml (11차 예약구매 진행중)향=이그나이트 001 SOLID PERFUME, 세트 선택=best 2개 (28% 할인)</t>
        </is>
      </c>
      <c r="E141" s="20" t="inlineStr">
        <is>
          <t>이그나이트 2set</t>
        </is>
      </c>
      <c r="F141" s="20" t="n">
        <v>201210</v>
      </c>
      <c r="G141" s="20">
        <f>B141&amp;C141&amp;D141&amp;F141</f>
        <v/>
      </c>
      <c r="H141" s="20" t="n">
        <v>58800</v>
      </c>
      <c r="I141" s="20" t="n">
        <v>0.0585</v>
      </c>
      <c r="J141" s="20" t="n">
        <v>5776</v>
      </c>
    </row>
    <row r="142" hidden="1" ht="16.5" customHeight="1" s="17">
      <c r="B142" s="20" t="inlineStr">
        <is>
          <t>카페24</t>
        </is>
      </c>
      <c r="C142" s="20" t="inlineStr">
        <is>
          <t>고체향수</t>
        </is>
      </c>
      <c r="D142" s="20" t="inlineStr">
        <is>
          <t>유즈 솔리드퍼퓸 - 30ml향=스테이포에버 002 SOLID PERFUME, 세트 선택=1개</t>
        </is>
      </c>
      <c r="E142" s="20" t="inlineStr">
        <is>
          <t>스테이포에버</t>
        </is>
      </c>
      <c r="F142" s="20" t="n">
        <v>201210</v>
      </c>
      <c r="G142" s="20">
        <f>B142&amp;C142&amp;D142&amp;F142</f>
        <v/>
      </c>
      <c r="H142" s="20" t="n">
        <v>34000</v>
      </c>
      <c r="I142" s="20" t="n">
        <v>0.0585</v>
      </c>
      <c r="J142" s="20" t="n">
        <v>2783</v>
      </c>
    </row>
    <row r="143" hidden="1" ht="16.5" customHeight="1" s="17">
      <c r="B143" s="20" t="inlineStr">
        <is>
          <t>카페24</t>
        </is>
      </c>
      <c r="C143" s="20" t="inlineStr">
        <is>
          <t>고체향수</t>
        </is>
      </c>
      <c r="D143" s="20" t="inlineStr">
        <is>
          <t>유즈 솔리드퍼퓸 - 30ml향=스테이포에버 002 SOLID PERFUME, 세트 선택=best</t>
        </is>
      </c>
      <c r="E143" s="20" t="inlineStr">
        <is>
          <t>스테이포에버</t>
        </is>
      </c>
      <c r="F143" s="20" t="n">
        <v>201210</v>
      </c>
      <c r="G143" s="20">
        <f>B143&amp;C143&amp;D143&amp;F143</f>
        <v/>
      </c>
      <c r="H143" s="20" t="n">
        <v>34000</v>
      </c>
      <c r="I143" s="20" t="n">
        <v>0.0585</v>
      </c>
      <c r="J143" s="20" t="n">
        <v>2783</v>
      </c>
    </row>
    <row r="144" hidden="1" ht="16.5" customHeight="1" s="17">
      <c r="B144" s="20" t="inlineStr">
        <is>
          <t>카페24</t>
        </is>
      </c>
      <c r="C144" s="20" t="inlineStr">
        <is>
          <t>고체향수</t>
        </is>
      </c>
      <c r="D144" s="20" t="inlineStr">
        <is>
          <t>유즈 솔리드퍼퓸 - 30ml향=커플세트</t>
        </is>
      </c>
      <c r="E144" s="20" t="inlineStr">
        <is>
          <t>이그나이트 + 스테이포에버</t>
        </is>
      </c>
      <c r="F144" s="20" t="n">
        <v>201210</v>
      </c>
      <c r="G144" s="20">
        <f>B144&amp;C144&amp;D144&amp;F144</f>
        <v/>
      </c>
      <c r="H144" s="20" t="n">
        <v>58800</v>
      </c>
      <c r="I144" s="20" t="n">
        <v>0.0585</v>
      </c>
      <c r="J144" s="20" t="n">
        <v>5776</v>
      </c>
    </row>
    <row r="145" hidden="1" ht="16.5" customHeight="1" s="17">
      <c r="B145" s="20" t="inlineStr">
        <is>
          <t>카페24</t>
        </is>
      </c>
      <c r="C145" s="20" t="inlineStr">
        <is>
          <t>고체향수</t>
        </is>
      </c>
      <c r="D145" s="20" t="inlineStr">
        <is>
          <t>유즈 솔리드퍼퓸 - 30ml향=커플세트(이그나이트 + 스테이포에버), 세트 선택=1 SET</t>
        </is>
      </c>
      <c r="E145" s="20" t="inlineStr">
        <is>
          <t>이그나이트 + 스테이포에버</t>
        </is>
      </c>
      <c r="F145" s="20" t="n">
        <v>201210</v>
      </c>
      <c r="G145" s="20">
        <f>B145&amp;C145&amp;D145&amp;F145</f>
        <v/>
      </c>
      <c r="H145" s="20" t="n">
        <v>58800</v>
      </c>
      <c r="I145" s="20" t="n">
        <v>0.0585</v>
      </c>
      <c r="J145" s="20" t="n">
        <v>5776</v>
      </c>
    </row>
    <row r="146" hidden="1" ht="16.5" customHeight="1" s="17">
      <c r="B146" s="20" t="inlineStr">
        <is>
          <t>카페24</t>
        </is>
      </c>
      <c r="C146" s="20" t="inlineStr">
        <is>
          <t>고체향수</t>
        </is>
      </c>
      <c r="D146" s="20" t="inlineStr">
        <is>
          <t>유즈 스테이포에버 솔리드퍼퓸 002제품선택=스테이포에버 1개</t>
        </is>
      </c>
      <c r="E146" s="20" t="inlineStr">
        <is>
          <t>스테이포에버</t>
        </is>
      </c>
      <c r="F146" s="20" t="n">
        <v>201210</v>
      </c>
      <c r="G146" s="20">
        <f>B146&amp;C146&amp;D146&amp;F146</f>
        <v/>
      </c>
      <c r="H146" s="20" t="n">
        <v>34000</v>
      </c>
      <c r="I146" s="20" t="n">
        <v>0.0585</v>
      </c>
      <c r="J146" s="20" t="n">
        <v>2783</v>
      </c>
    </row>
    <row r="147" hidden="1" ht="16.5" customHeight="1" s="17">
      <c r="B147" s="20" t="inlineStr">
        <is>
          <t>카페24</t>
        </is>
      </c>
      <c r="C147" s="20" t="inlineStr">
        <is>
          <t>고체향수</t>
        </is>
      </c>
      <c r="D147" s="20" t="inlineStr">
        <is>
          <t>유즈 스테이포에버 솔리드퍼퓸 002제품선택=best</t>
        </is>
      </c>
      <c r="E147" s="20" t="inlineStr">
        <is>
          <t>스테이포에버</t>
        </is>
      </c>
      <c r="F147" s="20" t="n">
        <v>201210</v>
      </c>
      <c r="G147" s="20">
        <f>B147&amp;C147&amp;D147&amp;F147</f>
        <v/>
      </c>
      <c r="H147" s="20" t="n">
        <v>34000</v>
      </c>
      <c r="I147" s="20" t="n">
        <v>0.0585</v>
      </c>
      <c r="J147" s="20" t="n">
        <v>2783</v>
      </c>
    </row>
    <row r="148" hidden="1" ht="16.5" customHeight="1" s="17">
      <c r="B148" s="20" t="inlineStr">
        <is>
          <t>카페24</t>
        </is>
      </c>
      <c r="C148" s="20" t="inlineStr">
        <is>
          <t>고체향수</t>
        </is>
      </c>
      <c r="D148" s="20" t="inlineStr">
        <is>
          <t>유즈 스테이포에버 솔리드퍼퓸 002제품선택=best스테이포에버 2개[28% 할인]</t>
        </is>
      </c>
      <c r="E148" s="20" t="inlineStr">
        <is>
          <t>스테이포에버</t>
        </is>
      </c>
      <c r="F148" s="20" t="n">
        <v>201210</v>
      </c>
      <c r="G148" s="20">
        <f>B148&amp;C148&amp;D148&amp;F148</f>
        <v/>
      </c>
      <c r="H148" s="20" t="n">
        <v>34000</v>
      </c>
      <c r="I148" s="20" t="n">
        <v>0.0585</v>
      </c>
      <c r="J148" s="20" t="n">
        <v>2783</v>
      </c>
    </row>
    <row r="149" hidden="1" ht="16.5" customHeight="1" s="17">
      <c r="B149" s="20" t="inlineStr">
        <is>
          <t>카페24</t>
        </is>
      </c>
      <c r="C149" s="20" t="inlineStr">
        <is>
          <t>고체향수</t>
        </is>
      </c>
      <c r="D149" s="20" t="inlineStr">
        <is>
          <t>유즈 스테이포에버 솔리드퍼퓸 002제품선택=커플추천</t>
        </is>
      </c>
      <c r="E149" s="20" t="inlineStr">
        <is>
          <t>이그나이트 + 스테이포에버</t>
        </is>
      </c>
      <c r="F149" s="20" t="n">
        <v>201210</v>
      </c>
      <c r="G149" s="20">
        <f>B149&amp;C149&amp;D149&amp;F149</f>
        <v/>
      </c>
      <c r="H149" s="20" t="n">
        <v>58800</v>
      </c>
      <c r="I149" s="20" t="n">
        <v>0.0585</v>
      </c>
      <c r="J149" s="20" t="n">
        <v>5776</v>
      </c>
    </row>
    <row r="150" hidden="1" ht="16.5" customHeight="1" s="17">
      <c r="B150" s="20" t="inlineStr">
        <is>
          <t>카페24</t>
        </is>
      </c>
      <c r="C150" s="20" t="inlineStr">
        <is>
          <t>고체향수</t>
        </is>
      </c>
      <c r="D150" s="20" t="inlineStr">
        <is>
          <t>유즈 스테이포에버 솔리드퍼퓸 002제품선택=커플추천스테이포에버 + 이그나이트 세트</t>
        </is>
      </c>
      <c r="E150" s="20" t="inlineStr">
        <is>
          <t>이그나이트 + 스테이포에버</t>
        </is>
      </c>
      <c r="F150" s="20" t="n">
        <v>201210</v>
      </c>
      <c r="G150" s="20">
        <f>B150&amp;C150&amp;D150&amp;F150</f>
        <v/>
      </c>
      <c r="H150" s="20" t="n">
        <v>58800</v>
      </c>
      <c r="I150" s="20" t="n">
        <v>0.0585</v>
      </c>
      <c r="J150" s="20" t="n">
        <v>5776</v>
      </c>
    </row>
    <row r="151" hidden="1" ht="16.5" customHeight="1" s="17">
      <c r="B151" s="20" t="inlineStr">
        <is>
          <t>카페24</t>
        </is>
      </c>
      <c r="C151" s="20" t="inlineStr">
        <is>
          <t>고체향수</t>
        </is>
      </c>
      <c r="D151" s="20" t="inlineStr">
        <is>
          <t>유즈 스테이포에버 솔리드퍼퓸 002쇼핑백=선물용 쇼핑백</t>
        </is>
      </c>
      <c r="E151" s="20" t="inlineStr">
        <is>
          <t>쇼핑백</t>
        </is>
      </c>
      <c r="F151" s="20" t="n">
        <v>201210</v>
      </c>
      <c r="G151" s="20">
        <f>B151&amp;C151&amp;D151&amp;F151</f>
        <v/>
      </c>
      <c r="H151" s="20" t="n">
        <v>2000</v>
      </c>
      <c r="I151" s="20" t="n">
        <v>0.0585</v>
      </c>
      <c r="J151" s="20" t="n">
        <v>1210</v>
      </c>
    </row>
    <row r="152" hidden="1" ht="16.5" customHeight="1" s="17">
      <c r="B152" s="20" t="inlineStr">
        <is>
          <t>카페24</t>
        </is>
      </c>
      <c r="C152" s="20" t="inlineStr">
        <is>
          <t>고체향수</t>
        </is>
      </c>
      <c r="D152" s="20" t="inlineStr">
        <is>
          <t>유즈 솔리드퍼퓸 - 30ml향=이그나이트 001 SOLID PERFUME, 세트 선택=1개</t>
        </is>
      </c>
      <c r="E152" s="20" t="inlineStr">
        <is>
          <t>이그나이트</t>
        </is>
      </c>
      <c r="F152" s="20" t="n">
        <v>201210</v>
      </c>
      <c r="G152" s="20">
        <f>B152&amp;C152&amp;D152&amp;F152</f>
        <v/>
      </c>
      <c r="H152" s="20" t="n">
        <v>34000</v>
      </c>
      <c r="I152" s="20" t="n">
        <v>0.0585</v>
      </c>
      <c r="J152" s="20" t="n">
        <v>2888</v>
      </c>
    </row>
    <row r="153" hidden="1" ht="16.5" customHeight="1" s="17">
      <c r="B153" s="20" t="inlineStr">
        <is>
          <t>카페24</t>
        </is>
      </c>
      <c r="C153" s="20" t="inlineStr">
        <is>
          <t>고체향수</t>
        </is>
      </c>
      <c r="D153" s="20" t="inlineStr">
        <is>
          <t>유즈 솔리드퍼퓸 - 30ml향=스테이포에버 002 SOLID PERFUME, 세트 선택=best 2개 (28% 할인)</t>
        </is>
      </c>
      <c r="E153" s="20" t="inlineStr">
        <is>
          <t>스테이포에버 2set</t>
        </is>
      </c>
      <c r="F153" s="20" t="n">
        <v>201210</v>
      </c>
      <c r="G153" s="20">
        <f>B153&amp;C153&amp;D153&amp;F153</f>
        <v/>
      </c>
      <c r="H153" s="20" t="n">
        <v>58800</v>
      </c>
      <c r="I153" s="20" t="n">
        <v>0.0585</v>
      </c>
      <c r="J153" s="20" t="n">
        <v>5566</v>
      </c>
    </row>
    <row r="154" hidden="1" ht="16.5" customHeight="1" s="17">
      <c r="B154" s="20" t="inlineStr">
        <is>
          <t>카페24</t>
        </is>
      </c>
      <c r="C154" s="20" t="inlineStr">
        <is>
          <t>고체향수</t>
        </is>
      </c>
      <c r="D154" s="20" t="inlineStr">
        <is>
          <t>유즈 솔리드퍼퓸 - 30ml향=커플세트(이그나이트 + 스테이포에버), 세트 선택=2 SET (42% 할인)</t>
        </is>
      </c>
      <c r="E154" s="20" t="inlineStr">
        <is>
          <t>이그나이트 + 스테이포에버</t>
        </is>
      </c>
      <c r="F154" s="20" t="n">
        <v>201210</v>
      </c>
      <c r="G154" s="20">
        <f>B154&amp;C154&amp;D154&amp;F154</f>
        <v/>
      </c>
      <c r="H154" s="20" t="n">
        <v>58800</v>
      </c>
      <c r="I154" s="20" t="n">
        <v>0.0585</v>
      </c>
      <c r="J154" s="20" t="n">
        <v>5776</v>
      </c>
    </row>
    <row r="155" ht="16.5" customHeight="1" s="17">
      <c r="B155" s="20" t="inlineStr">
        <is>
          <t>카페24</t>
        </is>
      </c>
      <c r="C155" s="20" t="inlineStr">
        <is>
          <t>고체향수</t>
        </is>
      </c>
      <c r="D155" s="20" t="inlineStr">
        <is>
          <t>유즈 솔리드퍼퓸 - 30ml (스테이포에버 주문 시 12/14 부터 순차배송)향=스테이포에버, 세트 선택=1 개</t>
        </is>
      </c>
      <c r="E155" s="20" t="inlineStr">
        <is>
          <t>스테이포에버</t>
        </is>
      </c>
      <c r="F155" s="20" t="n">
        <v>210207</v>
      </c>
      <c r="G155" s="20">
        <f>B155&amp;C155&amp;D155&amp;F155</f>
        <v/>
      </c>
      <c r="H155" s="20" t="n">
        <v>38000</v>
      </c>
      <c r="I155" s="20" t="n">
        <v>0.0585</v>
      </c>
      <c r="J155" s="20" t="n">
        <v>2592</v>
      </c>
    </row>
    <row r="156" ht="16.5" customHeight="1" s="17">
      <c r="B156" s="20" t="inlineStr">
        <is>
          <t>카페24</t>
        </is>
      </c>
      <c r="C156" s="20" t="inlineStr">
        <is>
          <t>고체향수</t>
        </is>
      </c>
      <c r="D156" s="20" t="inlineStr">
        <is>
          <t>유즈 솔리드퍼퓸 - 30ml (스테이포에버 주문 시 12/14 부터 순차배송)향=스테이포에버, 세트 선택=2개 (28% off)</t>
        </is>
      </c>
      <c r="E156" s="20" t="inlineStr">
        <is>
          <t>스테이포에버 2set</t>
        </is>
      </c>
      <c r="F156" s="20" t="n">
        <v>210207</v>
      </c>
      <c r="G156" s="20">
        <f>B156&amp;C156&amp;D156&amp;F156</f>
        <v/>
      </c>
      <c r="H156" s="20" t="n">
        <v>58800</v>
      </c>
      <c r="I156" s="20" t="n">
        <v>0.0585</v>
      </c>
      <c r="J156" s="20" t="n">
        <v>5184</v>
      </c>
    </row>
    <row r="157" ht="16.5" customHeight="1" s="17">
      <c r="B157" s="20" t="inlineStr">
        <is>
          <t>카페24</t>
        </is>
      </c>
      <c r="C157" s="20" t="inlineStr">
        <is>
          <t>고체향수</t>
        </is>
      </c>
      <c r="D157" s="20" t="inlineStr">
        <is>
          <t>유즈 솔리드퍼퓸 - 30ml (스테이포에버 주문 시 12/14 부터 순차배송)향=이그나이트 + 스테이포에버, 세트 선택=1 SET</t>
        </is>
      </c>
      <c r="E157" s="20" t="inlineStr">
        <is>
          <t>이그나이트 + 스테이포에버</t>
        </is>
      </c>
      <c r="F157" s="20" t="n">
        <v>210207</v>
      </c>
      <c r="G157" s="20">
        <f>B157&amp;C157&amp;D157&amp;F157</f>
        <v/>
      </c>
      <c r="H157" s="20" t="n">
        <v>69000</v>
      </c>
      <c r="I157" s="20" t="n">
        <v>0.0585</v>
      </c>
      <c r="J157" s="20" t="n">
        <v>5345</v>
      </c>
    </row>
    <row r="158" ht="16.5" customHeight="1" s="17">
      <c r="B158" s="20" t="inlineStr">
        <is>
          <t>카페24</t>
        </is>
      </c>
      <c r="C158" s="20" t="inlineStr">
        <is>
          <t>고체향수</t>
        </is>
      </c>
      <c r="D158" s="20" t="inlineStr">
        <is>
          <t>유즈 솔리드퍼퓸 - 30ml (스테이포에버 주문 시 12/14 부터 순차배송)향=이그나이트, 세트 선택=1 개</t>
        </is>
      </c>
      <c r="E158" s="20" t="inlineStr">
        <is>
          <t>이그나이트</t>
        </is>
      </c>
      <c r="F158" s="20" t="n">
        <v>210207</v>
      </c>
      <c r="G158" s="20">
        <f>B158&amp;C158&amp;D158&amp;F158</f>
        <v/>
      </c>
      <c r="H158" s="20" t="n">
        <v>38000</v>
      </c>
      <c r="I158" s="20" t="n">
        <v>0.0585</v>
      </c>
      <c r="J158" s="20" t="n">
        <v>2753</v>
      </c>
    </row>
    <row r="159" ht="16.5" customHeight="1" s="17">
      <c r="B159" s="20" t="inlineStr">
        <is>
          <t>카페24</t>
        </is>
      </c>
      <c r="C159" s="20" t="inlineStr">
        <is>
          <t>고체향수</t>
        </is>
      </c>
      <c r="D159" s="20" t="inlineStr">
        <is>
          <t>유즈 솔리드퍼퓸 - 30ml (스테이포에버 주문 시 12/14 순차배송)향=스테이포에버, 세트 선택=1 개</t>
        </is>
      </c>
      <c r="E159" s="20" t="inlineStr">
        <is>
          <t>스테이포에버</t>
        </is>
      </c>
      <c r="F159" s="20" t="n">
        <v>210207</v>
      </c>
      <c r="G159" s="20">
        <f>B159&amp;C159&amp;D159&amp;F159</f>
        <v/>
      </c>
      <c r="H159" s="20" t="n">
        <v>38000</v>
      </c>
      <c r="I159" s="20" t="n">
        <v>0.0585</v>
      </c>
      <c r="J159" s="20" t="n">
        <v>2592</v>
      </c>
    </row>
    <row r="160" ht="16.5" customHeight="1" s="17">
      <c r="B160" s="20" t="inlineStr">
        <is>
          <t>카페24</t>
        </is>
      </c>
      <c r="C160" s="20" t="inlineStr">
        <is>
          <t>고체향수</t>
        </is>
      </c>
      <c r="D160" s="20" t="inlineStr">
        <is>
          <t>유즈 솔리드퍼퓸 - 30ml (스테이포에버 주문 시 12/14 순차배송)향=스테이포에버, 세트 선택=2개 (28% off)</t>
        </is>
      </c>
      <c r="E160" s="20" t="inlineStr">
        <is>
          <t>스테이포에버 2set</t>
        </is>
      </c>
      <c r="F160" s="20" t="n">
        <v>210207</v>
      </c>
      <c r="G160" s="20">
        <f>B160&amp;C160&amp;D160&amp;F160</f>
        <v/>
      </c>
      <c r="H160" s="20" t="n">
        <v>58800</v>
      </c>
      <c r="I160" s="20" t="n">
        <v>0.0585</v>
      </c>
      <c r="J160" s="20" t="n">
        <v>5184</v>
      </c>
    </row>
    <row r="161" ht="16.5" customHeight="1" s="17">
      <c r="B161" s="20" t="inlineStr">
        <is>
          <t>카페24</t>
        </is>
      </c>
      <c r="C161" s="20" t="inlineStr">
        <is>
          <t>고체향수</t>
        </is>
      </c>
      <c r="D161" s="20" t="inlineStr">
        <is>
          <t>유즈 솔리드퍼퓸 - 30ml (스테이포에버 주문 시 12/14 순차배송)향=이그나이트 + 스테이포에버, 세트 선택=1 SET</t>
        </is>
      </c>
      <c r="E161" s="20" t="inlineStr">
        <is>
          <t>이그나이트 + 스테이포에버</t>
        </is>
      </c>
      <c r="F161" s="20" t="n">
        <v>210207</v>
      </c>
      <c r="G161" s="20">
        <f>B161&amp;C161&amp;D161&amp;F161</f>
        <v/>
      </c>
      <c r="H161" s="20" t="n">
        <v>69000</v>
      </c>
      <c r="I161" s="20" t="n">
        <v>0.0585</v>
      </c>
      <c r="J161" s="20" t="n">
        <v>5345</v>
      </c>
    </row>
    <row r="162" ht="16.5" customHeight="1" s="17">
      <c r="B162" s="20" t="inlineStr">
        <is>
          <t>카페24</t>
        </is>
      </c>
      <c r="C162" s="20" t="inlineStr">
        <is>
          <t>고체향수</t>
        </is>
      </c>
      <c r="D162" s="20" t="inlineStr">
        <is>
          <t>유즈 솔리드퍼퓸 - 30ml (스테이포에버 주문 시 12/14 순차배송)향=이그나이트 + 스테이포에버, 세트 선택=2 SET (42% off)</t>
        </is>
      </c>
      <c r="E162" s="20" t="inlineStr">
        <is>
          <t>이그나이트 + 스테이포에버 2set</t>
        </is>
      </c>
      <c r="F162" s="20" t="n">
        <v>210207</v>
      </c>
      <c r="G162" s="20">
        <f>B162&amp;C162&amp;D162&amp;F162</f>
        <v/>
      </c>
      <c r="H162" s="20" t="n">
        <v>94800</v>
      </c>
      <c r="I162" s="20" t="n">
        <v>0.0585</v>
      </c>
      <c r="J162" s="20" t="n">
        <v>10690</v>
      </c>
    </row>
    <row r="163" ht="16.5" customHeight="1" s="17">
      <c r="B163" s="20" t="inlineStr">
        <is>
          <t>카페24</t>
        </is>
      </c>
      <c r="C163" s="20" t="inlineStr">
        <is>
          <t>고체향수</t>
        </is>
      </c>
      <c r="D163" s="20" t="inlineStr">
        <is>
          <t>유즈 솔리드퍼퓸 - 30ml (스테이포에버 주문 시 12/14 순차배송)향=이그나이트, 세트 선택=1 개</t>
        </is>
      </c>
      <c r="E163" s="20" t="inlineStr">
        <is>
          <t>이그나이트</t>
        </is>
      </c>
      <c r="F163" s="20" t="n">
        <v>210207</v>
      </c>
      <c r="G163" s="20">
        <f>B163&amp;C163&amp;D163&amp;F163</f>
        <v/>
      </c>
      <c r="H163" s="20" t="n">
        <v>38000</v>
      </c>
      <c r="I163" s="20" t="n">
        <v>0.0585</v>
      </c>
      <c r="J163" s="20" t="n">
        <v>2753</v>
      </c>
    </row>
    <row r="164" ht="16.5" customHeight="1" s="17">
      <c r="B164" s="20" t="inlineStr">
        <is>
          <t>카페24</t>
        </is>
      </c>
      <c r="C164" s="20" t="inlineStr">
        <is>
          <t>고체향수</t>
        </is>
      </c>
      <c r="D164" s="20" t="inlineStr">
        <is>
          <t>유즈 솔리드퍼퓸 - 30ml (스테이포에버 주문 시 12/15 순차배송)향=스테이포에버, 세트 선택=1 개</t>
        </is>
      </c>
      <c r="E164" s="20" t="inlineStr">
        <is>
          <t>스테이포에버</t>
        </is>
      </c>
      <c r="F164" s="20" t="n">
        <v>210207</v>
      </c>
      <c r="G164" s="20">
        <f>B164&amp;C164&amp;D164&amp;F164</f>
        <v/>
      </c>
      <c r="H164" s="20" t="n">
        <v>38000</v>
      </c>
      <c r="I164" s="20" t="n">
        <v>0.0585</v>
      </c>
      <c r="J164" s="20" t="n">
        <v>2592</v>
      </c>
    </row>
    <row r="165" ht="16.5" customHeight="1" s="17">
      <c r="B165" s="20" t="inlineStr">
        <is>
          <t>카페24</t>
        </is>
      </c>
      <c r="C165" s="20" t="inlineStr">
        <is>
          <t>고체향수</t>
        </is>
      </c>
      <c r="D165" s="20" t="inlineStr">
        <is>
          <t>유즈 솔리드퍼퓸 - 30ml (스테이포에버 주문 시 12/15 순차배송)향=스테이포에버, 세트 선택=2개 (28% off)</t>
        </is>
      </c>
      <c r="E165" s="20" t="inlineStr">
        <is>
          <t>스테이포에버 2set</t>
        </is>
      </c>
      <c r="F165" s="20" t="n">
        <v>210207</v>
      </c>
      <c r="G165" s="20">
        <f>B165&amp;C165&amp;D165&amp;F165</f>
        <v/>
      </c>
      <c r="H165" s="20" t="n">
        <v>58800</v>
      </c>
      <c r="I165" s="20" t="n">
        <v>0.0585</v>
      </c>
      <c r="J165" s="20" t="n">
        <v>5184</v>
      </c>
    </row>
    <row r="166" ht="16.5" customHeight="1" s="17">
      <c r="B166" s="20" t="inlineStr">
        <is>
          <t>카페24</t>
        </is>
      </c>
      <c r="C166" s="20" t="inlineStr">
        <is>
          <t>고체향수</t>
        </is>
      </c>
      <c r="D166" s="20" t="inlineStr">
        <is>
          <t>유즈 솔리드퍼퓸 - 30ml (스테이포에버 주문 시 12/15 순차배송)향=이그나이트 + 스테이포에버, 세트 선택=1 SET</t>
        </is>
      </c>
      <c r="E166" s="20" t="inlineStr">
        <is>
          <t>이그나이트 + 스테이포에버</t>
        </is>
      </c>
      <c r="F166" s="20" t="n">
        <v>210207</v>
      </c>
      <c r="G166" s="20">
        <f>B166&amp;C166&amp;D166&amp;F166</f>
        <v/>
      </c>
      <c r="H166" s="20" t="n">
        <v>69000</v>
      </c>
      <c r="I166" s="20" t="n">
        <v>0.0585</v>
      </c>
      <c r="J166" s="20" t="n">
        <v>5345</v>
      </c>
    </row>
    <row r="167" ht="16.5" customHeight="1" s="17">
      <c r="B167" s="20" t="inlineStr">
        <is>
          <t>카페24</t>
        </is>
      </c>
      <c r="C167" s="20" t="inlineStr">
        <is>
          <t>고체향수</t>
        </is>
      </c>
      <c r="D167" s="20" t="inlineStr">
        <is>
          <t>유즈 솔리드퍼퓸 - 30ml (스테이포에버 주문 시 12/15 순차배송)향=이그나이트 + 스테이포에버, 세트 선택=2 SET (42% off)</t>
        </is>
      </c>
      <c r="E167" s="20" t="inlineStr">
        <is>
          <t>스테이포에버 2set</t>
        </is>
      </c>
      <c r="F167" s="20" t="n">
        <v>210207</v>
      </c>
      <c r="G167" s="20">
        <f>B167&amp;C167&amp;D167&amp;F167</f>
        <v/>
      </c>
      <c r="H167" s="20" t="n">
        <v>58800</v>
      </c>
      <c r="I167" s="20" t="n">
        <v>0.0585</v>
      </c>
      <c r="J167" s="20" t="n">
        <v>5184</v>
      </c>
    </row>
    <row r="168" ht="16.5" customHeight="1" s="17">
      <c r="B168" s="20" t="inlineStr">
        <is>
          <t>카페24</t>
        </is>
      </c>
      <c r="C168" s="20" t="inlineStr">
        <is>
          <t>고체향수</t>
        </is>
      </c>
      <c r="D168" s="20" t="inlineStr">
        <is>
          <t>유즈 솔리드퍼퓸 - 30ml (스테이포에버 주문 시 12/15 순차배송)향=이그나이트, 세트 선택=1 개</t>
        </is>
      </c>
      <c r="E168" s="20" t="inlineStr">
        <is>
          <t>이그나이트</t>
        </is>
      </c>
      <c r="F168" s="20" t="n">
        <v>210207</v>
      </c>
      <c r="G168" s="20">
        <f>B168&amp;C168&amp;D168&amp;F168</f>
        <v/>
      </c>
      <c r="H168" s="20" t="n">
        <v>38000</v>
      </c>
      <c r="I168" s="20" t="n">
        <v>0.0585</v>
      </c>
      <c r="J168" s="20" t="n">
        <v>2753</v>
      </c>
    </row>
    <row r="169" ht="16.5" customHeight="1" s="17">
      <c r="B169" s="20" t="inlineStr">
        <is>
          <t>카페24</t>
        </is>
      </c>
      <c r="C169" s="20" t="inlineStr">
        <is>
          <t>고체향수</t>
        </is>
      </c>
      <c r="D169" s="20" t="inlineStr">
        <is>
          <t>유즈 솔리드퍼퓸 - 30ml (스테이포에버 주문 시 12/4 부터 순차배송)향=스테이포에버, 세트 선택=1 개</t>
        </is>
      </c>
      <c r="E169" s="20" t="inlineStr">
        <is>
          <t>스테이포에버</t>
        </is>
      </c>
      <c r="F169" s="20" t="n">
        <v>210207</v>
      </c>
      <c r="G169" s="20">
        <f>B169&amp;C169&amp;D169&amp;F169</f>
        <v/>
      </c>
      <c r="H169" s="20" t="n">
        <v>38000</v>
      </c>
      <c r="I169" s="20" t="n">
        <v>0.0585</v>
      </c>
      <c r="J169" s="20" t="n">
        <v>2592</v>
      </c>
    </row>
    <row r="170" ht="16.5" customHeight="1" s="17">
      <c r="B170" s="20" t="inlineStr">
        <is>
          <t>카페24</t>
        </is>
      </c>
      <c r="C170" s="20" t="inlineStr">
        <is>
          <t>고체향수</t>
        </is>
      </c>
      <c r="D170" s="20" t="inlineStr">
        <is>
          <t>유즈 솔리드퍼퓸 - 30ml (스테이포에버 주문 시 12/4 부터 순차배송)향=이그나이트 + 스테이포에버, 세트 선택=1 SET</t>
        </is>
      </c>
      <c r="E170" s="20" t="inlineStr">
        <is>
          <t>이그나이트 + 스테이포에버</t>
        </is>
      </c>
      <c r="F170" s="20" t="n">
        <v>210207</v>
      </c>
      <c r="G170" s="20">
        <f>B170&amp;C170&amp;D170&amp;F170</f>
        <v/>
      </c>
      <c r="H170" s="20" t="n">
        <v>69000</v>
      </c>
      <c r="I170" s="20" t="n">
        <v>0.0585</v>
      </c>
      <c r="J170" s="20" t="n">
        <v>5345</v>
      </c>
    </row>
    <row r="171" ht="16.5" customHeight="1" s="17">
      <c r="B171" s="20" t="inlineStr">
        <is>
          <t>카페24</t>
        </is>
      </c>
      <c r="C171" s="20" t="inlineStr">
        <is>
          <t>쇼핑백</t>
        </is>
      </c>
      <c r="D171" s="20" t="inlineStr">
        <is>
          <t>유즈 스테이포에버 솔리드퍼퓸 002 (12/14 부터 순차배송)쇼핑백=선물용 쇼핑백</t>
        </is>
      </c>
      <c r="E171" s="20" t="inlineStr">
        <is>
          <t>쇼핑백</t>
        </is>
      </c>
      <c r="F171" s="20" t="n">
        <v>210207</v>
      </c>
      <c r="G171" s="20">
        <f>B171&amp;C171&amp;D171&amp;F171</f>
        <v/>
      </c>
      <c r="H171" s="20" t="n">
        <v>2000</v>
      </c>
      <c r="I171" s="20" t="n">
        <v>0.0585</v>
      </c>
      <c r="J171" s="20" t="n">
        <v>830</v>
      </c>
    </row>
    <row r="172" ht="16.5" customHeight="1" s="17">
      <c r="B172" s="20" t="inlineStr">
        <is>
          <t>카페24</t>
        </is>
      </c>
      <c r="C172" s="20" t="inlineStr">
        <is>
          <t>고체향수</t>
        </is>
      </c>
      <c r="D172" s="20" t="inlineStr">
        <is>
          <t>유즈 스테이포에버 솔리드퍼퓸 002 (12/14 부터 순차배송)제품선택=스테이포에버 + 이그나이트 세트</t>
        </is>
      </c>
      <c r="E172" s="20" t="inlineStr">
        <is>
          <t>이그나이트 + 스테이포에버</t>
        </is>
      </c>
      <c r="F172" s="20" t="n">
        <v>210207</v>
      </c>
      <c r="G172" s="20">
        <f>B172&amp;C172&amp;D172&amp;F172</f>
        <v/>
      </c>
      <c r="H172" s="20" t="n">
        <v>69000</v>
      </c>
      <c r="I172" s="20" t="n">
        <v>0.0585</v>
      </c>
      <c r="J172" s="20" t="n">
        <v>5345</v>
      </c>
    </row>
    <row r="173" ht="16.5" customHeight="1" s="17">
      <c r="B173" s="20" t="inlineStr">
        <is>
          <t>카페24</t>
        </is>
      </c>
      <c r="C173" s="20" t="inlineStr">
        <is>
          <t>고체향수</t>
        </is>
      </c>
      <c r="D173" s="20" t="inlineStr">
        <is>
          <t>유즈 스테이포에버 솔리드퍼퓸 002 (12/14 부터 순차배송)제품선택=스테이포에버 2개 세트[Pre-order 이벤트 28% 할인]</t>
        </is>
      </c>
      <c r="E173" s="20" t="inlineStr">
        <is>
          <t>스테이포에버 2set</t>
        </is>
      </c>
      <c r="F173" s="20" t="n">
        <v>210207</v>
      </c>
      <c r="G173" s="20">
        <f>B173&amp;C173&amp;D173&amp;F173</f>
        <v/>
      </c>
      <c r="H173" s="20" t="n">
        <v>58800</v>
      </c>
      <c r="I173" s="20" t="n">
        <v>0.0585</v>
      </c>
      <c r="J173" s="20" t="n">
        <v>5184</v>
      </c>
    </row>
    <row r="174" ht="16.5" customHeight="1" s="17">
      <c r="B174" s="20" t="inlineStr">
        <is>
          <t>카페24</t>
        </is>
      </c>
      <c r="C174" s="20" t="inlineStr">
        <is>
          <t>고체향수</t>
        </is>
      </c>
      <c r="D174" s="20" t="inlineStr">
        <is>
          <t>유즈 스테이포에버 솔리드퍼퓸 002 (12/14 부터 순차배송)제품선택=스테이포에버 솔리드퍼퓸 002[Pre-order 이벤트 17% 할인]</t>
        </is>
      </c>
      <c r="E174" s="20" t="inlineStr">
        <is>
          <t>스테이포에버</t>
        </is>
      </c>
      <c r="F174" s="20" t="n">
        <v>210207</v>
      </c>
      <c r="G174" s="20">
        <f>B174&amp;C174&amp;D174&amp;F174</f>
        <v/>
      </c>
      <c r="H174" s="20" t="n">
        <v>38000</v>
      </c>
      <c r="I174" s="20" t="n">
        <v>0.0585</v>
      </c>
      <c r="J174" s="20" t="n">
        <v>2592</v>
      </c>
    </row>
    <row r="175" ht="16.5" customHeight="1" s="17">
      <c r="B175" s="20" t="inlineStr">
        <is>
          <t>카페24</t>
        </is>
      </c>
      <c r="C175" s="20" t="inlineStr">
        <is>
          <t>쇼핑백</t>
        </is>
      </c>
      <c r="D175" s="20" t="inlineStr">
        <is>
          <t>유즈 스테이포에버 솔리드퍼퓸 002 (12/14 순차배송)쇼핑백=선물용 쇼핑백</t>
        </is>
      </c>
      <c r="E175" s="20" t="inlineStr">
        <is>
          <t>쇼핑백</t>
        </is>
      </c>
      <c r="F175" s="20" t="n">
        <v>210207</v>
      </c>
      <c r="G175" s="20">
        <f>B175&amp;C175&amp;D175&amp;F175</f>
        <v/>
      </c>
      <c r="H175" s="20" t="n">
        <v>2000</v>
      </c>
      <c r="I175" s="20" t="n">
        <v>0.0585</v>
      </c>
      <c r="J175" s="20" t="n">
        <v>830</v>
      </c>
    </row>
    <row r="176" ht="16.5" customHeight="1" s="17">
      <c r="B176" s="20" t="inlineStr">
        <is>
          <t>카페24</t>
        </is>
      </c>
      <c r="C176" s="20" t="inlineStr">
        <is>
          <t>고체향수</t>
        </is>
      </c>
      <c r="D176" s="20" t="inlineStr">
        <is>
          <t>유즈 스테이포에버 솔리드퍼퓸 002 (12/14 순차배송)제품선택=스테이포에버 2개 세트[Pre-order 이벤트 28% 할인]</t>
        </is>
      </c>
      <c r="E176" s="20" t="inlineStr">
        <is>
          <t>스테이포에버 2set</t>
        </is>
      </c>
      <c r="F176" s="20" t="n">
        <v>210207</v>
      </c>
      <c r="G176" s="20">
        <f>B176&amp;C176&amp;D176&amp;F176</f>
        <v/>
      </c>
      <c r="H176" s="20" t="n">
        <v>58800</v>
      </c>
      <c r="I176" s="20" t="n">
        <v>0.0585</v>
      </c>
      <c r="J176" s="20" t="n">
        <v>5184</v>
      </c>
    </row>
    <row r="177" ht="16.5" customHeight="1" s="17">
      <c r="B177" s="20" t="inlineStr">
        <is>
          <t>카페24</t>
        </is>
      </c>
      <c r="C177" s="20" t="inlineStr">
        <is>
          <t>고체향수</t>
        </is>
      </c>
      <c r="D177" s="20" t="inlineStr">
        <is>
          <t>유즈 스테이포에버 솔리드퍼퓸 002 (12/14 순차배송)제품선택=스테이포에버 솔리드퍼퓸 002[Pre-order 이벤트 17% 할인]</t>
        </is>
      </c>
      <c r="E177" s="20" t="inlineStr">
        <is>
          <t>스테이포에버</t>
        </is>
      </c>
      <c r="F177" s="20" t="n">
        <v>210207</v>
      </c>
      <c r="G177" s="20">
        <f>B177&amp;C177&amp;D177&amp;F177</f>
        <v/>
      </c>
      <c r="H177" s="20" t="n">
        <v>38000</v>
      </c>
      <c r="I177" s="20" t="n">
        <v>0.0585</v>
      </c>
      <c r="J177" s="20" t="n">
        <v>2592</v>
      </c>
    </row>
    <row r="178" ht="16.5" customHeight="1" s="17">
      <c r="B178" s="20" t="inlineStr">
        <is>
          <t>카페24</t>
        </is>
      </c>
      <c r="C178" s="20" t="inlineStr">
        <is>
          <t>고체향수</t>
        </is>
      </c>
      <c r="D178" s="20" t="inlineStr">
        <is>
          <t>유즈 스테이포에버 솔리드퍼퓸 002 (12/14 입고 이후 순차배송)제품선택=스테이포에버 솔리드퍼퓸 002[Pre-order 이벤트 17% 할인]</t>
        </is>
      </c>
      <c r="E178" s="20" t="inlineStr">
        <is>
          <t>스테이포에버</t>
        </is>
      </c>
      <c r="F178" s="20" t="n">
        <v>210207</v>
      </c>
      <c r="G178" s="20">
        <f>B178&amp;C178&amp;D178&amp;F178</f>
        <v/>
      </c>
      <c r="H178" s="20" t="n">
        <v>38000</v>
      </c>
      <c r="I178" s="20" t="n">
        <v>0.0585</v>
      </c>
      <c r="J178" s="20" t="n">
        <v>2592</v>
      </c>
    </row>
    <row r="179" ht="16.5" customHeight="1" s="17">
      <c r="B179" s="20" t="inlineStr">
        <is>
          <t>카페24</t>
        </is>
      </c>
      <c r="C179" s="20" t="inlineStr">
        <is>
          <t>쇼핑백</t>
        </is>
      </c>
      <c r="D179" s="20" t="inlineStr">
        <is>
          <t>유즈 스테이포에버 솔리드퍼퓸 002 (12/4 부터 순차배송)쇼핑백=선물용 쇼핑백</t>
        </is>
      </c>
      <c r="E179" s="20" t="inlineStr">
        <is>
          <t>쇼핑백</t>
        </is>
      </c>
      <c r="F179" s="20" t="n">
        <v>210207</v>
      </c>
      <c r="G179" s="20">
        <f>B179&amp;C179&amp;D179&amp;F179</f>
        <v/>
      </c>
      <c r="H179" s="20" t="n">
        <v>2000</v>
      </c>
      <c r="I179" s="20" t="n">
        <v>0.0585</v>
      </c>
      <c r="J179" s="20" t="n">
        <v>830</v>
      </c>
    </row>
    <row r="180" ht="16.5" customHeight="1" s="17">
      <c r="B180" s="20" t="inlineStr">
        <is>
          <t>카페24</t>
        </is>
      </c>
      <c r="C180" s="20" t="inlineStr">
        <is>
          <t>고체향수</t>
        </is>
      </c>
      <c r="D180" s="20" t="inlineStr">
        <is>
          <t>유즈 스테이포에버 솔리드퍼퓸 002 (12/4 부터 순차배송)제품선택=스테이포에버 + 이그나이트 세트</t>
        </is>
      </c>
      <c r="E180" s="20" t="inlineStr">
        <is>
          <t>이그나이트 + 스테이포에버</t>
        </is>
      </c>
      <c r="F180" s="20" t="n">
        <v>210207</v>
      </c>
      <c r="G180" s="20">
        <f>B180&amp;C180&amp;D180&amp;F180</f>
        <v/>
      </c>
      <c r="H180" s="20" t="n">
        <v>69000</v>
      </c>
      <c r="I180" s="20" t="n">
        <v>0.0585</v>
      </c>
      <c r="J180" s="20" t="n">
        <v>5345</v>
      </c>
    </row>
    <row r="181" ht="16.5" customHeight="1" s="17">
      <c r="B181" s="20" t="inlineStr">
        <is>
          <t>카페24</t>
        </is>
      </c>
      <c r="C181" s="20" t="inlineStr">
        <is>
          <t>고체향수</t>
        </is>
      </c>
      <c r="D181" s="20" t="inlineStr">
        <is>
          <t>유즈 스테이포에버 솔리드퍼퓸 002 (12/4 부터 순차배송)제품선택=스테이포에버 2개 세트[Pre-order 이벤트 28% 할인]</t>
        </is>
      </c>
      <c r="E181" s="20" t="inlineStr">
        <is>
          <t>스테이포에버 2set</t>
        </is>
      </c>
      <c r="F181" s="20" t="n">
        <v>210207</v>
      </c>
      <c r="G181" s="20">
        <f>B181&amp;C181&amp;D181&amp;F181</f>
        <v/>
      </c>
      <c r="H181" s="20" t="n">
        <v>58800</v>
      </c>
      <c r="I181" s="20" t="n">
        <v>0.0585</v>
      </c>
      <c r="J181" s="20" t="n">
        <v>5184</v>
      </c>
    </row>
    <row r="182" ht="16.5" customHeight="1" s="17">
      <c r="B182" s="20" t="inlineStr">
        <is>
          <t>카페24</t>
        </is>
      </c>
      <c r="C182" s="20" t="inlineStr">
        <is>
          <t>고체향수</t>
        </is>
      </c>
      <c r="D182" s="20" t="inlineStr">
        <is>
          <t>유즈 스테이포에버 솔리드퍼퓸 002 (12/4 부터 순차배송)제품선택=스테이포에버 솔리드퍼퓸 002[Pre-order 이벤트 17% 할인]</t>
        </is>
      </c>
      <c r="E182" s="20" t="inlineStr">
        <is>
          <t>스테이포에버</t>
        </is>
      </c>
      <c r="F182" s="20" t="n">
        <v>210207</v>
      </c>
      <c r="G182" s="20">
        <f>B182&amp;C182&amp;D182&amp;F182</f>
        <v/>
      </c>
      <c r="H182" s="20" t="n">
        <v>38000</v>
      </c>
      <c r="I182" s="20" t="n">
        <v>0.0585</v>
      </c>
      <c r="J182" s="20" t="n">
        <v>2592</v>
      </c>
    </row>
    <row r="183" ht="16.5" customHeight="1" s="17">
      <c r="B183" s="20" t="inlineStr">
        <is>
          <t>카페24</t>
        </is>
      </c>
      <c r="C183" s="20" t="inlineStr">
        <is>
          <t>쇼핑백</t>
        </is>
      </c>
      <c r="D183" s="20" t="inlineStr">
        <is>
          <t>유즈 스테이포에버 솔리드퍼퓸 002 (스테이포에버 주문시 12/14 순차배송)쇼핑백=선물용 쇼핑백</t>
        </is>
      </c>
      <c r="E183" s="20" t="inlineStr">
        <is>
          <t>쇼핑백</t>
        </is>
      </c>
      <c r="F183" s="20" t="n">
        <v>210207</v>
      </c>
      <c r="G183" s="20">
        <f>B183&amp;C183&amp;D183&amp;F183</f>
        <v/>
      </c>
      <c r="H183" s="20" t="n">
        <v>2000</v>
      </c>
      <c r="I183" s="20" t="n">
        <v>0.0585</v>
      </c>
      <c r="J183" s="20" t="n">
        <v>830</v>
      </c>
    </row>
    <row r="184" ht="16.5" customHeight="1" s="17">
      <c r="B184" s="20" t="inlineStr">
        <is>
          <t>카페24</t>
        </is>
      </c>
      <c r="C184" s="20" t="inlineStr">
        <is>
          <t>고체향수</t>
        </is>
      </c>
      <c r="D184" s="20" t="inlineStr">
        <is>
          <t>유즈 스테이포에버 솔리드퍼퓸 002 (스테이포에버 주문시 12/14 순차배송)제품선택=스테이포에버 + 이그나이트 세트</t>
        </is>
      </c>
      <c r="E184" s="20" t="inlineStr">
        <is>
          <t>이그나이트 + 스테이포에버</t>
        </is>
      </c>
      <c r="F184" s="20" t="n">
        <v>210207</v>
      </c>
      <c r="G184" s="20">
        <f>B184&amp;C184&amp;D184&amp;F184</f>
        <v/>
      </c>
      <c r="H184" s="20" t="n">
        <v>69000</v>
      </c>
      <c r="I184" s="20" t="n">
        <v>0.0585</v>
      </c>
      <c r="J184" s="20" t="n">
        <v>5345</v>
      </c>
    </row>
    <row r="185" ht="16.5" customHeight="1" s="17">
      <c r="B185" s="20" t="inlineStr">
        <is>
          <t>카페24</t>
        </is>
      </c>
      <c r="C185" s="20" t="inlineStr">
        <is>
          <t>고체향수</t>
        </is>
      </c>
      <c r="D185" s="20" t="inlineStr">
        <is>
          <t>유즈 스테이포에버 솔리드퍼퓸 002 (스테이포에버 주문시 12/14 순차배송)제품선택=스테이포에버 2개 세트[Pre-order 이벤트 28% 할인]</t>
        </is>
      </c>
      <c r="E185" s="20" t="inlineStr">
        <is>
          <t>스테이포에버 2set</t>
        </is>
      </c>
      <c r="F185" s="20" t="n">
        <v>210207</v>
      </c>
      <c r="G185" s="20">
        <f>B185&amp;C185&amp;D185&amp;F185</f>
        <v/>
      </c>
      <c r="H185" s="20" t="n">
        <v>58800</v>
      </c>
      <c r="I185" s="20" t="n">
        <v>0.0585</v>
      </c>
      <c r="J185" s="20" t="n">
        <v>5184</v>
      </c>
    </row>
    <row r="186" ht="16.5" customHeight="1" s="17">
      <c r="B186" s="20" t="inlineStr">
        <is>
          <t>카페24</t>
        </is>
      </c>
      <c r="C186" s="20" t="inlineStr">
        <is>
          <t>고체향수</t>
        </is>
      </c>
      <c r="D186" s="20" t="inlineStr">
        <is>
          <t>유즈 스테이포에버 솔리드퍼퓸 002 (스테이포에버 주문시 12/14 순차배송)제품선택=스테이포에버 솔리드퍼퓸 002[Pre-order 이벤트 17% 할인]</t>
        </is>
      </c>
      <c r="E186" s="20" t="inlineStr">
        <is>
          <t>스테이포에버</t>
        </is>
      </c>
      <c r="F186" s="20" t="n">
        <v>210207</v>
      </c>
      <c r="G186" s="20">
        <f>B186&amp;C186&amp;D186&amp;F186</f>
        <v/>
      </c>
      <c r="H186" s="20" t="n">
        <v>38000</v>
      </c>
      <c r="I186" s="20" t="n">
        <v>0.0585</v>
      </c>
      <c r="J186" s="20" t="n">
        <v>2592</v>
      </c>
    </row>
    <row r="187" ht="16.5" customHeight="1" s="17">
      <c r="B187" s="20" t="inlineStr">
        <is>
          <t>카페24</t>
        </is>
      </c>
      <c r="C187" s="20" t="inlineStr">
        <is>
          <t>쇼핑백</t>
        </is>
      </c>
      <c r="D187" s="20" t="inlineStr">
        <is>
          <t>유즈 스테이포에버 솔리드퍼퓸 002 (스테이포에버 주문시 12/15 순차배송)쇼핑백=선물용 쇼핑백</t>
        </is>
      </c>
      <c r="E187" s="20" t="inlineStr">
        <is>
          <t>쇼핑백</t>
        </is>
      </c>
      <c r="F187" s="20" t="n">
        <v>210207</v>
      </c>
      <c r="G187" s="20">
        <f>B187&amp;C187&amp;D187&amp;F187</f>
        <v/>
      </c>
      <c r="H187" s="20" t="n">
        <v>2000</v>
      </c>
      <c r="I187" s="20" t="n">
        <v>0.0585</v>
      </c>
      <c r="J187" s="20" t="n">
        <v>830</v>
      </c>
    </row>
    <row r="188" ht="16.5" customHeight="1" s="17">
      <c r="B188" s="20" t="inlineStr">
        <is>
          <t>카페24</t>
        </is>
      </c>
      <c r="C188" s="20" t="inlineStr">
        <is>
          <t>고체향수</t>
        </is>
      </c>
      <c r="D188" s="20" t="inlineStr">
        <is>
          <t>유즈 스테이포에버 솔리드퍼퓸 002 (스테이포에버 주문시 12/15 순차배송)제품선택=스테이포에버 + 이그나이트 세트</t>
        </is>
      </c>
      <c r="E188" s="20" t="inlineStr">
        <is>
          <t>이그나이트 + 스테이포에버</t>
        </is>
      </c>
      <c r="F188" s="20" t="n">
        <v>210207</v>
      </c>
      <c r="G188" s="20">
        <f>B188&amp;C188&amp;D188&amp;F188</f>
        <v/>
      </c>
      <c r="H188" s="20" t="n">
        <v>69000</v>
      </c>
      <c r="I188" s="20" t="n">
        <v>0.0585</v>
      </c>
      <c r="J188" s="20" t="n">
        <v>5345</v>
      </c>
    </row>
    <row r="189" ht="16.5" customHeight="1" s="17">
      <c r="B189" s="20" t="inlineStr">
        <is>
          <t>카페24</t>
        </is>
      </c>
      <c r="C189" s="20" t="inlineStr">
        <is>
          <t>고체향수</t>
        </is>
      </c>
      <c r="D189" s="20" t="inlineStr">
        <is>
          <t>유즈 스테이포에버 솔리드퍼퓸 002 (스테이포에버 주문시 12/15 순차배송)제품선택=스테이포에버 2개 세트[Pre-order 이벤트 28% 할인]</t>
        </is>
      </c>
      <c r="E189" s="20" t="inlineStr">
        <is>
          <t>스테이포에버 2set</t>
        </is>
      </c>
      <c r="F189" s="20" t="n">
        <v>210207</v>
      </c>
      <c r="G189" s="20">
        <f>B189&amp;C189&amp;D189&amp;F189</f>
        <v/>
      </c>
      <c r="H189" s="20" t="n">
        <v>58800</v>
      </c>
      <c r="I189" s="20" t="n">
        <v>0.0585</v>
      </c>
      <c r="J189" s="20" t="n">
        <v>5184</v>
      </c>
    </row>
    <row r="190" ht="16.5" customHeight="1" s="17">
      <c r="B190" s="20" t="inlineStr">
        <is>
          <t>카페24</t>
        </is>
      </c>
      <c r="C190" s="20" t="inlineStr">
        <is>
          <t>고체향수</t>
        </is>
      </c>
      <c r="D190" s="20" t="inlineStr">
        <is>
          <t>유즈 스테이포에버 솔리드퍼퓸 002 (스테이포에버 주문시 12/15 순차배송)제품선택=스테이포에버 솔리드퍼퓸 002[Pre-order 이벤트 17% 할인]</t>
        </is>
      </c>
      <c r="E190" s="20" t="inlineStr">
        <is>
          <t>스테이포에버</t>
        </is>
      </c>
      <c r="F190" s="20" t="n">
        <v>210207</v>
      </c>
      <c r="G190" s="20">
        <f>B190&amp;C190&amp;D190&amp;F190</f>
        <v/>
      </c>
      <c r="H190" s="20" t="n">
        <v>38000</v>
      </c>
      <c r="I190" s="20" t="n">
        <v>0.0585</v>
      </c>
      <c r="J190" s="20" t="n">
        <v>2592</v>
      </c>
    </row>
    <row r="191" ht="16.5" customHeight="1" s="17">
      <c r="B191" s="20" t="inlineStr">
        <is>
          <t>카페24</t>
        </is>
      </c>
      <c r="C191" s="20" t="inlineStr">
        <is>
          <t>고체향수</t>
        </is>
      </c>
      <c r="D191" s="20" t="inlineStr">
        <is>
          <t>유즈 스테이포에버 솔리드퍼퓸 002제품선택=스테이포에버 솔리드퍼퓸</t>
        </is>
      </c>
      <c r="E191" s="20" t="inlineStr">
        <is>
          <t>스테이포에버</t>
        </is>
      </c>
      <c r="F191" s="20" t="n">
        <v>210207</v>
      </c>
      <c r="G191" s="20">
        <f>B191&amp;C191&amp;D191&amp;F191</f>
        <v/>
      </c>
      <c r="H191" s="20" t="n">
        <v>38000</v>
      </c>
      <c r="I191" s="20" t="n">
        <v>0.0585</v>
      </c>
      <c r="J191" s="20" t="n">
        <v>2592</v>
      </c>
    </row>
    <row r="192" ht="16.5" customHeight="1" s="17">
      <c r="B192" s="20" t="inlineStr">
        <is>
          <t>카페24</t>
        </is>
      </c>
      <c r="C192" s="20" t="inlineStr">
        <is>
          <t>고체향수</t>
        </is>
      </c>
      <c r="D192" s="20" t="inlineStr">
        <is>
          <t>유즈 이그나이트 솔리드퍼퓸 001제품선택=이그나이트 2개 세트</t>
        </is>
      </c>
      <c r="E192" s="20" t="inlineStr">
        <is>
          <t>이그나이트 2set</t>
        </is>
      </c>
      <c r="F192" s="20" t="n">
        <v>210207</v>
      </c>
      <c r="G192" s="20">
        <f>B192&amp;C192&amp;D192&amp;F192</f>
        <v/>
      </c>
      <c r="H192" s="20" t="n">
        <v>58800</v>
      </c>
      <c r="I192" s="20" t="n">
        <v>0.0585</v>
      </c>
      <c r="J192" s="20" t="n">
        <v>5506</v>
      </c>
    </row>
    <row r="193" ht="16.5" customHeight="1" s="17">
      <c r="B193" s="20" t="inlineStr">
        <is>
          <t>카페24</t>
        </is>
      </c>
      <c r="C193" s="20" t="inlineStr">
        <is>
          <t>고체향수</t>
        </is>
      </c>
      <c r="D193" s="20" t="inlineStr">
        <is>
          <t>유즈 이그나이트 솔리드퍼퓸 001제품선택=이그나이트 솔리드퍼퓸 - 30ml</t>
        </is>
      </c>
      <c r="E193" s="20" t="inlineStr">
        <is>
          <t>이그나이트</t>
        </is>
      </c>
      <c r="F193" s="20" t="n">
        <v>210207</v>
      </c>
      <c r="G193" s="20">
        <f>B193&amp;C193&amp;D193&amp;F193</f>
        <v/>
      </c>
      <c r="H193" s="20" t="n">
        <v>38000</v>
      </c>
      <c r="I193" s="20" t="n">
        <v>0.0585</v>
      </c>
      <c r="J193" s="20" t="n">
        <v>2753</v>
      </c>
    </row>
    <row r="194" ht="16.5" customHeight="1" s="17">
      <c r="B194" s="20" t="inlineStr">
        <is>
          <t>유즈 CS</t>
        </is>
      </c>
      <c r="C194" s="20" t="inlineStr">
        <is>
          <t>고체향수</t>
        </is>
      </c>
      <c r="D194" s="20" t="inlineStr">
        <is>
          <t>솔리드퍼퓸 스테이포에버 002 30ml</t>
        </is>
      </c>
      <c r="E194" s="20" t="inlineStr">
        <is>
          <t>스테이포에버</t>
        </is>
      </c>
      <c r="F194" s="20" t="n">
        <v>210207</v>
      </c>
      <c r="G194" s="20">
        <f>B194&amp;C194&amp;D194&amp;F194</f>
        <v/>
      </c>
      <c r="H194" s="20" t="n">
        <v>0</v>
      </c>
      <c r="I194" s="20" t="n">
        <v>0</v>
      </c>
      <c r="J194" s="20" t="n">
        <v>2592</v>
      </c>
    </row>
    <row r="195" ht="16.5" customHeight="1" s="17">
      <c r="B195" s="20" t="inlineStr">
        <is>
          <t>유즈 CS</t>
        </is>
      </c>
      <c r="C195" s="20" t="inlineStr">
        <is>
          <t>고체향수</t>
        </is>
      </c>
      <c r="D195" s="20" t="inlineStr">
        <is>
          <t>솔리드퍼퓸 이그나이트 001 30ml</t>
        </is>
      </c>
      <c r="E195" s="20" t="inlineStr">
        <is>
          <t>이그나이트</t>
        </is>
      </c>
      <c r="F195" s="20" t="n">
        <v>210207</v>
      </c>
      <c r="G195" s="20">
        <f>B195&amp;C195&amp;D195&amp;F195</f>
        <v/>
      </c>
      <c r="H195" s="20" t="n">
        <v>0</v>
      </c>
      <c r="I195" s="20" t="n">
        <v>0</v>
      </c>
      <c r="J195" s="20" t="n">
        <v>2753</v>
      </c>
    </row>
    <row r="196" ht="16.5" customHeight="1" s="17">
      <c r="B196" s="20" t="inlineStr">
        <is>
          <t>카페24</t>
        </is>
      </c>
      <c r="C196" s="20" t="inlineStr">
        <is>
          <t>고체향수</t>
        </is>
      </c>
      <c r="D196" s="20" t="inlineStr">
        <is>
          <t>유즈 솔리드퍼퓸 - 30ml (스테이포에버 주문 시 12/15 순차배송)향=커플세트(이그나이트 + 스테이포에버), 세트 선택=1 SET</t>
        </is>
      </c>
      <c r="E196" s="20" t="inlineStr">
        <is>
          <t>이그나이트 + 스테이포에버</t>
        </is>
      </c>
      <c r="F196" s="20" t="n">
        <v>210207</v>
      </c>
      <c r="G196" s="20">
        <f>B196&amp;C196&amp;D196&amp;F196</f>
        <v/>
      </c>
      <c r="H196" s="20" t="n">
        <v>69000</v>
      </c>
      <c r="I196" s="20" t="n">
        <v>0.0585</v>
      </c>
      <c r="J196" s="20" t="n">
        <v>5345</v>
      </c>
    </row>
    <row r="197" ht="16.5" customHeight="1" s="17">
      <c r="B197" s="20" t="inlineStr">
        <is>
          <t>카페24</t>
        </is>
      </c>
      <c r="C197" s="20" t="inlineStr">
        <is>
          <t>고체향수</t>
        </is>
      </c>
      <c r="D197" s="20" t="inlineStr">
        <is>
          <t>유즈 스테이포에버 솔리드퍼퓸 002 (스테이포에버 주문시 12/15 순차배송)제품선택=스테이포에버 [17% 할인]</t>
        </is>
      </c>
      <c r="E197" s="20" t="inlineStr">
        <is>
          <t>스테이포에버</t>
        </is>
      </c>
      <c r="F197" s="20" t="n">
        <v>210207</v>
      </c>
      <c r="G197" s="20">
        <f>B197&amp;C197&amp;D197&amp;F197</f>
        <v/>
      </c>
      <c r="H197" s="20" t="n">
        <v>38000</v>
      </c>
      <c r="I197" s="20" t="n">
        <v>0.0585</v>
      </c>
      <c r="J197" s="20" t="n">
        <v>2592</v>
      </c>
    </row>
    <row r="198" ht="16.5" customHeight="1" s="17">
      <c r="B198" s="20" t="inlineStr">
        <is>
          <t>카페24</t>
        </is>
      </c>
      <c r="C198" s="20" t="inlineStr">
        <is>
          <t>고체향수</t>
        </is>
      </c>
      <c r="D198" s="20" t="inlineStr">
        <is>
          <t>유즈 스테이포에버 솔리드퍼퓸 002 (스테이포에버 주문시 12/15 순차배송)제품선택=best</t>
        </is>
      </c>
      <c r="E198" s="20" t="inlineStr">
        <is>
          <t>스테이포에버 2set</t>
        </is>
      </c>
      <c r="F198" s="20" t="n">
        <v>210207</v>
      </c>
      <c r="G198" s="20">
        <f>B198&amp;C198&amp;D198&amp;F198</f>
        <v/>
      </c>
      <c r="H198" s="20" t="n">
        <v>58800</v>
      </c>
      <c r="I198" s="20" t="n">
        <v>0.0585</v>
      </c>
      <c r="J198" s="20" t="n">
        <v>5184</v>
      </c>
    </row>
    <row r="199" ht="16.5" customHeight="1" s="17">
      <c r="B199" s="20" t="inlineStr">
        <is>
          <t>카페24</t>
        </is>
      </c>
      <c r="C199" s="20" t="inlineStr">
        <is>
          <t>고체향수</t>
        </is>
      </c>
      <c r="D199" s="20" t="inlineStr">
        <is>
          <t>유즈 스테이포에버 솔리드퍼퓸 002 (스테이포에버 주문시 12/15 순차배송)제품선택=best스테이포에버 2개[28% 할인]</t>
        </is>
      </c>
      <c r="E199" s="20" t="inlineStr">
        <is>
          <t>스테이포에버 2set</t>
        </is>
      </c>
      <c r="F199" s="20" t="n">
        <v>210207</v>
      </c>
      <c r="G199" s="20">
        <f>B199&amp;C199&amp;D199&amp;F199</f>
        <v/>
      </c>
      <c r="H199" s="20" t="n">
        <v>58800</v>
      </c>
      <c r="I199" s="20" t="n">
        <v>0.0585</v>
      </c>
      <c r="J199" s="20" t="n">
        <v>5184</v>
      </c>
    </row>
    <row r="200" ht="16.5" customHeight="1" s="17">
      <c r="B200" s="20" t="inlineStr">
        <is>
          <t>카페24</t>
        </is>
      </c>
      <c r="C200" s="20" t="inlineStr">
        <is>
          <t>고체향수</t>
        </is>
      </c>
      <c r="D200" s="20" t="inlineStr">
        <is>
          <t>솔리드퍼퓸 스테이포에버 002 30ml</t>
        </is>
      </c>
      <c r="E200" s="20" t="inlineStr">
        <is>
          <t>스테이포에버</t>
        </is>
      </c>
      <c r="F200" s="20" t="n">
        <v>210207</v>
      </c>
      <c r="G200" s="20">
        <f>B200&amp;C200&amp;D200&amp;F200</f>
        <v/>
      </c>
      <c r="H200" s="20" t="n">
        <v>38000</v>
      </c>
      <c r="I200" s="20" t="n">
        <v>0.0585</v>
      </c>
      <c r="J200" s="20" t="n">
        <v>2592</v>
      </c>
    </row>
    <row r="201" ht="16.5" customHeight="1" s="17">
      <c r="B201" s="20" t="inlineStr">
        <is>
          <t>카페24</t>
        </is>
      </c>
      <c r="C201" s="20" t="inlineStr">
        <is>
          <t>고체향수</t>
        </is>
      </c>
      <c r="D201" s="20" t="inlineStr">
        <is>
          <t>유즈 솔리드퍼퓸 - 30ml (스테이포에버 주문 시 12/15 순차배송)향=스테이포에버 002 SOLID PERFUME, 세트 선택=1</t>
        </is>
      </c>
      <c r="E201" s="20" t="inlineStr">
        <is>
          <t>스테이포에버</t>
        </is>
      </c>
      <c r="F201" s="20" t="n">
        <v>210207</v>
      </c>
      <c r="G201" s="20">
        <f>B201&amp;C201&amp;D201&amp;F201</f>
        <v/>
      </c>
      <c r="H201" s="20" t="n">
        <v>38000</v>
      </c>
      <c r="I201" s="20" t="n">
        <v>0.0585</v>
      </c>
      <c r="J201" s="20" t="n">
        <v>2592</v>
      </c>
    </row>
    <row r="202" ht="16.5" customHeight="1" s="17">
      <c r="B202" s="20" t="inlineStr">
        <is>
          <t>카페24</t>
        </is>
      </c>
      <c r="C202" s="20" t="inlineStr">
        <is>
          <t>고체향수</t>
        </is>
      </c>
      <c r="D202" s="20" t="inlineStr">
        <is>
          <t>유즈 솔리드퍼퓸 - 30ml (스테이포에버 주문 시 12/15 순차배송)향=스테이포에버 002 SOLID PERFUME, 세트 선택=1 개(17% 할인)</t>
        </is>
      </c>
      <c r="E202" s="20" t="inlineStr">
        <is>
          <t>스테이포에버</t>
        </is>
      </c>
      <c r="F202" s="20" t="n">
        <v>210207</v>
      </c>
      <c r="G202" s="20">
        <f>B202&amp;C202&amp;D202&amp;F202</f>
        <v/>
      </c>
      <c r="H202" s="20" t="n">
        <v>38000</v>
      </c>
      <c r="I202" s="20" t="n">
        <v>0.0585</v>
      </c>
      <c r="J202" s="20" t="n">
        <v>2592</v>
      </c>
    </row>
    <row r="203" ht="16.5" customHeight="1" s="17">
      <c r="B203" s="20" t="inlineStr">
        <is>
          <t>카페24</t>
        </is>
      </c>
      <c r="C203" s="20" t="inlineStr">
        <is>
          <t>고체향수</t>
        </is>
      </c>
      <c r="D203" s="20" t="inlineStr">
        <is>
          <t>유즈 솔리드퍼퓸 - 30ml (스테이포에버 주문 시 12/15 순차배송)향=스테이포에버 002 SOLID PERFUME, 세트 선택=best</t>
        </is>
      </c>
      <c r="E203" s="20" t="inlineStr">
        <is>
          <t>스테이포에버</t>
        </is>
      </c>
      <c r="F203" s="20" t="n">
        <v>210207</v>
      </c>
      <c r="G203" s="20">
        <f>B203&amp;C203&amp;D203&amp;F203</f>
        <v/>
      </c>
      <c r="H203" s="20" t="n">
        <v>38000</v>
      </c>
      <c r="I203" s="20" t="n">
        <v>0.0585</v>
      </c>
      <c r="J203" s="20" t="n">
        <v>2592</v>
      </c>
    </row>
    <row r="204" ht="16.5" customHeight="1" s="17">
      <c r="B204" s="20" t="inlineStr">
        <is>
          <t>카페24</t>
        </is>
      </c>
      <c r="C204" s="20" t="inlineStr">
        <is>
          <t>고체향수</t>
        </is>
      </c>
      <c r="D204" s="20" t="inlineStr">
        <is>
          <t>유즈 솔리드퍼퓸 - 30ml (스테이포에버 주문 시 12/15 순차배송)향=스테이포에버 002 SOLID PERFUME, 세트 선택=best(28% 할인)2개</t>
        </is>
      </c>
      <c r="E204" s="20" t="inlineStr">
        <is>
          <t>스테이포에버 2set</t>
        </is>
      </c>
      <c r="F204" s="20" t="n">
        <v>210207</v>
      </c>
      <c r="G204" s="20">
        <f>B204&amp;C204&amp;D204&amp;F204</f>
        <v/>
      </c>
      <c r="H204" s="20" t="n">
        <v>58800</v>
      </c>
      <c r="I204" s="20" t="n">
        <v>0.0585</v>
      </c>
      <c r="J204" s="20" t="n">
        <v>5184</v>
      </c>
    </row>
    <row r="205" ht="16.5" customHeight="1" s="17">
      <c r="B205" s="20" t="inlineStr">
        <is>
          <t>카페24</t>
        </is>
      </c>
      <c r="C205" s="20" t="inlineStr">
        <is>
          <t>고체향수</t>
        </is>
      </c>
      <c r="D205" s="20" t="inlineStr">
        <is>
          <t>유즈 솔리드퍼퓸 - 30ml (스테이포에버 주문 시 12/15 순차배송)향=커플세트</t>
        </is>
      </c>
      <c r="E205" s="20" t="inlineStr">
        <is>
          <t>이그나이트 + 스테이포에버</t>
        </is>
      </c>
      <c r="F205" s="20" t="n">
        <v>210207</v>
      </c>
      <c r="G205" s="20">
        <f>B205&amp;C205&amp;D205&amp;F205</f>
        <v/>
      </c>
      <c r="H205" s="20" t="n">
        <v>69000</v>
      </c>
      <c r="I205" s="20" t="n">
        <v>0.0585</v>
      </c>
      <c r="J205" s="20" t="n">
        <v>5345</v>
      </c>
    </row>
    <row r="206" ht="16.5" customHeight="1" s="17">
      <c r="B206" s="20" t="inlineStr">
        <is>
          <t>카페24</t>
        </is>
      </c>
      <c r="C206" s="20" t="inlineStr">
        <is>
          <t>고체향수</t>
        </is>
      </c>
      <c r="D206" s="20" t="inlineStr">
        <is>
          <t>유즈 스테이포에버 솔리드퍼퓸 002 (스테이포에버 주문시 12/15 순차배송)제품선택=스테이포에버 1개</t>
        </is>
      </c>
      <c r="E206" s="20" t="inlineStr">
        <is>
          <t>스테이포에버</t>
        </is>
      </c>
      <c r="F206" s="20" t="n">
        <v>210207</v>
      </c>
      <c r="G206" s="20">
        <f>B206&amp;C206&amp;D206&amp;F206</f>
        <v/>
      </c>
      <c r="H206" s="20" t="n">
        <v>38000</v>
      </c>
      <c r="I206" s="20" t="n">
        <v>0.0585</v>
      </c>
      <c r="J206" s="20" t="n">
        <v>2592</v>
      </c>
    </row>
    <row r="207" ht="16.5" customHeight="1" s="17">
      <c r="B207" s="20" t="inlineStr">
        <is>
          <t>카페24</t>
        </is>
      </c>
      <c r="C207" s="20" t="inlineStr">
        <is>
          <t>고체향수</t>
        </is>
      </c>
      <c r="D207" s="20" t="inlineStr">
        <is>
          <t>유즈 스테이포에버 솔리드퍼퓸 002 (스테이포에버 주문시 12/15 순차배송)제품선택=스테이포에버 1개 [17% 할인]</t>
        </is>
      </c>
      <c r="E207" s="20" t="inlineStr">
        <is>
          <t>스테이포에버</t>
        </is>
      </c>
      <c r="F207" s="20" t="n">
        <v>210207</v>
      </c>
      <c r="G207" s="20">
        <f>B207&amp;C207&amp;D207&amp;F207</f>
        <v/>
      </c>
      <c r="H207" s="20" t="n">
        <v>38000</v>
      </c>
      <c r="I207" s="20" t="n">
        <v>0.0585</v>
      </c>
      <c r="J207" s="20" t="n">
        <v>2592</v>
      </c>
    </row>
    <row r="208" ht="16.5" customHeight="1" s="17">
      <c r="B208" s="20" t="inlineStr">
        <is>
          <t>카페24</t>
        </is>
      </c>
      <c r="C208" s="20" t="inlineStr">
        <is>
          <t>고체향수</t>
        </is>
      </c>
      <c r="D208" s="20" t="inlineStr">
        <is>
          <t>유즈 스테이포에버 솔리드퍼퓸 002 (스테이포에버 주문시 12/15 순차배송)제품선택=커플추천</t>
        </is>
      </c>
      <c r="E208" s="20" t="inlineStr">
        <is>
          <t>이그나이트 + 스테이포에버</t>
        </is>
      </c>
      <c r="F208" s="20" t="n">
        <v>210207</v>
      </c>
      <c r="G208" s="20">
        <f>B208&amp;C208&amp;D208&amp;F208</f>
        <v/>
      </c>
      <c r="H208" s="20" t="n">
        <v>69000</v>
      </c>
      <c r="I208" s="20" t="n">
        <v>0.0585</v>
      </c>
      <c r="J208" s="20" t="n">
        <v>5345</v>
      </c>
    </row>
    <row r="209" ht="16.5" customHeight="1" s="17">
      <c r="B209" s="20" t="inlineStr">
        <is>
          <t>카페24</t>
        </is>
      </c>
      <c r="C209" s="20" t="inlineStr">
        <is>
          <t>고체향수</t>
        </is>
      </c>
      <c r="D209" s="20" t="inlineStr">
        <is>
          <t>유즈 솔리드퍼퓸 - 30ml (스테이포에버 주문 시 12/15 순차배송)향=이그나이트 001 SOLID PERFUME, 세트 선택=1</t>
        </is>
      </c>
      <c r="E209" s="20" t="inlineStr">
        <is>
          <t>이그나이트</t>
        </is>
      </c>
      <c r="F209" s="20" t="n">
        <v>210207</v>
      </c>
      <c r="G209" s="20">
        <f>B209&amp;C209&amp;D209&amp;F209</f>
        <v/>
      </c>
      <c r="H209" s="20" t="n">
        <v>38000</v>
      </c>
      <c r="I209" s="20" t="n">
        <v>0.0585</v>
      </c>
      <c r="J209" s="20" t="n">
        <v>2753</v>
      </c>
    </row>
    <row r="210" ht="16.5" customHeight="1" s="17">
      <c r="B210" s="20" t="inlineStr">
        <is>
          <t>카페24</t>
        </is>
      </c>
      <c r="C210" s="20" t="inlineStr">
        <is>
          <t>고체향수</t>
        </is>
      </c>
      <c r="D210" s="20" t="inlineStr">
        <is>
          <t>유즈 솔리드퍼퓸 - 30ml (스테이포에버 주문 시 12/15 순차배송)향=커플세트(이그나이트 + 스테이포에버), 세트 선택=2 SET (42% 할인)</t>
        </is>
      </c>
      <c r="E210" s="20" t="inlineStr">
        <is>
          <t>이그나이트 + 스테이포에버</t>
        </is>
      </c>
      <c r="F210" s="20" t="n">
        <v>210207</v>
      </c>
      <c r="G210" s="20">
        <f>B210&amp;C210&amp;D210&amp;F210</f>
        <v/>
      </c>
      <c r="H210" s="20" t="n">
        <v>69000</v>
      </c>
      <c r="I210" s="20" t="n">
        <v>0.0585</v>
      </c>
      <c r="J210" s="20" t="n">
        <v>5345</v>
      </c>
    </row>
    <row r="211" ht="16.5" customHeight="1" s="17">
      <c r="B211" s="20" t="inlineStr">
        <is>
          <t>카페24</t>
        </is>
      </c>
      <c r="C211" s="20" t="inlineStr">
        <is>
          <t>고체향수</t>
        </is>
      </c>
      <c r="D211" s="20" t="inlineStr">
        <is>
          <t>유즈 스테이포에버 솔리드퍼퓸 002 (스테이포에버 주문시 12/15 순차배송)제품선택=커플추천스테이포에버 + 이그나이트 세트</t>
        </is>
      </c>
      <c r="E211" s="20" t="inlineStr">
        <is>
          <t>이그나이트 + 스테이포에버</t>
        </is>
      </c>
      <c r="F211" s="20" t="n">
        <v>210207</v>
      </c>
      <c r="G211" s="20">
        <f>B211&amp;C211&amp;D211&amp;F211</f>
        <v/>
      </c>
      <c r="H211" s="20" t="n">
        <v>69000</v>
      </c>
      <c r="I211" s="20" t="n">
        <v>0.0585</v>
      </c>
      <c r="J211" s="20" t="n">
        <v>5345</v>
      </c>
    </row>
    <row r="212" ht="16.5" customHeight="1" s="17">
      <c r="B212" s="20" t="inlineStr">
        <is>
          <t>카페24</t>
        </is>
      </c>
      <c r="C212" s="20" t="inlineStr">
        <is>
          <t>고체향수</t>
        </is>
      </c>
      <c r="D212" s="20" t="inlineStr">
        <is>
          <t>스테이포에버 솔리드퍼퓸 002 (10차 재입고 완료제품선택=스테이포에버 1개</t>
        </is>
      </c>
      <c r="E212" s="20" t="inlineStr">
        <is>
          <t>스테이포에버</t>
        </is>
      </c>
      <c r="F212" s="20" t="n">
        <v>210207</v>
      </c>
      <c r="G212" s="20">
        <f>B212&amp;C212&amp;D212&amp;F212</f>
        <v/>
      </c>
      <c r="H212" s="20" t="n">
        <v>38000</v>
      </c>
      <c r="I212" s="20" t="n">
        <v>0.0585</v>
      </c>
      <c r="J212" s="20" t="n">
        <v>2592</v>
      </c>
    </row>
    <row r="213" ht="16.5" customHeight="1" s="17">
      <c r="B213" s="20" t="inlineStr">
        <is>
          <t>카페24</t>
        </is>
      </c>
      <c r="C213" s="20" t="inlineStr">
        <is>
          <t>고체향수</t>
        </is>
      </c>
      <c r="D213" s="20" t="inlineStr">
        <is>
          <t>스테이포에버 솔리드퍼퓸 002 (10차 재입고 완료제품선택=best</t>
        </is>
      </c>
      <c r="E213" s="20" t="inlineStr">
        <is>
          <t>스테이포에버 2set</t>
        </is>
      </c>
      <c r="F213" s="20" t="n">
        <v>210207</v>
      </c>
      <c r="G213" s="20">
        <f>B213&amp;C213&amp;D213&amp;F213</f>
        <v/>
      </c>
      <c r="H213" s="20" t="n">
        <v>58800</v>
      </c>
      <c r="I213" s="20" t="n">
        <v>0.0585</v>
      </c>
      <c r="J213" s="20" t="n">
        <v>5184</v>
      </c>
    </row>
    <row r="214" ht="16.5" customHeight="1" s="17">
      <c r="B214" s="20" t="inlineStr">
        <is>
          <t>카페24</t>
        </is>
      </c>
      <c r="C214" s="20" t="inlineStr">
        <is>
          <t>고체향수</t>
        </is>
      </c>
      <c r="D214" s="20" t="inlineStr">
        <is>
          <t>스테이포에버 솔리드퍼퓸 002 (10차 재입고 완료)제품선택=best스테이포에버 2개[28% 할인]</t>
        </is>
      </c>
      <c r="E214" s="20" t="inlineStr">
        <is>
          <t>스테이포에버 2set</t>
        </is>
      </c>
      <c r="F214" s="20" t="n">
        <v>210207</v>
      </c>
      <c r="G214" s="20">
        <f>B214&amp;C214&amp;D214&amp;F214</f>
        <v/>
      </c>
      <c r="H214" s="20" t="n">
        <v>58800</v>
      </c>
      <c r="I214" s="20" t="n">
        <v>0.0585</v>
      </c>
      <c r="J214" s="20" t="n">
        <v>5184</v>
      </c>
    </row>
    <row r="215" ht="16.5" customHeight="1" s="17">
      <c r="B215" s="20" t="inlineStr">
        <is>
          <t>카페24</t>
        </is>
      </c>
      <c r="C215" s="20" t="inlineStr">
        <is>
          <t>고체향수</t>
        </is>
      </c>
      <c r="D215" s="20" t="inlineStr">
        <is>
          <t>스테이포에버 솔리드퍼퓸 002 (10차 재입고 완료제품선택=커플추천</t>
        </is>
      </c>
      <c r="E215" s="20" t="inlineStr">
        <is>
          <t>이그나이트 + 스테이포에버</t>
        </is>
      </c>
      <c r="F215" s="20" t="n">
        <v>210207</v>
      </c>
      <c r="G215" s="20">
        <f>B215&amp;C215&amp;D215&amp;F215</f>
        <v/>
      </c>
      <c r="H215" s="20" t="n">
        <v>69000</v>
      </c>
      <c r="I215" s="20" t="n">
        <v>0.0585</v>
      </c>
      <c r="J215" s="20" t="n">
        <v>5345</v>
      </c>
    </row>
    <row r="216" ht="16.5" customHeight="1" s="17">
      <c r="B216" s="20" t="inlineStr">
        <is>
          <t>카페24</t>
        </is>
      </c>
      <c r="C216" s="20" t="inlineStr">
        <is>
          <t>쇼핑백</t>
        </is>
      </c>
      <c r="D216" s="20" t="inlineStr">
        <is>
          <t>스테이포에버 솔리드퍼퓸 002 (10차 재입고 완료쇼핑백=선물용 쇼핑백</t>
        </is>
      </c>
      <c r="E216" s="20" t="inlineStr">
        <is>
          <t>쇼핑백</t>
        </is>
      </c>
      <c r="F216" s="20" t="n">
        <v>210207</v>
      </c>
      <c r="G216" s="20">
        <f>B216&amp;C216&amp;D216&amp;F216</f>
        <v/>
      </c>
      <c r="H216" s="20" t="n">
        <v>2000</v>
      </c>
      <c r="I216" s="20" t="n">
        <v>0.0585</v>
      </c>
      <c r="J216" s="20" t="n">
        <v>830</v>
      </c>
    </row>
    <row r="217" ht="16.5" customHeight="1" s="17">
      <c r="B217" s="20" t="inlineStr">
        <is>
          <t>카페24</t>
        </is>
      </c>
      <c r="C217" s="20" t="inlineStr">
        <is>
          <t>고체향수</t>
        </is>
      </c>
      <c r="D217" s="20" t="inlineStr">
        <is>
          <t>스테이포에버 솔리드퍼퓸 002 (10차 재입고 완료)제품선택=스테이포에버 1개</t>
        </is>
      </c>
      <c r="E217" s="20" t="inlineStr">
        <is>
          <t>스테이포에버</t>
        </is>
      </c>
      <c r="F217" s="20" t="n">
        <v>210207</v>
      </c>
      <c r="G217" s="20">
        <f>B217&amp;C217&amp;D217&amp;F217</f>
        <v/>
      </c>
      <c r="H217" s="20" t="n">
        <v>38000</v>
      </c>
      <c r="I217" s="20" t="n">
        <v>0.0585</v>
      </c>
      <c r="J217" s="20" t="n">
        <v>2592</v>
      </c>
    </row>
    <row r="218" ht="16.5" customHeight="1" s="17">
      <c r="B218" s="20" t="inlineStr">
        <is>
          <t>카페24</t>
        </is>
      </c>
      <c r="C218" s="20" t="inlineStr">
        <is>
          <t>고체향수</t>
        </is>
      </c>
      <c r="D218" s="20" t="inlineStr">
        <is>
          <t>스테이포에버 솔리드퍼퓸 002 (10차 재입고 완료)제품선택=커플추천스테이포에버 + 이그나이트 세트</t>
        </is>
      </c>
      <c r="E218" s="20" t="inlineStr">
        <is>
          <t>이그나이트 + 스테이포에버</t>
        </is>
      </c>
      <c r="F218" s="20" t="n">
        <v>210207</v>
      </c>
      <c r="G218" s="20">
        <f>B218&amp;C218&amp;D218&amp;F218</f>
        <v/>
      </c>
      <c r="H218" s="20" t="n">
        <v>69000</v>
      </c>
      <c r="I218" s="20" t="n">
        <v>0.0585</v>
      </c>
      <c r="J218" s="20" t="n">
        <v>5345</v>
      </c>
    </row>
    <row r="219" ht="16.5" customHeight="1" s="17">
      <c r="B219" s="20" t="inlineStr">
        <is>
          <t>카페24</t>
        </is>
      </c>
      <c r="C219" s="20" t="inlineStr">
        <is>
          <t>쇼핑백</t>
        </is>
      </c>
      <c r="D219" s="20" t="inlineStr">
        <is>
          <t>스테이포에버 솔리드퍼퓸 002 (10차 재입고 완료)쇼핑백=선물용 쇼핑백</t>
        </is>
      </c>
      <c r="E219" s="20" t="inlineStr">
        <is>
          <t>쇼핑백</t>
        </is>
      </c>
      <c r="F219" s="20" t="n">
        <v>210207</v>
      </c>
      <c r="G219" s="20">
        <f>B219&amp;C219&amp;D219&amp;F219</f>
        <v/>
      </c>
      <c r="H219" s="20" t="n">
        <v>2000</v>
      </c>
      <c r="I219" s="20" t="n">
        <v>0.0585</v>
      </c>
      <c r="J219" s="20" t="n">
        <v>830</v>
      </c>
    </row>
    <row r="220" ht="16.5" customHeight="1" s="17">
      <c r="B220" s="20" t="inlineStr">
        <is>
          <t>카페24</t>
        </is>
      </c>
      <c r="C220" s="20" t="inlineStr">
        <is>
          <t>고체향수</t>
        </is>
      </c>
      <c r="D220" s="20" t="inlineStr">
        <is>
          <t>유즈 솔리드퍼퓸 - 30ml (10차 재입고 완료향=스테이포에버 002 SOLID PERFUME, 세트 선택=1개</t>
        </is>
      </c>
      <c r="E220" s="20" t="inlineStr">
        <is>
          <t>스테이포에버</t>
        </is>
      </c>
      <c r="F220" s="20" t="n">
        <v>210207</v>
      </c>
      <c r="G220" s="20">
        <f>B220&amp;C220&amp;D220&amp;F220</f>
        <v/>
      </c>
      <c r="H220" s="20" t="n">
        <v>38000</v>
      </c>
      <c r="I220" s="20" t="n">
        <v>0.0585</v>
      </c>
      <c r="J220" s="20" t="n">
        <v>2592</v>
      </c>
    </row>
    <row r="221" ht="16.5" customHeight="1" s="17">
      <c r="B221" s="20" t="inlineStr">
        <is>
          <t>카페24</t>
        </is>
      </c>
      <c r="C221" s="20" t="inlineStr">
        <is>
          <t>고체향수</t>
        </is>
      </c>
      <c r="D221" s="20" t="inlineStr">
        <is>
          <t>유즈 솔리드퍼퓸 - 30ml (10차 재입고 완료 )향=스테이포에버 002 SOLID PERFUME, 세트 선택=1개</t>
        </is>
      </c>
      <c r="E221" s="20" t="inlineStr">
        <is>
          <t>스테이포에버</t>
        </is>
      </c>
      <c r="F221" s="20" t="n">
        <v>210207</v>
      </c>
      <c r="G221" s="20">
        <f>B221&amp;C221&amp;D221&amp;F221</f>
        <v/>
      </c>
      <c r="H221" s="20" t="n">
        <v>38000</v>
      </c>
      <c r="I221" s="20" t="n">
        <v>0.0585</v>
      </c>
      <c r="J221" s="20" t="n">
        <v>2592</v>
      </c>
    </row>
    <row r="222" ht="16.5" customHeight="1" s="17">
      <c r="B222" s="20" t="inlineStr">
        <is>
          <t>카페24</t>
        </is>
      </c>
      <c r="C222" s="20" t="inlineStr">
        <is>
          <t>고체향수</t>
        </is>
      </c>
      <c r="D222" s="20" t="inlineStr">
        <is>
          <t>유즈 솔리드퍼퓸 - 30ml (10차 재입고 완료 )향=스테이포에버 002 SOLID PERFUME, 세트 선택=best 2개 (28% 할인)</t>
        </is>
      </c>
      <c r="E222" s="20" t="inlineStr">
        <is>
          <t>스테이포에버 2set</t>
        </is>
      </c>
      <c r="F222" s="20" t="n">
        <v>210207</v>
      </c>
      <c r="G222" s="20">
        <f>B222&amp;C222&amp;D222&amp;F222</f>
        <v/>
      </c>
      <c r="H222" s="20" t="n">
        <v>58800</v>
      </c>
      <c r="I222" s="20" t="n">
        <v>0.0585</v>
      </c>
      <c r="J222" s="20" t="n">
        <v>5184</v>
      </c>
    </row>
    <row r="223" ht="16.5" customHeight="1" s="17">
      <c r="B223" s="20" t="inlineStr">
        <is>
          <t>카페24</t>
        </is>
      </c>
      <c r="C223" s="20" t="inlineStr">
        <is>
          <t>고체향수</t>
        </is>
      </c>
      <c r="D223" s="20" t="inlineStr">
        <is>
          <t>유즈 스테이포에버 솔리드퍼퓸 002 (10차 재입고 완료제품선택=커플추천</t>
        </is>
      </c>
      <c r="E223" s="20" t="inlineStr">
        <is>
          <t>이그나이트 + 스테이포에버</t>
        </is>
      </c>
      <c r="F223" s="20" t="n">
        <v>210207</v>
      </c>
      <c r="G223" s="20">
        <f>B223&amp;C223&amp;D223&amp;F223</f>
        <v/>
      </c>
      <c r="H223" s="20" t="n">
        <v>69000</v>
      </c>
      <c r="I223" s="20" t="n">
        <v>0.0585</v>
      </c>
      <c r="J223" s="20" t="n">
        <v>5345</v>
      </c>
    </row>
    <row r="224" ht="16.5" customHeight="1" s="17">
      <c r="B224" s="20" t="inlineStr">
        <is>
          <t>카페24</t>
        </is>
      </c>
      <c r="C224" s="20" t="inlineStr">
        <is>
          <t>고체향수</t>
        </is>
      </c>
      <c r="D224" s="20" t="inlineStr">
        <is>
          <t>유즈 스테이포에버 솔리드퍼퓸 002 (10차 재입고 완료)제품선택=스테이포에버 1개</t>
        </is>
      </c>
      <c r="E224" s="20" t="inlineStr">
        <is>
          <t>스테이포에버</t>
        </is>
      </c>
      <c r="F224" s="20" t="n">
        <v>210207</v>
      </c>
      <c r="G224" s="20">
        <f>B224&amp;C224&amp;D224&amp;F224</f>
        <v/>
      </c>
      <c r="H224" s="20" t="n">
        <v>38000</v>
      </c>
      <c r="I224" s="20" t="n">
        <v>0.0585</v>
      </c>
      <c r="J224" s="20" t="n">
        <v>2592</v>
      </c>
    </row>
    <row r="225" ht="16.5" customHeight="1" s="17">
      <c r="B225" s="20" t="inlineStr">
        <is>
          <t>카페24</t>
        </is>
      </c>
      <c r="C225" s="20" t="inlineStr">
        <is>
          <t>쇼핑백</t>
        </is>
      </c>
      <c r="D225" s="20" t="inlineStr">
        <is>
          <t>유즈 스테이포에버 솔리드퍼퓸 002 (스테이포에버 주문시 12/15 순차배송)쇼핑백=선물용 쇼핑백</t>
        </is>
      </c>
      <c r="E225" s="20" t="inlineStr">
        <is>
          <t>쇼핑백</t>
        </is>
      </c>
      <c r="F225" s="20" t="n">
        <v>210207</v>
      </c>
      <c r="G225" s="20">
        <f>B225&amp;C225&amp;D225&amp;F225</f>
        <v/>
      </c>
      <c r="H225" s="20" t="n">
        <v>2000</v>
      </c>
      <c r="I225" s="20" t="n">
        <v>0.0585</v>
      </c>
      <c r="J225" s="20" t="n">
        <v>830</v>
      </c>
    </row>
    <row r="226" ht="16.5" customHeight="1" s="17">
      <c r="B226" s="20" t="inlineStr">
        <is>
          <t>카페24</t>
        </is>
      </c>
      <c r="C226" s="20" t="inlineStr">
        <is>
          <t>고체향수</t>
        </is>
      </c>
      <c r="D226" s="20" t="inlineStr">
        <is>
          <t>유즈 솔리드퍼퓸 - 30ml (10차 재입고 완료향=이그나이트 001 SOLID PERFUME, 세트 선택=1개</t>
        </is>
      </c>
      <c r="E226" s="20" t="inlineStr">
        <is>
          <t>이그나이트</t>
        </is>
      </c>
      <c r="F226" s="20" t="n">
        <v>210207</v>
      </c>
      <c r="G226" s="20">
        <f>B226&amp;C226&amp;D226&amp;F226</f>
        <v/>
      </c>
      <c r="H226" s="20" t="n">
        <v>38000</v>
      </c>
      <c r="I226" s="20" t="n">
        <v>0.0585</v>
      </c>
      <c r="J226" s="20" t="n">
        <v>2753</v>
      </c>
    </row>
    <row r="227" ht="16.5" customHeight="1" s="17">
      <c r="B227" s="20" t="inlineStr">
        <is>
          <t>카페24</t>
        </is>
      </c>
      <c r="C227" s="20" t="inlineStr">
        <is>
          <t>고체향수</t>
        </is>
      </c>
      <c r="D227" s="20" t="inlineStr">
        <is>
          <t>유즈 솔리드퍼퓸 - 30ml (10차 재입고 완료 )향=이그나이트 001 SOLID PERFUME, 세트 선택=1개</t>
        </is>
      </c>
      <c r="E227" s="20" t="inlineStr">
        <is>
          <t>이그나이트</t>
        </is>
      </c>
      <c r="F227" s="20" t="n">
        <v>210207</v>
      </c>
      <c r="G227" s="20">
        <f>B227&amp;C227&amp;D227&amp;F227</f>
        <v/>
      </c>
      <c r="H227" s="20" t="n">
        <v>38000</v>
      </c>
      <c r="I227" s="20" t="n">
        <v>0.0585</v>
      </c>
      <c r="J227" s="20" t="n">
        <v>2753</v>
      </c>
    </row>
    <row r="228" ht="16.5" customHeight="1" s="17">
      <c r="B228" s="20" t="inlineStr">
        <is>
          <t>카페24</t>
        </is>
      </c>
      <c r="C228" s="20" t="inlineStr">
        <is>
          <t>고체향수</t>
        </is>
      </c>
      <c r="D228" s="20" t="inlineStr">
        <is>
          <t>유즈 솔리드퍼퓸 - 30ml (10차 재입고 완료향=스테이포에버 002 SOLID PERFUME, 세트 선택=best</t>
        </is>
      </c>
      <c r="E228" s="20" t="inlineStr">
        <is>
          <t>스테이포에버 2set</t>
        </is>
      </c>
      <c r="F228" s="20" t="n">
        <v>210207</v>
      </c>
      <c r="G228" s="20">
        <f>B228&amp;C228&amp;D228&amp;F228</f>
        <v/>
      </c>
      <c r="H228" s="20" t="n">
        <v>58800</v>
      </c>
      <c r="I228" s="20" t="n">
        <v>0.0585</v>
      </c>
      <c r="J228" s="20" t="n">
        <v>5184</v>
      </c>
    </row>
    <row r="229" ht="16.5" customHeight="1" s="17">
      <c r="B229" s="20" t="inlineStr">
        <is>
          <t>카페24</t>
        </is>
      </c>
      <c r="C229" s="20" t="inlineStr">
        <is>
          <t>고체향수</t>
        </is>
      </c>
      <c r="D229" s="20" t="inlineStr">
        <is>
          <t>유즈 솔리드퍼퓸 - 30ml (10차 재입고 완료 )향=커플세트(이그나이트 + 스테이포에버), 세트 선택=1 SET</t>
        </is>
      </c>
      <c r="E229" s="20" t="inlineStr">
        <is>
          <t>이그나이트 + 스테이포에버</t>
        </is>
      </c>
      <c r="F229" s="20" t="n">
        <v>210207</v>
      </c>
      <c r="G229" s="20">
        <f>B229&amp;C229&amp;D229&amp;F229</f>
        <v/>
      </c>
      <c r="H229" s="20" t="n">
        <v>69000</v>
      </c>
      <c r="I229" s="20" t="n">
        <v>0.0585</v>
      </c>
      <c r="J229" s="20" t="n">
        <v>5345</v>
      </c>
    </row>
    <row r="230" ht="16.5" customHeight="1" s="17">
      <c r="B230" s="20" t="inlineStr">
        <is>
          <t>카페24</t>
        </is>
      </c>
      <c r="C230" s="20" t="inlineStr">
        <is>
          <t>고체향수</t>
        </is>
      </c>
      <c r="D230" s="20" t="inlineStr">
        <is>
          <t>유즈 솔리드퍼퓸 - 30ml (10차 재입고 완료향=커플세트</t>
        </is>
      </c>
      <c r="E230" s="20" t="inlineStr">
        <is>
          <t>이그나이트 + 스테이포에버</t>
        </is>
      </c>
      <c r="F230" s="20" t="n">
        <v>210207</v>
      </c>
      <c r="G230" s="20">
        <f>B230&amp;C230&amp;D230&amp;F230</f>
        <v/>
      </c>
      <c r="H230" s="20" t="n">
        <v>69000</v>
      </c>
      <c r="I230" s="20" t="n">
        <v>0.0585</v>
      </c>
      <c r="J230" s="20" t="n">
        <v>5345</v>
      </c>
    </row>
    <row r="231" ht="16.5" customHeight="1" s="17">
      <c r="B231" s="20" t="inlineStr">
        <is>
          <t>유즈 CS</t>
        </is>
      </c>
      <c r="C231" s="20" t="inlineStr">
        <is>
          <t>고체향수</t>
        </is>
      </c>
      <c r="D231" s="20" t="inlineStr">
        <is>
          <t>유즈 솔리드퍼퓸 - 30ml (10차 재입고 완료향=커플세트</t>
        </is>
      </c>
      <c r="E231" s="20" t="inlineStr">
        <is>
          <t>이그나이트 + 스테이포에버</t>
        </is>
      </c>
      <c r="F231" s="20" t="n">
        <v>210207</v>
      </c>
      <c r="G231" s="20">
        <f>B231&amp;C231&amp;D231&amp;F231</f>
        <v/>
      </c>
      <c r="H231" s="20" t="n">
        <v>0</v>
      </c>
      <c r="I231" s="20" t="n">
        <v>0</v>
      </c>
      <c r="J231" s="20" t="n">
        <v>5345</v>
      </c>
    </row>
    <row r="232" ht="16.5" customHeight="1" s="17">
      <c r="B232" s="20" t="inlineStr">
        <is>
          <t>카페24</t>
        </is>
      </c>
      <c r="C232" s="20" t="inlineStr">
        <is>
          <t>고체향수</t>
        </is>
      </c>
      <c r="D232" s="20" t="inlineStr">
        <is>
          <t>유즈 솔리드퍼퓸 - 30ml (10차 재입고 완료향=이그나이트 001 SOLID PERFUME, 세트 선택=best</t>
        </is>
      </c>
      <c r="E232" s="20" t="inlineStr">
        <is>
          <t>이그나이트 2set</t>
        </is>
      </c>
      <c r="F232" s="20" t="n">
        <v>210207</v>
      </c>
      <c r="G232" s="20">
        <f>B232&amp;C232&amp;D232&amp;F232</f>
        <v/>
      </c>
      <c r="H232" s="20" t="n">
        <v>58800</v>
      </c>
      <c r="I232" s="20" t="n">
        <v>0.0585</v>
      </c>
      <c r="J232" s="20" t="n">
        <v>5506</v>
      </c>
    </row>
    <row r="233" ht="16.5" customHeight="1" s="17">
      <c r="B233" s="20" t="inlineStr">
        <is>
          <t>카페24</t>
        </is>
      </c>
      <c r="C233" s="20" t="inlineStr">
        <is>
          <t>쇼핑백</t>
        </is>
      </c>
      <c r="D233" s="20" t="inlineStr">
        <is>
          <t>SHOPPING BAG</t>
        </is>
      </c>
      <c r="E233" s="20" t="inlineStr">
        <is>
          <t>쇼핑백</t>
        </is>
      </c>
      <c r="F233" s="20" t="n">
        <v>210207</v>
      </c>
      <c r="G233" s="20">
        <f>B233&amp;C233&amp;D233&amp;F233</f>
        <v/>
      </c>
      <c r="H233" s="20" t="n">
        <v>2000</v>
      </c>
      <c r="I233" s="20" t="n">
        <v>0.0585</v>
      </c>
      <c r="J233" s="20" t="n">
        <v>830</v>
      </c>
    </row>
    <row r="234" ht="16.5" customHeight="1" s="17">
      <c r="B234" s="20" t="inlineStr">
        <is>
          <t>카페24</t>
        </is>
      </c>
      <c r="C234" s="20" t="inlineStr">
        <is>
          <t>쇼핑백</t>
        </is>
      </c>
      <c r="D234" s="20" t="inlineStr">
        <is>
          <t>유즈 이그나이트 솔리드퍼퓸 001쇼핑백=선물용 쇼핑백</t>
        </is>
      </c>
      <c r="E234" s="20" t="inlineStr">
        <is>
          <t>쇼핑백</t>
        </is>
      </c>
      <c r="F234" s="20" t="n">
        <v>210207</v>
      </c>
      <c r="G234" s="20">
        <f>B234&amp;C234&amp;D234&amp;F234</f>
        <v/>
      </c>
      <c r="H234" s="20" t="n">
        <v>2000</v>
      </c>
      <c r="I234" s="20" t="n">
        <v>0.0585</v>
      </c>
      <c r="J234" s="20" t="n">
        <v>830</v>
      </c>
    </row>
    <row r="235" ht="16.5" customHeight="1" s="17">
      <c r="B235" s="20" t="inlineStr">
        <is>
          <t>카페24</t>
        </is>
      </c>
      <c r="C235" s="20" t="inlineStr">
        <is>
          <t>고체향수</t>
        </is>
      </c>
      <c r="D235" s="20" t="inlineStr">
        <is>
          <t>유즈 스테이포에버 솔리드퍼퓸 002 (10차 재입고 완료제품선택=스테이포에버 1개</t>
        </is>
      </c>
      <c r="E235" s="20" t="inlineStr">
        <is>
          <t>스테이포에버</t>
        </is>
      </c>
      <c r="F235" s="20" t="n">
        <v>210207</v>
      </c>
      <c r="G235" s="20">
        <f>B235&amp;C235&amp;D235&amp;F235</f>
        <v/>
      </c>
      <c r="H235" s="20" t="n">
        <v>38000</v>
      </c>
      <c r="I235" s="20" t="n">
        <v>0.0585</v>
      </c>
      <c r="J235" s="20" t="n">
        <v>2592</v>
      </c>
    </row>
    <row r="236" ht="16.5" customHeight="1" s="17">
      <c r="B236" s="20" t="inlineStr">
        <is>
          <t>카페24</t>
        </is>
      </c>
      <c r="C236" s="20" t="inlineStr">
        <is>
          <t>고체향수</t>
        </is>
      </c>
      <c r="D236" s="20" t="inlineStr">
        <is>
          <t>유즈 스테이포에버 솔리드퍼퓸 002 (10차 재입고 완료제품선택=best</t>
        </is>
      </c>
      <c r="E236" s="20" t="inlineStr">
        <is>
          <t>스테이포에버 2set</t>
        </is>
      </c>
      <c r="F236" s="20" t="n">
        <v>210207</v>
      </c>
      <c r="G236" s="20">
        <f>B236&amp;C236&amp;D236&amp;F236</f>
        <v/>
      </c>
      <c r="H236" s="20" t="n">
        <v>58800</v>
      </c>
      <c r="I236" s="20" t="n">
        <v>0.0585</v>
      </c>
      <c r="J236" s="20" t="n">
        <v>5184</v>
      </c>
    </row>
    <row r="237" ht="16.5" customHeight="1" s="17">
      <c r="B237" s="20" t="inlineStr">
        <is>
          <t>카페24</t>
        </is>
      </c>
      <c r="C237" s="20" t="inlineStr">
        <is>
          <t>고체향수</t>
        </is>
      </c>
      <c r="D237" s="20" t="inlineStr">
        <is>
          <t>유즈 스테이포에버 솔리드퍼퓸 002 (10차 재입고 완료쇼핑백=선물용 쇼핑백</t>
        </is>
      </c>
      <c r="E237" s="20" t="inlineStr">
        <is>
          <t>쇼핑백</t>
        </is>
      </c>
      <c r="F237" s="20" t="n">
        <v>210207</v>
      </c>
      <c r="G237" s="20">
        <f>B237&amp;C237&amp;D237&amp;F237</f>
        <v/>
      </c>
      <c r="H237" s="20" t="n">
        <v>2000</v>
      </c>
      <c r="I237" s="20" t="n">
        <v>0.0585</v>
      </c>
      <c r="J237" s="20" t="n">
        <v>830</v>
      </c>
    </row>
    <row r="238" ht="16.5" customHeight="1" s="17">
      <c r="B238" s="20" t="inlineStr">
        <is>
          <t>카페24</t>
        </is>
      </c>
      <c r="C238" s="20" t="inlineStr">
        <is>
          <t>고체향수</t>
        </is>
      </c>
      <c r="D238" s="20" t="inlineStr">
        <is>
          <t>유즈 스테이포에버 솔리드퍼퓸 002 (10차 재입고 완료)제품선택=best스테이포에버 2개[28% 할인]</t>
        </is>
      </c>
      <c r="E238" s="20" t="inlineStr">
        <is>
          <t>스테이포에버 2set</t>
        </is>
      </c>
      <c r="F238" s="20" t="n">
        <v>210207</v>
      </c>
      <c r="G238" s="20">
        <f>B238&amp;C238&amp;D238&amp;F238</f>
        <v/>
      </c>
      <c r="H238" s="20" t="n">
        <v>58800</v>
      </c>
      <c r="I238" s="20" t="n">
        <v>0.0585</v>
      </c>
      <c r="J238" s="20" t="n">
        <v>5184</v>
      </c>
    </row>
    <row r="239" ht="16.5" customHeight="1" s="17">
      <c r="B239" s="20" t="inlineStr">
        <is>
          <t>카페24</t>
        </is>
      </c>
      <c r="C239" s="20" t="inlineStr">
        <is>
          <t>고체향수</t>
        </is>
      </c>
      <c r="D239" s="20" t="inlineStr">
        <is>
          <t>유즈 스테이포에버 솔리드퍼퓸 002 (10차 재입고 완료)제품선택=커플추천스테이포에버 + 이그나이트 세트</t>
        </is>
      </c>
      <c r="E239" s="20" t="inlineStr">
        <is>
          <t>이그나이트 + 스테이포에버</t>
        </is>
      </c>
      <c r="F239" s="20" t="n">
        <v>210207</v>
      </c>
      <c r="G239" s="20">
        <f>B239&amp;C239&amp;D239&amp;F239</f>
        <v/>
      </c>
      <c r="H239" s="20" t="n">
        <v>0</v>
      </c>
      <c r="I239" s="20" t="n">
        <v>0</v>
      </c>
      <c r="J239" s="20" t="n">
        <v>5345</v>
      </c>
    </row>
    <row r="240" ht="16.5" customHeight="1" s="17">
      <c r="B240" s="20" t="inlineStr">
        <is>
          <t>카페24</t>
        </is>
      </c>
      <c r="C240" s="20" t="inlineStr">
        <is>
          <t>고체향수</t>
        </is>
      </c>
      <c r="D240" s="20" t="inlineStr">
        <is>
          <t>유즈 스테이포에버 솔리드퍼퓸 002 (10차 재입고 완료)쇼핑백=선물용 쇼핑백</t>
        </is>
      </c>
      <c r="E240" s="20" t="inlineStr">
        <is>
          <t>쇼핑백</t>
        </is>
      </c>
      <c r="F240" s="20" t="n">
        <v>210207</v>
      </c>
      <c r="G240" s="20">
        <f>B240&amp;C240&amp;D240&amp;F240</f>
        <v/>
      </c>
      <c r="H240" s="20" t="n">
        <v>2000</v>
      </c>
      <c r="I240" s="20" t="n">
        <v>0.0585</v>
      </c>
      <c r="J240" s="20" t="n">
        <v>830</v>
      </c>
    </row>
    <row r="241" ht="16.5" customHeight="1" s="17">
      <c r="B241" s="20" t="inlineStr">
        <is>
          <t>카페24</t>
        </is>
      </c>
      <c r="C241" s="20" t="inlineStr">
        <is>
          <t>고체향수</t>
        </is>
      </c>
      <c r="D241" s="20" t="inlineStr">
        <is>
          <t>유즈 솔리드퍼퓸 - 30ml (10차 재입고 완료 )향=이그나이트 001 SOLID PERFUME, 세트 선택=best 2개 (28% 할인)</t>
        </is>
      </c>
      <c r="E241" s="20" t="inlineStr">
        <is>
          <t>이그나이트 2set</t>
        </is>
      </c>
      <c r="F241" s="20" t="n">
        <v>210207</v>
      </c>
      <c r="G241" s="20">
        <f>B241&amp;C241&amp;D241&amp;F241</f>
        <v/>
      </c>
      <c r="H241" s="20" t="n">
        <v>58800</v>
      </c>
      <c r="I241" s="20" t="n">
        <v>0.0585</v>
      </c>
      <c r="J241" s="20" t="n">
        <v>5506</v>
      </c>
    </row>
    <row r="242" ht="16.5" customHeight="1" s="17">
      <c r="B242" s="20" t="inlineStr">
        <is>
          <t>카페24</t>
        </is>
      </c>
      <c r="C242" s="20" t="inlineStr">
        <is>
          <t>고체향수</t>
        </is>
      </c>
      <c r="D242" s="20" t="inlineStr">
        <is>
          <t>유즈 솔리드퍼퓸 - 30ml (10차 재입고 완료 )향=커플세트(이그나이트 + 스테이포에버), 세트 선택=2 SET (42% 할인)</t>
        </is>
      </c>
      <c r="E242" s="20" t="inlineStr">
        <is>
          <t>이그나이트 + 스테이포에버</t>
        </is>
      </c>
      <c r="F242" s="20" t="n">
        <v>210207</v>
      </c>
      <c r="G242" s="20">
        <f>B242&amp;C242&amp;D242&amp;F242</f>
        <v/>
      </c>
      <c r="H242" s="20" t="n">
        <v>0</v>
      </c>
      <c r="I242" s="20" t="n">
        <v>0</v>
      </c>
      <c r="J242" s="20" t="n">
        <v>5345</v>
      </c>
    </row>
    <row r="243" ht="16.5" customHeight="1" s="17">
      <c r="B243" s="20" t="inlineStr">
        <is>
          <t>유즈 CS</t>
        </is>
      </c>
      <c r="C243" s="20" t="inlineStr">
        <is>
          <t>고체향수</t>
        </is>
      </c>
      <c r="D243" s="20" t="inlineStr">
        <is>
          <t>유즈 스테이포에버 솔리드퍼퓸 002 (10차 재입고 완료)제품선택=커플추천스테이포에버 + 이그나이트 세트</t>
        </is>
      </c>
      <c r="E243" s="20" t="inlineStr">
        <is>
          <t>이그나이트 + 스테이포에버</t>
        </is>
      </c>
      <c r="F243" s="20" t="n">
        <v>210207</v>
      </c>
      <c r="G243" s="20">
        <f>B243&amp;C243&amp;D243&amp;F243</f>
        <v/>
      </c>
      <c r="H243" s="20" t="n">
        <v>0</v>
      </c>
      <c r="I243" s="20" t="n">
        <v>0</v>
      </c>
      <c r="J243" s="20" t="n">
        <v>5345</v>
      </c>
    </row>
    <row r="244" ht="16.5" customHeight="1" s="17">
      <c r="B244" s="20" t="inlineStr">
        <is>
          <t>카페24</t>
        </is>
      </c>
      <c r="C244" s="20" t="inlineStr">
        <is>
          <t>고체향수</t>
        </is>
      </c>
      <c r="D244" s="20" t="inlineStr">
        <is>
          <t>유즈 솔리드퍼퓸 - 30ml (10차 재입고 완료)향=커플세트</t>
        </is>
      </c>
      <c r="E244" s="20" t="inlineStr">
        <is>
          <t>이그나이트 + 스테이포에버</t>
        </is>
      </c>
      <c r="F244" s="20" t="n">
        <v>210207</v>
      </c>
      <c r="G244" s="20">
        <f>B244&amp;C244&amp;D244&amp;F244</f>
        <v/>
      </c>
      <c r="H244" s="20" t="n">
        <v>69000</v>
      </c>
      <c r="I244" s="20" t="n">
        <v>0.0585</v>
      </c>
      <c r="J244" s="20" t="n">
        <v>5345</v>
      </c>
    </row>
    <row r="245" ht="16.5" customHeight="1" s="17">
      <c r="B245" s="20" t="inlineStr">
        <is>
          <t>카페24</t>
        </is>
      </c>
      <c r="C245" s="20" t="inlineStr">
        <is>
          <t>고체향수</t>
        </is>
      </c>
      <c r="D245" s="20" t="inlineStr">
        <is>
          <t>유즈 솔리드퍼퓸 - 30ml (10차 재입고 완료)향=이그나이트 001 SOLID PERFUME, 세트 선택=1개</t>
        </is>
      </c>
      <c r="E245" s="20" t="inlineStr">
        <is>
          <t>이그나이트</t>
        </is>
      </c>
      <c r="F245" s="20" t="n">
        <v>210207</v>
      </c>
      <c r="G245" s="20">
        <f>B245&amp;C245&amp;D245&amp;F245</f>
        <v/>
      </c>
      <c r="H245" s="20" t="n">
        <v>38000</v>
      </c>
      <c r="I245" s="20" t="n">
        <v>0.0585</v>
      </c>
      <c r="J245" s="20" t="n">
        <v>2753</v>
      </c>
    </row>
    <row r="246" ht="16.5" customHeight="1" s="17">
      <c r="B246" s="20" t="inlineStr">
        <is>
          <t>카페24</t>
        </is>
      </c>
      <c r="C246" s="20" t="inlineStr">
        <is>
          <t>고체향수</t>
        </is>
      </c>
      <c r="D246" s="20" t="inlineStr">
        <is>
          <t>유즈 솔리드퍼퓸 - 30ml (10차 재입고 완료)향=이그나이트 001 SOLID PERFUME, 세트 선택=best</t>
        </is>
      </c>
      <c r="E246" s="20" t="inlineStr">
        <is>
          <t>이그나이트 2set</t>
        </is>
      </c>
      <c r="F246" s="20" t="n">
        <v>210207</v>
      </c>
      <c r="G246" s="20">
        <f>B246&amp;C246&amp;D246&amp;F246</f>
        <v/>
      </c>
      <c r="H246" s="20" t="n">
        <v>58800</v>
      </c>
      <c r="I246" s="20" t="n">
        <v>0.0585</v>
      </c>
      <c r="J246" s="20" t="n">
        <v>5506</v>
      </c>
    </row>
    <row r="247" ht="16.5" customHeight="1" s="17">
      <c r="B247" s="20" t="inlineStr">
        <is>
          <t>카페24</t>
        </is>
      </c>
      <c r="C247" s="20" t="inlineStr">
        <is>
          <t>고체향수</t>
        </is>
      </c>
      <c r="D247" s="20" t="inlineStr">
        <is>
          <t>유즈 솔리드퍼퓸 - 30ml (10차 재입고 완료)향=스테이포에버 002 SOLID PERFUME, 세트 선택=1개</t>
        </is>
      </c>
      <c r="E247" s="20" t="inlineStr">
        <is>
          <t>스테이포에버</t>
        </is>
      </c>
      <c r="F247" s="20" t="n">
        <v>210207</v>
      </c>
      <c r="G247" s="20">
        <f>B247&amp;C247&amp;D247&amp;F247</f>
        <v/>
      </c>
      <c r="H247" s="20" t="n">
        <v>38000</v>
      </c>
      <c r="I247" s="20" t="n">
        <v>0.0585</v>
      </c>
      <c r="J247" s="20" t="n">
        <v>2592</v>
      </c>
    </row>
    <row r="248" ht="16.5" customHeight="1" s="17">
      <c r="B248" s="20" t="inlineStr">
        <is>
          <t>카페24</t>
        </is>
      </c>
      <c r="C248" s="20" t="inlineStr">
        <is>
          <t>고체향수</t>
        </is>
      </c>
      <c r="D248" s="20" t="inlineStr">
        <is>
          <t>유즈 솔리드퍼퓸 - 30ml (10차 재입고 완료)향=스테이포에버 002 SOLID PERFUME, 세트 선택=best 2개 (28% 할인)</t>
        </is>
      </c>
      <c r="E248" s="20" t="inlineStr">
        <is>
          <t>스테이포에버 2set</t>
        </is>
      </c>
      <c r="F248" s="20" t="n">
        <v>210207</v>
      </c>
      <c r="G248" s="20">
        <f>B248&amp;C248&amp;D248&amp;F248</f>
        <v/>
      </c>
      <c r="H248" s="20" t="n">
        <v>58800</v>
      </c>
      <c r="I248" s="20" t="n">
        <v>0.0585</v>
      </c>
      <c r="J248" s="20" t="n">
        <v>5184</v>
      </c>
    </row>
    <row r="249" ht="16.5" customHeight="1" s="17">
      <c r="B249" s="20" t="inlineStr">
        <is>
          <t>카페24</t>
        </is>
      </c>
      <c r="C249" s="20" t="inlineStr">
        <is>
          <t>고체향수</t>
        </is>
      </c>
      <c r="D249" s="20" t="inlineStr">
        <is>
          <t>유즈 솔리드퍼퓸 - 30ml (10차 재입고 완료)향=커플세트(이그나이트 + 스테이포에버), 세트 선택=1 SET</t>
        </is>
      </c>
      <c r="E249" s="20" t="inlineStr">
        <is>
          <t>이그나이트 + 스테이포에버</t>
        </is>
      </c>
      <c r="F249" s="20" t="n">
        <v>210207</v>
      </c>
      <c r="G249" s="20">
        <f>B249&amp;C249&amp;D249&amp;F249</f>
        <v/>
      </c>
      <c r="H249" s="20" t="n">
        <v>69000</v>
      </c>
      <c r="I249" s="20" t="n">
        <v>0.0585</v>
      </c>
      <c r="J249" s="20" t="n">
        <v>5345</v>
      </c>
    </row>
    <row r="250" ht="16.5" customHeight="1" s="17">
      <c r="B250" s="20" t="inlineStr">
        <is>
          <t>카페24</t>
        </is>
      </c>
      <c r="C250" s="20" t="inlineStr">
        <is>
          <t>고체향수</t>
        </is>
      </c>
      <c r="D250" s="20" t="inlineStr">
        <is>
          <t>유즈 스테이포에버 솔리드퍼퓸 002 (10차 재입고 완료)제품선택=best</t>
        </is>
      </c>
      <c r="E250" s="20" t="inlineStr">
        <is>
          <t>스테이포에버 2set</t>
        </is>
      </c>
      <c r="F250" s="20" t="n">
        <v>210207</v>
      </c>
      <c r="G250" s="20">
        <f>B250&amp;C250&amp;D250&amp;F250</f>
        <v/>
      </c>
      <c r="H250" s="20" t="n">
        <v>58800</v>
      </c>
      <c r="I250" s="20" t="n">
        <v>0.0585</v>
      </c>
      <c r="J250" s="20" t="n">
        <v>5184</v>
      </c>
    </row>
    <row r="251" ht="16.5" customHeight="1" s="17">
      <c r="B251" s="20" t="inlineStr">
        <is>
          <t>카페24</t>
        </is>
      </c>
      <c r="C251" s="20" t="inlineStr">
        <is>
          <t>고체향수</t>
        </is>
      </c>
      <c r="D251" s="20" t="inlineStr">
        <is>
          <t>유즈 스테이포에버 솔리드퍼퓸 002 (10차 재입고 완료)제품선택=커플추천</t>
        </is>
      </c>
      <c r="E251" s="20" t="inlineStr">
        <is>
          <t>이그나이트 + 스테이포에버</t>
        </is>
      </c>
      <c r="F251" s="20" t="n">
        <v>210207</v>
      </c>
      <c r="G251" s="20">
        <f>B251&amp;C251&amp;D251&amp;F251</f>
        <v/>
      </c>
      <c r="H251" s="20" t="n">
        <v>58800</v>
      </c>
      <c r="I251" s="20" t="n">
        <v>0.0585</v>
      </c>
      <c r="J251" s="20" t="n">
        <v>5345</v>
      </c>
    </row>
    <row r="252" ht="16.5" customHeight="1" s="17">
      <c r="B252" s="20" t="inlineStr">
        <is>
          <t>카페24</t>
        </is>
      </c>
      <c r="C252" s="20" t="inlineStr">
        <is>
          <t>고체향수</t>
        </is>
      </c>
      <c r="D252" s="20" t="inlineStr">
        <is>
          <t>유즈 솔리드퍼퓸 - 30ml (10차 재입고 완료)향=스테이포에버 002 SOLID PERFUME, 세트 선택=best</t>
        </is>
      </c>
      <c r="E252" s="20" t="inlineStr">
        <is>
          <t>스테이포에버 2set</t>
        </is>
      </c>
      <c r="F252" s="20" t="n">
        <v>210207</v>
      </c>
      <c r="G252" s="20">
        <f>B252&amp;C252&amp;D252&amp;F252</f>
        <v/>
      </c>
      <c r="H252" s="20" t="n">
        <v>58800</v>
      </c>
      <c r="I252" s="20" t="n">
        <v>0.0585</v>
      </c>
      <c r="J252" s="20" t="n">
        <v>5184</v>
      </c>
    </row>
    <row r="253" ht="16.5" customHeight="1" s="17">
      <c r="B253" s="20" t="inlineStr">
        <is>
          <t>카페24</t>
        </is>
      </c>
      <c r="C253" s="20" t="inlineStr">
        <is>
          <t>고체향수</t>
        </is>
      </c>
      <c r="D253" s="20" t="inlineStr">
        <is>
          <t>유즈 솔리드퍼퓸 - 30ml (10차 재입고 완료)향=커플세트(이그나이트 + 스테이포에버), 세트 선택=2 SET (42% 할인)</t>
        </is>
      </c>
      <c r="E253" s="20" t="inlineStr">
        <is>
          <t>이그나이트 + 스테이포에버</t>
        </is>
      </c>
      <c r="F253" s="20" t="n">
        <v>210207</v>
      </c>
      <c r="G253" s="20">
        <f>B253&amp;C253&amp;D253&amp;F253</f>
        <v/>
      </c>
      <c r="H253" s="20" t="n">
        <v>58800</v>
      </c>
      <c r="I253" s="20" t="n">
        <v>0.0585</v>
      </c>
      <c r="J253" s="20" t="n">
        <v>5345</v>
      </c>
    </row>
    <row r="254" ht="16.5" customHeight="1" s="17">
      <c r="B254" s="20" t="inlineStr">
        <is>
          <t>카페24</t>
        </is>
      </c>
      <c r="C254" s="20" t="inlineStr">
        <is>
          <t>고체향수</t>
        </is>
      </c>
      <c r="D254" s="20" t="inlineStr">
        <is>
          <t>유즈 솔리드퍼퓸 - 30ml (11차 예약구매 진행중)향=스테이포에버 002 SOLID PERFUME, 세트 선택=1개</t>
        </is>
      </c>
      <c r="E254" s="20" t="inlineStr">
        <is>
          <t>스테이포에버</t>
        </is>
      </c>
      <c r="F254" s="20" t="n">
        <v>210207</v>
      </c>
      <c r="G254" s="20">
        <f>B254&amp;C254&amp;D254&amp;F254</f>
        <v/>
      </c>
      <c r="H254" s="20" t="n">
        <v>34000</v>
      </c>
      <c r="I254" s="20" t="n">
        <v>0.0585</v>
      </c>
      <c r="J254" s="20" t="n">
        <v>2592</v>
      </c>
    </row>
    <row r="255" ht="16.5" customHeight="1" s="17">
      <c r="B255" s="20" t="inlineStr">
        <is>
          <t>카페24</t>
        </is>
      </c>
      <c r="C255" s="20" t="inlineStr">
        <is>
          <t>고체향수</t>
        </is>
      </c>
      <c r="D255" s="20" t="inlineStr">
        <is>
          <t>유즈 솔리드퍼퓸 - 30ml (11차 예약구매 진행중)향=스테이포에버 002 SOLID PERFUME, 세트 선택=best 2개 (28% 할인)</t>
        </is>
      </c>
      <c r="E255" s="20" t="inlineStr">
        <is>
          <t>스테이포에버 2set</t>
        </is>
      </c>
      <c r="F255" s="20" t="n">
        <v>210207</v>
      </c>
      <c r="G255" s="20">
        <f>B255&amp;C255&amp;D255&amp;F255</f>
        <v/>
      </c>
      <c r="H255" s="20" t="n">
        <v>58800</v>
      </c>
      <c r="I255" s="20" t="n">
        <v>0.0585</v>
      </c>
      <c r="J255" s="20" t="n">
        <v>5184</v>
      </c>
    </row>
    <row r="256" ht="16.5" customHeight="1" s="17">
      <c r="B256" s="20" t="inlineStr">
        <is>
          <t>카페24</t>
        </is>
      </c>
      <c r="C256" s="20" t="inlineStr">
        <is>
          <t>고체향수</t>
        </is>
      </c>
      <c r="D256" s="20" t="inlineStr">
        <is>
          <t>유즈 스테이포에버 솔리드퍼퓸 002 (11차 예약구매 진행중)제품선택=스테이포에버 1개</t>
        </is>
      </c>
      <c r="E256" s="20" t="inlineStr">
        <is>
          <t>스테이포에버</t>
        </is>
      </c>
      <c r="F256" s="20" t="n">
        <v>210207</v>
      </c>
      <c r="G256" s="20">
        <f>B256&amp;C256&amp;D256&amp;F256</f>
        <v/>
      </c>
      <c r="H256" s="20" t="n">
        <v>34000</v>
      </c>
      <c r="I256" s="20" t="n">
        <v>0.0585</v>
      </c>
      <c r="J256" s="20" t="n">
        <v>2592</v>
      </c>
    </row>
    <row r="257" ht="16.5" customHeight="1" s="17">
      <c r="B257" s="20" t="inlineStr">
        <is>
          <t>카페24</t>
        </is>
      </c>
      <c r="C257" s="20" t="inlineStr">
        <is>
          <t>고체향수</t>
        </is>
      </c>
      <c r="D257" s="20" t="inlineStr">
        <is>
          <t>유즈 스테이포에버 솔리드퍼퓸 002 (11차 예약구매 진행중)제품선택=best</t>
        </is>
      </c>
      <c r="E257" s="20" t="inlineStr">
        <is>
          <t>스테이포에버</t>
        </is>
      </c>
      <c r="F257" s="20" t="n">
        <v>210207</v>
      </c>
      <c r="G257" s="20">
        <f>B257&amp;C257&amp;D257&amp;F257</f>
        <v/>
      </c>
      <c r="H257" s="20" t="n">
        <v>34000</v>
      </c>
      <c r="I257" s="20" t="n">
        <v>0.0585</v>
      </c>
      <c r="J257" s="20" t="n">
        <v>2592</v>
      </c>
    </row>
    <row r="258" ht="16.5" customHeight="1" s="17">
      <c r="B258" s="20" t="inlineStr">
        <is>
          <t>카페24</t>
        </is>
      </c>
      <c r="C258" s="20" t="inlineStr">
        <is>
          <t>고체향수</t>
        </is>
      </c>
      <c r="D258" s="20" t="inlineStr">
        <is>
          <t>유즈 스테이포에버 솔리드퍼퓸 002 (11차 예약구매 진행중)제품선택=best스테이포에버 2개[28% 할인]</t>
        </is>
      </c>
      <c r="E258" s="20" t="inlineStr">
        <is>
          <t>스테이포에버 2set</t>
        </is>
      </c>
      <c r="F258" s="20" t="n">
        <v>210207</v>
      </c>
      <c r="G258" s="20">
        <f>B258&amp;C258&amp;D258&amp;F258</f>
        <v/>
      </c>
      <c r="H258" s="20" t="n">
        <v>58800</v>
      </c>
      <c r="I258" s="20" t="n">
        <v>0.0585</v>
      </c>
      <c r="J258" s="20" t="n">
        <v>5184</v>
      </c>
    </row>
    <row r="259" ht="16.5" customHeight="1" s="17">
      <c r="B259" s="20" t="inlineStr">
        <is>
          <t>카페24</t>
        </is>
      </c>
      <c r="C259" s="20" t="inlineStr">
        <is>
          <t>고체향수</t>
        </is>
      </c>
      <c r="D259" s="20" t="inlineStr">
        <is>
          <t>유즈 스테이포에버 솔리드퍼퓸 002 (11차 예약구매 진행중)제품선택=커플추천</t>
        </is>
      </c>
      <c r="E259" s="20" t="inlineStr">
        <is>
          <t>스테이포에버</t>
        </is>
      </c>
      <c r="F259" s="20" t="n">
        <v>210207</v>
      </c>
      <c r="G259" s="20">
        <f>B259&amp;C259&amp;D259&amp;F259</f>
        <v/>
      </c>
      <c r="H259" s="20" t="n">
        <v>34000</v>
      </c>
      <c r="I259" s="20" t="n">
        <v>0.0585</v>
      </c>
      <c r="J259" s="20" t="n">
        <v>2592</v>
      </c>
    </row>
    <row r="260" ht="16.5" customHeight="1" s="17">
      <c r="B260" s="20" t="inlineStr">
        <is>
          <t>카페24</t>
        </is>
      </c>
      <c r="C260" s="20" t="inlineStr">
        <is>
          <t>고체향수</t>
        </is>
      </c>
      <c r="D260" s="20" t="inlineStr">
        <is>
          <t>유즈 스테이포에버 솔리드퍼퓸 002 (11차 예약구매 진행중)제품선택=커플추천스테이포에버 + 이그나이트 세트</t>
        </is>
      </c>
      <c r="E260" s="20" t="inlineStr">
        <is>
          <t>이그나이트 + 스테이포에버</t>
        </is>
      </c>
      <c r="F260" s="20" t="n">
        <v>210207</v>
      </c>
      <c r="G260" s="20">
        <f>B260&amp;C260&amp;D260&amp;F260</f>
        <v/>
      </c>
      <c r="H260" s="20" t="n">
        <v>58800</v>
      </c>
      <c r="I260" s="20" t="n">
        <v>0.0585</v>
      </c>
      <c r="J260" s="20" t="n">
        <v>5345</v>
      </c>
    </row>
    <row r="261" ht="16.5" customHeight="1" s="17">
      <c r="B261" s="20" t="inlineStr">
        <is>
          <t>카페24</t>
        </is>
      </c>
      <c r="C261" s="20" t="inlineStr">
        <is>
          <t>고체향수</t>
        </is>
      </c>
      <c r="D261" s="20" t="inlineStr">
        <is>
          <t>유즈 스테이포에버 솔리드퍼퓸 002 (11차 예약구매 진행중)쇼핑백=선물용 쇼핑백</t>
        </is>
      </c>
      <c r="E261" s="20" t="inlineStr">
        <is>
          <t>쇼핑백</t>
        </is>
      </c>
      <c r="F261" s="20" t="n">
        <v>210207</v>
      </c>
      <c r="G261" s="20">
        <f>B261&amp;C261&amp;D261&amp;F261</f>
        <v/>
      </c>
      <c r="H261" s="20" t="n">
        <v>2000</v>
      </c>
      <c r="I261" s="20" t="n">
        <v>0.0585</v>
      </c>
      <c r="J261" s="20" t="n">
        <v>830</v>
      </c>
    </row>
    <row r="262" ht="16.5" customHeight="1" s="17">
      <c r="B262" s="20" t="inlineStr">
        <is>
          <t>카페24</t>
        </is>
      </c>
      <c r="C262" s="20" t="inlineStr">
        <is>
          <t>고체향수</t>
        </is>
      </c>
      <c r="D262" s="20" t="inlineStr">
        <is>
          <t>유즈 솔리드퍼퓸 - 30ml (11차 예약구매 진행중)향=이그나이트 001 SOLID PERFUME, 세트 선택=1개</t>
        </is>
      </c>
      <c r="E262" s="20" t="inlineStr">
        <is>
          <t>이그나이트</t>
        </is>
      </c>
      <c r="F262" s="20" t="n">
        <v>210207</v>
      </c>
      <c r="G262" s="20">
        <f>B262&amp;C262&amp;D262&amp;F262</f>
        <v/>
      </c>
      <c r="H262" s="20" t="n">
        <v>34000</v>
      </c>
      <c r="I262" s="20" t="n">
        <v>0.0585</v>
      </c>
      <c r="J262" s="20" t="n">
        <v>2753</v>
      </c>
    </row>
    <row r="263" ht="16.5" customHeight="1" s="17">
      <c r="B263" s="20" t="inlineStr">
        <is>
          <t>카페24</t>
        </is>
      </c>
      <c r="C263" s="20" t="inlineStr">
        <is>
          <t>고체향수</t>
        </is>
      </c>
      <c r="D263" s="20" t="inlineStr">
        <is>
          <t>유즈 솔리드퍼퓸 - 30ml (11차 예약구매 진행중)향=스테이포에버 002 SOLID PERFUME, 세트 선택=best</t>
        </is>
      </c>
      <c r="E263" s="20" t="inlineStr">
        <is>
          <t>스테이포에버</t>
        </is>
      </c>
      <c r="F263" s="20" t="n">
        <v>210207</v>
      </c>
      <c r="G263" s="20">
        <f>B263&amp;C263&amp;D263&amp;F263</f>
        <v/>
      </c>
      <c r="H263" s="20" t="n">
        <v>34000</v>
      </c>
      <c r="I263" s="20" t="n">
        <v>0.0585</v>
      </c>
      <c r="J263" s="20" t="n">
        <v>2592</v>
      </c>
    </row>
    <row r="264" ht="16.5" customHeight="1" s="17">
      <c r="B264" s="20" t="inlineStr">
        <is>
          <t>카페24</t>
        </is>
      </c>
      <c r="C264" s="20" t="inlineStr">
        <is>
          <t>고체향수</t>
        </is>
      </c>
      <c r="D264" s="20" t="inlineStr">
        <is>
          <t>유즈 솔리드퍼퓸 - 30ml (11차 예약구매 진행중)향=커플세트</t>
        </is>
      </c>
      <c r="E264" s="20" t="inlineStr">
        <is>
          <t>이그나이트 + 스테이포에버</t>
        </is>
      </c>
      <c r="F264" s="20" t="n">
        <v>210207</v>
      </c>
      <c r="G264" s="20">
        <f>B264&amp;C264&amp;D264&amp;F264</f>
        <v/>
      </c>
      <c r="H264" s="20" t="n">
        <v>58800</v>
      </c>
      <c r="I264" s="20" t="n">
        <v>0.0585</v>
      </c>
      <c r="J264" s="20" t="n">
        <v>5345</v>
      </c>
    </row>
    <row r="265" ht="16.5" customHeight="1" s="17">
      <c r="B265" s="20" t="inlineStr">
        <is>
          <t>카페24</t>
        </is>
      </c>
      <c r="C265" s="20" t="inlineStr">
        <is>
          <t>고체향수</t>
        </is>
      </c>
      <c r="D265" s="20" t="inlineStr">
        <is>
          <t>유즈 솔리드퍼퓸 - 30ml (11차 예약구매 진행중)향=커플세트(이그나이트 + 스테이포에버), 세트 선택=1 SET</t>
        </is>
      </c>
      <c r="E265" s="20" t="inlineStr">
        <is>
          <t>이그나이트 + 스테이포에버</t>
        </is>
      </c>
      <c r="F265" s="20" t="n">
        <v>210207</v>
      </c>
      <c r="G265" s="20">
        <f>B265&amp;C265&amp;D265&amp;F265</f>
        <v/>
      </c>
      <c r="H265" s="20" t="n">
        <v>58800</v>
      </c>
      <c r="I265" s="20" t="n">
        <v>0.0585</v>
      </c>
      <c r="J265" s="20" t="n">
        <v>5345</v>
      </c>
    </row>
    <row r="266" ht="16.5" customHeight="1" s="17">
      <c r="B266" s="20" t="inlineStr">
        <is>
          <t>카페24</t>
        </is>
      </c>
      <c r="C266" s="20" t="inlineStr">
        <is>
          <t>고체향수</t>
        </is>
      </c>
      <c r="D266" s="20" t="inlineStr">
        <is>
          <t>유즈 솔리드퍼퓸 - 30ml (11차 예약구매 진행중)향=커플세트(이그나이트 + 스테이포에버), 세트 선택=2 SET (42% 할인)</t>
        </is>
      </c>
      <c r="E266" s="20" t="inlineStr">
        <is>
          <t>이그나이트 + 스테이포에버</t>
        </is>
      </c>
      <c r="F266" s="20" t="n">
        <v>210207</v>
      </c>
      <c r="G266" s="20">
        <f>B266&amp;C266&amp;D266&amp;F266</f>
        <v/>
      </c>
      <c r="H266" s="20" t="n">
        <v>58800</v>
      </c>
      <c r="I266" s="20" t="n">
        <v>0.0585</v>
      </c>
      <c r="J266" s="20" t="n">
        <v>5345</v>
      </c>
    </row>
    <row r="267" ht="16.5" customHeight="1" s="17">
      <c r="B267" s="20" t="inlineStr">
        <is>
          <t>카페24</t>
        </is>
      </c>
      <c r="C267" s="20" t="inlineStr">
        <is>
          <t>고체향수</t>
        </is>
      </c>
      <c r="D267" s="20" t="inlineStr">
        <is>
          <t>유즈 솔리드퍼퓸 - 30ml (11차 예약구매 진행중)향=이그나이트 001 SOLID PERFUME, 세트 선택=best</t>
        </is>
      </c>
      <c r="E267" s="20" t="inlineStr">
        <is>
          <t>이그나이트</t>
        </is>
      </c>
      <c r="F267" s="20" t="n">
        <v>210207</v>
      </c>
      <c r="G267" s="20">
        <f>B267&amp;C267&amp;D267&amp;F267</f>
        <v/>
      </c>
      <c r="H267" s="20" t="n">
        <v>34000</v>
      </c>
      <c r="I267" s="20" t="n">
        <v>0.0585</v>
      </c>
      <c r="J267" s="20" t="n">
        <v>2753</v>
      </c>
    </row>
    <row r="268" ht="16.5" customHeight="1" s="17">
      <c r="B268" s="20" t="inlineStr">
        <is>
          <t>유즈 CS</t>
        </is>
      </c>
      <c r="C268" s="20" t="inlineStr">
        <is>
          <t>고체향수</t>
        </is>
      </c>
      <c r="D268" s="20" t="inlineStr">
        <is>
          <t>유즈 솔리드퍼퓸 - 30ml (스테이포에버 주문 시 12/14 순차배송)향=스테이포에버, 세트 선택=1 개</t>
        </is>
      </c>
      <c r="E268" s="20" t="inlineStr">
        <is>
          <t>스테이포에버</t>
        </is>
      </c>
      <c r="F268" s="20" t="n">
        <v>210207</v>
      </c>
      <c r="G268" s="20">
        <f>B268&amp;C268&amp;D268&amp;F268</f>
        <v/>
      </c>
      <c r="H268" s="20" t="n">
        <v>0</v>
      </c>
      <c r="I268" s="20" t="n">
        <v>0</v>
      </c>
      <c r="J268" s="20" t="n">
        <v>2592</v>
      </c>
    </row>
    <row r="269" ht="16.5" customHeight="1" s="17">
      <c r="B269" s="20" t="inlineStr">
        <is>
          <t>유즈 CS</t>
        </is>
      </c>
      <c r="C269" s="20" t="inlineStr">
        <is>
          <t>고체향수</t>
        </is>
      </c>
      <c r="D269" s="20" t="inlineStr">
        <is>
          <t>유즈 스테이포에버 솔리드퍼퓸 002 (스테이포에버 주문시 12/14 순차배송)제품선택=스테이포에버 솔리드퍼퓸 002[Pre-order 이벤트 17% 할인]</t>
        </is>
      </c>
      <c r="E269" s="20" t="inlineStr">
        <is>
          <t>스테이포에버</t>
        </is>
      </c>
      <c r="F269" s="20" t="n">
        <v>210207</v>
      </c>
      <c r="G269" s="20">
        <f>B269&amp;C269&amp;D269&amp;F269</f>
        <v/>
      </c>
      <c r="H269" s="20" t="n">
        <v>0</v>
      </c>
      <c r="I269" s="20" t="n">
        <v>0</v>
      </c>
      <c r="J269" s="20" t="n">
        <v>2592</v>
      </c>
    </row>
    <row r="270" ht="16.5" customHeight="1" s="17">
      <c r="B270" s="20" t="inlineStr">
        <is>
          <t>카페24</t>
        </is>
      </c>
      <c r="C270" s="20" t="inlineStr">
        <is>
          <t>고체향수</t>
        </is>
      </c>
      <c r="D270" s="20" t="inlineStr">
        <is>
          <t>유즈 솔리드퍼퓸 - 30ml (11차 예약구매 진행중)향=이그나이트 001 SOLID PERFUME, 세트 선택=best 2개 (28% 할인)</t>
        </is>
      </c>
      <c r="E270" s="20" t="inlineStr">
        <is>
          <t>이그나이트 2set</t>
        </is>
      </c>
      <c r="F270" s="20" t="n">
        <v>210207</v>
      </c>
      <c r="G270" s="20">
        <f>B270&amp;C270&amp;D270&amp;F270</f>
        <v/>
      </c>
      <c r="H270" s="20" t="n">
        <v>58800</v>
      </c>
      <c r="I270" s="20" t="n">
        <v>0.0585</v>
      </c>
      <c r="J270" s="20" t="n">
        <v>5506</v>
      </c>
    </row>
    <row r="271" ht="16.5" customHeight="1" s="17">
      <c r="B271" s="20" t="inlineStr">
        <is>
          <t>스마트스토어</t>
        </is>
      </c>
      <c r="C271" s="20" t="inlineStr">
        <is>
          <t>고체향수</t>
        </is>
      </c>
      <c r="D271" s="20" t="inlineStr">
        <is>
          <t>유즈 고체향수 세트(유즈 스테이포에버, 유즈 이그나이트)고체향수: 이그나이트 2개</t>
        </is>
      </c>
      <c r="E271" s="20" t="inlineStr">
        <is>
          <t>이그나이트 2set</t>
        </is>
      </c>
      <c r="F271" s="20" t="n">
        <v>210207</v>
      </c>
      <c r="G271" s="20">
        <f>B271&amp;C271&amp;D271&amp;F271</f>
        <v/>
      </c>
      <c r="H271" s="20" t="n">
        <v>58800</v>
      </c>
      <c r="I271" s="20" t="n">
        <v>0.02</v>
      </c>
      <c r="J271" s="20" t="n">
        <v>5506</v>
      </c>
    </row>
    <row r="272" ht="16.5" customHeight="1" s="17">
      <c r="B272" s="20" t="inlineStr">
        <is>
          <t>카페24</t>
        </is>
      </c>
      <c r="C272" s="20" t="inlineStr">
        <is>
          <t>고체향수</t>
        </is>
      </c>
      <c r="D272" s="20" t="inlineStr">
        <is>
          <t>유즈 솔리드퍼퓸 - 30ml향=스테이포에버 002 SOLID PERFUME, 세트 선택=1개</t>
        </is>
      </c>
      <c r="E272" s="20" t="inlineStr">
        <is>
          <t>스테이포에버</t>
        </is>
      </c>
      <c r="F272" s="20" t="n">
        <v>210207</v>
      </c>
      <c r="G272" s="20">
        <f>B272&amp;C272&amp;D272&amp;F272</f>
        <v/>
      </c>
      <c r="H272" s="20" t="n">
        <v>34000</v>
      </c>
      <c r="I272" s="20" t="n">
        <v>0.0585</v>
      </c>
      <c r="J272" s="20" t="n">
        <v>2592</v>
      </c>
    </row>
    <row r="273" ht="16.5" customHeight="1" s="17">
      <c r="B273" s="20" t="inlineStr">
        <is>
          <t>카페24</t>
        </is>
      </c>
      <c r="C273" s="20" t="inlineStr">
        <is>
          <t>고체향수</t>
        </is>
      </c>
      <c r="D273" s="20" t="inlineStr">
        <is>
          <t>유즈 솔리드퍼퓸 - 30ml향=스테이포에버 002 SOLID PERFUME, 세트 선택=best</t>
        </is>
      </c>
      <c r="E273" s="20" t="inlineStr">
        <is>
          <t>스테이포에버</t>
        </is>
      </c>
      <c r="F273" s="20" t="n">
        <v>210207</v>
      </c>
      <c r="G273" s="20">
        <f>B273&amp;C273&amp;D273&amp;F273</f>
        <v/>
      </c>
      <c r="H273" s="20" t="n">
        <v>34000</v>
      </c>
      <c r="I273" s="20" t="n">
        <v>0.0585</v>
      </c>
      <c r="J273" s="20" t="n">
        <v>2592</v>
      </c>
    </row>
    <row r="274" ht="16.5" customHeight="1" s="17">
      <c r="B274" s="20" t="inlineStr">
        <is>
          <t>카페24</t>
        </is>
      </c>
      <c r="C274" s="20" t="inlineStr">
        <is>
          <t>고체향수</t>
        </is>
      </c>
      <c r="D274" s="20" t="inlineStr">
        <is>
          <t>유즈 솔리드퍼퓸 - 30ml향=커플세트</t>
        </is>
      </c>
      <c r="E274" s="20" t="inlineStr">
        <is>
          <t>이그나이트 + 스테이포에버</t>
        </is>
      </c>
      <c r="F274" s="20" t="n">
        <v>210207</v>
      </c>
      <c r="G274" s="20">
        <f>B274&amp;C274&amp;D274&amp;F274</f>
        <v/>
      </c>
      <c r="H274" s="20" t="n">
        <v>58800</v>
      </c>
      <c r="I274" s="20" t="n">
        <v>0.0585</v>
      </c>
      <c r="J274" s="20" t="n">
        <v>5345</v>
      </c>
    </row>
    <row r="275" ht="16.5" customHeight="1" s="17">
      <c r="B275" s="20" t="inlineStr">
        <is>
          <t>카페24</t>
        </is>
      </c>
      <c r="C275" s="20" t="inlineStr">
        <is>
          <t>고체향수</t>
        </is>
      </c>
      <c r="D275" s="20" t="inlineStr">
        <is>
          <t>유즈 솔리드퍼퓸 - 30ml향=커플세트(이그나이트 + 스테이포에버), 세트 선택=1 SET</t>
        </is>
      </c>
      <c r="E275" s="20" t="inlineStr">
        <is>
          <t>이그나이트 + 스테이포에버</t>
        </is>
      </c>
      <c r="F275" s="20" t="n">
        <v>210207</v>
      </c>
      <c r="G275" s="20">
        <f>B275&amp;C275&amp;D275&amp;F275</f>
        <v/>
      </c>
      <c r="H275" s="20" t="n">
        <v>58800</v>
      </c>
      <c r="I275" s="20" t="n">
        <v>0.0585</v>
      </c>
      <c r="J275" s="20" t="n">
        <v>5345</v>
      </c>
    </row>
    <row r="276" ht="16.5" customHeight="1" s="17">
      <c r="B276" s="20" t="inlineStr">
        <is>
          <t>카페24</t>
        </is>
      </c>
      <c r="C276" s="20" t="inlineStr">
        <is>
          <t>고체향수</t>
        </is>
      </c>
      <c r="D276" s="20" t="inlineStr">
        <is>
          <t>유즈 스테이포에버 솔리드퍼퓸 002제품선택=스테이포에버 1개</t>
        </is>
      </c>
      <c r="E276" s="20" t="inlineStr">
        <is>
          <t>스테이포에버</t>
        </is>
      </c>
      <c r="F276" s="20" t="n">
        <v>210207</v>
      </c>
      <c r="G276" s="20">
        <f>B276&amp;C276&amp;D276&amp;F276</f>
        <v/>
      </c>
      <c r="H276" s="20" t="n">
        <v>34000</v>
      </c>
      <c r="I276" s="20" t="n">
        <v>0.0585</v>
      </c>
      <c r="J276" s="20" t="n">
        <v>2592</v>
      </c>
    </row>
    <row r="277" ht="16.5" customHeight="1" s="17">
      <c r="B277" s="20" t="inlineStr">
        <is>
          <t>카페24</t>
        </is>
      </c>
      <c r="C277" s="20" t="inlineStr">
        <is>
          <t>고체향수</t>
        </is>
      </c>
      <c r="D277" s="20" t="inlineStr">
        <is>
          <t>유즈 스테이포에버 솔리드퍼퓸 002제품선택=best</t>
        </is>
      </c>
      <c r="E277" s="20" t="inlineStr">
        <is>
          <t>스테이포에버</t>
        </is>
      </c>
      <c r="F277" s="20" t="n">
        <v>210207</v>
      </c>
      <c r="G277" s="20">
        <f>B277&amp;C277&amp;D277&amp;F277</f>
        <v/>
      </c>
      <c r="H277" s="20" t="n">
        <v>34000</v>
      </c>
      <c r="I277" s="20" t="n">
        <v>0.0585</v>
      </c>
      <c r="J277" s="20" t="n">
        <v>2592</v>
      </c>
    </row>
    <row r="278" ht="16.5" customHeight="1" s="17">
      <c r="B278" s="20" t="inlineStr">
        <is>
          <t>카페24</t>
        </is>
      </c>
      <c r="C278" s="20" t="inlineStr">
        <is>
          <t>고체향수</t>
        </is>
      </c>
      <c r="D278" s="20" t="inlineStr">
        <is>
          <t>유즈 스테이포에버 솔리드퍼퓸 002제품선택=best스테이포에버 2개[28% 할인]</t>
        </is>
      </c>
      <c r="E278" s="20" t="inlineStr">
        <is>
          <t>스테이포에버</t>
        </is>
      </c>
      <c r="F278" s="20" t="n">
        <v>210207</v>
      </c>
      <c r="G278" s="20">
        <f>B278&amp;C278&amp;D278&amp;F278</f>
        <v/>
      </c>
      <c r="H278" s="20" t="n">
        <v>34000</v>
      </c>
      <c r="I278" s="20" t="n">
        <v>0.0585</v>
      </c>
      <c r="J278" s="20" t="n">
        <v>2592</v>
      </c>
    </row>
    <row r="279" ht="16.5" customHeight="1" s="17">
      <c r="B279" s="20" t="inlineStr">
        <is>
          <t>카페24</t>
        </is>
      </c>
      <c r="C279" s="20" t="inlineStr">
        <is>
          <t>고체향수</t>
        </is>
      </c>
      <c r="D279" s="20" t="inlineStr">
        <is>
          <t>유즈 스테이포에버 솔리드퍼퓸 002제품선택=커플추천</t>
        </is>
      </c>
      <c r="E279" s="20" t="inlineStr">
        <is>
          <t>이그나이트 + 스테이포에버</t>
        </is>
      </c>
      <c r="F279" s="20" t="n">
        <v>210207</v>
      </c>
      <c r="G279" s="20">
        <f>B279&amp;C279&amp;D279&amp;F279</f>
        <v/>
      </c>
      <c r="H279" s="20" t="n">
        <v>58800</v>
      </c>
      <c r="I279" s="20" t="n">
        <v>0.0585</v>
      </c>
      <c r="J279" s="20" t="n">
        <v>5345</v>
      </c>
    </row>
    <row r="280" ht="16.5" customHeight="1" s="17">
      <c r="B280" s="20" t="inlineStr">
        <is>
          <t>카페24</t>
        </is>
      </c>
      <c r="C280" s="20" t="inlineStr">
        <is>
          <t>고체향수</t>
        </is>
      </c>
      <c r="D280" s="20" t="inlineStr">
        <is>
          <t>유즈 스테이포에버 솔리드퍼퓸 002제품선택=커플추천스테이포에버 + 이그나이트 세트</t>
        </is>
      </c>
      <c r="E280" s="20" t="inlineStr">
        <is>
          <t>이그나이트 + 스테이포에버</t>
        </is>
      </c>
      <c r="F280" s="20" t="n">
        <v>210207</v>
      </c>
      <c r="G280" s="20">
        <f>B280&amp;C280&amp;D280&amp;F280</f>
        <v/>
      </c>
      <c r="H280" s="20" t="n">
        <v>58800</v>
      </c>
      <c r="I280" s="20" t="n">
        <v>0.0585</v>
      </c>
      <c r="J280" s="20" t="n">
        <v>5345</v>
      </c>
    </row>
    <row r="281" ht="16.5" customHeight="1" s="17">
      <c r="B281" s="20" t="inlineStr">
        <is>
          <t>카페24</t>
        </is>
      </c>
      <c r="C281" s="20" t="inlineStr">
        <is>
          <t>고체향수</t>
        </is>
      </c>
      <c r="D281" s="20" t="inlineStr">
        <is>
          <t>유즈 스테이포에버 솔리드퍼퓸 002쇼핑백=선물용 쇼핑백</t>
        </is>
      </c>
      <c r="E281" s="20" t="inlineStr">
        <is>
          <t>쇼핑백</t>
        </is>
      </c>
      <c r="F281" s="20" t="n">
        <v>210207</v>
      </c>
      <c r="G281" s="20">
        <f>B281&amp;C281&amp;D281&amp;F281</f>
        <v/>
      </c>
      <c r="H281" s="20" t="n">
        <v>2000</v>
      </c>
      <c r="I281" s="20" t="n">
        <v>0.0585</v>
      </c>
      <c r="J281" s="20" t="n">
        <v>830</v>
      </c>
    </row>
    <row r="282" ht="16.5" customHeight="1" s="17">
      <c r="B282" s="20" t="inlineStr">
        <is>
          <t>카페24</t>
        </is>
      </c>
      <c r="C282" s="20" t="inlineStr">
        <is>
          <t>고체향수</t>
        </is>
      </c>
      <c r="D282" s="20" t="inlineStr">
        <is>
          <t>유즈 솔리드퍼퓸 - 30ml향=이그나이트 001 SOLID PERFUME, 세트 선택=1개</t>
        </is>
      </c>
      <c r="E282" s="20" t="inlineStr">
        <is>
          <t>이그나이트</t>
        </is>
      </c>
      <c r="F282" s="20" t="n">
        <v>210207</v>
      </c>
      <c r="G282" s="20">
        <f>B282&amp;C282&amp;D282&amp;F282</f>
        <v/>
      </c>
      <c r="H282" s="20" t="n">
        <v>34000</v>
      </c>
      <c r="I282" s="20" t="n">
        <v>0.0585</v>
      </c>
      <c r="J282" s="20" t="n">
        <v>2753</v>
      </c>
    </row>
    <row r="283" ht="16.5" customHeight="1" s="17">
      <c r="B283" s="20" t="inlineStr">
        <is>
          <t>스마트스토어</t>
        </is>
      </c>
      <c r="C283" s="20" t="inlineStr">
        <is>
          <t>고체향수</t>
        </is>
      </c>
      <c r="D283" s="20" t="inlineStr">
        <is>
          <t>유즈 고체향수 이그나이트 001고체향수: 이그나이트 1개</t>
        </is>
      </c>
      <c r="E283" s="20" t="inlineStr">
        <is>
          <t>이그나이트</t>
        </is>
      </c>
      <c r="F283" s="20" t="n">
        <v>210207</v>
      </c>
      <c r="G283" s="20">
        <f>B283&amp;C283&amp;D283&amp;F283</f>
        <v/>
      </c>
      <c r="H283" s="20" t="n">
        <v>34000</v>
      </c>
      <c r="I283" s="20" t="n">
        <v>0.02</v>
      </c>
      <c r="J283" s="20" t="n">
        <v>2753</v>
      </c>
    </row>
    <row r="284" ht="16.5" customHeight="1" s="17">
      <c r="B284" s="20" t="inlineStr">
        <is>
          <t>스마트스토어</t>
        </is>
      </c>
      <c r="C284" s="20" t="inlineStr">
        <is>
          <t>고체향수</t>
        </is>
      </c>
      <c r="D284" s="20" t="inlineStr">
        <is>
          <t>유즈 고체향수 세트(유즈 스테이포에버, 유즈 이그나이트)고체향수: 이그나이트 1개</t>
        </is>
      </c>
      <c r="E284" s="20" t="inlineStr">
        <is>
          <t>이그나이트</t>
        </is>
      </c>
      <c r="F284" s="20" t="n">
        <v>210207</v>
      </c>
      <c r="G284" s="20">
        <f>B284&amp;C284&amp;D284&amp;F284</f>
        <v/>
      </c>
      <c r="H284" s="20" t="n">
        <v>34000</v>
      </c>
      <c r="I284" s="20" t="n">
        <v>0.02</v>
      </c>
      <c r="J284" s="20" t="n">
        <v>2753</v>
      </c>
    </row>
    <row r="285" ht="16.5" customHeight="1" s="17">
      <c r="B285" s="20" t="inlineStr">
        <is>
          <t>W컨셉</t>
        </is>
      </c>
      <c r="C285" s="20" t="inlineStr">
        <is>
          <t>고체향수</t>
        </is>
      </c>
      <c r="D285" s="20" t="inlineStr">
        <is>
          <t>솔리드퍼퓸 이그나이트/스테이포에버 30ml (2종 택1)&lt;옵션1&gt;001 IGNITE</t>
        </is>
      </c>
      <c r="E285" s="20" t="inlineStr">
        <is>
          <t>이그나이트</t>
        </is>
      </c>
      <c r="F285" s="20" t="n">
        <v>210207</v>
      </c>
      <c r="G285" s="20">
        <f>B285&amp;C285&amp;D285&amp;F285</f>
        <v/>
      </c>
      <c r="H285" s="20" t="n">
        <v>34000</v>
      </c>
      <c r="I285" s="20" t="n">
        <v>0.3</v>
      </c>
      <c r="J285" s="20" t="n">
        <v>2753</v>
      </c>
    </row>
    <row r="286" ht="16.5" customHeight="1" s="17">
      <c r="B286" s="20" t="inlineStr">
        <is>
          <t>카페24</t>
        </is>
      </c>
      <c r="C286" s="20" t="inlineStr">
        <is>
          <t>고체향수</t>
        </is>
      </c>
      <c r="D286" s="20" t="inlineStr">
        <is>
          <t>유즈 솔리드퍼퓸 - 30ml향=스테이포에버 002 SOLID PERFUME, 세트 선택=best 2개 (28% 할인)</t>
        </is>
      </c>
      <c r="E286" s="20" t="inlineStr">
        <is>
          <t>스테이포에버 2set</t>
        </is>
      </c>
      <c r="F286" s="20" t="n">
        <v>210207</v>
      </c>
      <c r="G286" s="20">
        <f>B286&amp;C286&amp;D286&amp;F286</f>
        <v/>
      </c>
      <c r="H286" s="20" t="n">
        <v>58800</v>
      </c>
      <c r="I286" s="20" t="n">
        <v>0.0585</v>
      </c>
      <c r="J286" s="20" t="n">
        <v>5184</v>
      </c>
    </row>
    <row r="287" ht="16.5" customHeight="1" s="17">
      <c r="B287" s="20" t="inlineStr">
        <is>
          <t>카페24</t>
        </is>
      </c>
      <c r="C287" s="20" t="inlineStr">
        <is>
          <t>고체향수</t>
        </is>
      </c>
      <c r="D287" s="20" t="inlineStr">
        <is>
          <t>유즈 솔리드퍼퓸 - 30ml향=커플세트(이그나이트 + 스테이포에버), 세트 선택=2 SET (42% 할인)</t>
        </is>
      </c>
      <c r="E287" s="20" t="inlineStr">
        <is>
          <t>이그나이트 + 스테이포에버</t>
        </is>
      </c>
      <c r="F287" s="20" t="n">
        <v>210207</v>
      </c>
      <c r="G287" s="20">
        <f>B287&amp;C287&amp;D287&amp;F287</f>
        <v/>
      </c>
      <c r="H287" s="20" t="n">
        <v>58800</v>
      </c>
      <c r="I287" s="20" t="n">
        <v>0.0585</v>
      </c>
      <c r="J287" s="20" t="n">
        <v>5345</v>
      </c>
    </row>
    <row r="288" ht="16.5" customHeight="1" s="17">
      <c r="B288" s="20" t="inlineStr">
        <is>
          <t>카페24</t>
        </is>
      </c>
      <c r="C288" s="20" t="inlineStr">
        <is>
          <t>고체향수</t>
        </is>
      </c>
      <c r="D288" s="20" t="inlineStr">
        <is>
          <t>유즈 솔리드퍼퓸 - 스테이포에버 002제품선택=스테이포에버 1개</t>
        </is>
      </c>
      <c r="E288" s="20" t="inlineStr">
        <is>
          <t>스테이포에버</t>
        </is>
      </c>
      <c r="F288" s="20" t="n">
        <v>210207</v>
      </c>
      <c r="G288" s="20">
        <f>B288&amp;C288&amp;D288&amp;F288</f>
        <v/>
      </c>
      <c r="H288" s="20" t="n">
        <v>34000</v>
      </c>
      <c r="I288" s="20" t="n">
        <v>0.0585</v>
      </c>
      <c r="J288" s="20" t="n">
        <v>2592</v>
      </c>
    </row>
    <row r="289" ht="16.5" customHeight="1" s="17">
      <c r="B289" s="20" t="inlineStr">
        <is>
          <t>카페24</t>
        </is>
      </c>
      <c r="C289" s="20" t="inlineStr">
        <is>
          <t>고체향수</t>
        </is>
      </c>
      <c r="D289" s="20" t="inlineStr">
        <is>
          <t>유즈 솔리드퍼퓸 - 스테이포에버 002제품선택=best</t>
        </is>
      </c>
      <c r="E289" s="20" t="inlineStr">
        <is>
          <t>스테이포에버</t>
        </is>
      </c>
      <c r="F289" s="20" t="n">
        <v>210207</v>
      </c>
      <c r="G289" s="20">
        <f>B289&amp;C289&amp;D289&amp;F289</f>
        <v/>
      </c>
      <c r="H289" s="20" t="n">
        <v>34000</v>
      </c>
      <c r="I289" s="20" t="n">
        <v>0.0585</v>
      </c>
      <c r="J289" s="20" t="n">
        <v>2592</v>
      </c>
    </row>
    <row r="290" ht="16.5" customHeight="1" s="17">
      <c r="B290" s="20" t="inlineStr">
        <is>
          <t>카페24</t>
        </is>
      </c>
      <c r="C290" s="20" t="inlineStr">
        <is>
          <t>고체향수</t>
        </is>
      </c>
      <c r="D290" s="20" t="inlineStr">
        <is>
          <t>유즈 솔리드퍼퓸 - 스테이포에버 002제품선택=best스테이포에버 2개[28% 할인]</t>
        </is>
      </c>
      <c r="E290" s="20" t="inlineStr">
        <is>
          <t>스테이포에버 2set</t>
        </is>
      </c>
      <c r="F290" s="20" t="n">
        <v>210207</v>
      </c>
      <c r="G290" s="20">
        <f>B290&amp;C290&amp;D290&amp;F290</f>
        <v/>
      </c>
      <c r="H290" s="20" t="n">
        <v>58800</v>
      </c>
      <c r="I290" s="20" t="n">
        <v>0.0585</v>
      </c>
      <c r="J290" s="20" t="n">
        <v>5184</v>
      </c>
    </row>
    <row r="291" ht="16.5" customHeight="1" s="17">
      <c r="B291" s="20" t="inlineStr">
        <is>
          <t>카페24</t>
        </is>
      </c>
      <c r="C291" s="20" t="inlineStr">
        <is>
          <t>고체향수</t>
        </is>
      </c>
      <c r="D291" s="20" t="inlineStr">
        <is>
          <t>유즈 솔리드퍼퓸 - 스테이포에버 002제품선택=커플추천</t>
        </is>
      </c>
      <c r="E291" s="20" t="inlineStr">
        <is>
          <t>이그나이트 + 스테이포에버</t>
        </is>
      </c>
      <c r="F291" s="20" t="n">
        <v>210207</v>
      </c>
      <c r="G291" s="20">
        <f>B291&amp;C291&amp;D291&amp;F291</f>
        <v/>
      </c>
      <c r="H291" s="20" t="n">
        <v>58800</v>
      </c>
      <c r="I291" s="20" t="n">
        <v>0.0585</v>
      </c>
      <c r="J291" s="20" t="n">
        <v>5345</v>
      </c>
    </row>
    <row r="292" ht="16.5" customHeight="1" s="17">
      <c r="B292" s="20" t="inlineStr">
        <is>
          <t>카페24</t>
        </is>
      </c>
      <c r="C292" s="20" t="inlineStr">
        <is>
          <t>고체향수</t>
        </is>
      </c>
      <c r="D292" s="20" t="inlineStr">
        <is>
          <t>유즈 솔리드퍼퓸 - 스테이포에버 002제품선택=커플추천스테이포에버 + 이그나이트 세트</t>
        </is>
      </c>
      <c r="E292" s="20" t="inlineStr">
        <is>
          <t>이그나이트 + 스테이포에버</t>
        </is>
      </c>
      <c r="F292" s="20" t="n">
        <v>210207</v>
      </c>
      <c r="G292" s="20">
        <f>B292&amp;C292&amp;D292&amp;F292</f>
        <v/>
      </c>
      <c r="H292" s="20" t="n">
        <v>58800</v>
      </c>
      <c r="I292" s="20" t="n">
        <v>0.0585</v>
      </c>
      <c r="J292" s="20" t="n">
        <v>5345</v>
      </c>
    </row>
    <row r="293" ht="16.5" customHeight="1" s="17">
      <c r="B293" s="20" t="inlineStr">
        <is>
          <t>카페24</t>
        </is>
      </c>
      <c r="C293" s="20" t="inlineStr">
        <is>
          <t>쇼핑백</t>
        </is>
      </c>
      <c r="D293" s="20" t="inlineStr">
        <is>
          <t>유즈 솔리드퍼퓸 - 스테이포에버 002쇼핑백=선물용 쇼핑백</t>
        </is>
      </c>
      <c r="E293" s="20" t="inlineStr">
        <is>
          <t>쇼핑백</t>
        </is>
      </c>
      <c r="F293" s="20" t="n">
        <v>210207</v>
      </c>
      <c r="G293" s="20">
        <f>B293&amp;C293&amp;D293&amp;F293</f>
        <v/>
      </c>
      <c r="H293" s="20" t="n">
        <v>2000</v>
      </c>
      <c r="I293" s="20" t="n">
        <v>0.0585</v>
      </c>
      <c r="J293" s="20" t="n">
        <v>830</v>
      </c>
    </row>
    <row r="294" ht="16.5" customHeight="1" s="17">
      <c r="B294" s="20" t="inlineStr">
        <is>
          <t>카페24</t>
        </is>
      </c>
      <c r="C294" s="20" t="inlineStr">
        <is>
          <t>고체향수</t>
        </is>
      </c>
      <c r="D294" s="20" t="inlineStr">
        <is>
          <t>유즈 솔리드퍼퓸 - 이그나이트 001제품선택=이그나이트 솔리드퍼퓸 - 30ml</t>
        </is>
      </c>
      <c r="E294" s="20" t="inlineStr">
        <is>
          <t>이그나이트</t>
        </is>
      </c>
      <c r="F294" s="20" t="n">
        <v>210207</v>
      </c>
      <c r="G294" s="20">
        <f>B294&amp;C294&amp;D294&amp;F294</f>
        <v/>
      </c>
      <c r="H294" s="20" t="n">
        <v>34000</v>
      </c>
      <c r="I294" s="20" t="n">
        <v>0</v>
      </c>
      <c r="J294" s="20" t="n">
        <v>2753</v>
      </c>
    </row>
    <row r="295" ht="16.5" customHeight="1" s="17">
      <c r="B295" s="20" t="inlineStr">
        <is>
          <t>유즈 CS</t>
        </is>
      </c>
      <c r="C295" s="20" t="inlineStr">
        <is>
          <t>고체향수</t>
        </is>
      </c>
      <c r="D295" s="20" t="inlineStr">
        <is>
          <t>유즈 스테이포에버 솔리드퍼퓸 002제품선택=커플추천</t>
        </is>
      </c>
      <c r="E295" s="20" t="inlineStr">
        <is>
          <t>이그나이트 + 스테이포에버</t>
        </is>
      </c>
      <c r="F295" s="20" t="n">
        <v>210207</v>
      </c>
      <c r="G295" s="20">
        <f>B295&amp;C295&amp;D295&amp;F295</f>
        <v/>
      </c>
      <c r="H295" s="20" t="n">
        <v>0</v>
      </c>
      <c r="I295" s="20" t="n">
        <v>0</v>
      </c>
      <c r="J295" s="20" t="n">
        <v>5345</v>
      </c>
    </row>
    <row r="296" ht="16.5" customHeight="1" s="17">
      <c r="B296" s="20" t="inlineStr">
        <is>
          <t>카페24</t>
        </is>
      </c>
      <c r="C296" s="20" t="inlineStr">
        <is>
          <t>고체향수</t>
        </is>
      </c>
      <c r="D296" s="20" t="inlineStr">
        <is>
          <t>유즈 솔리드퍼퓸 - 이그나이트 001제품선택=이그나이트 2개 세트</t>
        </is>
      </c>
      <c r="E296" s="20" t="inlineStr">
        <is>
          <t>이그나이트 2set</t>
        </is>
      </c>
      <c r="F296" s="20" t="n">
        <v>210207</v>
      </c>
      <c r="G296" s="20">
        <f>B296&amp;C296&amp;D296&amp;F296</f>
        <v/>
      </c>
      <c r="H296" s="20" t="n">
        <v>58800</v>
      </c>
      <c r="I296" s="20" t="n">
        <v>0.0585</v>
      </c>
      <c r="J296" s="20" t="n">
        <v>5506</v>
      </c>
    </row>
    <row r="297" ht="16.5" customHeight="1" s="17">
      <c r="B297" s="20" t="inlineStr">
        <is>
          <t>카페24</t>
        </is>
      </c>
      <c r="C297" s="20" t="inlineStr">
        <is>
          <t>쇼핑백</t>
        </is>
      </c>
      <c r="D297" s="20" t="inlineStr">
        <is>
          <t>유즈 솔리드퍼퓸 - 이그나이트 001쇼핑백=선물용 쇼핑백</t>
        </is>
      </c>
      <c r="E297" s="20" t="inlineStr">
        <is>
          <t>쇼핑백</t>
        </is>
      </c>
      <c r="F297" s="20" t="n">
        <v>210207</v>
      </c>
      <c r="G297" s="20">
        <f>B297&amp;C297&amp;D297&amp;F297</f>
        <v/>
      </c>
      <c r="H297" s="20" t="n">
        <v>2000</v>
      </c>
      <c r="I297" s="20" t="n">
        <v>0.0585</v>
      </c>
      <c r="J297" s="20" t="n">
        <v>830</v>
      </c>
    </row>
    <row r="298" ht="16.5" customHeight="1" s="17">
      <c r="B298" s="20" t="inlineStr">
        <is>
          <t>카페24</t>
        </is>
      </c>
      <c r="C298" s="20" t="inlineStr">
        <is>
          <t>고체향수</t>
        </is>
      </c>
      <c r="D298" s="20" t="inlineStr">
        <is>
          <t>유즈 솔리드퍼퓸 - 30ml향=이그나이트 001 SOLID PERFUME, 세트 선택=best 2개 (28% 할인)</t>
        </is>
      </c>
      <c r="E298" s="20" t="inlineStr">
        <is>
          <t>이그나이트 2set</t>
        </is>
      </c>
      <c r="F298" s="20" t="n">
        <v>210207</v>
      </c>
      <c r="G298" s="20">
        <f>B298&amp;C298&amp;D298&amp;F298</f>
        <v/>
      </c>
      <c r="H298" s="20" t="n">
        <v>58800</v>
      </c>
      <c r="I298" s="20" t="n">
        <v>0.0585</v>
      </c>
      <c r="J298" s="20" t="n">
        <v>5506</v>
      </c>
    </row>
    <row r="299" ht="16.5" customHeight="1" s="17">
      <c r="B299" s="20" t="inlineStr">
        <is>
          <t>카페24</t>
        </is>
      </c>
      <c r="C299" s="20" t="inlineStr">
        <is>
          <t>고체향수</t>
        </is>
      </c>
      <c r="D299" s="20" t="inlineStr">
        <is>
          <t>솔리드퍼퓸 세트향=이그나이트 001 SOLID PERFUME, 세트 선택=1개</t>
        </is>
      </c>
      <c r="E299" s="20" t="inlineStr">
        <is>
          <t>이그나이트</t>
        </is>
      </c>
      <c r="F299" s="20" t="n">
        <v>210207</v>
      </c>
      <c r="G299" s="20">
        <f>B299&amp;C299&amp;D299&amp;F299</f>
        <v/>
      </c>
      <c r="H299" s="20" t="n">
        <v>34000</v>
      </c>
      <c r="I299" s="20" t="n">
        <v>0.0585</v>
      </c>
      <c r="J299" s="20" t="n">
        <v>2753</v>
      </c>
    </row>
    <row r="300" ht="16.5" customHeight="1" s="17">
      <c r="B300" s="20" t="inlineStr">
        <is>
          <t>카페24</t>
        </is>
      </c>
      <c r="C300" s="20" t="inlineStr">
        <is>
          <t>고체향수</t>
        </is>
      </c>
      <c r="D300" s="20" t="inlineStr">
        <is>
          <t>솔리드퍼퓸 세트향=스테이포에버 002 SOLID PERFUME, 세트 선택=1개</t>
        </is>
      </c>
      <c r="E300" s="20" t="inlineStr">
        <is>
          <t>스테이포에버</t>
        </is>
      </c>
      <c r="F300" s="20" t="n">
        <v>210207</v>
      </c>
      <c r="G300" s="20">
        <f>B300&amp;C300&amp;D300&amp;F300</f>
        <v/>
      </c>
      <c r="H300" s="20" t="n">
        <v>34000</v>
      </c>
      <c r="I300" s="20" t="n">
        <v>0.0585</v>
      </c>
      <c r="J300" s="20" t="n">
        <v>2592</v>
      </c>
    </row>
    <row r="301" ht="16.5" customHeight="1" s="17">
      <c r="B301" s="20" t="inlineStr">
        <is>
          <t>카페24</t>
        </is>
      </c>
      <c r="C301" s="20" t="inlineStr">
        <is>
          <t>고체향수</t>
        </is>
      </c>
      <c r="D301" s="20" t="inlineStr">
        <is>
          <t>솔리드퍼퓸 세트향=스테이포에버 002 SOLID PERFUME, 세트 선택=best 2개 (28% 할인)</t>
        </is>
      </c>
      <c r="E301" s="20" t="inlineStr">
        <is>
          <t>스테이포에버 2set</t>
        </is>
      </c>
      <c r="F301" s="20" t="n">
        <v>210207</v>
      </c>
      <c r="G301" s="20">
        <f>B301&amp;C301&amp;D301&amp;F301</f>
        <v/>
      </c>
      <c r="H301" s="20" t="n">
        <v>58800</v>
      </c>
      <c r="I301" s="20" t="n">
        <v>0.0585</v>
      </c>
      <c r="J301" s="20" t="n">
        <v>5184</v>
      </c>
    </row>
    <row r="302" ht="16.5" customHeight="1" s="17">
      <c r="B302" s="20" t="inlineStr">
        <is>
          <t>카페24</t>
        </is>
      </c>
      <c r="C302" s="20" t="inlineStr">
        <is>
          <t>고체향수</t>
        </is>
      </c>
      <c r="D302" s="20" t="inlineStr">
        <is>
          <t>솔리드퍼퓸 세트향=커플세트(이그나이트 + 스테이포에버), 세트 선택=1 SET</t>
        </is>
      </c>
      <c r="E302" s="20" t="inlineStr">
        <is>
          <t>이그나이트 + 스테이포에버</t>
        </is>
      </c>
      <c r="F302" s="20" t="n">
        <v>210207</v>
      </c>
      <c r="G302" s="20">
        <f>B302&amp;C302&amp;D302&amp;F302</f>
        <v/>
      </c>
      <c r="H302" s="20" t="n">
        <v>58800</v>
      </c>
      <c r="I302" s="20" t="n">
        <v>0.0585</v>
      </c>
      <c r="J302" s="20" t="n">
        <v>5345</v>
      </c>
    </row>
    <row r="303" ht="16.5" customHeight="1" s="17">
      <c r="B303" s="20" t="inlineStr">
        <is>
          <t>카페24</t>
        </is>
      </c>
      <c r="C303" s="20" t="inlineStr">
        <is>
          <t>고체향수</t>
        </is>
      </c>
      <c r="D303" s="20" t="inlineStr">
        <is>
          <t>솔리드퍼퓸 스테이포에버 002제품선택=스테이포에버 1개</t>
        </is>
      </c>
      <c r="E303" s="20" t="inlineStr">
        <is>
          <t>스테이포에버</t>
        </is>
      </c>
      <c r="F303" s="20" t="n">
        <v>210207</v>
      </c>
      <c r="G303" s="20">
        <f>B303&amp;C303&amp;D303&amp;F303</f>
        <v/>
      </c>
      <c r="H303" s="20" t="n">
        <v>34000</v>
      </c>
      <c r="I303" s="20" t="n">
        <v>0.0585</v>
      </c>
      <c r="J303" s="20" t="n">
        <v>2592</v>
      </c>
    </row>
    <row r="304" ht="16.5" customHeight="1" s="17">
      <c r="B304" s="20" t="inlineStr">
        <is>
          <t>스마트스토어</t>
        </is>
      </c>
      <c r="C304" s="20" t="inlineStr">
        <is>
          <t>고체향수</t>
        </is>
      </c>
      <c r="D304" s="20" t="inlineStr">
        <is>
          <t>유즈 고체향수 스테이포에버 002고체향수: 스테이포에버 1개</t>
        </is>
      </c>
      <c r="E304" s="20" t="inlineStr">
        <is>
          <t>스테이포에버</t>
        </is>
      </c>
      <c r="F304" s="20" t="n">
        <v>210207</v>
      </c>
      <c r="G304" s="20">
        <f>B304&amp;C304&amp;D304&amp;F304</f>
        <v/>
      </c>
      <c r="H304" s="20" t="n">
        <v>34000</v>
      </c>
      <c r="I304" s="20" t="n">
        <v>0.02</v>
      </c>
      <c r="J304" s="20" t="n">
        <v>2592</v>
      </c>
    </row>
    <row r="305" ht="16.5" customHeight="1" s="17">
      <c r="B305" s="20" t="inlineStr">
        <is>
          <t>스마트스토어</t>
        </is>
      </c>
      <c r="C305" s="20" t="inlineStr">
        <is>
          <t>고체향수</t>
        </is>
      </c>
      <c r="D305" s="20" t="inlineStr">
        <is>
          <t>유즈 고체향수 세트(유즈 스테이포에버, 유즈 이그나이트)고체향수: 스테이포에버 1개</t>
        </is>
      </c>
      <c r="E305" s="20" t="inlineStr">
        <is>
          <t>스테이포에버</t>
        </is>
      </c>
      <c r="F305" s="20" t="n">
        <v>210207</v>
      </c>
      <c r="G305" s="20">
        <f>B305&amp;C305&amp;D305&amp;F305</f>
        <v/>
      </c>
      <c r="H305" s="20" t="n">
        <v>34000</v>
      </c>
      <c r="I305" s="20" t="n">
        <v>0.02</v>
      </c>
      <c r="J305" s="20" t="n">
        <v>2592</v>
      </c>
    </row>
    <row r="306" ht="16.5" customHeight="1" s="17">
      <c r="B306" s="20" t="inlineStr">
        <is>
          <t>W컨셉</t>
        </is>
      </c>
      <c r="C306" s="20" t="inlineStr">
        <is>
          <t>고체향수</t>
        </is>
      </c>
      <c r="D306" s="20" t="inlineStr">
        <is>
          <t>솔리드퍼퓸 이그나이트/스테이포에버 30ml (2종 택1)&lt;옵션1&gt;002 STAY FOREVER</t>
        </is>
      </c>
      <c r="E306" s="20" t="inlineStr">
        <is>
          <t>스테이포에버</t>
        </is>
      </c>
      <c r="F306" s="20" t="n">
        <v>210207</v>
      </c>
      <c r="G306" s="20">
        <f>B306&amp;C306&amp;D306&amp;F306</f>
        <v/>
      </c>
      <c r="H306" s="20" t="n">
        <v>34000</v>
      </c>
      <c r="I306" s="20" t="n">
        <v>0.3</v>
      </c>
      <c r="J306" s="20" t="n">
        <v>2592</v>
      </c>
    </row>
    <row r="307" ht="16.5" customHeight="1" s="17">
      <c r="B307" s="20" t="inlineStr">
        <is>
          <t>카페24</t>
        </is>
      </c>
      <c r="C307" s="20" t="inlineStr">
        <is>
          <t>고체향수</t>
        </is>
      </c>
      <c r="D307" s="20" t="inlineStr">
        <is>
          <t>솔리드퍼퓸 스테이포에버 002제품선택=best스테이포에버 2개[28% 할인]</t>
        </is>
      </c>
      <c r="E307" s="20" t="inlineStr">
        <is>
          <t>스테이포에버 2set</t>
        </is>
      </c>
      <c r="F307" s="20" t="n">
        <v>210207</v>
      </c>
      <c r="G307" s="20">
        <f>B307&amp;C307&amp;D307&amp;F307</f>
        <v/>
      </c>
      <c r="H307" s="20" t="n">
        <v>58800</v>
      </c>
      <c r="I307" s="20" t="n">
        <v>0.0585</v>
      </c>
      <c r="J307" s="20" t="n">
        <v>5184</v>
      </c>
    </row>
    <row r="308" ht="16.5" customHeight="1" s="17">
      <c r="B308" s="20" t="inlineStr">
        <is>
          <t>스마트스토어</t>
        </is>
      </c>
      <c r="C308" s="20" t="inlineStr">
        <is>
          <t>고체향수</t>
        </is>
      </c>
      <c r="D308" s="20" t="inlineStr">
        <is>
          <t>유즈 고체향수 세트(유즈 스테이포에버, 유즈 이그나이트)고체향수: 스테이포에버 2개</t>
        </is>
      </c>
      <c r="E308" s="20" t="inlineStr">
        <is>
          <t>스테이포에버 2set</t>
        </is>
      </c>
      <c r="F308" s="20" t="n">
        <v>210207</v>
      </c>
      <c r="G308" s="20">
        <f>B308&amp;C308&amp;D308&amp;F308</f>
        <v/>
      </c>
      <c r="H308" s="20" t="n">
        <v>58800</v>
      </c>
      <c r="I308" s="20" t="n">
        <v>0.02</v>
      </c>
      <c r="J308" s="20" t="n">
        <v>5184</v>
      </c>
    </row>
    <row r="309" ht="16.5" customHeight="1" s="17">
      <c r="B309" s="20" t="inlineStr">
        <is>
          <t>유즈 CS</t>
        </is>
      </c>
      <c r="C309" s="20" t="inlineStr">
        <is>
          <t>고체향수</t>
        </is>
      </c>
      <c r="D309" s="20" t="inlineStr">
        <is>
          <t>솔리드퍼퓸 스테이포에버 002제품선택=best스테이포에버 2개[28% 할인]</t>
        </is>
      </c>
      <c r="E309" s="20" t="inlineStr">
        <is>
          <t>스테이포에버 2set</t>
        </is>
      </c>
      <c r="F309" s="20" t="n">
        <v>210207</v>
      </c>
      <c r="G309" s="20">
        <f>B309&amp;C309&amp;D309&amp;F309</f>
        <v/>
      </c>
      <c r="H309" s="20" t="n">
        <v>0</v>
      </c>
      <c r="I309" s="20" t="n">
        <v>0</v>
      </c>
      <c r="J309" s="20" t="n">
        <v>5184</v>
      </c>
    </row>
    <row r="310" ht="16.5" customHeight="1" s="17">
      <c r="B310" s="20" t="inlineStr">
        <is>
          <t>카페24</t>
        </is>
      </c>
      <c r="C310" s="20" t="inlineStr">
        <is>
          <t>고체향수</t>
        </is>
      </c>
      <c r="D310" s="20" t="inlineStr">
        <is>
          <t>솔리드퍼퓸 스테이포에버 002제품선택=커플추천스테이포에버 + 이그나이트 세트</t>
        </is>
      </c>
      <c r="E310" s="20" t="inlineStr">
        <is>
          <t>이그나이트 + 스테이포에버</t>
        </is>
      </c>
      <c r="F310" s="20" t="n">
        <v>210207</v>
      </c>
      <c r="G310" s="20">
        <f>B310&amp;C310&amp;D310&amp;F310</f>
        <v/>
      </c>
      <c r="H310" s="20" t="n">
        <v>58800</v>
      </c>
      <c r="I310" s="20" t="n">
        <v>0.0585</v>
      </c>
      <c r="J310" s="20" t="n">
        <v>5345</v>
      </c>
    </row>
    <row r="311" ht="16.5" customHeight="1" s="17">
      <c r="B311" s="20" t="inlineStr">
        <is>
          <t>카페24</t>
        </is>
      </c>
      <c r="C311" s="20" t="inlineStr">
        <is>
          <t>쇼핑백</t>
        </is>
      </c>
      <c r="D311" s="20" t="inlineStr">
        <is>
          <t>솔리드퍼퓸 스테이포에버 002쇼핑백=선물용 쇼핑백</t>
        </is>
      </c>
      <c r="E311" s="20" t="inlineStr">
        <is>
          <t>쇼핑백</t>
        </is>
      </c>
      <c r="F311" s="20" t="n">
        <v>210207</v>
      </c>
      <c r="G311" s="20">
        <f>B311&amp;C311&amp;D311&amp;F311</f>
        <v/>
      </c>
      <c r="H311" s="20" t="n">
        <v>2000</v>
      </c>
      <c r="I311" s="20" t="n">
        <v>0.0585</v>
      </c>
      <c r="J311" s="20" t="n">
        <v>830</v>
      </c>
    </row>
    <row r="312" ht="16.5" customHeight="1" s="17">
      <c r="B312" s="20" t="inlineStr">
        <is>
          <t>카페24</t>
        </is>
      </c>
      <c r="C312" s="20" t="inlineStr">
        <is>
          <t>고체향수</t>
        </is>
      </c>
      <c r="D312" s="20" t="inlineStr">
        <is>
          <t>솔리드퍼퓸 이그나이트 001제품선택=이그나이트 솔리드퍼퓸 - 30ml</t>
        </is>
      </c>
      <c r="E312" s="20" t="inlineStr">
        <is>
          <t>이그나이트</t>
        </is>
      </c>
      <c r="F312" s="20" t="n">
        <v>210207</v>
      </c>
      <c r="G312" s="20">
        <f>B312&amp;C312&amp;D312&amp;F312</f>
        <v/>
      </c>
      <c r="H312" s="20" t="n">
        <v>34000</v>
      </c>
      <c r="I312" s="20" t="n">
        <v>0.0585</v>
      </c>
      <c r="J312" s="20" t="n">
        <v>2753</v>
      </c>
    </row>
    <row r="313" ht="16.5" customHeight="1" s="17">
      <c r="B313" s="20" t="inlineStr">
        <is>
          <t>카페24</t>
        </is>
      </c>
      <c r="C313" s="20" t="inlineStr">
        <is>
          <t>고체향수</t>
        </is>
      </c>
      <c r="D313" s="20" t="inlineStr">
        <is>
          <t>솔리드퍼퓸 이그나이트 001제품선택=이그나이트 2개 세트</t>
        </is>
      </c>
      <c r="E313" s="20" t="inlineStr">
        <is>
          <t>이그나이트 2set</t>
        </is>
      </c>
      <c r="F313" s="20" t="n">
        <v>210207</v>
      </c>
      <c r="G313" s="20">
        <f>B313&amp;C313&amp;D313&amp;F313</f>
        <v/>
      </c>
      <c r="H313" s="20" t="n">
        <v>58800</v>
      </c>
      <c r="I313" s="20" t="n">
        <v>0.0585</v>
      </c>
      <c r="J313" s="20" t="n">
        <v>5506</v>
      </c>
    </row>
    <row r="314" ht="16.5" customHeight="1" s="17">
      <c r="B314" s="20" t="inlineStr">
        <is>
          <t>카페24</t>
        </is>
      </c>
      <c r="C314" s="20" t="inlineStr">
        <is>
          <t>쇼핑백</t>
        </is>
      </c>
      <c r="D314" s="20" t="inlineStr">
        <is>
          <t>솔리드퍼퓸 이그나이트 001쇼핑백=선물용 쇼핑백</t>
        </is>
      </c>
      <c r="E314" s="20" t="inlineStr">
        <is>
          <t>쇼핑백</t>
        </is>
      </c>
      <c r="F314" s="20" t="n">
        <v>210207</v>
      </c>
      <c r="G314" s="20">
        <f>B314&amp;C314&amp;D314&amp;F314</f>
        <v/>
      </c>
      <c r="H314" s="20" t="n">
        <v>2000</v>
      </c>
      <c r="I314" s="20" t="n">
        <v>0.0585</v>
      </c>
      <c r="J314" s="20" t="n">
        <v>830</v>
      </c>
    </row>
    <row r="315" ht="16.5" customHeight="1" s="17">
      <c r="B315" s="20" t="inlineStr">
        <is>
          <t>카페24</t>
        </is>
      </c>
      <c r="C315" s="20" t="inlineStr">
        <is>
          <t>고체향수</t>
        </is>
      </c>
      <c r="D315" s="20" t="inlineStr">
        <is>
          <t>솔리드퍼퓸 세트향=커플세트(이그나이트 + 스테이포에버), 세트 선택=2 SET (42% 할인)</t>
        </is>
      </c>
      <c r="E315" s="20" t="inlineStr">
        <is>
          <t>이그나이트 + 스테이포에버</t>
        </is>
      </c>
      <c r="F315" s="20" t="n">
        <v>210207</v>
      </c>
      <c r="G315" s="20">
        <f>B315&amp;C315&amp;D315&amp;F315</f>
        <v/>
      </c>
      <c r="H315" s="20" t="n">
        <v>58800</v>
      </c>
      <c r="I315" s="20" t="n">
        <v>0.0585</v>
      </c>
      <c r="J315" s="20" t="n">
        <v>5345</v>
      </c>
    </row>
    <row r="316" ht="16.5" customHeight="1" s="17">
      <c r="B316" s="20" t="inlineStr">
        <is>
          <t>카페24</t>
        </is>
      </c>
      <c r="C316" s="20" t="inlineStr">
        <is>
          <t>고체향수</t>
        </is>
      </c>
      <c r="D316" s="20" t="inlineStr">
        <is>
          <t>솔리드퍼퓸 세트향=이그나이트 001 SOLID PERFUME, 세트 선택=best 2개 (28% 할인)</t>
        </is>
      </c>
      <c r="E316" s="20" t="inlineStr">
        <is>
          <t>이그나이트 2set</t>
        </is>
      </c>
      <c r="F316" s="20" t="n">
        <v>210207</v>
      </c>
      <c r="G316" s="20">
        <f>B316&amp;C316&amp;D316&amp;F316</f>
        <v/>
      </c>
      <c r="H316" s="20" t="n">
        <v>58800</v>
      </c>
      <c r="I316" s="20" t="n">
        <v>0.0585</v>
      </c>
      <c r="J316" s="20" t="n">
        <v>5506</v>
      </c>
    </row>
    <row r="317" ht="16.5" customHeight="1" s="17">
      <c r="B317" s="20" t="inlineStr">
        <is>
          <t>카페24</t>
        </is>
      </c>
      <c r="C317" s="20" t="inlineStr">
        <is>
          <t>고체향수</t>
        </is>
      </c>
      <c r="D317" s="20" t="inlineStr">
        <is>
          <t>솔리드퍼퓸 이그나이트 001 30ml</t>
        </is>
      </c>
      <c r="E317" s="20" t="inlineStr">
        <is>
          <t>이그나이트</t>
        </is>
      </c>
      <c r="F317" s="20" t="n">
        <v>210207</v>
      </c>
      <c r="G317" s="20">
        <f>B317&amp;C317&amp;D317&amp;F317</f>
        <v/>
      </c>
      <c r="H317" s="20" t="n">
        <v>34000</v>
      </c>
      <c r="I317" s="20" t="n">
        <v>0.0585</v>
      </c>
      <c r="J317" s="20" t="n">
        <v>2753</v>
      </c>
    </row>
    <row r="318" ht="16.5" customHeight="1" s="17">
      <c r="B318" s="20" t="inlineStr">
        <is>
          <t>유즈 CS</t>
        </is>
      </c>
      <c r="C318" s="20" t="inlineStr">
        <is>
          <t>고체향수</t>
        </is>
      </c>
      <c r="D318" s="20" t="inlineStr">
        <is>
          <t>솔리드퍼퓸 스테이포에버 002 30ml_CS</t>
        </is>
      </c>
      <c r="E318" s="20" t="inlineStr">
        <is>
          <t>스테이포에버</t>
        </is>
      </c>
      <c r="F318" s="20" t="n">
        <v>210207</v>
      </c>
      <c r="G318" s="20">
        <f>B318&amp;C318&amp;D318&amp;F318</f>
        <v/>
      </c>
      <c r="H318" s="20" t="n">
        <v>0</v>
      </c>
      <c r="I318" s="20" t="n">
        <v>0.0585</v>
      </c>
      <c r="J318" s="20" t="n">
        <v>2592</v>
      </c>
    </row>
    <row r="319" ht="16.5" customHeight="1" s="17">
      <c r="B319" s="20" t="inlineStr">
        <is>
          <t>카페24</t>
        </is>
      </c>
      <c r="C319" s="20" t="inlineStr">
        <is>
          <t>쇼핑백</t>
        </is>
      </c>
      <c r="D319" s="20" t="inlineStr">
        <is>
          <t>선물용 쇼핑백</t>
        </is>
      </c>
      <c r="E319" s="20" t="inlineStr">
        <is>
          <t>쇼핑백</t>
        </is>
      </c>
      <c r="F319" s="20" t="n">
        <v>210207</v>
      </c>
      <c r="G319" s="20">
        <f>B319&amp;C319&amp;D319&amp;F319</f>
        <v/>
      </c>
      <c r="H319" s="20" t="n">
        <v>2000</v>
      </c>
      <c r="I319" s="20" t="n">
        <v>0.0585</v>
      </c>
      <c r="J319" s="20" t="n">
        <v>830</v>
      </c>
    </row>
    <row r="320" ht="16.5" customHeight="1" s="17">
      <c r="B320" s="20" t="inlineStr">
        <is>
          <t>유즈 CS</t>
        </is>
      </c>
      <c r="C320" s="20" t="inlineStr">
        <is>
          <t>고체향수</t>
        </is>
      </c>
      <c r="D320" s="20" t="inlineStr">
        <is>
          <t>솔리드퍼퓸 이그나이트 001 30ml_CS</t>
        </is>
      </c>
      <c r="E320" s="20" t="inlineStr">
        <is>
          <t>이그나이트</t>
        </is>
      </c>
      <c r="F320" s="20" t="n">
        <v>210207</v>
      </c>
      <c r="G320" s="20">
        <f>B320&amp;C320&amp;D320&amp;F320</f>
        <v/>
      </c>
      <c r="H320" s="20" t="n">
        <v>0</v>
      </c>
      <c r="I320" s="20" t="n">
        <v>0</v>
      </c>
      <c r="J320" s="20" t="n">
        <v>2753</v>
      </c>
    </row>
    <row r="321" ht="16.5" customHeight="1" s="17">
      <c r="B321" s="20" t="inlineStr">
        <is>
          <t>스마트스토어</t>
        </is>
      </c>
      <c r="C321" s="20" t="inlineStr">
        <is>
          <t>고체향수</t>
        </is>
      </c>
      <c r="D321" s="20" t="inlineStr">
        <is>
          <t>유즈 고체향수 세트(유즈 스테이포에버, 유즈 이그나이트)고체향수: 스테이포에버 1개 + 이그나이트 1개</t>
        </is>
      </c>
      <c r="E321" s="20" t="inlineStr">
        <is>
          <t>이그나이트 + 스테이포에버</t>
        </is>
      </c>
      <c r="F321" s="20" t="n">
        <v>210207</v>
      </c>
      <c r="G321" s="20">
        <f>B321&amp;C321&amp;D321&amp;F321</f>
        <v/>
      </c>
      <c r="H321" s="20" t="n">
        <v>58800</v>
      </c>
      <c r="I321" s="20" t="n">
        <v>0.0585</v>
      </c>
      <c r="J321" s="20" t="n">
        <v>5345</v>
      </c>
    </row>
    <row r="322" ht="16.5" customHeight="1" s="17">
      <c r="B322" s="20" t="inlineStr">
        <is>
          <t>W컨셉</t>
        </is>
      </c>
      <c r="C322" s="20" t="inlineStr">
        <is>
          <t>고체향수</t>
        </is>
      </c>
      <c r="D322" s="20" t="inlineStr">
        <is>
          <t>솔리드퍼퓸 이그나이트/스테이포에버 30ml (2종 택1)&lt;옵션1&gt;IGNITE + STAY FOREVER</t>
        </is>
      </c>
      <c r="E322" s="20" t="inlineStr">
        <is>
          <t>이그나이트 + 스테이포에버</t>
        </is>
      </c>
      <c r="F322" s="20" t="n">
        <v>210207</v>
      </c>
      <c r="G322" s="20">
        <f>B322&amp;C322&amp;D322&amp;F322</f>
        <v/>
      </c>
      <c r="H322" s="20" t="n">
        <v>58800</v>
      </c>
      <c r="I322" s="20" t="n">
        <v>0.2</v>
      </c>
      <c r="J322" s="20" t="n">
        <v>5345</v>
      </c>
    </row>
    <row r="323" ht="16.5" customHeight="1" s="17">
      <c r="B323" s="20" t="inlineStr">
        <is>
          <t>카페24</t>
        </is>
      </c>
      <c r="C323" s="20" t="inlineStr">
        <is>
          <t>고체향수</t>
        </is>
      </c>
      <c r="D323" s="20" t="inlineStr">
        <is>
          <t>유즈 솔리드퍼퓸 세트향=이그나이트 001 SOLID PERFUME, 세트 선택=1개</t>
        </is>
      </c>
      <c r="E323" s="20" t="inlineStr">
        <is>
          <t>이그나이트</t>
        </is>
      </c>
      <c r="F323" s="20" t="n">
        <v>210207</v>
      </c>
      <c r="G323" s="20">
        <f>B323&amp;C323&amp;D323&amp;F323</f>
        <v/>
      </c>
      <c r="H323" s="20" t="n">
        <v>34000</v>
      </c>
      <c r="I323" s="20" t="n">
        <v>0.0585</v>
      </c>
      <c r="J323" s="20" t="n">
        <v>2753</v>
      </c>
    </row>
    <row r="324" ht="16.5" customHeight="1" s="17">
      <c r="B324" s="20" t="inlineStr">
        <is>
          <t>카페24</t>
        </is>
      </c>
      <c r="C324" s="20" t="inlineStr">
        <is>
          <t>고체향수</t>
        </is>
      </c>
      <c r="D324" s="20" t="inlineStr">
        <is>
          <t>유즈 솔리드퍼퓸 세트향=스테이포에버 002 SOLID PERFUME, 세트 선택=1개</t>
        </is>
      </c>
      <c r="E324" s="20" t="inlineStr">
        <is>
          <t>스테이포에버</t>
        </is>
      </c>
      <c r="F324" s="20" t="n">
        <v>210207</v>
      </c>
      <c r="G324" s="20">
        <f>B324&amp;C324&amp;D324&amp;F324</f>
        <v/>
      </c>
      <c r="H324" s="20" t="n">
        <v>34000</v>
      </c>
      <c r="I324" s="20" t="n">
        <v>0.0585</v>
      </c>
      <c r="J324" s="20" t="n">
        <v>2592</v>
      </c>
    </row>
    <row r="325" ht="16.5" customHeight="1" s="17">
      <c r="B325" s="20" t="inlineStr">
        <is>
          <t>카페24</t>
        </is>
      </c>
      <c r="C325" s="20" t="inlineStr">
        <is>
          <t>고체향수</t>
        </is>
      </c>
      <c r="D325" s="20" t="inlineStr">
        <is>
          <t>유즈 솔리드퍼퓸 세트향=스테이포에버 002 SOLID PERFUME, 세트 선택=best 2개 (28% 할인)</t>
        </is>
      </c>
      <c r="E325" s="20" t="inlineStr">
        <is>
          <t>스테이포에버 2set</t>
        </is>
      </c>
      <c r="F325" s="20" t="n">
        <v>210207</v>
      </c>
      <c r="G325" s="20">
        <f>B325&amp;C325&amp;D325&amp;F325</f>
        <v/>
      </c>
      <c r="H325" s="20" t="n">
        <v>58800</v>
      </c>
      <c r="I325" s="20" t="n">
        <v>0.0585</v>
      </c>
      <c r="J325" s="20" t="n">
        <v>5184</v>
      </c>
    </row>
    <row r="326" ht="16.5" customHeight="1" s="17">
      <c r="B326" s="20" t="inlineStr">
        <is>
          <t>카페24</t>
        </is>
      </c>
      <c r="C326" s="20" t="inlineStr">
        <is>
          <t>고체향수</t>
        </is>
      </c>
      <c r="D326" s="20" t="inlineStr">
        <is>
          <t>유즈 솔리드퍼퓸 세트향=커플세트(이그나이트 + 스테이포에버), 세트 선택=1 SET</t>
        </is>
      </c>
      <c r="E326" s="20" t="inlineStr">
        <is>
          <t>이그나이트 + 스테이포에버</t>
        </is>
      </c>
      <c r="F326" s="20" t="n">
        <v>210207</v>
      </c>
      <c r="G326" s="20">
        <f>B326&amp;C326&amp;D326&amp;F326</f>
        <v/>
      </c>
      <c r="H326" s="20" t="n">
        <v>58800</v>
      </c>
      <c r="I326" s="20" t="n">
        <v>0.0585</v>
      </c>
      <c r="J326" s="20" t="n">
        <v>5345</v>
      </c>
    </row>
    <row r="327" ht="16.5" customHeight="1" s="17">
      <c r="B327" s="20" t="inlineStr">
        <is>
          <t>카페24</t>
        </is>
      </c>
      <c r="C327" s="20" t="inlineStr">
        <is>
          <t>고체향수</t>
        </is>
      </c>
      <c r="D327" s="20" t="inlineStr">
        <is>
          <t>유즈 솔리드퍼퓸 세트향=이그나이트 001 SOLID PERFUME, 세트 선택=best 2개 (28% 할인)</t>
        </is>
      </c>
      <c r="E327" s="20" t="inlineStr">
        <is>
          <t>이그나이트 2set</t>
        </is>
      </c>
      <c r="F327" s="20" t="n">
        <v>210207</v>
      </c>
      <c r="G327" s="20">
        <f>B327&amp;C327&amp;D327&amp;F327</f>
        <v/>
      </c>
      <c r="H327" s="20" t="n">
        <v>58800</v>
      </c>
      <c r="I327" s="20" t="n">
        <v>0.0585</v>
      </c>
      <c r="J327" s="20" t="n">
        <v>5506</v>
      </c>
    </row>
    <row r="328" ht="16.5" customHeight="1" s="17">
      <c r="B328" s="20" t="inlineStr">
        <is>
          <t>카페24</t>
        </is>
      </c>
      <c r="C328" s="20" t="inlineStr">
        <is>
          <t>고체향수</t>
        </is>
      </c>
      <c r="D328" s="20" t="inlineStr">
        <is>
          <t>유즈 솔리드퍼퓸 세트향=커플세트(이그나이트 + 스테이포에버), 세트 선택=2 SET (42% 할인)</t>
        </is>
      </c>
      <c r="E328" s="20" t="inlineStr">
        <is>
          <t>이그나이트 + 스테이포에버 2set</t>
        </is>
      </c>
      <c r="F328" s="20" t="n">
        <v>210207</v>
      </c>
      <c r="G328" s="20">
        <f>B328&amp;C328&amp;D328&amp;F328</f>
        <v/>
      </c>
      <c r="H328" s="20" t="n">
        <v>94800</v>
      </c>
      <c r="I328" s="20" t="n">
        <v>0.0585</v>
      </c>
      <c r="J328" s="20" t="n">
        <v>10690</v>
      </c>
    </row>
    <row r="329" ht="16.5" customHeight="1" s="17">
      <c r="B329" s="20" t="inlineStr">
        <is>
          <t>올리브영</t>
        </is>
      </c>
      <c r="C329" s="20" t="inlineStr">
        <is>
          <t>고체향수</t>
        </is>
      </c>
      <c r="D329" s="20" t="inlineStr">
        <is>
          <t>유즈 솔리드퍼퓸 001 이그나이트 30ml 30600 온라인</t>
        </is>
      </c>
      <c r="E329" s="20" t="inlineStr">
        <is>
          <t>이그나이트</t>
        </is>
      </c>
      <c r="F329" s="20" t="n">
        <v>210207</v>
      </c>
      <c r="G329" s="20">
        <f>B329&amp;C329&amp;D329&amp;F329</f>
        <v/>
      </c>
      <c r="H329" s="20">
        <f>30600*55%</f>
        <v/>
      </c>
      <c r="I329" s="20" t="n">
        <v>0.2</v>
      </c>
      <c r="J329" s="20" t="n">
        <v>2753</v>
      </c>
    </row>
    <row r="330" ht="16.5" customHeight="1" s="17">
      <c r="B330" s="20" t="inlineStr">
        <is>
          <t>올리브영</t>
        </is>
      </c>
      <c r="C330" s="20" t="inlineStr">
        <is>
          <t>고체향수</t>
        </is>
      </c>
      <c r="D330" s="20" t="inlineStr">
        <is>
          <t>유즈 솔리드퍼퓸 002 스테이포에버 30ml 30600 온라인</t>
        </is>
      </c>
      <c r="E330" s="20" t="inlineStr">
        <is>
          <t>스테이포에버</t>
        </is>
      </c>
      <c r="F330" s="20" t="n">
        <v>210207</v>
      </c>
      <c r="G330" s="20">
        <f>B330&amp;C330&amp;D330&amp;F330</f>
        <v/>
      </c>
      <c r="H330" s="20">
        <f>30600*55%</f>
        <v/>
      </c>
      <c r="I330" s="20" t="n">
        <v>0.2</v>
      </c>
      <c r="J330" s="20" t="n">
        <v>2592</v>
      </c>
    </row>
    <row r="331" ht="16.5" customHeight="1" s="17"/>
    <row r="332" ht="16.5" customHeight="1" s="17">
      <c r="B332" s="20" t="inlineStr">
        <is>
          <t>카페24</t>
        </is>
      </c>
      <c r="C332" s="20" t="inlineStr">
        <is>
          <t>고체향수</t>
        </is>
      </c>
      <c r="D332" s="20" t="inlineStr">
        <is>
          <t>유즈 솔리드퍼퓸 - 30ml (스테이포에버 주문 시 12/14 부터 순차배송)향=스테이포에버, 세트 선택=1 개</t>
        </is>
      </c>
      <c r="E332" s="20" t="inlineStr">
        <is>
          <t>스테이포에버</t>
        </is>
      </c>
      <c r="F332" s="20" t="n">
        <v>210501</v>
      </c>
      <c r="G332" s="20">
        <f>B332&amp;C332&amp;D332&amp;F332</f>
        <v/>
      </c>
      <c r="H332" s="20" t="n">
        <v>38000</v>
      </c>
      <c r="I332" s="20" t="n">
        <v>0.0585</v>
      </c>
      <c r="J332" s="20" t="n">
        <v>2554</v>
      </c>
    </row>
    <row r="333" ht="16.5" customHeight="1" s="17">
      <c r="B333" s="20" t="inlineStr">
        <is>
          <t>카페24</t>
        </is>
      </c>
      <c r="C333" s="20" t="inlineStr">
        <is>
          <t>고체향수</t>
        </is>
      </c>
      <c r="D333" s="20" t="inlineStr">
        <is>
          <t>유즈 솔리드퍼퓸 - 30ml (스테이포에버 주문 시 12/14 부터 순차배송)향=스테이포에버, 세트 선택=2개 (28% off)</t>
        </is>
      </c>
      <c r="E333" s="20" t="inlineStr">
        <is>
          <t>스테이포에버 2set</t>
        </is>
      </c>
      <c r="F333" s="20" t="n">
        <v>210501</v>
      </c>
      <c r="G333" s="20">
        <f>B333&amp;C333&amp;D333&amp;F333</f>
        <v/>
      </c>
      <c r="H333" s="20" t="n">
        <v>58800</v>
      </c>
      <c r="I333" s="20" t="n">
        <v>0.0585</v>
      </c>
      <c r="J333" s="20" t="n">
        <v>5108</v>
      </c>
    </row>
    <row r="334" ht="16.5" customHeight="1" s="17">
      <c r="B334" s="20" t="inlineStr">
        <is>
          <t>카페24</t>
        </is>
      </c>
      <c r="C334" s="20" t="inlineStr">
        <is>
          <t>고체향수</t>
        </is>
      </c>
      <c r="D334" s="20" t="inlineStr">
        <is>
          <t>유즈 솔리드퍼퓸 - 30ml (스테이포에버 주문 시 12/14 부터 순차배송)향=이그나이트 + 스테이포에버, 세트 선택=1 SET</t>
        </is>
      </c>
      <c r="E334" s="20" t="inlineStr">
        <is>
          <t>이그나이트 + 스테이포에버</t>
        </is>
      </c>
      <c r="F334" s="20" t="n">
        <v>210501</v>
      </c>
      <c r="G334" s="20">
        <f>B334&amp;C334&amp;D334&amp;F334</f>
        <v/>
      </c>
      <c r="H334" s="20" t="n">
        <v>69000</v>
      </c>
      <c r="I334" s="20" t="n">
        <v>0.0585</v>
      </c>
      <c r="J334" s="20" t="n">
        <v>5179</v>
      </c>
    </row>
    <row r="335" ht="16.5" customHeight="1" s="17">
      <c r="B335" s="20" t="inlineStr">
        <is>
          <t>카페24</t>
        </is>
      </c>
      <c r="C335" s="20" t="inlineStr">
        <is>
          <t>고체향수</t>
        </is>
      </c>
      <c r="D335" s="20" t="inlineStr">
        <is>
          <t>유즈 솔리드퍼퓸 - 30ml (스테이포에버 주문 시 12/14 부터 순차배송)향=이그나이트, 세트 선택=1 개</t>
        </is>
      </c>
      <c r="E335" s="20" t="inlineStr">
        <is>
          <t>이그나이트</t>
        </is>
      </c>
      <c r="F335" s="20" t="n">
        <v>210501</v>
      </c>
      <c r="G335" s="20">
        <f>B335&amp;C335&amp;D335&amp;F335</f>
        <v/>
      </c>
      <c r="H335" s="20" t="n">
        <v>38000</v>
      </c>
      <c r="I335" s="20" t="n">
        <v>0.0585</v>
      </c>
      <c r="J335" s="20" t="n">
        <v>2625</v>
      </c>
    </row>
    <row r="336" ht="16.5" customHeight="1" s="17">
      <c r="B336" s="20" t="inlineStr">
        <is>
          <t>카페24</t>
        </is>
      </c>
      <c r="C336" s="20" t="inlineStr">
        <is>
          <t>고체향수</t>
        </is>
      </c>
      <c r="D336" s="20" t="inlineStr">
        <is>
          <t>유즈 솔리드퍼퓸 - 30ml (스테이포에버 주문 시 12/14 순차배송)향=스테이포에버, 세트 선택=1 개</t>
        </is>
      </c>
      <c r="E336" s="20" t="inlineStr">
        <is>
          <t>스테이포에버</t>
        </is>
      </c>
      <c r="F336" s="20" t="n">
        <v>210501</v>
      </c>
      <c r="G336" s="20">
        <f>B336&amp;C336&amp;D336&amp;F336</f>
        <v/>
      </c>
      <c r="H336" s="20" t="n">
        <v>38000</v>
      </c>
      <c r="I336" s="20" t="n">
        <v>0.0585</v>
      </c>
      <c r="J336" s="20" t="n">
        <v>2554</v>
      </c>
    </row>
    <row r="337" ht="16.5" customHeight="1" s="17">
      <c r="B337" s="20" t="inlineStr">
        <is>
          <t>카페24</t>
        </is>
      </c>
      <c r="C337" s="20" t="inlineStr">
        <is>
          <t>고체향수</t>
        </is>
      </c>
      <c r="D337" s="20" t="inlineStr">
        <is>
          <t>유즈 솔리드퍼퓸 - 30ml (스테이포에버 주문 시 12/14 순차배송)향=스테이포에버, 세트 선택=2개 (28% off)</t>
        </is>
      </c>
      <c r="E337" s="20" t="inlineStr">
        <is>
          <t>스테이포에버 2set</t>
        </is>
      </c>
      <c r="F337" s="20" t="n">
        <v>210501</v>
      </c>
      <c r="G337" s="20">
        <f>B337&amp;C337&amp;D337&amp;F337</f>
        <v/>
      </c>
      <c r="H337" s="20" t="n">
        <v>58800</v>
      </c>
      <c r="I337" s="20" t="n">
        <v>0.0585</v>
      </c>
      <c r="J337" s="20" t="n">
        <v>5108</v>
      </c>
    </row>
    <row r="338" ht="16.5" customHeight="1" s="17">
      <c r="B338" s="20" t="inlineStr">
        <is>
          <t>카페24</t>
        </is>
      </c>
      <c r="C338" s="20" t="inlineStr">
        <is>
          <t>고체향수</t>
        </is>
      </c>
      <c r="D338" s="20" t="inlineStr">
        <is>
          <t>유즈 솔리드퍼퓸 - 30ml (스테이포에버 주문 시 12/14 순차배송)향=이그나이트 + 스테이포에버, 세트 선택=1 SET</t>
        </is>
      </c>
      <c r="E338" s="20" t="inlineStr">
        <is>
          <t>이그나이트 + 스테이포에버</t>
        </is>
      </c>
      <c r="F338" s="20" t="n">
        <v>210501</v>
      </c>
      <c r="G338" s="20">
        <f>B338&amp;C338&amp;D338&amp;F338</f>
        <v/>
      </c>
      <c r="H338" s="20" t="n">
        <v>69000</v>
      </c>
      <c r="I338" s="20" t="n">
        <v>0.0585</v>
      </c>
      <c r="J338" s="20" t="n">
        <v>5179</v>
      </c>
    </row>
    <row r="339" ht="16.5" customHeight="1" s="17">
      <c r="B339" s="20" t="inlineStr">
        <is>
          <t>카페24</t>
        </is>
      </c>
      <c r="C339" s="20" t="inlineStr">
        <is>
          <t>고체향수</t>
        </is>
      </c>
      <c r="D339" s="20" t="inlineStr">
        <is>
          <t>유즈 솔리드퍼퓸 - 30ml (스테이포에버 주문 시 12/14 순차배송)향=이그나이트 + 스테이포에버, 세트 선택=2 SET (42% off)</t>
        </is>
      </c>
      <c r="E339" s="20" t="inlineStr">
        <is>
          <t>이그나이트 + 스테이포에버 2set</t>
        </is>
      </c>
      <c r="F339" s="20" t="n">
        <v>210501</v>
      </c>
      <c r="G339" s="20">
        <f>B339&amp;C339&amp;D339&amp;F339</f>
        <v/>
      </c>
      <c r="H339" s="20" t="n">
        <v>94800</v>
      </c>
      <c r="I339" s="20" t="n">
        <v>0.0585</v>
      </c>
      <c r="J339" s="20" t="n">
        <v>10358</v>
      </c>
    </row>
    <row r="340" ht="16.5" customHeight="1" s="17">
      <c r="B340" s="20" t="inlineStr">
        <is>
          <t>카페24</t>
        </is>
      </c>
      <c r="C340" s="20" t="inlineStr">
        <is>
          <t>고체향수</t>
        </is>
      </c>
      <c r="D340" s="20" t="inlineStr">
        <is>
          <t>유즈 솔리드퍼퓸 - 30ml (스테이포에버 주문 시 12/14 순차배송)향=이그나이트, 세트 선택=1 개</t>
        </is>
      </c>
      <c r="E340" s="20" t="inlineStr">
        <is>
          <t>이그나이트</t>
        </is>
      </c>
      <c r="F340" s="20" t="n">
        <v>210501</v>
      </c>
      <c r="G340" s="20">
        <f>B340&amp;C340&amp;D340&amp;F340</f>
        <v/>
      </c>
      <c r="H340" s="20" t="n">
        <v>38000</v>
      </c>
      <c r="I340" s="20" t="n">
        <v>0.0585</v>
      </c>
      <c r="J340" s="20" t="n">
        <v>2625</v>
      </c>
    </row>
    <row r="341" ht="16.5" customHeight="1" s="17">
      <c r="B341" s="20" t="inlineStr">
        <is>
          <t>카페24</t>
        </is>
      </c>
      <c r="C341" s="20" t="inlineStr">
        <is>
          <t>고체향수</t>
        </is>
      </c>
      <c r="D341" s="20" t="inlineStr">
        <is>
          <t>유즈 솔리드퍼퓸 - 30ml (스테이포에버 주문 시 12/15 순차배송)향=스테이포에버, 세트 선택=1 개</t>
        </is>
      </c>
      <c r="E341" s="20" t="inlineStr">
        <is>
          <t>스테이포에버</t>
        </is>
      </c>
      <c r="F341" s="20" t="n">
        <v>210501</v>
      </c>
      <c r="G341" s="20">
        <f>B341&amp;C341&amp;D341&amp;F341</f>
        <v/>
      </c>
      <c r="H341" s="20" t="n">
        <v>38000</v>
      </c>
      <c r="I341" s="20" t="n">
        <v>0.0585</v>
      </c>
      <c r="J341" s="20" t="n">
        <v>2554</v>
      </c>
    </row>
    <row r="342" ht="16.5" customHeight="1" s="17">
      <c r="B342" s="20" t="inlineStr">
        <is>
          <t>카페24</t>
        </is>
      </c>
      <c r="C342" s="20" t="inlineStr">
        <is>
          <t>고체향수</t>
        </is>
      </c>
      <c r="D342" s="20" t="inlineStr">
        <is>
          <t>유즈 솔리드퍼퓸 - 30ml (스테이포에버 주문 시 12/15 순차배송)향=스테이포에버, 세트 선택=2개 (28% off)</t>
        </is>
      </c>
      <c r="E342" s="20" t="inlineStr">
        <is>
          <t>스테이포에버 2set</t>
        </is>
      </c>
      <c r="F342" s="20" t="n">
        <v>210501</v>
      </c>
      <c r="G342" s="20">
        <f>B342&amp;C342&amp;D342&amp;F342</f>
        <v/>
      </c>
      <c r="H342" s="20" t="n">
        <v>58800</v>
      </c>
      <c r="I342" s="20" t="n">
        <v>0.0585</v>
      </c>
      <c r="J342" s="20" t="n">
        <v>5108</v>
      </c>
    </row>
    <row r="343" ht="16.5" customHeight="1" s="17">
      <c r="B343" s="20" t="inlineStr">
        <is>
          <t>카페24</t>
        </is>
      </c>
      <c r="C343" s="20" t="inlineStr">
        <is>
          <t>고체향수</t>
        </is>
      </c>
      <c r="D343" s="20" t="inlineStr">
        <is>
          <t>유즈 솔리드퍼퓸 - 30ml (스테이포에버 주문 시 12/15 순차배송)향=이그나이트 + 스테이포에버, 세트 선택=1 SET</t>
        </is>
      </c>
      <c r="E343" s="20" t="inlineStr">
        <is>
          <t>이그나이트 + 스테이포에버</t>
        </is>
      </c>
      <c r="F343" s="20" t="n">
        <v>210501</v>
      </c>
      <c r="G343" s="20">
        <f>B343&amp;C343&amp;D343&amp;F343</f>
        <v/>
      </c>
      <c r="H343" s="20" t="n">
        <v>69000</v>
      </c>
      <c r="I343" s="20" t="n">
        <v>0.0585</v>
      </c>
      <c r="J343" s="20" t="n">
        <v>5179</v>
      </c>
    </row>
    <row r="344" ht="16.5" customHeight="1" s="17">
      <c r="B344" s="20" t="inlineStr">
        <is>
          <t>카페24</t>
        </is>
      </c>
      <c r="C344" s="20" t="inlineStr">
        <is>
          <t>고체향수</t>
        </is>
      </c>
      <c r="D344" s="20" t="inlineStr">
        <is>
          <t>유즈 솔리드퍼퓸 - 30ml (스테이포에버 주문 시 12/15 순차배송)향=이그나이트 + 스테이포에버, 세트 선택=2 SET (42% off)</t>
        </is>
      </c>
      <c r="E344" s="20" t="inlineStr">
        <is>
          <t>스테이포에버 2set</t>
        </is>
      </c>
      <c r="F344" s="20" t="n">
        <v>210501</v>
      </c>
      <c r="G344" s="20">
        <f>B344&amp;C344&amp;D344&amp;F344</f>
        <v/>
      </c>
      <c r="H344" s="20" t="n">
        <v>58800</v>
      </c>
      <c r="I344" s="20" t="n">
        <v>0.0585</v>
      </c>
      <c r="J344" s="20" t="n">
        <v>5108</v>
      </c>
    </row>
    <row r="345" ht="16.5" customHeight="1" s="17">
      <c r="B345" s="20" t="inlineStr">
        <is>
          <t>카페24</t>
        </is>
      </c>
      <c r="C345" s="20" t="inlineStr">
        <is>
          <t>고체향수</t>
        </is>
      </c>
      <c r="D345" s="20" t="inlineStr">
        <is>
          <t>유즈 솔리드퍼퓸 - 30ml (스테이포에버 주문 시 12/15 순차배송)향=이그나이트, 세트 선택=1 개</t>
        </is>
      </c>
      <c r="E345" s="20" t="inlineStr">
        <is>
          <t>이그나이트</t>
        </is>
      </c>
      <c r="F345" s="20" t="n">
        <v>210501</v>
      </c>
      <c r="G345" s="20">
        <f>B345&amp;C345&amp;D345&amp;F345</f>
        <v/>
      </c>
      <c r="H345" s="20" t="n">
        <v>38000</v>
      </c>
      <c r="I345" s="20" t="n">
        <v>0.0585</v>
      </c>
      <c r="J345" s="20" t="n">
        <v>2625</v>
      </c>
    </row>
    <row r="346" ht="16.5" customHeight="1" s="17">
      <c r="B346" s="20" t="inlineStr">
        <is>
          <t>카페24</t>
        </is>
      </c>
      <c r="C346" s="20" t="inlineStr">
        <is>
          <t>고체향수</t>
        </is>
      </c>
      <c r="D346" s="20" t="inlineStr">
        <is>
          <t>유즈 솔리드퍼퓸 - 30ml (스테이포에버 주문 시 12/4 부터 순차배송)향=스테이포에버, 세트 선택=1 개</t>
        </is>
      </c>
      <c r="E346" s="20" t="inlineStr">
        <is>
          <t>스테이포에버</t>
        </is>
      </c>
      <c r="F346" s="20" t="n">
        <v>210501</v>
      </c>
      <c r="G346" s="20">
        <f>B346&amp;C346&amp;D346&amp;F346</f>
        <v/>
      </c>
      <c r="H346" s="20" t="n">
        <v>38000</v>
      </c>
      <c r="I346" s="20" t="n">
        <v>0.0585</v>
      </c>
      <c r="J346" s="20" t="n">
        <v>2554</v>
      </c>
    </row>
    <row r="347" ht="16.5" customHeight="1" s="17">
      <c r="B347" s="20" t="inlineStr">
        <is>
          <t>카페24</t>
        </is>
      </c>
      <c r="C347" s="20" t="inlineStr">
        <is>
          <t>고체향수</t>
        </is>
      </c>
      <c r="D347" s="20" t="inlineStr">
        <is>
          <t>유즈 솔리드퍼퓸 - 30ml (스테이포에버 주문 시 12/4 부터 순차배송)향=이그나이트 + 스테이포에버, 세트 선택=1 SET</t>
        </is>
      </c>
      <c r="E347" s="20" t="inlineStr">
        <is>
          <t>이그나이트 + 스테이포에버</t>
        </is>
      </c>
      <c r="F347" s="20" t="n">
        <v>210501</v>
      </c>
      <c r="G347" s="20">
        <f>B347&amp;C347&amp;D347&amp;F347</f>
        <v/>
      </c>
      <c r="H347" s="20" t="n">
        <v>69000</v>
      </c>
      <c r="I347" s="20" t="n">
        <v>0.0585</v>
      </c>
      <c r="J347" s="20" t="n">
        <v>5179</v>
      </c>
    </row>
    <row r="348" ht="16.5" customHeight="1" s="17">
      <c r="B348" s="20" t="inlineStr">
        <is>
          <t>카페24</t>
        </is>
      </c>
      <c r="C348" s="20" t="inlineStr">
        <is>
          <t>쇼핑백</t>
        </is>
      </c>
      <c r="D348" s="20" t="inlineStr">
        <is>
          <t>유즈 스테이포에버 솔리드퍼퓸 002 (12/14 부터 순차배송)쇼핑백=선물용 쇼핑백</t>
        </is>
      </c>
      <c r="E348" s="20" t="inlineStr">
        <is>
          <t>쇼핑백</t>
        </is>
      </c>
      <c r="F348" s="20" t="n">
        <v>210501</v>
      </c>
      <c r="G348" s="20">
        <f>B348&amp;C348&amp;D348&amp;F348</f>
        <v/>
      </c>
      <c r="H348" s="20" t="n">
        <v>2000</v>
      </c>
      <c r="I348" s="20" t="n">
        <v>0.0585</v>
      </c>
      <c r="J348" s="20" t="n">
        <v>830</v>
      </c>
    </row>
    <row r="349" ht="16.5" customHeight="1" s="17">
      <c r="B349" s="20" t="inlineStr">
        <is>
          <t>카페24</t>
        </is>
      </c>
      <c r="C349" s="20" t="inlineStr">
        <is>
          <t>고체향수</t>
        </is>
      </c>
      <c r="D349" s="20" t="inlineStr">
        <is>
          <t>유즈 스테이포에버 솔리드퍼퓸 002 (12/14 부터 순차배송)제품선택=스테이포에버 + 이그나이트 세트</t>
        </is>
      </c>
      <c r="E349" s="20" t="inlineStr">
        <is>
          <t>이그나이트 + 스테이포에버</t>
        </is>
      </c>
      <c r="F349" s="20" t="n">
        <v>210501</v>
      </c>
      <c r="G349" s="20">
        <f>B349&amp;C349&amp;D349&amp;F349</f>
        <v/>
      </c>
      <c r="H349" s="20" t="n">
        <v>69000</v>
      </c>
      <c r="I349" s="20" t="n">
        <v>0.0585</v>
      </c>
      <c r="J349" s="20" t="n">
        <v>5179</v>
      </c>
    </row>
    <row r="350" ht="16.5" customHeight="1" s="17">
      <c r="B350" s="20" t="inlineStr">
        <is>
          <t>카페24</t>
        </is>
      </c>
      <c r="C350" s="20" t="inlineStr">
        <is>
          <t>고체향수</t>
        </is>
      </c>
      <c r="D350" s="20" t="inlineStr">
        <is>
          <t>유즈 스테이포에버 솔리드퍼퓸 002 (12/14 부터 순차배송)제품선택=스테이포에버 2개 세트[Pre-order 이벤트 28% 할인]</t>
        </is>
      </c>
      <c r="E350" s="20" t="inlineStr">
        <is>
          <t>스테이포에버 2set</t>
        </is>
      </c>
      <c r="F350" s="20" t="n">
        <v>210501</v>
      </c>
      <c r="G350" s="20">
        <f>B350&amp;C350&amp;D350&amp;F350</f>
        <v/>
      </c>
      <c r="H350" s="20" t="n">
        <v>58800</v>
      </c>
      <c r="I350" s="20" t="n">
        <v>0.0585</v>
      </c>
      <c r="J350" s="20" t="n">
        <v>5108</v>
      </c>
    </row>
    <row r="351" ht="16.5" customHeight="1" s="17">
      <c r="B351" s="20" t="inlineStr">
        <is>
          <t>카페24</t>
        </is>
      </c>
      <c r="C351" s="20" t="inlineStr">
        <is>
          <t>고체향수</t>
        </is>
      </c>
      <c r="D351" s="20" t="inlineStr">
        <is>
          <t>유즈 스테이포에버 솔리드퍼퓸 002 (12/14 부터 순차배송)제품선택=스테이포에버 솔리드퍼퓸 002[Pre-order 이벤트 17% 할인]</t>
        </is>
      </c>
      <c r="E351" s="20" t="inlineStr">
        <is>
          <t>스테이포에버</t>
        </is>
      </c>
      <c r="F351" s="20" t="n">
        <v>210501</v>
      </c>
      <c r="G351" s="20">
        <f>B351&amp;C351&amp;D351&amp;F351</f>
        <v/>
      </c>
      <c r="H351" s="20" t="n">
        <v>38000</v>
      </c>
      <c r="I351" s="20" t="n">
        <v>0.0585</v>
      </c>
      <c r="J351" s="20" t="n">
        <v>2554</v>
      </c>
    </row>
    <row r="352" ht="16.5" customHeight="1" s="17">
      <c r="B352" s="20" t="inlineStr">
        <is>
          <t>카페24</t>
        </is>
      </c>
      <c r="C352" s="20" t="inlineStr">
        <is>
          <t>쇼핑백</t>
        </is>
      </c>
      <c r="D352" s="20" t="inlineStr">
        <is>
          <t>유즈 스테이포에버 솔리드퍼퓸 002 (12/14 순차배송)쇼핑백=선물용 쇼핑백</t>
        </is>
      </c>
      <c r="E352" s="20" t="inlineStr">
        <is>
          <t>쇼핑백</t>
        </is>
      </c>
      <c r="F352" s="20" t="n">
        <v>210501</v>
      </c>
      <c r="G352" s="20">
        <f>B352&amp;C352&amp;D352&amp;F352</f>
        <v/>
      </c>
      <c r="H352" s="20" t="n">
        <v>2000</v>
      </c>
      <c r="I352" s="20" t="n">
        <v>0.0585</v>
      </c>
      <c r="J352" s="20" t="n">
        <v>830</v>
      </c>
    </row>
    <row r="353" ht="16.5" customHeight="1" s="17">
      <c r="B353" s="20" t="inlineStr">
        <is>
          <t>카페24</t>
        </is>
      </c>
      <c r="C353" s="20" t="inlineStr">
        <is>
          <t>고체향수</t>
        </is>
      </c>
      <c r="D353" s="20" t="inlineStr">
        <is>
          <t>유즈 스테이포에버 솔리드퍼퓸 002 (12/14 순차배송)제품선택=스테이포에버 2개 세트[Pre-order 이벤트 28% 할인]</t>
        </is>
      </c>
      <c r="E353" s="20" t="inlineStr">
        <is>
          <t>스테이포에버 2set</t>
        </is>
      </c>
      <c r="F353" s="20" t="n">
        <v>210501</v>
      </c>
      <c r="G353" s="20">
        <f>B353&amp;C353&amp;D353&amp;F353</f>
        <v/>
      </c>
      <c r="H353" s="20" t="n">
        <v>58800</v>
      </c>
      <c r="I353" s="20" t="n">
        <v>0.0585</v>
      </c>
      <c r="J353" s="20" t="n">
        <v>5108</v>
      </c>
    </row>
    <row r="354" ht="16.5" customHeight="1" s="17">
      <c r="B354" s="20" t="inlineStr">
        <is>
          <t>카페24</t>
        </is>
      </c>
      <c r="C354" s="20" t="inlineStr">
        <is>
          <t>고체향수</t>
        </is>
      </c>
      <c r="D354" s="20" t="inlineStr">
        <is>
          <t>유즈 스테이포에버 솔리드퍼퓸 002 (12/14 순차배송)제품선택=스테이포에버 솔리드퍼퓸 002[Pre-order 이벤트 17% 할인]</t>
        </is>
      </c>
      <c r="E354" s="20" t="inlineStr">
        <is>
          <t>스테이포에버</t>
        </is>
      </c>
      <c r="F354" s="20" t="n">
        <v>210501</v>
      </c>
      <c r="G354" s="20">
        <f>B354&amp;C354&amp;D354&amp;F354</f>
        <v/>
      </c>
      <c r="H354" s="20" t="n">
        <v>38000</v>
      </c>
      <c r="I354" s="20" t="n">
        <v>0.0585</v>
      </c>
      <c r="J354" s="20" t="n">
        <v>2554</v>
      </c>
    </row>
    <row r="355" ht="16.5" customHeight="1" s="17">
      <c r="B355" s="20" t="inlineStr">
        <is>
          <t>카페24</t>
        </is>
      </c>
      <c r="C355" s="20" t="inlineStr">
        <is>
          <t>고체향수</t>
        </is>
      </c>
      <c r="D355" s="20" t="inlineStr">
        <is>
          <t>유즈 스테이포에버 솔리드퍼퓸 002 (12/14 입고 이후 순차배송)제품선택=스테이포에버 솔리드퍼퓸 002[Pre-order 이벤트 17% 할인]</t>
        </is>
      </c>
      <c r="E355" s="20" t="inlineStr">
        <is>
          <t>스테이포에버</t>
        </is>
      </c>
      <c r="F355" s="20" t="n">
        <v>210501</v>
      </c>
      <c r="G355" s="20">
        <f>B355&amp;C355&amp;D355&amp;F355</f>
        <v/>
      </c>
      <c r="H355" s="20" t="n">
        <v>38000</v>
      </c>
      <c r="I355" s="20" t="n">
        <v>0.0585</v>
      </c>
      <c r="J355" s="20" t="n">
        <v>2554</v>
      </c>
    </row>
    <row r="356" ht="16.5" customHeight="1" s="17">
      <c r="B356" s="20" t="inlineStr">
        <is>
          <t>카페24</t>
        </is>
      </c>
      <c r="C356" s="20" t="inlineStr">
        <is>
          <t>쇼핑백</t>
        </is>
      </c>
      <c r="D356" s="20" t="inlineStr">
        <is>
          <t>유즈 스테이포에버 솔리드퍼퓸 002 (12/4 부터 순차배송)쇼핑백=선물용 쇼핑백</t>
        </is>
      </c>
      <c r="E356" s="20" t="inlineStr">
        <is>
          <t>쇼핑백</t>
        </is>
      </c>
      <c r="F356" s="20" t="n">
        <v>210501</v>
      </c>
      <c r="G356" s="20">
        <f>B356&amp;C356&amp;D356&amp;F356</f>
        <v/>
      </c>
      <c r="H356" s="20" t="n">
        <v>2000</v>
      </c>
      <c r="I356" s="20" t="n">
        <v>0.0585</v>
      </c>
      <c r="J356" s="20" t="n">
        <v>830</v>
      </c>
    </row>
    <row r="357" ht="16.5" customHeight="1" s="17">
      <c r="B357" s="20" t="inlineStr">
        <is>
          <t>카페24</t>
        </is>
      </c>
      <c r="C357" s="20" t="inlineStr">
        <is>
          <t>고체향수</t>
        </is>
      </c>
      <c r="D357" s="20" t="inlineStr">
        <is>
          <t>유즈 스테이포에버 솔리드퍼퓸 002 (12/4 부터 순차배송)제품선택=스테이포에버 + 이그나이트 세트</t>
        </is>
      </c>
      <c r="E357" s="20" t="inlineStr">
        <is>
          <t>이그나이트 + 스테이포에버</t>
        </is>
      </c>
      <c r="F357" s="20" t="n">
        <v>210501</v>
      </c>
      <c r="G357" s="20">
        <f>B357&amp;C357&amp;D357&amp;F357</f>
        <v/>
      </c>
      <c r="H357" s="20" t="n">
        <v>69000</v>
      </c>
      <c r="I357" s="20" t="n">
        <v>0.0585</v>
      </c>
      <c r="J357" s="20" t="n">
        <v>5179</v>
      </c>
    </row>
    <row r="358" ht="16.5" customHeight="1" s="17">
      <c r="B358" s="20" t="inlineStr">
        <is>
          <t>카페24</t>
        </is>
      </c>
      <c r="C358" s="20" t="inlineStr">
        <is>
          <t>고체향수</t>
        </is>
      </c>
      <c r="D358" s="20" t="inlineStr">
        <is>
          <t>유즈 스테이포에버 솔리드퍼퓸 002 (12/4 부터 순차배송)제품선택=스테이포에버 2개 세트[Pre-order 이벤트 28% 할인]</t>
        </is>
      </c>
      <c r="E358" s="20" t="inlineStr">
        <is>
          <t>스테이포에버 2set</t>
        </is>
      </c>
      <c r="F358" s="20" t="n">
        <v>210501</v>
      </c>
      <c r="G358" s="20">
        <f>B358&amp;C358&amp;D358&amp;F358</f>
        <v/>
      </c>
      <c r="H358" s="20" t="n">
        <v>58800</v>
      </c>
      <c r="I358" s="20" t="n">
        <v>0.0585</v>
      </c>
      <c r="J358" s="20" t="n">
        <v>5108</v>
      </c>
    </row>
    <row r="359" ht="16.5" customHeight="1" s="17">
      <c r="B359" s="20" t="inlineStr">
        <is>
          <t>카페24</t>
        </is>
      </c>
      <c r="C359" s="20" t="inlineStr">
        <is>
          <t>고체향수</t>
        </is>
      </c>
      <c r="D359" s="20" t="inlineStr">
        <is>
          <t>유즈 스테이포에버 솔리드퍼퓸 002 (12/4 부터 순차배송)제품선택=스테이포에버 솔리드퍼퓸 002[Pre-order 이벤트 17% 할인]</t>
        </is>
      </c>
      <c r="E359" s="20" t="inlineStr">
        <is>
          <t>스테이포에버</t>
        </is>
      </c>
      <c r="F359" s="20" t="n">
        <v>210501</v>
      </c>
      <c r="G359" s="20">
        <f>B359&amp;C359&amp;D359&amp;F359</f>
        <v/>
      </c>
      <c r="H359" s="20" t="n">
        <v>38000</v>
      </c>
      <c r="I359" s="20" t="n">
        <v>0.0585</v>
      </c>
      <c r="J359" s="20" t="n">
        <v>2554</v>
      </c>
    </row>
    <row r="360" ht="16.5" customHeight="1" s="17">
      <c r="B360" s="20" t="inlineStr">
        <is>
          <t>카페24</t>
        </is>
      </c>
      <c r="C360" s="20" t="inlineStr">
        <is>
          <t>쇼핑백</t>
        </is>
      </c>
      <c r="D360" s="20" t="inlineStr">
        <is>
          <t>유즈 스테이포에버 솔리드퍼퓸 002 (스테이포에버 주문시 12/14 순차배송)쇼핑백=선물용 쇼핑백</t>
        </is>
      </c>
      <c r="E360" s="20" t="inlineStr">
        <is>
          <t>쇼핑백</t>
        </is>
      </c>
      <c r="F360" s="20" t="n">
        <v>210501</v>
      </c>
      <c r="G360" s="20">
        <f>B360&amp;C360&amp;D360&amp;F360</f>
        <v/>
      </c>
      <c r="H360" s="20" t="n">
        <v>2000</v>
      </c>
      <c r="I360" s="20" t="n">
        <v>0.0585</v>
      </c>
      <c r="J360" s="20" t="n">
        <v>830</v>
      </c>
    </row>
    <row r="361" ht="16.5" customHeight="1" s="17">
      <c r="B361" s="20" t="inlineStr">
        <is>
          <t>카페24</t>
        </is>
      </c>
      <c r="C361" s="20" t="inlineStr">
        <is>
          <t>고체향수</t>
        </is>
      </c>
      <c r="D361" s="20" t="inlineStr">
        <is>
          <t>유즈 스테이포에버 솔리드퍼퓸 002 (스테이포에버 주문시 12/14 순차배송)제품선택=스테이포에버 + 이그나이트 세트</t>
        </is>
      </c>
      <c r="E361" s="20" t="inlineStr">
        <is>
          <t>이그나이트 + 스테이포에버</t>
        </is>
      </c>
      <c r="F361" s="20" t="n">
        <v>210501</v>
      </c>
      <c r="G361" s="20">
        <f>B361&amp;C361&amp;D361&amp;F361</f>
        <v/>
      </c>
      <c r="H361" s="20" t="n">
        <v>69000</v>
      </c>
      <c r="I361" s="20" t="n">
        <v>0.0585</v>
      </c>
      <c r="J361" s="20" t="n">
        <v>5179</v>
      </c>
    </row>
    <row r="362" ht="16.5" customHeight="1" s="17">
      <c r="B362" s="20" t="inlineStr">
        <is>
          <t>카페24</t>
        </is>
      </c>
      <c r="C362" s="20" t="inlineStr">
        <is>
          <t>고체향수</t>
        </is>
      </c>
      <c r="D362" s="20" t="inlineStr">
        <is>
          <t>유즈 스테이포에버 솔리드퍼퓸 002 (스테이포에버 주문시 12/14 순차배송)제품선택=스테이포에버 2개 세트[Pre-order 이벤트 28% 할인]</t>
        </is>
      </c>
      <c r="E362" s="20" t="inlineStr">
        <is>
          <t>스테이포에버 2set</t>
        </is>
      </c>
      <c r="F362" s="20" t="n">
        <v>210501</v>
      </c>
      <c r="G362" s="20">
        <f>B362&amp;C362&amp;D362&amp;F362</f>
        <v/>
      </c>
      <c r="H362" s="20" t="n">
        <v>58800</v>
      </c>
      <c r="I362" s="20" t="n">
        <v>0.0585</v>
      </c>
      <c r="J362" s="20" t="n">
        <v>5108</v>
      </c>
    </row>
    <row r="363" ht="16.5" customHeight="1" s="17">
      <c r="B363" s="20" t="inlineStr">
        <is>
          <t>카페24</t>
        </is>
      </c>
      <c r="C363" s="20" t="inlineStr">
        <is>
          <t>고체향수</t>
        </is>
      </c>
      <c r="D363" s="20" t="inlineStr">
        <is>
          <t>유즈 스테이포에버 솔리드퍼퓸 002 (스테이포에버 주문시 12/14 순차배송)제품선택=스테이포에버 솔리드퍼퓸 002[Pre-order 이벤트 17% 할인]</t>
        </is>
      </c>
      <c r="E363" s="20" t="inlineStr">
        <is>
          <t>스테이포에버</t>
        </is>
      </c>
      <c r="F363" s="20" t="n">
        <v>210501</v>
      </c>
      <c r="G363" s="20">
        <f>B363&amp;C363&amp;D363&amp;F363</f>
        <v/>
      </c>
      <c r="H363" s="20" t="n">
        <v>38000</v>
      </c>
      <c r="I363" s="20" t="n">
        <v>0.0585</v>
      </c>
      <c r="J363" s="20" t="n">
        <v>2554</v>
      </c>
    </row>
    <row r="364" ht="16.5" customHeight="1" s="17">
      <c r="B364" s="20" t="inlineStr">
        <is>
          <t>카페24</t>
        </is>
      </c>
      <c r="C364" s="20" t="inlineStr">
        <is>
          <t>쇼핑백</t>
        </is>
      </c>
      <c r="D364" s="20" t="inlineStr">
        <is>
          <t>유즈 스테이포에버 솔리드퍼퓸 002 (스테이포에버 주문시 12/15 순차배송)쇼핑백=선물용 쇼핑백</t>
        </is>
      </c>
      <c r="E364" s="20" t="inlineStr">
        <is>
          <t>쇼핑백</t>
        </is>
      </c>
      <c r="F364" s="20" t="n">
        <v>210501</v>
      </c>
      <c r="G364" s="20">
        <f>B364&amp;C364&amp;D364&amp;F364</f>
        <v/>
      </c>
      <c r="H364" s="20" t="n">
        <v>2000</v>
      </c>
      <c r="I364" s="20" t="n">
        <v>0.0585</v>
      </c>
      <c r="J364" s="20" t="n">
        <v>830</v>
      </c>
    </row>
    <row r="365" ht="16.5" customHeight="1" s="17">
      <c r="B365" s="20" t="inlineStr">
        <is>
          <t>카페24</t>
        </is>
      </c>
      <c r="C365" s="20" t="inlineStr">
        <is>
          <t>고체향수</t>
        </is>
      </c>
      <c r="D365" s="20" t="inlineStr">
        <is>
          <t>유즈 스테이포에버 솔리드퍼퓸 002 (스테이포에버 주문시 12/15 순차배송)제품선택=스테이포에버 + 이그나이트 세트</t>
        </is>
      </c>
      <c r="E365" s="20" t="inlineStr">
        <is>
          <t>이그나이트 + 스테이포에버</t>
        </is>
      </c>
      <c r="F365" s="20" t="n">
        <v>210501</v>
      </c>
      <c r="G365" s="20">
        <f>B365&amp;C365&amp;D365&amp;F365</f>
        <v/>
      </c>
      <c r="H365" s="20" t="n">
        <v>69000</v>
      </c>
      <c r="I365" s="20" t="n">
        <v>0.0585</v>
      </c>
      <c r="J365" s="20" t="n">
        <v>5179</v>
      </c>
    </row>
    <row r="366" ht="16.5" customHeight="1" s="17">
      <c r="B366" s="20" t="inlineStr">
        <is>
          <t>카페24</t>
        </is>
      </c>
      <c r="C366" s="20" t="inlineStr">
        <is>
          <t>고체향수</t>
        </is>
      </c>
      <c r="D366" s="20" t="inlineStr">
        <is>
          <t>유즈 스테이포에버 솔리드퍼퓸 002 (스테이포에버 주문시 12/15 순차배송)제품선택=스테이포에버 2개 세트[Pre-order 이벤트 28% 할인]</t>
        </is>
      </c>
      <c r="E366" s="20" t="inlineStr">
        <is>
          <t>스테이포에버 2set</t>
        </is>
      </c>
      <c r="F366" s="20" t="n">
        <v>210501</v>
      </c>
      <c r="G366" s="20">
        <f>B366&amp;C366&amp;D366&amp;F366</f>
        <v/>
      </c>
      <c r="H366" s="20" t="n">
        <v>58800</v>
      </c>
      <c r="I366" s="20" t="n">
        <v>0.0585</v>
      </c>
      <c r="J366" s="20" t="n">
        <v>5108</v>
      </c>
    </row>
    <row r="367" ht="16.5" customHeight="1" s="17">
      <c r="B367" s="20" t="inlineStr">
        <is>
          <t>카페24</t>
        </is>
      </c>
      <c r="C367" s="20" t="inlineStr">
        <is>
          <t>고체향수</t>
        </is>
      </c>
      <c r="D367" s="20" t="inlineStr">
        <is>
          <t>유즈 스테이포에버 솔리드퍼퓸 002 (스테이포에버 주문시 12/15 순차배송)제품선택=스테이포에버 솔리드퍼퓸 002[Pre-order 이벤트 17% 할인]</t>
        </is>
      </c>
      <c r="E367" s="20" t="inlineStr">
        <is>
          <t>스테이포에버</t>
        </is>
      </c>
      <c r="F367" s="20" t="n">
        <v>210501</v>
      </c>
      <c r="G367" s="20">
        <f>B367&amp;C367&amp;D367&amp;F367</f>
        <v/>
      </c>
      <c r="H367" s="20" t="n">
        <v>38000</v>
      </c>
      <c r="I367" s="20" t="n">
        <v>0.0585</v>
      </c>
      <c r="J367" s="20" t="n">
        <v>2554</v>
      </c>
    </row>
    <row r="368" ht="16.5" customHeight="1" s="17">
      <c r="B368" s="20" t="inlineStr">
        <is>
          <t>카페24</t>
        </is>
      </c>
      <c r="C368" s="20" t="inlineStr">
        <is>
          <t>고체향수</t>
        </is>
      </c>
      <c r="D368" s="20" t="inlineStr">
        <is>
          <t>유즈 스테이포에버 솔리드퍼퓸 002제품선택=스테이포에버 솔리드퍼퓸</t>
        </is>
      </c>
      <c r="E368" s="20" t="inlineStr">
        <is>
          <t>스테이포에버</t>
        </is>
      </c>
      <c r="F368" s="20" t="n">
        <v>210501</v>
      </c>
      <c r="G368" s="20">
        <f>B368&amp;C368&amp;D368&amp;F368</f>
        <v/>
      </c>
      <c r="H368" s="20" t="n">
        <v>38000</v>
      </c>
      <c r="I368" s="20" t="n">
        <v>0.0585</v>
      </c>
      <c r="J368" s="20" t="n">
        <v>2554</v>
      </c>
    </row>
    <row r="369" ht="16.5" customHeight="1" s="17">
      <c r="B369" s="20" t="inlineStr">
        <is>
          <t>카페24</t>
        </is>
      </c>
      <c r="C369" s="20" t="inlineStr">
        <is>
          <t>고체향수</t>
        </is>
      </c>
      <c r="D369" s="20" t="inlineStr">
        <is>
          <t>유즈 이그나이트 솔리드퍼퓸 001제품선택=이그나이트 2개 세트</t>
        </is>
      </c>
      <c r="E369" s="20" t="inlineStr">
        <is>
          <t>이그나이트 2set</t>
        </is>
      </c>
      <c r="F369" s="20" t="n">
        <v>210501</v>
      </c>
      <c r="G369" s="20">
        <f>B369&amp;C369&amp;D369&amp;F369</f>
        <v/>
      </c>
      <c r="H369" s="20" t="n">
        <v>58800</v>
      </c>
      <c r="I369" s="20" t="n">
        <v>0.0585</v>
      </c>
      <c r="J369" s="20" t="n">
        <v>5250</v>
      </c>
    </row>
    <row r="370" ht="16.5" customHeight="1" s="17">
      <c r="B370" s="20" t="inlineStr">
        <is>
          <t>카페24</t>
        </is>
      </c>
      <c r="C370" s="20" t="inlineStr">
        <is>
          <t>고체향수</t>
        </is>
      </c>
      <c r="D370" s="20" t="inlineStr">
        <is>
          <t>유즈 이그나이트 솔리드퍼퓸 001제품선택=이그나이트 솔리드퍼퓸 - 30ml</t>
        </is>
      </c>
      <c r="E370" s="20" t="inlineStr">
        <is>
          <t>이그나이트</t>
        </is>
      </c>
      <c r="F370" s="20" t="n">
        <v>210501</v>
      </c>
      <c r="G370" s="20">
        <f>B370&amp;C370&amp;D370&amp;F370</f>
        <v/>
      </c>
      <c r="H370" s="20" t="n">
        <v>38000</v>
      </c>
      <c r="I370" s="20" t="n">
        <v>0.0585</v>
      </c>
      <c r="J370" s="20" t="n">
        <v>2625</v>
      </c>
    </row>
    <row r="371" ht="16.5" customHeight="1" s="17">
      <c r="B371" s="20" t="inlineStr">
        <is>
          <t>유즈 CS</t>
        </is>
      </c>
      <c r="C371" s="20" t="inlineStr">
        <is>
          <t>고체향수</t>
        </is>
      </c>
      <c r="D371" s="20" t="inlineStr">
        <is>
          <t>솔리드퍼퓸 스테이포에버 002 30ml</t>
        </is>
      </c>
      <c r="E371" s="20" t="inlineStr">
        <is>
          <t>스테이포에버</t>
        </is>
      </c>
      <c r="F371" s="20" t="n">
        <v>210501</v>
      </c>
      <c r="G371" s="20">
        <f>B371&amp;C371&amp;D371&amp;F371</f>
        <v/>
      </c>
      <c r="H371" s="20" t="n">
        <v>0</v>
      </c>
      <c r="I371" s="20" t="n">
        <v>0</v>
      </c>
      <c r="J371" s="20" t="n">
        <v>2554</v>
      </c>
    </row>
    <row r="372" ht="16.5" customHeight="1" s="17">
      <c r="B372" s="20" t="inlineStr">
        <is>
          <t>유즈 CS</t>
        </is>
      </c>
      <c r="C372" s="20" t="inlineStr">
        <is>
          <t>고체향수</t>
        </is>
      </c>
      <c r="D372" s="20" t="inlineStr">
        <is>
          <t>솔리드퍼퓸 이그나이트 001 30ml</t>
        </is>
      </c>
      <c r="E372" s="20" t="inlineStr">
        <is>
          <t>이그나이트</t>
        </is>
      </c>
      <c r="F372" s="20" t="n">
        <v>210501</v>
      </c>
      <c r="G372" s="20">
        <f>B372&amp;C372&amp;D372&amp;F372</f>
        <v/>
      </c>
      <c r="H372" s="20" t="n">
        <v>0</v>
      </c>
      <c r="I372" s="20" t="n">
        <v>0</v>
      </c>
      <c r="J372" s="20" t="n">
        <v>2625</v>
      </c>
    </row>
    <row r="373" ht="16.5" customHeight="1" s="17">
      <c r="B373" s="20" t="inlineStr">
        <is>
          <t>카페24</t>
        </is>
      </c>
      <c r="C373" s="20" t="inlineStr">
        <is>
          <t>고체향수</t>
        </is>
      </c>
      <c r="D373" s="20" t="inlineStr">
        <is>
          <t>유즈 솔리드퍼퓸 - 30ml (스테이포에버 주문 시 12/15 순차배송)향=커플세트(이그나이트 + 스테이포에버), 세트 선택=1 SET</t>
        </is>
      </c>
      <c r="E373" s="20" t="inlineStr">
        <is>
          <t>이그나이트 + 스테이포에버</t>
        </is>
      </c>
      <c r="F373" s="20" t="n">
        <v>210501</v>
      </c>
      <c r="G373" s="20">
        <f>B373&amp;C373&amp;D373&amp;F373</f>
        <v/>
      </c>
      <c r="H373" s="20" t="n">
        <v>69000</v>
      </c>
      <c r="I373" s="20" t="n">
        <v>0.0585</v>
      </c>
      <c r="J373" s="20" t="n">
        <v>5179</v>
      </c>
    </row>
    <row r="374" ht="16.5" customHeight="1" s="17">
      <c r="B374" s="20" t="inlineStr">
        <is>
          <t>카페24</t>
        </is>
      </c>
      <c r="C374" s="20" t="inlineStr">
        <is>
          <t>고체향수</t>
        </is>
      </c>
      <c r="D374" s="20" t="inlineStr">
        <is>
          <t>유즈 스테이포에버 솔리드퍼퓸 002 (스테이포에버 주문시 12/15 순차배송)제품선택=스테이포에버 [17% 할인]</t>
        </is>
      </c>
      <c r="E374" s="20" t="inlineStr">
        <is>
          <t>스테이포에버</t>
        </is>
      </c>
      <c r="F374" s="20" t="n">
        <v>210501</v>
      </c>
      <c r="G374" s="20">
        <f>B374&amp;C374&amp;D374&amp;F374</f>
        <v/>
      </c>
      <c r="H374" s="20" t="n">
        <v>38000</v>
      </c>
      <c r="I374" s="20" t="n">
        <v>0.0585</v>
      </c>
      <c r="J374" s="20" t="n">
        <v>2554</v>
      </c>
    </row>
    <row r="375" ht="16.5" customHeight="1" s="17">
      <c r="B375" s="20" t="inlineStr">
        <is>
          <t>카페24</t>
        </is>
      </c>
      <c r="C375" s="20" t="inlineStr">
        <is>
          <t>고체향수</t>
        </is>
      </c>
      <c r="D375" s="20" t="inlineStr">
        <is>
          <t>유즈 스테이포에버 솔리드퍼퓸 002 (스테이포에버 주문시 12/15 순차배송)제품선택=best</t>
        </is>
      </c>
      <c r="E375" s="20" t="inlineStr">
        <is>
          <t>스테이포에버 2set</t>
        </is>
      </c>
      <c r="F375" s="20" t="n">
        <v>210501</v>
      </c>
      <c r="G375" s="20">
        <f>B375&amp;C375&amp;D375&amp;F375</f>
        <v/>
      </c>
      <c r="H375" s="20" t="n">
        <v>58800</v>
      </c>
      <c r="I375" s="20" t="n">
        <v>0.0585</v>
      </c>
      <c r="J375" s="20" t="n">
        <v>5108</v>
      </c>
    </row>
    <row r="376" ht="16.5" customHeight="1" s="17">
      <c r="B376" s="20" t="inlineStr">
        <is>
          <t>카페24</t>
        </is>
      </c>
      <c r="C376" s="20" t="inlineStr">
        <is>
          <t>고체향수</t>
        </is>
      </c>
      <c r="D376" s="20" t="inlineStr">
        <is>
          <t>유즈 스테이포에버 솔리드퍼퓸 002 (스테이포에버 주문시 12/15 순차배송)제품선택=best스테이포에버 2개[28% 할인]</t>
        </is>
      </c>
      <c r="E376" s="20" t="inlineStr">
        <is>
          <t>스테이포에버 2set</t>
        </is>
      </c>
      <c r="F376" s="20" t="n">
        <v>210501</v>
      </c>
      <c r="G376" s="20">
        <f>B376&amp;C376&amp;D376&amp;F376</f>
        <v/>
      </c>
      <c r="H376" s="20" t="n">
        <v>58800</v>
      </c>
      <c r="I376" s="20" t="n">
        <v>0.0585</v>
      </c>
      <c r="J376" s="20" t="n">
        <v>5108</v>
      </c>
    </row>
    <row r="377" ht="16.5" customHeight="1" s="17">
      <c r="B377" s="20" t="inlineStr">
        <is>
          <t>카페24</t>
        </is>
      </c>
      <c r="C377" s="20" t="inlineStr">
        <is>
          <t>고체향수</t>
        </is>
      </c>
      <c r="D377" s="20" t="inlineStr">
        <is>
          <t>솔리드퍼퓸 스테이포에버 002 30ml</t>
        </is>
      </c>
      <c r="E377" s="20" t="inlineStr">
        <is>
          <t>스테이포에버</t>
        </is>
      </c>
      <c r="F377" s="20" t="n">
        <v>210501</v>
      </c>
      <c r="G377" s="20">
        <f>B377&amp;C377&amp;D377&amp;F377</f>
        <v/>
      </c>
      <c r="H377" s="20" t="n">
        <v>38000</v>
      </c>
      <c r="I377" s="20" t="n">
        <v>0.0585</v>
      </c>
      <c r="J377" s="20" t="n">
        <v>2554</v>
      </c>
    </row>
    <row r="378" ht="16.5" customHeight="1" s="17">
      <c r="B378" s="20" t="inlineStr">
        <is>
          <t>카페24</t>
        </is>
      </c>
      <c r="C378" s="20" t="inlineStr">
        <is>
          <t>고체향수</t>
        </is>
      </c>
      <c r="D378" s="20" t="inlineStr">
        <is>
          <t>유즈 솔리드퍼퓸 - 30ml (스테이포에버 주문 시 12/15 순차배송)향=스테이포에버 002 SOLID PERFUME, 세트 선택=1</t>
        </is>
      </c>
      <c r="E378" s="20" t="inlineStr">
        <is>
          <t>스테이포에버</t>
        </is>
      </c>
      <c r="F378" s="20" t="n">
        <v>210501</v>
      </c>
      <c r="G378" s="20">
        <f>B378&amp;C378&amp;D378&amp;F378</f>
        <v/>
      </c>
      <c r="H378" s="20" t="n">
        <v>38000</v>
      </c>
      <c r="I378" s="20" t="n">
        <v>0.0585</v>
      </c>
      <c r="J378" s="20" t="n">
        <v>2554</v>
      </c>
    </row>
    <row r="379" ht="16.5" customHeight="1" s="17">
      <c r="B379" s="20" t="inlineStr">
        <is>
          <t>카페24</t>
        </is>
      </c>
      <c r="C379" s="20" t="inlineStr">
        <is>
          <t>고체향수</t>
        </is>
      </c>
      <c r="D379" s="20" t="inlineStr">
        <is>
          <t>유즈 솔리드퍼퓸 - 30ml (스테이포에버 주문 시 12/15 순차배송)향=스테이포에버 002 SOLID PERFUME, 세트 선택=1 개(17% 할인)</t>
        </is>
      </c>
      <c r="E379" s="20" t="inlineStr">
        <is>
          <t>스테이포에버</t>
        </is>
      </c>
      <c r="F379" s="20" t="n">
        <v>210501</v>
      </c>
      <c r="G379" s="20">
        <f>B379&amp;C379&amp;D379&amp;F379</f>
        <v/>
      </c>
      <c r="H379" s="20" t="n">
        <v>38000</v>
      </c>
      <c r="I379" s="20" t="n">
        <v>0.0585</v>
      </c>
      <c r="J379" s="20" t="n">
        <v>2554</v>
      </c>
    </row>
    <row r="380" ht="16.5" customHeight="1" s="17">
      <c r="B380" s="20" t="inlineStr">
        <is>
          <t>카페24</t>
        </is>
      </c>
      <c r="C380" s="20" t="inlineStr">
        <is>
          <t>고체향수</t>
        </is>
      </c>
      <c r="D380" s="20" t="inlineStr">
        <is>
          <t>유즈 솔리드퍼퓸 - 30ml (스테이포에버 주문 시 12/15 순차배송)향=스테이포에버 002 SOLID PERFUME, 세트 선택=best</t>
        </is>
      </c>
      <c r="E380" s="20" t="inlineStr">
        <is>
          <t>스테이포에버</t>
        </is>
      </c>
      <c r="F380" s="20" t="n">
        <v>210501</v>
      </c>
      <c r="G380" s="20">
        <f>B380&amp;C380&amp;D380&amp;F380</f>
        <v/>
      </c>
      <c r="H380" s="20" t="n">
        <v>38000</v>
      </c>
      <c r="I380" s="20" t="n">
        <v>0.0585</v>
      </c>
      <c r="J380" s="20" t="n">
        <v>2554</v>
      </c>
    </row>
    <row r="381" ht="16.5" customHeight="1" s="17">
      <c r="B381" s="20" t="inlineStr">
        <is>
          <t>카페24</t>
        </is>
      </c>
      <c r="C381" s="20" t="inlineStr">
        <is>
          <t>고체향수</t>
        </is>
      </c>
      <c r="D381" s="20" t="inlineStr">
        <is>
          <t>유즈 솔리드퍼퓸 - 30ml (스테이포에버 주문 시 12/15 순차배송)향=스테이포에버 002 SOLID PERFUME, 세트 선택=best(28% 할인)2개</t>
        </is>
      </c>
      <c r="E381" s="20" t="inlineStr">
        <is>
          <t>스테이포에버 2set</t>
        </is>
      </c>
      <c r="F381" s="20" t="n">
        <v>210501</v>
      </c>
      <c r="G381" s="20">
        <f>B381&amp;C381&amp;D381&amp;F381</f>
        <v/>
      </c>
      <c r="H381" s="20" t="n">
        <v>58800</v>
      </c>
      <c r="I381" s="20" t="n">
        <v>0.0585</v>
      </c>
      <c r="J381" s="20" t="n">
        <v>5108</v>
      </c>
    </row>
    <row r="382" ht="16.5" customHeight="1" s="17">
      <c r="B382" s="20" t="inlineStr">
        <is>
          <t>카페24</t>
        </is>
      </c>
      <c r="C382" s="20" t="inlineStr">
        <is>
          <t>고체향수</t>
        </is>
      </c>
      <c r="D382" s="20" t="inlineStr">
        <is>
          <t>유즈 솔리드퍼퓸 - 30ml (스테이포에버 주문 시 12/15 순차배송)향=커플세트</t>
        </is>
      </c>
      <c r="E382" s="20" t="inlineStr">
        <is>
          <t>이그나이트 + 스테이포에버</t>
        </is>
      </c>
      <c r="F382" s="20" t="n">
        <v>210501</v>
      </c>
      <c r="G382" s="20">
        <f>B382&amp;C382&amp;D382&amp;F382</f>
        <v/>
      </c>
      <c r="H382" s="20" t="n">
        <v>69000</v>
      </c>
      <c r="I382" s="20" t="n">
        <v>0.0585</v>
      </c>
      <c r="J382" s="20" t="n">
        <v>5179</v>
      </c>
    </row>
    <row r="383" ht="16.5" customHeight="1" s="17">
      <c r="B383" s="20" t="inlineStr">
        <is>
          <t>카페24</t>
        </is>
      </c>
      <c r="C383" s="20" t="inlineStr">
        <is>
          <t>고체향수</t>
        </is>
      </c>
      <c r="D383" s="20" t="inlineStr">
        <is>
          <t>유즈 스테이포에버 솔리드퍼퓸 002 (스테이포에버 주문시 12/15 순차배송)제품선택=스테이포에버 1개</t>
        </is>
      </c>
      <c r="E383" s="20" t="inlineStr">
        <is>
          <t>스테이포에버</t>
        </is>
      </c>
      <c r="F383" s="20" t="n">
        <v>210501</v>
      </c>
      <c r="G383" s="20">
        <f>B383&amp;C383&amp;D383&amp;F383</f>
        <v/>
      </c>
      <c r="H383" s="20" t="n">
        <v>38000</v>
      </c>
      <c r="I383" s="20" t="n">
        <v>0.0585</v>
      </c>
      <c r="J383" s="20" t="n">
        <v>2554</v>
      </c>
    </row>
    <row r="384" ht="16.5" customHeight="1" s="17">
      <c r="B384" s="20" t="inlineStr">
        <is>
          <t>카페24</t>
        </is>
      </c>
      <c r="C384" s="20" t="inlineStr">
        <is>
          <t>고체향수</t>
        </is>
      </c>
      <c r="D384" s="20" t="inlineStr">
        <is>
          <t>유즈 스테이포에버 솔리드퍼퓸 002 (스테이포에버 주문시 12/15 순차배송)제품선택=스테이포에버 1개 [17% 할인]</t>
        </is>
      </c>
      <c r="E384" s="20" t="inlineStr">
        <is>
          <t>스테이포에버</t>
        </is>
      </c>
      <c r="F384" s="20" t="n">
        <v>210501</v>
      </c>
      <c r="G384" s="20">
        <f>B384&amp;C384&amp;D384&amp;F384</f>
        <v/>
      </c>
      <c r="H384" s="20" t="n">
        <v>38000</v>
      </c>
      <c r="I384" s="20" t="n">
        <v>0.0585</v>
      </c>
      <c r="J384" s="20" t="n">
        <v>2554</v>
      </c>
    </row>
    <row r="385" ht="16.5" customHeight="1" s="17">
      <c r="B385" s="20" t="inlineStr">
        <is>
          <t>카페24</t>
        </is>
      </c>
      <c r="C385" s="20" t="inlineStr">
        <is>
          <t>고체향수</t>
        </is>
      </c>
      <c r="D385" s="20" t="inlineStr">
        <is>
          <t>유즈 스테이포에버 솔리드퍼퓸 002 (스테이포에버 주문시 12/15 순차배송)제품선택=커플추천</t>
        </is>
      </c>
      <c r="E385" s="20" t="inlineStr">
        <is>
          <t>이그나이트 + 스테이포에버</t>
        </is>
      </c>
      <c r="F385" s="20" t="n">
        <v>210501</v>
      </c>
      <c r="G385" s="20">
        <f>B385&amp;C385&amp;D385&amp;F385</f>
        <v/>
      </c>
      <c r="H385" s="20" t="n">
        <v>69000</v>
      </c>
      <c r="I385" s="20" t="n">
        <v>0.0585</v>
      </c>
      <c r="J385" s="20" t="n">
        <v>5179</v>
      </c>
    </row>
    <row r="386" ht="16.5" customHeight="1" s="17">
      <c r="B386" s="20" t="inlineStr">
        <is>
          <t>카페24</t>
        </is>
      </c>
      <c r="C386" s="20" t="inlineStr">
        <is>
          <t>고체향수</t>
        </is>
      </c>
      <c r="D386" s="20" t="inlineStr">
        <is>
          <t>유즈 솔리드퍼퓸 - 30ml (스테이포에버 주문 시 12/15 순차배송)향=이그나이트 001 SOLID PERFUME, 세트 선택=1</t>
        </is>
      </c>
      <c r="E386" s="20" t="inlineStr">
        <is>
          <t>이그나이트</t>
        </is>
      </c>
      <c r="F386" s="20" t="n">
        <v>210501</v>
      </c>
      <c r="G386" s="20">
        <f>B386&amp;C386&amp;D386&amp;F386</f>
        <v/>
      </c>
      <c r="H386" s="20" t="n">
        <v>38000</v>
      </c>
      <c r="I386" s="20" t="n">
        <v>0.0585</v>
      </c>
      <c r="J386" s="20" t="n">
        <v>2625</v>
      </c>
    </row>
    <row r="387" ht="16.5" customHeight="1" s="17">
      <c r="B387" s="20" t="inlineStr">
        <is>
          <t>카페24</t>
        </is>
      </c>
      <c r="C387" s="20" t="inlineStr">
        <is>
          <t>고체향수</t>
        </is>
      </c>
      <c r="D387" s="20" t="inlineStr">
        <is>
          <t>유즈 솔리드퍼퓸 - 30ml (스테이포에버 주문 시 12/15 순차배송)향=커플세트(이그나이트 + 스테이포에버), 세트 선택=2 SET (42% 할인)</t>
        </is>
      </c>
      <c r="E387" s="20" t="inlineStr">
        <is>
          <t>이그나이트 + 스테이포에버</t>
        </is>
      </c>
      <c r="F387" s="20" t="n">
        <v>210501</v>
      </c>
      <c r="G387" s="20">
        <f>B387&amp;C387&amp;D387&amp;F387</f>
        <v/>
      </c>
      <c r="H387" s="20" t="n">
        <v>69000</v>
      </c>
      <c r="I387" s="20" t="n">
        <v>0.0585</v>
      </c>
      <c r="J387" s="20" t="n">
        <v>5179</v>
      </c>
    </row>
    <row r="388" ht="16.5" customHeight="1" s="17">
      <c r="B388" s="20" t="inlineStr">
        <is>
          <t>카페24</t>
        </is>
      </c>
      <c r="C388" s="20" t="inlineStr">
        <is>
          <t>고체향수</t>
        </is>
      </c>
      <c r="D388" s="20" t="inlineStr">
        <is>
          <t>유즈 스테이포에버 솔리드퍼퓸 002 (스테이포에버 주문시 12/15 순차배송)제품선택=커플추천스테이포에버 + 이그나이트 세트</t>
        </is>
      </c>
      <c r="E388" s="20" t="inlineStr">
        <is>
          <t>이그나이트 + 스테이포에버</t>
        </is>
      </c>
      <c r="F388" s="20" t="n">
        <v>210501</v>
      </c>
      <c r="G388" s="20">
        <f>B388&amp;C388&amp;D388&amp;F388</f>
        <v/>
      </c>
      <c r="H388" s="20" t="n">
        <v>69000</v>
      </c>
      <c r="I388" s="20" t="n">
        <v>0.0585</v>
      </c>
      <c r="J388" s="20" t="n">
        <v>5179</v>
      </c>
    </row>
    <row r="389" ht="16.5" customHeight="1" s="17">
      <c r="B389" s="20" t="inlineStr">
        <is>
          <t>카페24</t>
        </is>
      </c>
      <c r="C389" s="20" t="inlineStr">
        <is>
          <t>고체향수</t>
        </is>
      </c>
      <c r="D389" s="20" t="inlineStr">
        <is>
          <t>스테이포에버 솔리드퍼퓸 002 (10차 재입고 완료제품선택=스테이포에버 1개</t>
        </is>
      </c>
      <c r="E389" s="20" t="inlineStr">
        <is>
          <t>스테이포에버</t>
        </is>
      </c>
      <c r="F389" s="20" t="n">
        <v>210501</v>
      </c>
      <c r="G389" s="20">
        <f>B389&amp;C389&amp;D389&amp;F389</f>
        <v/>
      </c>
      <c r="H389" s="20" t="n">
        <v>38000</v>
      </c>
      <c r="I389" s="20" t="n">
        <v>0.0585</v>
      </c>
      <c r="J389" s="20" t="n">
        <v>2554</v>
      </c>
    </row>
    <row r="390" ht="16.5" customHeight="1" s="17">
      <c r="B390" s="20" t="inlineStr">
        <is>
          <t>카페24</t>
        </is>
      </c>
      <c r="C390" s="20" t="inlineStr">
        <is>
          <t>고체향수</t>
        </is>
      </c>
      <c r="D390" s="20" t="inlineStr">
        <is>
          <t>스테이포에버 솔리드퍼퓸 002 (10차 재입고 완료제품선택=best</t>
        </is>
      </c>
      <c r="E390" s="20" t="inlineStr">
        <is>
          <t>스테이포에버 2set</t>
        </is>
      </c>
      <c r="F390" s="20" t="n">
        <v>210501</v>
      </c>
      <c r="G390" s="20">
        <f>B390&amp;C390&amp;D390&amp;F390</f>
        <v/>
      </c>
      <c r="H390" s="20" t="n">
        <v>58800</v>
      </c>
      <c r="I390" s="20" t="n">
        <v>0.0585</v>
      </c>
      <c r="J390" s="20" t="n">
        <v>5108</v>
      </c>
    </row>
    <row r="391" ht="16.5" customHeight="1" s="17">
      <c r="B391" s="20" t="inlineStr">
        <is>
          <t>카페24</t>
        </is>
      </c>
      <c r="C391" s="20" t="inlineStr">
        <is>
          <t>고체향수</t>
        </is>
      </c>
      <c r="D391" s="20" t="inlineStr">
        <is>
          <t>스테이포에버 솔리드퍼퓸 002 (10차 재입고 완료)제품선택=best스테이포에버 2개[28% 할인]</t>
        </is>
      </c>
      <c r="E391" s="20" t="inlineStr">
        <is>
          <t>스테이포에버 2set</t>
        </is>
      </c>
      <c r="F391" s="20" t="n">
        <v>210501</v>
      </c>
      <c r="G391" s="20">
        <f>B391&amp;C391&amp;D391&amp;F391</f>
        <v/>
      </c>
      <c r="H391" s="20" t="n">
        <v>58800</v>
      </c>
      <c r="I391" s="20" t="n">
        <v>0.0585</v>
      </c>
      <c r="J391" s="20" t="n">
        <v>5108</v>
      </c>
    </row>
    <row r="392" ht="16.5" customHeight="1" s="17">
      <c r="B392" s="20" t="inlineStr">
        <is>
          <t>카페24</t>
        </is>
      </c>
      <c r="C392" s="20" t="inlineStr">
        <is>
          <t>고체향수</t>
        </is>
      </c>
      <c r="D392" s="20" t="inlineStr">
        <is>
          <t>스테이포에버 솔리드퍼퓸 002 (10차 재입고 완료제품선택=커플추천</t>
        </is>
      </c>
      <c r="E392" s="20" t="inlineStr">
        <is>
          <t>이그나이트 + 스테이포에버</t>
        </is>
      </c>
      <c r="F392" s="20" t="n">
        <v>210501</v>
      </c>
      <c r="G392" s="20">
        <f>B392&amp;C392&amp;D392&amp;F392</f>
        <v/>
      </c>
      <c r="H392" s="20" t="n">
        <v>69000</v>
      </c>
      <c r="I392" s="20" t="n">
        <v>0.0585</v>
      </c>
      <c r="J392" s="20" t="n">
        <v>5179</v>
      </c>
    </row>
    <row r="393" ht="16.5" customHeight="1" s="17">
      <c r="B393" s="20" t="inlineStr">
        <is>
          <t>카페24</t>
        </is>
      </c>
      <c r="C393" s="20" t="inlineStr">
        <is>
          <t>쇼핑백</t>
        </is>
      </c>
      <c r="D393" s="20" t="inlineStr">
        <is>
          <t>스테이포에버 솔리드퍼퓸 002 (10차 재입고 완료쇼핑백=선물용 쇼핑백</t>
        </is>
      </c>
      <c r="E393" s="20" t="inlineStr">
        <is>
          <t>쇼핑백</t>
        </is>
      </c>
      <c r="F393" s="20" t="n">
        <v>210501</v>
      </c>
      <c r="G393" s="20">
        <f>B393&amp;C393&amp;D393&amp;F393</f>
        <v/>
      </c>
      <c r="H393" s="20" t="n">
        <v>2000</v>
      </c>
      <c r="I393" s="20" t="n">
        <v>0.0585</v>
      </c>
      <c r="J393" s="20" t="n">
        <v>830</v>
      </c>
    </row>
    <row r="394" ht="16.5" customHeight="1" s="17">
      <c r="B394" s="20" t="inlineStr">
        <is>
          <t>카페24</t>
        </is>
      </c>
      <c r="C394" s="20" t="inlineStr">
        <is>
          <t>고체향수</t>
        </is>
      </c>
      <c r="D394" s="20" t="inlineStr">
        <is>
          <t>스테이포에버 솔리드퍼퓸 002 (10차 재입고 완료)제품선택=스테이포에버 1개</t>
        </is>
      </c>
      <c r="E394" s="20" t="inlineStr">
        <is>
          <t>스테이포에버</t>
        </is>
      </c>
      <c r="F394" s="20" t="n">
        <v>210501</v>
      </c>
      <c r="G394" s="20">
        <f>B394&amp;C394&amp;D394&amp;F394</f>
        <v/>
      </c>
      <c r="H394" s="20" t="n">
        <v>38000</v>
      </c>
      <c r="I394" s="20" t="n">
        <v>0.0585</v>
      </c>
      <c r="J394" s="20" t="n">
        <v>2554</v>
      </c>
    </row>
    <row r="395" ht="16.5" customHeight="1" s="17">
      <c r="B395" s="20" t="inlineStr">
        <is>
          <t>카페24</t>
        </is>
      </c>
      <c r="C395" s="20" t="inlineStr">
        <is>
          <t>고체향수</t>
        </is>
      </c>
      <c r="D395" s="20" t="inlineStr">
        <is>
          <t>스테이포에버 솔리드퍼퓸 002 (10차 재입고 완료)제품선택=커플추천스테이포에버 + 이그나이트 세트</t>
        </is>
      </c>
      <c r="E395" s="20" t="inlineStr">
        <is>
          <t>이그나이트 + 스테이포에버</t>
        </is>
      </c>
      <c r="F395" s="20" t="n">
        <v>210501</v>
      </c>
      <c r="G395" s="20">
        <f>B395&amp;C395&amp;D395&amp;F395</f>
        <v/>
      </c>
      <c r="H395" s="20" t="n">
        <v>69000</v>
      </c>
      <c r="I395" s="20" t="n">
        <v>0.0585</v>
      </c>
      <c r="J395" s="20" t="n">
        <v>5179</v>
      </c>
    </row>
    <row r="396" ht="16.5" customHeight="1" s="17">
      <c r="B396" s="20" t="inlineStr">
        <is>
          <t>카페24</t>
        </is>
      </c>
      <c r="C396" s="20" t="inlineStr">
        <is>
          <t>쇼핑백</t>
        </is>
      </c>
      <c r="D396" s="20" t="inlineStr">
        <is>
          <t>스테이포에버 솔리드퍼퓸 002 (10차 재입고 완료)쇼핑백=선물용 쇼핑백</t>
        </is>
      </c>
      <c r="E396" s="20" t="inlineStr">
        <is>
          <t>쇼핑백</t>
        </is>
      </c>
      <c r="F396" s="20" t="n">
        <v>210501</v>
      </c>
      <c r="G396" s="20">
        <f>B396&amp;C396&amp;D396&amp;F396</f>
        <v/>
      </c>
      <c r="H396" s="20" t="n">
        <v>2000</v>
      </c>
      <c r="I396" s="20" t="n">
        <v>0.0585</v>
      </c>
      <c r="J396" s="20" t="n">
        <v>830</v>
      </c>
    </row>
    <row r="397" ht="16.5" customHeight="1" s="17">
      <c r="B397" s="20" t="inlineStr">
        <is>
          <t>카페24</t>
        </is>
      </c>
      <c r="C397" s="20" t="inlineStr">
        <is>
          <t>고체향수</t>
        </is>
      </c>
      <c r="D397" s="20" t="inlineStr">
        <is>
          <t>유즈 솔리드퍼퓸 - 30ml (10차 재입고 완료향=스테이포에버 002 SOLID PERFUME, 세트 선택=1개</t>
        </is>
      </c>
      <c r="E397" s="20" t="inlineStr">
        <is>
          <t>스테이포에버</t>
        </is>
      </c>
      <c r="F397" s="20" t="n">
        <v>210501</v>
      </c>
      <c r="G397" s="20">
        <f>B397&amp;C397&amp;D397&amp;F397</f>
        <v/>
      </c>
      <c r="H397" s="20" t="n">
        <v>38000</v>
      </c>
      <c r="I397" s="20" t="n">
        <v>0.0585</v>
      </c>
      <c r="J397" s="20" t="n">
        <v>2554</v>
      </c>
    </row>
    <row r="398" ht="16.5" customHeight="1" s="17">
      <c r="B398" s="20" t="inlineStr">
        <is>
          <t>카페24</t>
        </is>
      </c>
      <c r="C398" s="20" t="inlineStr">
        <is>
          <t>고체향수</t>
        </is>
      </c>
      <c r="D398" s="20" t="inlineStr">
        <is>
          <t>유즈 솔리드퍼퓸 - 30ml (10차 재입고 완료 )향=스테이포에버 002 SOLID PERFUME, 세트 선택=1개</t>
        </is>
      </c>
      <c r="E398" s="20" t="inlineStr">
        <is>
          <t>스테이포에버</t>
        </is>
      </c>
      <c r="F398" s="20" t="n">
        <v>210501</v>
      </c>
      <c r="G398" s="20">
        <f>B398&amp;C398&amp;D398&amp;F398</f>
        <v/>
      </c>
      <c r="H398" s="20" t="n">
        <v>38000</v>
      </c>
      <c r="I398" s="20" t="n">
        <v>0.0585</v>
      </c>
      <c r="J398" s="20" t="n">
        <v>2554</v>
      </c>
    </row>
    <row r="399" ht="16.5" customHeight="1" s="17">
      <c r="B399" s="20" t="inlineStr">
        <is>
          <t>카페24</t>
        </is>
      </c>
      <c r="C399" s="20" t="inlineStr">
        <is>
          <t>고체향수</t>
        </is>
      </c>
      <c r="D399" s="20" t="inlineStr">
        <is>
          <t>유즈 솔리드퍼퓸 - 30ml (10차 재입고 완료 )향=스테이포에버 002 SOLID PERFUME, 세트 선택=best 2개 (28% 할인)</t>
        </is>
      </c>
      <c r="E399" s="20" t="inlineStr">
        <is>
          <t>스테이포에버 2set</t>
        </is>
      </c>
      <c r="F399" s="20" t="n">
        <v>210501</v>
      </c>
      <c r="G399" s="20">
        <f>B399&amp;C399&amp;D399&amp;F399</f>
        <v/>
      </c>
      <c r="H399" s="20" t="n">
        <v>58800</v>
      </c>
      <c r="I399" s="20" t="n">
        <v>0.0585</v>
      </c>
      <c r="J399" s="20" t="n">
        <v>5108</v>
      </c>
    </row>
    <row r="400" ht="16.5" customHeight="1" s="17">
      <c r="B400" s="20" t="inlineStr">
        <is>
          <t>카페24</t>
        </is>
      </c>
      <c r="C400" s="20" t="inlineStr">
        <is>
          <t>고체향수</t>
        </is>
      </c>
      <c r="D400" s="20" t="inlineStr">
        <is>
          <t>유즈 스테이포에버 솔리드퍼퓸 002 (10차 재입고 완료제품선택=커플추천</t>
        </is>
      </c>
      <c r="E400" s="20" t="inlineStr">
        <is>
          <t>이그나이트 + 스테이포에버</t>
        </is>
      </c>
      <c r="F400" s="20" t="n">
        <v>210501</v>
      </c>
      <c r="G400" s="20">
        <f>B400&amp;C400&amp;D400&amp;F400</f>
        <v/>
      </c>
      <c r="H400" s="20" t="n">
        <v>69000</v>
      </c>
      <c r="I400" s="20" t="n">
        <v>0.0585</v>
      </c>
      <c r="J400" s="20" t="n">
        <v>5179</v>
      </c>
    </row>
    <row r="401" ht="16.5" customHeight="1" s="17">
      <c r="B401" s="20" t="inlineStr">
        <is>
          <t>카페24</t>
        </is>
      </c>
      <c r="C401" s="20" t="inlineStr">
        <is>
          <t>고체향수</t>
        </is>
      </c>
      <c r="D401" s="20" t="inlineStr">
        <is>
          <t>유즈 스테이포에버 솔리드퍼퓸 002 (10차 재입고 완료)제품선택=스테이포에버 1개</t>
        </is>
      </c>
      <c r="E401" s="20" t="inlineStr">
        <is>
          <t>스테이포에버</t>
        </is>
      </c>
      <c r="F401" s="20" t="n">
        <v>210501</v>
      </c>
      <c r="G401" s="20">
        <f>B401&amp;C401&amp;D401&amp;F401</f>
        <v/>
      </c>
      <c r="H401" s="20" t="n">
        <v>38000</v>
      </c>
      <c r="I401" s="20" t="n">
        <v>0.0585</v>
      </c>
      <c r="J401" s="20" t="n">
        <v>2554</v>
      </c>
    </row>
    <row r="402" ht="16.5" customHeight="1" s="17">
      <c r="B402" s="20" t="inlineStr">
        <is>
          <t>카페24</t>
        </is>
      </c>
      <c r="C402" s="20" t="inlineStr">
        <is>
          <t>쇼핑백</t>
        </is>
      </c>
      <c r="D402" s="20" t="inlineStr">
        <is>
          <t>유즈 스테이포에버 솔리드퍼퓸 002 (스테이포에버 주문시 12/15 순차배송)쇼핑백=선물용 쇼핑백</t>
        </is>
      </c>
      <c r="E402" s="20" t="inlineStr">
        <is>
          <t>쇼핑백</t>
        </is>
      </c>
      <c r="F402" s="20" t="n">
        <v>210501</v>
      </c>
      <c r="G402" s="20">
        <f>B402&amp;C402&amp;D402&amp;F402</f>
        <v/>
      </c>
      <c r="H402" s="20" t="n">
        <v>2000</v>
      </c>
      <c r="I402" s="20" t="n">
        <v>0.0585</v>
      </c>
      <c r="J402" s="20" t="n">
        <v>830</v>
      </c>
    </row>
    <row r="403" ht="16.5" customHeight="1" s="17">
      <c r="B403" s="20" t="inlineStr">
        <is>
          <t>카페24</t>
        </is>
      </c>
      <c r="C403" s="20" t="inlineStr">
        <is>
          <t>고체향수</t>
        </is>
      </c>
      <c r="D403" s="20" t="inlineStr">
        <is>
          <t>유즈 솔리드퍼퓸 - 30ml (10차 재입고 완료향=이그나이트 001 SOLID PERFUME, 세트 선택=1개</t>
        </is>
      </c>
      <c r="E403" s="20" t="inlineStr">
        <is>
          <t>이그나이트</t>
        </is>
      </c>
      <c r="F403" s="20" t="n">
        <v>210501</v>
      </c>
      <c r="G403" s="20">
        <f>B403&amp;C403&amp;D403&amp;F403</f>
        <v/>
      </c>
      <c r="H403" s="20" t="n">
        <v>38000</v>
      </c>
      <c r="I403" s="20" t="n">
        <v>0.0585</v>
      </c>
      <c r="J403" s="20" t="n">
        <v>2625</v>
      </c>
    </row>
    <row r="404" ht="16.5" customHeight="1" s="17">
      <c r="B404" s="20" t="inlineStr">
        <is>
          <t>카페24</t>
        </is>
      </c>
      <c r="C404" s="20" t="inlineStr">
        <is>
          <t>고체향수</t>
        </is>
      </c>
      <c r="D404" s="20" t="inlineStr">
        <is>
          <t>유즈 솔리드퍼퓸 - 30ml (10차 재입고 완료 )향=이그나이트 001 SOLID PERFUME, 세트 선택=1개</t>
        </is>
      </c>
      <c r="E404" s="20" t="inlineStr">
        <is>
          <t>이그나이트</t>
        </is>
      </c>
      <c r="F404" s="20" t="n">
        <v>210501</v>
      </c>
      <c r="G404" s="20">
        <f>B404&amp;C404&amp;D404&amp;F404</f>
        <v/>
      </c>
      <c r="H404" s="20" t="n">
        <v>38000</v>
      </c>
      <c r="I404" s="20" t="n">
        <v>0.0585</v>
      </c>
      <c r="J404" s="20" t="n">
        <v>2625</v>
      </c>
    </row>
    <row r="405" ht="16.5" customHeight="1" s="17">
      <c r="B405" s="20" t="inlineStr">
        <is>
          <t>카페24</t>
        </is>
      </c>
      <c r="C405" s="20" t="inlineStr">
        <is>
          <t>고체향수</t>
        </is>
      </c>
      <c r="D405" s="20" t="inlineStr">
        <is>
          <t>유즈 솔리드퍼퓸 - 30ml (10차 재입고 완료향=스테이포에버 002 SOLID PERFUME, 세트 선택=best</t>
        </is>
      </c>
      <c r="E405" s="20" t="inlineStr">
        <is>
          <t>스테이포에버 2set</t>
        </is>
      </c>
      <c r="F405" s="20" t="n">
        <v>210501</v>
      </c>
      <c r="G405" s="20">
        <f>B405&amp;C405&amp;D405&amp;F405</f>
        <v/>
      </c>
      <c r="H405" s="20" t="n">
        <v>58800</v>
      </c>
      <c r="I405" s="20" t="n">
        <v>0.0585</v>
      </c>
      <c r="J405" s="20" t="n">
        <v>5108</v>
      </c>
    </row>
    <row r="406" ht="16.5" customHeight="1" s="17">
      <c r="B406" s="20" t="inlineStr">
        <is>
          <t>카페24</t>
        </is>
      </c>
      <c r="C406" s="20" t="inlineStr">
        <is>
          <t>고체향수</t>
        </is>
      </c>
      <c r="D406" s="20" t="inlineStr">
        <is>
          <t>유즈 솔리드퍼퓸 - 30ml (10차 재입고 완료 )향=커플세트(이그나이트 + 스테이포에버), 세트 선택=1 SET</t>
        </is>
      </c>
      <c r="E406" s="20" t="inlineStr">
        <is>
          <t>이그나이트 + 스테이포에버</t>
        </is>
      </c>
      <c r="F406" s="20" t="n">
        <v>210501</v>
      </c>
      <c r="G406" s="20">
        <f>B406&amp;C406&amp;D406&amp;F406</f>
        <v/>
      </c>
      <c r="H406" s="20" t="n">
        <v>69000</v>
      </c>
      <c r="I406" s="20" t="n">
        <v>0.0585</v>
      </c>
      <c r="J406" s="20" t="n">
        <v>5179</v>
      </c>
    </row>
    <row r="407" ht="16.5" customHeight="1" s="17">
      <c r="B407" s="20" t="inlineStr">
        <is>
          <t>카페24</t>
        </is>
      </c>
      <c r="C407" s="20" t="inlineStr">
        <is>
          <t>고체향수</t>
        </is>
      </c>
      <c r="D407" s="20" t="inlineStr">
        <is>
          <t>유즈 솔리드퍼퓸 - 30ml (10차 재입고 완료향=커플세트</t>
        </is>
      </c>
      <c r="E407" s="20" t="inlineStr">
        <is>
          <t>이그나이트 + 스테이포에버</t>
        </is>
      </c>
      <c r="F407" s="20" t="n">
        <v>210501</v>
      </c>
      <c r="G407" s="20">
        <f>B407&amp;C407&amp;D407&amp;F407</f>
        <v/>
      </c>
      <c r="H407" s="20" t="n">
        <v>69000</v>
      </c>
      <c r="I407" s="20" t="n">
        <v>0.0585</v>
      </c>
      <c r="J407" s="20" t="n">
        <v>5179</v>
      </c>
    </row>
    <row r="408" ht="16.5" customHeight="1" s="17">
      <c r="B408" s="20" t="inlineStr">
        <is>
          <t>유즈 CS</t>
        </is>
      </c>
      <c r="C408" s="20" t="inlineStr">
        <is>
          <t>고체향수</t>
        </is>
      </c>
      <c r="D408" s="20" t="inlineStr">
        <is>
          <t>유즈 솔리드퍼퓸 - 30ml (10차 재입고 완료향=커플세트</t>
        </is>
      </c>
      <c r="E408" s="20" t="inlineStr">
        <is>
          <t>이그나이트 + 스테이포에버</t>
        </is>
      </c>
      <c r="F408" s="20" t="n">
        <v>210501</v>
      </c>
      <c r="G408" s="20">
        <f>B408&amp;C408&amp;D408&amp;F408</f>
        <v/>
      </c>
      <c r="H408" s="20" t="n">
        <v>0</v>
      </c>
      <c r="I408" s="20" t="n">
        <v>0</v>
      </c>
      <c r="J408" s="20" t="n">
        <v>5179</v>
      </c>
    </row>
    <row r="409" ht="16.5" customHeight="1" s="17">
      <c r="B409" s="20" t="inlineStr">
        <is>
          <t>카페24</t>
        </is>
      </c>
      <c r="C409" s="20" t="inlineStr">
        <is>
          <t>고체향수</t>
        </is>
      </c>
      <c r="D409" s="20" t="inlineStr">
        <is>
          <t>유즈 솔리드퍼퓸 - 30ml (10차 재입고 완료향=이그나이트 001 SOLID PERFUME, 세트 선택=best</t>
        </is>
      </c>
      <c r="E409" s="20" t="inlineStr">
        <is>
          <t>이그나이트 2set</t>
        </is>
      </c>
      <c r="F409" s="20" t="n">
        <v>210501</v>
      </c>
      <c r="G409" s="20">
        <f>B409&amp;C409&amp;D409&amp;F409</f>
        <v/>
      </c>
      <c r="H409" s="20" t="n">
        <v>58800</v>
      </c>
      <c r="I409" s="20" t="n">
        <v>0.0585</v>
      </c>
      <c r="J409" s="20" t="n">
        <v>5250</v>
      </c>
    </row>
    <row r="410" ht="16.5" customHeight="1" s="17">
      <c r="B410" s="20" t="inlineStr">
        <is>
          <t>카페24</t>
        </is>
      </c>
      <c r="C410" s="20" t="inlineStr">
        <is>
          <t>쇼핑백</t>
        </is>
      </c>
      <c r="D410" s="20" t="inlineStr">
        <is>
          <t>SHOPPING BAG</t>
        </is>
      </c>
      <c r="E410" s="20" t="inlineStr">
        <is>
          <t>쇼핑백</t>
        </is>
      </c>
      <c r="F410" s="20" t="n">
        <v>210501</v>
      </c>
      <c r="G410" s="20">
        <f>B410&amp;C410&amp;D410&amp;F410</f>
        <v/>
      </c>
      <c r="H410" s="20" t="n">
        <v>2000</v>
      </c>
      <c r="I410" s="20" t="n">
        <v>0.0585</v>
      </c>
      <c r="J410" s="20" t="n">
        <v>830</v>
      </c>
    </row>
    <row r="411" ht="16.5" customHeight="1" s="17">
      <c r="B411" s="20" t="inlineStr">
        <is>
          <t>카페24</t>
        </is>
      </c>
      <c r="C411" s="20" t="inlineStr">
        <is>
          <t>쇼핑백</t>
        </is>
      </c>
      <c r="D411" s="20" t="inlineStr">
        <is>
          <t>유즈 이그나이트 솔리드퍼퓸 001쇼핑백=선물용 쇼핑백</t>
        </is>
      </c>
      <c r="E411" s="20" t="inlineStr">
        <is>
          <t>쇼핑백</t>
        </is>
      </c>
      <c r="F411" s="20" t="n">
        <v>210501</v>
      </c>
      <c r="G411" s="20">
        <f>B411&amp;C411&amp;D411&amp;F411</f>
        <v/>
      </c>
      <c r="H411" s="20" t="n">
        <v>2000</v>
      </c>
      <c r="I411" s="20" t="n">
        <v>0.0585</v>
      </c>
      <c r="J411" s="20" t="n">
        <v>830</v>
      </c>
    </row>
    <row r="412" ht="16.5" customHeight="1" s="17">
      <c r="B412" s="20" t="inlineStr">
        <is>
          <t>카페24</t>
        </is>
      </c>
      <c r="C412" s="20" t="inlineStr">
        <is>
          <t>고체향수</t>
        </is>
      </c>
      <c r="D412" s="20" t="inlineStr">
        <is>
          <t>유즈 스테이포에버 솔리드퍼퓸 002 (10차 재입고 완료제품선택=스테이포에버 1개</t>
        </is>
      </c>
      <c r="E412" s="20" t="inlineStr">
        <is>
          <t>스테이포에버</t>
        </is>
      </c>
      <c r="F412" s="20" t="n">
        <v>210501</v>
      </c>
      <c r="G412" s="20">
        <f>B412&amp;C412&amp;D412&amp;F412</f>
        <v/>
      </c>
      <c r="H412" s="20" t="n">
        <v>38000</v>
      </c>
      <c r="I412" s="20" t="n">
        <v>0.0585</v>
      </c>
      <c r="J412" s="20" t="n">
        <v>2554</v>
      </c>
    </row>
    <row r="413" ht="16.5" customHeight="1" s="17">
      <c r="B413" s="20" t="inlineStr">
        <is>
          <t>카페24</t>
        </is>
      </c>
      <c r="C413" s="20" t="inlineStr">
        <is>
          <t>고체향수</t>
        </is>
      </c>
      <c r="D413" s="20" t="inlineStr">
        <is>
          <t>유즈 스테이포에버 솔리드퍼퓸 002 (10차 재입고 완료제품선택=best</t>
        </is>
      </c>
      <c r="E413" s="20" t="inlineStr">
        <is>
          <t>스테이포에버 2set</t>
        </is>
      </c>
      <c r="F413" s="20" t="n">
        <v>210501</v>
      </c>
      <c r="G413" s="20">
        <f>B413&amp;C413&amp;D413&amp;F413</f>
        <v/>
      </c>
      <c r="H413" s="20" t="n">
        <v>58800</v>
      </c>
      <c r="I413" s="20" t="n">
        <v>0.0585</v>
      </c>
      <c r="J413" s="20" t="n">
        <v>5108</v>
      </c>
    </row>
    <row r="414" ht="16.5" customHeight="1" s="17">
      <c r="B414" s="20" t="inlineStr">
        <is>
          <t>카페24</t>
        </is>
      </c>
      <c r="C414" s="20" t="inlineStr">
        <is>
          <t>고체향수</t>
        </is>
      </c>
      <c r="D414" s="20" t="inlineStr">
        <is>
          <t>유즈 스테이포에버 솔리드퍼퓸 002 (10차 재입고 완료쇼핑백=선물용 쇼핑백</t>
        </is>
      </c>
      <c r="E414" s="20" t="inlineStr">
        <is>
          <t>쇼핑백</t>
        </is>
      </c>
      <c r="F414" s="20" t="n">
        <v>210501</v>
      </c>
      <c r="G414" s="20">
        <f>B414&amp;C414&amp;D414&amp;F414</f>
        <v/>
      </c>
      <c r="H414" s="20" t="n">
        <v>2000</v>
      </c>
      <c r="I414" s="20" t="n">
        <v>0.0585</v>
      </c>
      <c r="J414" s="20" t="n">
        <v>830</v>
      </c>
    </row>
    <row r="415" ht="16.5" customHeight="1" s="17">
      <c r="B415" s="20" t="inlineStr">
        <is>
          <t>카페24</t>
        </is>
      </c>
      <c r="C415" s="20" t="inlineStr">
        <is>
          <t>고체향수</t>
        </is>
      </c>
      <c r="D415" s="20" t="inlineStr">
        <is>
          <t>유즈 스테이포에버 솔리드퍼퓸 002 (10차 재입고 완료)제품선택=best스테이포에버 2개[28% 할인]</t>
        </is>
      </c>
      <c r="E415" s="20" t="inlineStr">
        <is>
          <t>스테이포에버 2set</t>
        </is>
      </c>
      <c r="F415" s="20" t="n">
        <v>210501</v>
      </c>
      <c r="G415" s="20">
        <f>B415&amp;C415&amp;D415&amp;F415</f>
        <v/>
      </c>
      <c r="H415" s="20" t="n">
        <v>58800</v>
      </c>
      <c r="I415" s="20" t="n">
        <v>0.0585</v>
      </c>
      <c r="J415" s="20" t="n">
        <v>5108</v>
      </c>
    </row>
    <row r="416" ht="16.5" customHeight="1" s="17">
      <c r="B416" s="20" t="inlineStr">
        <is>
          <t>카페24</t>
        </is>
      </c>
      <c r="C416" s="20" t="inlineStr">
        <is>
          <t>고체향수</t>
        </is>
      </c>
      <c r="D416" s="20" t="inlineStr">
        <is>
          <t>유즈 스테이포에버 솔리드퍼퓸 002 (10차 재입고 완료)제품선택=커플추천스테이포에버 + 이그나이트 세트</t>
        </is>
      </c>
      <c r="E416" s="20" t="inlineStr">
        <is>
          <t>이그나이트 + 스테이포에버</t>
        </is>
      </c>
      <c r="F416" s="20" t="n">
        <v>210501</v>
      </c>
      <c r="G416" s="20">
        <f>B416&amp;C416&amp;D416&amp;F416</f>
        <v/>
      </c>
      <c r="H416" s="20" t="n">
        <v>0</v>
      </c>
      <c r="I416" s="20" t="n">
        <v>0</v>
      </c>
      <c r="J416" s="20" t="n">
        <v>5179</v>
      </c>
    </row>
    <row r="417" ht="16.5" customHeight="1" s="17">
      <c r="B417" s="20" t="inlineStr">
        <is>
          <t>카페24</t>
        </is>
      </c>
      <c r="C417" s="20" t="inlineStr">
        <is>
          <t>고체향수</t>
        </is>
      </c>
      <c r="D417" s="20" t="inlineStr">
        <is>
          <t>유즈 스테이포에버 솔리드퍼퓸 002 (10차 재입고 완료)쇼핑백=선물용 쇼핑백</t>
        </is>
      </c>
      <c r="E417" s="20" t="inlineStr">
        <is>
          <t>쇼핑백</t>
        </is>
      </c>
      <c r="F417" s="20" t="n">
        <v>210501</v>
      </c>
      <c r="G417" s="20">
        <f>B417&amp;C417&amp;D417&amp;F417</f>
        <v/>
      </c>
      <c r="H417" s="20" t="n">
        <v>2000</v>
      </c>
      <c r="I417" s="20" t="n">
        <v>0.0585</v>
      </c>
      <c r="J417" s="20" t="n">
        <v>830</v>
      </c>
    </row>
    <row r="418" ht="16.5" customHeight="1" s="17">
      <c r="B418" s="20" t="inlineStr">
        <is>
          <t>카페24</t>
        </is>
      </c>
      <c r="C418" s="20" t="inlineStr">
        <is>
          <t>고체향수</t>
        </is>
      </c>
      <c r="D418" s="20" t="inlineStr">
        <is>
          <t>유즈 솔리드퍼퓸 - 30ml (10차 재입고 완료 )향=이그나이트 001 SOLID PERFUME, 세트 선택=best 2개 (28% 할인)</t>
        </is>
      </c>
      <c r="E418" s="20" t="inlineStr">
        <is>
          <t>이그나이트 2set</t>
        </is>
      </c>
      <c r="F418" s="20" t="n">
        <v>210501</v>
      </c>
      <c r="G418" s="20">
        <f>B418&amp;C418&amp;D418&amp;F418</f>
        <v/>
      </c>
      <c r="H418" s="20" t="n">
        <v>58800</v>
      </c>
      <c r="I418" s="20" t="n">
        <v>0.0585</v>
      </c>
      <c r="J418" s="20" t="n">
        <v>5250</v>
      </c>
    </row>
    <row r="419" ht="16.5" customHeight="1" s="17">
      <c r="B419" s="20" t="inlineStr">
        <is>
          <t>카페24</t>
        </is>
      </c>
      <c r="C419" s="20" t="inlineStr">
        <is>
          <t>고체향수</t>
        </is>
      </c>
      <c r="D419" s="20" t="inlineStr">
        <is>
          <t>유즈 솔리드퍼퓸 - 30ml (10차 재입고 완료 )향=커플세트(이그나이트 + 스테이포에버), 세트 선택=2 SET (42% 할인)</t>
        </is>
      </c>
      <c r="E419" s="20" t="inlineStr">
        <is>
          <t>이그나이트 + 스테이포에버</t>
        </is>
      </c>
      <c r="F419" s="20" t="n">
        <v>210501</v>
      </c>
      <c r="G419" s="20">
        <f>B419&amp;C419&amp;D419&amp;F419</f>
        <v/>
      </c>
      <c r="H419" s="20" t="n">
        <v>0</v>
      </c>
      <c r="I419" s="20" t="n">
        <v>0</v>
      </c>
      <c r="J419" s="20" t="n">
        <v>5179</v>
      </c>
    </row>
    <row r="420" ht="16.5" customHeight="1" s="17">
      <c r="B420" s="20" t="inlineStr">
        <is>
          <t>유즈 CS</t>
        </is>
      </c>
      <c r="C420" s="20" t="inlineStr">
        <is>
          <t>고체향수</t>
        </is>
      </c>
      <c r="D420" s="20" t="inlineStr">
        <is>
          <t>유즈 스테이포에버 솔리드퍼퓸 002 (10차 재입고 완료)제품선택=커플추천스테이포에버 + 이그나이트 세트</t>
        </is>
      </c>
      <c r="E420" s="20" t="inlineStr">
        <is>
          <t>이그나이트 + 스테이포에버</t>
        </is>
      </c>
      <c r="F420" s="20" t="n">
        <v>210501</v>
      </c>
      <c r="G420" s="20">
        <f>B420&amp;C420&amp;D420&amp;F420</f>
        <v/>
      </c>
      <c r="H420" s="20" t="n">
        <v>0</v>
      </c>
      <c r="I420" s="20" t="n">
        <v>0</v>
      </c>
      <c r="J420" s="20" t="n">
        <v>5179</v>
      </c>
    </row>
    <row r="421" ht="16.5" customHeight="1" s="17">
      <c r="B421" s="20" t="inlineStr">
        <is>
          <t>카페24</t>
        </is>
      </c>
      <c r="C421" s="20" t="inlineStr">
        <is>
          <t>고체향수</t>
        </is>
      </c>
      <c r="D421" s="20" t="inlineStr">
        <is>
          <t>유즈 솔리드퍼퓸 - 30ml (10차 재입고 완료)향=커플세트</t>
        </is>
      </c>
      <c r="E421" s="20" t="inlineStr">
        <is>
          <t>이그나이트 + 스테이포에버</t>
        </is>
      </c>
      <c r="F421" s="20" t="n">
        <v>210501</v>
      </c>
      <c r="G421" s="20">
        <f>B421&amp;C421&amp;D421&amp;F421</f>
        <v/>
      </c>
      <c r="H421" s="20" t="n">
        <v>69000</v>
      </c>
      <c r="I421" s="20" t="n">
        <v>0.0585</v>
      </c>
      <c r="J421" s="20" t="n">
        <v>5179</v>
      </c>
    </row>
    <row r="422" ht="16.5" customHeight="1" s="17">
      <c r="B422" s="20" t="inlineStr">
        <is>
          <t>카페24</t>
        </is>
      </c>
      <c r="C422" s="20" t="inlineStr">
        <is>
          <t>고체향수</t>
        </is>
      </c>
      <c r="D422" s="20" t="inlineStr">
        <is>
          <t>유즈 솔리드퍼퓸 - 30ml (10차 재입고 완료)향=이그나이트 001 SOLID PERFUME, 세트 선택=1개</t>
        </is>
      </c>
      <c r="E422" s="20" t="inlineStr">
        <is>
          <t>이그나이트</t>
        </is>
      </c>
      <c r="F422" s="20" t="n">
        <v>210501</v>
      </c>
      <c r="G422" s="20">
        <f>B422&amp;C422&amp;D422&amp;F422</f>
        <v/>
      </c>
      <c r="H422" s="20" t="n">
        <v>38000</v>
      </c>
      <c r="I422" s="20" t="n">
        <v>0.0585</v>
      </c>
      <c r="J422" s="20" t="n">
        <v>2625</v>
      </c>
    </row>
    <row r="423" ht="16.5" customHeight="1" s="17">
      <c r="B423" s="20" t="inlineStr">
        <is>
          <t>카페24</t>
        </is>
      </c>
      <c r="C423" s="20" t="inlineStr">
        <is>
          <t>고체향수</t>
        </is>
      </c>
      <c r="D423" s="20" t="inlineStr">
        <is>
          <t>유즈 솔리드퍼퓸 - 30ml (10차 재입고 완료)향=이그나이트 001 SOLID PERFUME, 세트 선택=best</t>
        </is>
      </c>
      <c r="E423" s="20" t="inlineStr">
        <is>
          <t>이그나이트 2set</t>
        </is>
      </c>
      <c r="F423" s="20" t="n">
        <v>210501</v>
      </c>
      <c r="G423" s="20">
        <f>B423&amp;C423&amp;D423&amp;F423</f>
        <v/>
      </c>
      <c r="H423" s="20" t="n">
        <v>58800</v>
      </c>
      <c r="I423" s="20" t="n">
        <v>0.0585</v>
      </c>
      <c r="J423" s="20" t="n">
        <v>5250</v>
      </c>
    </row>
    <row r="424" ht="16.5" customHeight="1" s="17">
      <c r="B424" s="20" t="inlineStr">
        <is>
          <t>카페24</t>
        </is>
      </c>
      <c r="C424" s="20" t="inlineStr">
        <is>
          <t>고체향수</t>
        </is>
      </c>
      <c r="D424" s="20" t="inlineStr">
        <is>
          <t>유즈 솔리드퍼퓸 - 30ml (10차 재입고 완료)향=스테이포에버 002 SOLID PERFUME, 세트 선택=1개</t>
        </is>
      </c>
      <c r="E424" s="20" t="inlineStr">
        <is>
          <t>스테이포에버</t>
        </is>
      </c>
      <c r="F424" s="20" t="n">
        <v>210501</v>
      </c>
      <c r="G424" s="20">
        <f>B424&amp;C424&amp;D424&amp;F424</f>
        <v/>
      </c>
      <c r="H424" s="20" t="n">
        <v>38000</v>
      </c>
      <c r="I424" s="20" t="n">
        <v>0.0585</v>
      </c>
      <c r="J424" s="20" t="n">
        <v>2554</v>
      </c>
    </row>
    <row r="425" ht="16.5" customHeight="1" s="17">
      <c r="B425" s="20" t="inlineStr">
        <is>
          <t>카페24</t>
        </is>
      </c>
      <c r="C425" s="20" t="inlineStr">
        <is>
          <t>고체향수</t>
        </is>
      </c>
      <c r="D425" s="20" t="inlineStr">
        <is>
          <t>유즈 솔리드퍼퓸 - 30ml (10차 재입고 완료)향=스테이포에버 002 SOLID PERFUME, 세트 선택=best 2개 (28% 할인)</t>
        </is>
      </c>
      <c r="E425" s="20" t="inlineStr">
        <is>
          <t>스테이포에버 2set</t>
        </is>
      </c>
      <c r="F425" s="20" t="n">
        <v>210501</v>
      </c>
      <c r="G425" s="20">
        <f>B425&amp;C425&amp;D425&amp;F425</f>
        <v/>
      </c>
      <c r="H425" s="20" t="n">
        <v>58800</v>
      </c>
      <c r="I425" s="20" t="n">
        <v>0.0585</v>
      </c>
      <c r="J425" s="20" t="n">
        <v>5108</v>
      </c>
    </row>
    <row r="426" ht="16.5" customHeight="1" s="17">
      <c r="B426" s="20" t="inlineStr">
        <is>
          <t>카페24</t>
        </is>
      </c>
      <c r="C426" s="20" t="inlineStr">
        <is>
          <t>고체향수</t>
        </is>
      </c>
      <c r="D426" s="20" t="inlineStr">
        <is>
          <t>유즈 솔리드퍼퓸 - 30ml (10차 재입고 완료)향=커플세트(이그나이트 + 스테이포에버), 세트 선택=1 SET</t>
        </is>
      </c>
      <c r="E426" s="20" t="inlineStr">
        <is>
          <t>이그나이트 + 스테이포에버</t>
        </is>
      </c>
      <c r="F426" s="20" t="n">
        <v>210501</v>
      </c>
      <c r="G426" s="20">
        <f>B426&amp;C426&amp;D426&amp;F426</f>
        <v/>
      </c>
      <c r="H426" s="20" t="n">
        <v>69000</v>
      </c>
      <c r="I426" s="20" t="n">
        <v>0.0585</v>
      </c>
      <c r="J426" s="20" t="n">
        <v>5179</v>
      </c>
    </row>
    <row r="427" ht="16.5" customHeight="1" s="17">
      <c r="B427" s="20" t="inlineStr">
        <is>
          <t>카페24</t>
        </is>
      </c>
      <c r="C427" s="20" t="inlineStr">
        <is>
          <t>고체향수</t>
        </is>
      </c>
      <c r="D427" s="20" t="inlineStr">
        <is>
          <t>유즈 스테이포에버 솔리드퍼퓸 002 (10차 재입고 완료)제품선택=best</t>
        </is>
      </c>
      <c r="E427" s="20" t="inlineStr">
        <is>
          <t>스테이포에버 2set</t>
        </is>
      </c>
      <c r="F427" s="20" t="n">
        <v>210501</v>
      </c>
      <c r="G427" s="20">
        <f>B427&amp;C427&amp;D427&amp;F427</f>
        <v/>
      </c>
      <c r="H427" s="20" t="n">
        <v>58800</v>
      </c>
      <c r="I427" s="20" t="n">
        <v>0.0585</v>
      </c>
      <c r="J427" s="20" t="n">
        <v>5108</v>
      </c>
    </row>
    <row r="428" ht="16.5" customHeight="1" s="17">
      <c r="B428" s="20" t="inlineStr">
        <is>
          <t>카페24</t>
        </is>
      </c>
      <c r="C428" s="20" t="inlineStr">
        <is>
          <t>고체향수</t>
        </is>
      </c>
      <c r="D428" s="20" t="inlineStr">
        <is>
          <t>유즈 스테이포에버 솔리드퍼퓸 002 (10차 재입고 완료)제품선택=커플추천</t>
        </is>
      </c>
      <c r="E428" s="20" t="inlineStr">
        <is>
          <t>이그나이트 + 스테이포에버</t>
        </is>
      </c>
      <c r="F428" s="20" t="n">
        <v>210501</v>
      </c>
      <c r="G428" s="20">
        <f>B428&amp;C428&amp;D428&amp;F428</f>
        <v/>
      </c>
      <c r="H428" s="20" t="n">
        <v>58800</v>
      </c>
      <c r="I428" s="20" t="n">
        <v>0.0585</v>
      </c>
      <c r="J428" s="20" t="n">
        <v>5179</v>
      </c>
    </row>
    <row r="429" ht="16.5" customHeight="1" s="17">
      <c r="B429" s="20" t="inlineStr">
        <is>
          <t>카페24</t>
        </is>
      </c>
      <c r="C429" s="20" t="inlineStr">
        <is>
          <t>고체향수</t>
        </is>
      </c>
      <c r="D429" s="20" t="inlineStr">
        <is>
          <t>유즈 솔리드퍼퓸 - 30ml (10차 재입고 완료)향=스테이포에버 002 SOLID PERFUME, 세트 선택=best</t>
        </is>
      </c>
      <c r="E429" s="20" t="inlineStr">
        <is>
          <t>스테이포에버 2set</t>
        </is>
      </c>
      <c r="F429" s="20" t="n">
        <v>210501</v>
      </c>
      <c r="G429" s="20">
        <f>B429&amp;C429&amp;D429&amp;F429</f>
        <v/>
      </c>
      <c r="H429" s="20" t="n">
        <v>58800</v>
      </c>
      <c r="I429" s="20" t="n">
        <v>0.0585</v>
      </c>
      <c r="J429" s="20" t="n">
        <v>5108</v>
      </c>
    </row>
    <row r="430" ht="16.5" customHeight="1" s="17">
      <c r="B430" s="20" t="inlineStr">
        <is>
          <t>카페24</t>
        </is>
      </c>
      <c r="C430" s="20" t="inlineStr">
        <is>
          <t>고체향수</t>
        </is>
      </c>
      <c r="D430" s="20" t="inlineStr">
        <is>
          <t>유즈 솔리드퍼퓸 - 30ml (10차 재입고 완료)향=커플세트(이그나이트 + 스테이포에버), 세트 선택=2 SET (42% 할인)</t>
        </is>
      </c>
      <c r="E430" s="20" t="inlineStr">
        <is>
          <t>이그나이트 + 스테이포에버</t>
        </is>
      </c>
      <c r="F430" s="20" t="n">
        <v>210501</v>
      </c>
      <c r="G430" s="20">
        <f>B430&amp;C430&amp;D430&amp;F430</f>
        <v/>
      </c>
      <c r="H430" s="20" t="n">
        <v>58800</v>
      </c>
      <c r="I430" s="20" t="n">
        <v>0.0585</v>
      </c>
      <c r="J430" s="20" t="n">
        <v>5179</v>
      </c>
    </row>
    <row r="431" ht="16.5" customHeight="1" s="17">
      <c r="B431" s="20" t="inlineStr">
        <is>
          <t>카페24</t>
        </is>
      </c>
      <c r="C431" s="20" t="inlineStr">
        <is>
          <t>고체향수</t>
        </is>
      </c>
      <c r="D431" s="20" t="inlineStr">
        <is>
          <t>유즈 솔리드퍼퓸 - 30ml (11차 예약구매 진행중)향=스테이포에버 002 SOLID PERFUME, 세트 선택=1개</t>
        </is>
      </c>
      <c r="E431" s="20" t="inlineStr">
        <is>
          <t>스테이포에버</t>
        </is>
      </c>
      <c r="F431" s="20" t="n">
        <v>210501</v>
      </c>
      <c r="G431" s="20">
        <f>B431&amp;C431&amp;D431&amp;F431</f>
        <v/>
      </c>
      <c r="H431" s="20" t="n">
        <v>34000</v>
      </c>
      <c r="I431" s="20" t="n">
        <v>0.0585</v>
      </c>
      <c r="J431" s="20" t="n">
        <v>2554</v>
      </c>
    </row>
    <row r="432" ht="16.5" customHeight="1" s="17">
      <c r="B432" s="20" t="inlineStr">
        <is>
          <t>카페24</t>
        </is>
      </c>
      <c r="C432" s="20" t="inlineStr">
        <is>
          <t>고체향수</t>
        </is>
      </c>
      <c r="D432" s="20" t="inlineStr">
        <is>
          <t>유즈 솔리드퍼퓸 - 30ml (11차 예약구매 진행중)향=스테이포에버 002 SOLID PERFUME, 세트 선택=best 2개 (28% 할인)</t>
        </is>
      </c>
      <c r="E432" s="20" t="inlineStr">
        <is>
          <t>스테이포에버 2set</t>
        </is>
      </c>
      <c r="F432" s="20" t="n">
        <v>210501</v>
      </c>
      <c r="G432" s="20">
        <f>B432&amp;C432&amp;D432&amp;F432</f>
        <v/>
      </c>
      <c r="H432" s="20" t="n">
        <v>58800</v>
      </c>
      <c r="I432" s="20" t="n">
        <v>0.0585</v>
      </c>
      <c r="J432" s="20" t="n">
        <v>5108</v>
      </c>
    </row>
    <row r="433" ht="16.5" customHeight="1" s="17">
      <c r="B433" s="20" t="inlineStr">
        <is>
          <t>카페24</t>
        </is>
      </c>
      <c r="C433" s="20" t="inlineStr">
        <is>
          <t>고체향수</t>
        </is>
      </c>
      <c r="D433" s="20" t="inlineStr">
        <is>
          <t>유즈 스테이포에버 솔리드퍼퓸 002 (11차 예약구매 진행중)제품선택=스테이포에버 1개</t>
        </is>
      </c>
      <c r="E433" s="20" t="inlineStr">
        <is>
          <t>스테이포에버</t>
        </is>
      </c>
      <c r="F433" s="20" t="n">
        <v>210501</v>
      </c>
      <c r="G433" s="20">
        <f>B433&amp;C433&amp;D433&amp;F433</f>
        <v/>
      </c>
      <c r="H433" s="20" t="n">
        <v>34000</v>
      </c>
      <c r="I433" s="20" t="n">
        <v>0.0585</v>
      </c>
      <c r="J433" s="20" t="n">
        <v>2554</v>
      </c>
    </row>
    <row r="434" ht="16.5" customHeight="1" s="17">
      <c r="B434" s="20" t="inlineStr">
        <is>
          <t>카페24</t>
        </is>
      </c>
      <c r="C434" s="20" t="inlineStr">
        <is>
          <t>고체향수</t>
        </is>
      </c>
      <c r="D434" s="20" t="inlineStr">
        <is>
          <t>유즈 스테이포에버 솔리드퍼퓸 002 (11차 예약구매 진행중)제품선택=best</t>
        </is>
      </c>
      <c r="E434" s="20" t="inlineStr">
        <is>
          <t>스테이포에버</t>
        </is>
      </c>
      <c r="F434" s="20" t="n">
        <v>210501</v>
      </c>
      <c r="G434" s="20">
        <f>B434&amp;C434&amp;D434&amp;F434</f>
        <v/>
      </c>
      <c r="H434" s="20" t="n">
        <v>34000</v>
      </c>
      <c r="I434" s="20" t="n">
        <v>0.0585</v>
      </c>
      <c r="J434" s="20" t="n">
        <v>2554</v>
      </c>
    </row>
    <row r="435" ht="16.5" customHeight="1" s="17">
      <c r="B435" s="20" t="inlineStr">
        <is>
          <t>카페24</t>
        </is>
      </c>
      <c r="C435" s="20" t="inlineStr">
        <is>
          <t>고체향수</t>
        </is>
      </c>
      <c r="D435" s="20" t="inlineStr">
        <is>
          <t>유즈 스테이포에버 솔리드퍼퓸 002 (11차 예약구매 진행중)제품선택=best스테이포에버 2개[28% 할인]</t>
        </is>
      </c>
      <c r="E435" s="20" t="inlineStr">
        <is>
          <t>스테이포에버 2set</t>
        </is>
      </c>
      <c r="F435" s="20" t="n">
        <v>210501</v>
      </c>
      <c r="G435" s="20">
        <f>B435&amp;C435&amp;D435&amp;F435</f>
        <v/>
      </c>
      <c r="H435" s="20" t="n">
        <v>58800</v>
      </c>
      <c r="I435" s="20" t="n">
        <v>0.0585</v>
      </c>
      <c r="J435" s="20" t="n">
        <v>5108</v>
      </c>
    </row>
    <row r="436" ht="16.5" customHeight="1" s="17">
      <c r="B436" s="20" t="inlineStr">
        <is>
          <t>카페24</t>
        </is>
      </c>
      <c r="C436" s="20" t="inlineStr">
        <is>
          <t>고체향수</t>
        </is>
      </c>
      <c r="D436" s="20" t="inlineStr">
        <is>
          <t>유즈 스테이포에버 솔리드퍼퓸 002 (11차 예약구매 진행중)제품선택=커플추천</t>
        </is>
      </c>
      <c r="E436" s="20" t="inlineStr">
        <is>
          <t>스테이포에버</t>
        </is>
      </c>
      <c r="F436" s="20" t="n">
        <v>210501</v>
      </c>
      <c r="G436" s="20">
        <f>B436&amp;C436&amp;D436&amp;F436</f>
        <v/>
      </c>
      <c r="H436" s="20" t="n">
        <v>34000</v>
      </c>
      <c r="I436" s="20" t="n">
        <v>0.0585</v>
      </c>
      <c r="J436" s="20" t="n">
        <v>2554</v>
      </c>
    </row>
    <row r="437" ht="16.5" customHeight="1" s="17">
      <c r="B437" s="20" t="inlineStr">
        <is>
          <t>카페24</t>
        </is>
      </c>
      <c r="C437" s="20" t="inlineStr">
        <is>
          <t>고체향수</t>
        </is>
      </c>
      <c r="D437" s="20" t="inlineStr">
        <is>
          <t>유즈 스테이포에버 솔리드퍼퓸 002 (11차 예약구매 진행중)제품선택=커플추천스테이포에버 + 이그나이트 세트</t>
        </is>
      </c>
      <c r="E437" s="20" t="inlineStr">
        <is>
          <t>이그나이트 + 스테이포에버</t>
        </is>
      </c>
      <c r="F437" s="20" t="n">
        <v>210501</v>
      </c>
      <c r="G437" s="20">
        <f>B437&amp;C437&amp;D437&amp;F437</f>
        <v/>
      </c>
      <c r="H437" s="20" t="n">
        <v>58800</v>
      </c>
      <c r="I437" s="20" t="n">
        <v>0.0585</v>
      </c>
      <c r="J437" s="20" t="n">
        <v>5179</v>
      </c>
    </row>
    <row r="438" ht="16.5" customHeight="1" s="17">
      <c r="B438" s="20" t="inlineStr">
        <is>
          <t>카페24</t>
        </is>
      </c>
      <c r="C438" s="20" t="inlineStr">
        <is>
          <t>고체향수</t>
        </is>
      </c>
      <c r="D438" s="20" t="inlineStr">
        <is>
          <t>유즈 스테이포에버 솔리드퍼퓸 002 (11차 예약구매 진행중)쇼핑백=선물용 쇼핑백</t>
        </is>
      </c>
      <c r="E438" s="20" t="inlineStr">
        <is>
          <t>쇼핑백</t>
        </is>
      </c>
      <c r="F438" s="20" t="n">
        <v>210501</v>
      </c>
      <c r="G438" s="20">
        <f>B438&amp;C438&amp;D438&amp;F438</f>
        <v/>
      </c>
      <c r="H438" s="20" t="n">
        <v>2000</v>
      </c>
      <c r="I438" s="20" t="n">
        <v>0.0585</v>
      </c>
      <c r="J438" s="20" t="n">
        <v>830</v>
      </c>
    </row>
    <row r="439" ht="16.5" customHeight="1" s="17">
      <c r="B439" s="20" t="inlineStr">
        <is>
          <t>카페24</t>
        </is>
      </c>
      <c r="C439" s="20" t="inlineStr">
        <is>
          <t>고체향수</t>
        </is>
      </c>
      <c r="D439" s="20" t="inlineStr">
        <is>
          <t>유즈 솔리드퍼퓸 - 30ml (11차 예약구매 진행중)향=이그나이트 001 SOLID PERFUME, 세트 선택=1개</t>
        </is>
      </c>
      <c r="E439" s="20" t="inlineStr">
        <is>
          <t>이그나이트</t>
        </is>
      </c>
      <c r="F439" s="20" t="n">
        <v>210501</v>
      </c>
      <c r="G439" s="20">
        <f>B439&amp;C439&amp;D439&amp;F439</f>
        <v/>
      </c>
      <c r="H439" s="20" t="n">
        <v>34000</v>
      </c>
      <c r="I439" s="20" t="n">
        <v>0.0585</v>
      </c>
      <c r="J439" s="20" t="n">
        <v>2625</v>
      </c>
    </row>
    <row r="440" ht="16.5" customHeight="1" s="17">
      <c r="B440" s="20" t="inlineStr">
        <is>
          <t>카페24</t>
        </is>
      </c>
      <c r="C440" s="20" t="inlineStr">
        <is>
          <t>고체향수</t>
        </is>
      </c>
      <c r="D440" s="20" t="inlineStr">
        <is>
          <t>유즈 솔리드퍼퓸 - 30ml (11차 예약구매 진행중)향=스테이포에버 002 SOLID PERFUME, 세트 선택=best</t>
        </is>
      </c>
      <c r="E440" s="20" t="inlineStr">
        <is>
          <t>스테이포에버</t>
        </is>
      </c>
      <c r="F440" s="20" t="n">
        <v>210501</v>
      </c>
      <c r="G440" s="20">
        <f>B440&amp;C440&amp;D440&amp;F440</f>
        <v/>
      </c>
      <c r="H440" s="20" t="n">
        <v>34000</v>
      </c>
      <c r="I440" s="20" t="n">
        <v>0.0585</v>
      </c>
      <c r="J440" s="20" t="n">
        <v>2554</v>
      </c>
    </row>
    <row r="441" ht="16.5" customHeight="1" s="17">
      <c r="B441" s="20" t="inlineStr">
        <is>
          <t>카페24</t>
        </is>
      </c>
      <c r="C441" s="20" t="inlineStr">
        <is>
          <t>고체향수</t>
        </is>
      </c>
      <c r="D441" s="20" t="inlineStr">
        <is>
          <t>유즈 솔리드퍼퓸 - 30ml (11차 예약구매 진행중)향=커플세트</t>
        </is>
      </c>
      <c r="E441" s="20" t="inlineStr">
        <is>
          <t>이그나이트 + 스테이포에버</t>
        </is>
      </c>
      <c r="F441" s="20" t="n">
        <v>210501</v>
      </c>
      <c r="G441" s="20">
        <f>B441&amp;C441&amp;D441&amp;F441</f>
        <v/>
      </c>
      <c r="H441" s="20" t="n">
        <v>58800</v>
      </c>
      <c r="I441" s="20" t="n">
        <v>0.0585</v>
      </c>
      <c r="J441" s="20" t="n">
        <v>5179</v>
      </c>
    </row>
    <row r="442" ht="16.5" customHeight="1" s="17">
      <c r="B442" s="20" t="inlineStr">
        <is>
          <t>카페24</t>
        </is>
      </c>
      <c r="C442" s="20" t="inlineStr">
        <is>
          <t>고체향수</t>
        </is>
      </c>
      <c r="D442" s="20" t="inlineStr">
        <is>
          <t>유즈 솔리드퍼퓸 - 30ml (11차 예약구매 진행중)향=커플세트(이그나이트 + 스테이포에버), 세트 선택=1 SET</t>
        </is>
      </c>
      <c r="E442" s="20" t="inlineStr">
        <is>
          <t>이그나이트 + 스테이포에버</t>
        </is>
      </c>
      <c r="F442" s="20" t="n">
        <v>210501</v>
      </c>
      <c r="G442" s="20">
        <f>B442&amp;C442&amp;D442&amp;F442</f>
        <v/>
      </c>
      <c r="H442" s="20" t="n">
        <v>58800</v>
      </c>
      <c r="I442" s="20" t="n">
        <v>0.0585</v>
      </c>
      <c r="J442" s="20" t="n">
        <v>5179</v>
      </c>
    </row>
    <row r="443" ht="16.5" customHeight="1" s="17">
      <c r="B443" s="20" t="inlineStr">
        <is>
          <t>카페24</t>
        </is>
      </c>
      <c r="C443" s="20" t="inlineStr">
        <is>
          <t>고체향수</t>
        </is>
      </c>
      <c r="D443" s="20" t="inlineStr">
        <is>
          <t>유즈 솔리드퍼퓸 - 30ml (11차 예약구매 진행중)향=커플세트(이그나이트 + 스테이포에버), 세트 선택=2 SET (42% 할인)</t>
        </is>
      </c>
      <c r="E443" s="20" t="inlineStr">
        <is>
          <t>이그나이트 + 스테이포에버</t>
        </is>
      </c>
      <c r="F443" s="20" t="n">
        <v>210501</v>
      </c>
      <c r="G443" s="20">
        <f>B443&amp;C443&amp;D443&amp;F443</f>
        <v/>
      </c>
      <c r="H443" s="20" t="n">
        <v>58800</v>
      </c>
      <c r="I443" s="20" t="n">
        <v>0.0585</v>
      </c>
      <c r="J443" s="20" t="n">
        <v>5179</v>
      </c>
    </row>
    <row r="444" ht="16.5" customHeight="1" s="17">
      <c r="B444" s="20" t="inlineStr">
        <is>
          <t>카페24</t>
        </is>
      </c>
      <c r="C444" s="20" t="inlineStr">
        <is>
          <t>고체향수</t>
        </is>
      </c>
      <c r="D444" s="20" t="inlineStr">
        <is>
          <t>유즈 솔리드퍼퓸 - 30ml (11차 예약구매 진행중)향=이그나이트 001 SOLID PERFUME, 세트 선택=best</t>
        </is>
      </c>
      <c r="E444" s="20" t="inlineStr">
        <is>
          <t>이그나이트</t>
        </is>
      </c>
      <c r="F444" s="20" t="n">
        <v>210501</v>
      </c>
      <c r="G444" s="20">
        <f>B444&amp;C444&amp;D444&amp;F444</f>
        <v/>
      </c>
      <c r="H444" s="20" t="n">
        <v>34000</v>
      </c>
      <c r="I444" s="20" t="n">
        <v>0.0585</v>
      </c>
      <c r="J444" s="20" t="n">
        <v>2625</v>
      </c>
    </row>
    <row r="445" ht="16.5" customHeight="1" s="17">
      <c r="B445" s="20" t="inlineStr">
        <is>
          <t>유즈 CS</t>
        </is>
      </c>
      <c r="C445" s="20" t="inlineStr">
        <is>
          <t>고체향수</t>
        </is>
      </c>
      <c r="D445" s="20" t="inlineStr">
        <is>
          <t>유즈 솔리드퍼퓸 - 30ml (스테이포에버 주문 시 12/14 순차배송)향=스테이포에버, 세트 선택=1 개</t>
        </is>
      </c>
      <c r="E445" s="20" t="inlineStr">
        <is>
          <t>스테이포에버</t>
        </is>
      </c>
      <c r="F445" s="20" t="n">
        <v>210501</v>
      </c>
      <c r="G445" s="20">
        <f>B445&amp;C445&amp;D445&amp;F445</f>
        <v/>
      </c>
      <c r="H445" s="20" t="n">
        <v>0</v>
      </c>
      <c r="I445" s="20" t="n">
        <v>0</v>
      </c>
      <c r="J445" s="20" t="n">
        <v>2554</v>
      </c>
    </row>
    <row r="446" ht="16.5" customHeight="1" s="17">
      <c r="B446" s="20" t="inlineStr">
        <is>
          <t>유즈 CS</t>
        </is>
      </c>
      <c r="C446" s="20" t="inlineStr">
        <is>
          <t>고체향수</t>
        </is>
      </c>
      <c r="D446" s="20" t="inlineStr">
        <is>
          <t>유즈 스테이포에버 솔리드퍼퓸 002 (스테이포에버 주문시 12/14 순차배송)제품선택=스테이포에버 솔리드퍼퓸 002[Pre-order 이벤트 17% 할인]</t>
        </is>
      </c>
      <c r="E446" s="20" t="inlineStr">
        <is>
          <t>스테이포에버</t>
        </is>
      </c>
      <c r="F446" s="20" t="n">
        <v>210501</v>
      </c>
      <c r="G446" s="20">
        <f>B446&amp;C446&amp;D446&amp;F446</f>
        <v/>
      </c>
      <c r="H446" s="20" t="n">
        <v>0</v>
      </c>
      <c r="I446" s="20" t="n">
        <v>0</v>
      </c>
      <c r="J446" s="20" t="n">
        <v>2554</v>
      </c>
    </row>
    <row r="447" ht="16.5" customHeight="1" s="17">
      <c r="B447" s="20" t="inlineStr">
        <is>
          <t>카페24</t>
        </is>
      </c>
      <c r="C447" s="20" t="inlineStr">
        <is>
          <t>고체향수</t>
        </is>
      </c>
      <c r="D447" s="20" t="inlineStr">
        <is>
          <t>유즈 솔리드퍼퓸 - 30ml (11차 예약구매 진행중)향=이그나이트 001 SOLID PERFUME, 세트 선택=best 2개 (28% 할인)</t>
        </is>
      </c>
      <c r="E447" s="20" t="inlineStr">
        <is>
          <t>이그나이트 2set</t>
        </is>
      </c>
      <c r="F447" s="20" t="n">
        <v>210501</v>
      </c>
      <c r="G447" s="20">
        <f>B447&amp;C447&amp;D447&amp;F447</f>
        <v/>
      </c>
      <c r="H447" s="20" t="n">
        <v>58800</v>
      </c>
      <c r="I447" s="20" t="n">
        <v>0.0585</v>
      </c>
      <c r="J447" s="20" t="n">
        <v>5250</v>
      </c>
    </row>
    <row r="448" ht="16.5" customHeight="1" s="17">
      <c r="B448" s="20" t="inlineStr">
        <is>
          <t>스마트스토어</t>
        </is>
      </c>
      <c r="C448" s="20" t="inlineStr">
        <is>
          <t>고체향수</t>
        </is>
      </c>
      <c r="D448" s="20" t="inlineStr">
        <is>
          <t>유즈 고체향수 세트(유즈 스테이포에버, 유즈 이그나이트)고체향수: 이그나이트 2개</t>
        </is>
      </c>
      <c r="E448" s="20" t="inlineStr">
        <is>
          <t>이그나이트 2set</t>
        </is>
      </c>
      <c r="F448" s="20" t="n">
        <v>210501</v>
      </c>
      <c r="G448" s="20">
        <f>B448&amp;C448&amp;D448&amp;F448</f>
        <v/>
      </c>
      <c r="H448" s="20" t="n">
        <v>58800</v>
      </c>
      <c r="I448" s="20" t="n">
        <v>0.02</v>
      </c>
      <c r="J448" s="20" t="n">
        <v>5250</v>
      </c>
    </row>
    <row r="449" ht="16.5" customHeight="1" s="17">
      <c r="B449" s="20" t="inlineStr">
        <is>
          <t>카페24</t>
        </is>
      </c>
      <c r="C449" s="20" t="inlineStr">
        <is>
          <t>고체향수</t>
        </is>
      </c>
      <c r="D449" s="20" t="inlineStr">
        <is>
          <t>유즈 솔리드퍼퓸 - 30ml향=스테이포에버 002 SOLID PERFUME, 세트 선택=1개</t>
        </is>
      </c>
      <c r="E449" s="20" t="inlineStr">
        <is>
          <t>스테이포에버</t>
        </is>
      </c>
      <c r="F449" s="20" t="n">
        <v>210501</v>
      </c>
      <c r="G449" s="20">
        <f>B449&amp;C449&amp;D449&amp;F449</f>
        <v/>
      </c>
      <c r="H449" s="20" t="n">
        <v>34000</v>
      </c>
      <c r="I449" s="20" t="n">
        <v>0.0585</v>
      </c>
      <c r="J449" s="20" t="n">
        <v>2554</v>
      </c>
    </row>
    <row r="450" ht="16.5" customHeight="1" s="17">
      <c r="B450" s="20" t="inlineStr">
        <is>
          <t>카페24</t>
        </is>
      </c>
      <c r="C450" s="20" t="inlineStr">
        <is>
          <t>고체향수</t>
        </is>
      </c>
      <c r="D450" s="20" t="inlineStr">
        <is>
          <t>유즈 솔리드퍼퓸 - 30ml향=스테이포에버 002 SOLID PERFUME, 세트 선택=best</t>
        </is>
      </c>
      <c r="E450" s="20" t="inlineStr">
        <is>
          <t>스테이포에버</t>
        </is>
      </c>
      <c r="F450" s="20" t="n">
        <v>210501</v>
      </c>
      <c r="G450" s="20">
        <f>B450&amp;C450&amp;D450&amp;F450</f>
        <v/>
      </c>
      <c r="H450" s="20" t="n">
        <v>34000</v>
      </c>
      <c r="I450" s="20" t="n">
        <v>0.0585</v>
      </c>
      <c r="J450" s="20" t="n">
        <v>2554</v>
      </c>
    </row>
    <row r="451" ht="16.5" customHeight="1" s="17">
      <c r="B451" s="20" t="inlineStr">
        <is>
          <t>카페24</t>
        </is>
      </c>
      <c r="C451" s="20" t="inlineStr">
        <is>
          <t>고체향수</t>
        </is>
      </c>
      <c r="D451" s="20" t="inlineStr">
        <is>
          <t>유즈 솔리드퍼퓸 - 30ml향=커플세트</t>
        </is>
      </c>
      <c r="E451" s="20" t="inlineStr">
        <is>
          <t>이그나이트 + 스테이포에버</t>
        </is>
      </c>
      <c r="F451" s="20" t="n">
        <v>210501</v>
      </c>
      <c r="G451" s="20">
        <f>B451&amp;C451&amp;D451&amp;F451</f>
        <v/>
      </c>
      <c r="H451" s="20" t="n">
        <v>58800</v>
      </c>
      <c r="I451" s="20" t="n">
        <v>0.0585</v>
      </c>
      <c r="J451" s="20" t="n">
        <v>5179</v>
      </c>
    </row>
    <row r="452" ht="16.5" customHeight="1" s="17">
      <c r="B452" s="20" t="inlineStr">
        <is>
          <t>카페24</t>
        </is>
      </c>
      <c r="C452" s="20" t="inlineStr">
        <is>
          <t>고체향수</t>
        </is>
      </c>
      <c r="D452" s="20" t="inlineStr">
        <is>
          <t>유즈 솔리드퍼퓸 - 30ml향=커플세트(이그나이트 + 스테이포에버), 세트 선택=1 SET</t>
        </is>
      </c>
      <c r="E452" s="20" t="inlineStr">
        <is>
          <t>이그나이트 + 스테이포에버</t>
        </is>
      </c>
      <c r="F452" s="20" t="n">
        <v>210501</v>
      </c>
      <c r="G452" s="20">
        <f>B452&amp;C452&amp;D452&amp;F452</f>
        <v/>
      </c>
      <c r="H452" s="20" t="n">
        <v>58800</v>
      </c>
      <c r="I452" s="20" t="n">
        <v>0.0585</v>
      </c>
      <c r="J452" s="20" t="n">
        <v>5179</v>
      </c>
    </row>
    <row r="453" ht="16.5" customHeight="1" s="17">
      <c r="B453" s="20" t="inlineStr">
        <is>
          <t>카페24</t>
        </is>
      </c>
      <c r="C453" s="20" t="inlineStr">
        <is>
          <t>고체향수</t>
        </is>
      </c>
      <c r="D453" s="20" t="inlineStr">
        <is>
          <t>유즈 스테이포에버 솔리드퍼퓸 002제품선택=스테이포에버 1개</t>
        </is>
      </c>
      <c r="E453" s="20" t="inlineStr">
        <is>
          <t>스테이포에버</t>
        </is>
      </c>
      <c r="F453" s="20" t="n">
        <v>210501</v>
      </c>
      <c r="G453" s="20">
        <f>B453&amp;C453&amp;D453&amp;F453</f>
        <v/>
      </c>
      <c r="H453" s="20" t="n">
        <v>34000</v>
      </c>
      <c r="I453" s="20" t="n">
        <v>0.0585</v>
      </c>
      <c r="J453" s="20" t="n">
        <v>2554</v>
      </c>
    </row>
    <row r="454" ht="16.5" customHeight="1" s="17">
      <c r="B454" s="20" t="inlineStr">
        <is>
          <t>카페24</t>
        </is>
      </c>
      <c r="C454" s="20" t="inlineStr">
        <is>
          <t>고체향수</t>
        </is>
      </c>
      <c r="D454" s="20" t="inlineStr">
        <is>
          <t>유즈 스테이포에버 솔리드퍼퓸 002제품선택=best</t>
        </is>
      </c>
      <c r="E454" s="20" t="inlineStr">
        <is>
          <t>스테이포에버</t>
        </is>
      </c>
      <c r="F454" s="20" t="n">
        <v>210501</v>
      </c>
      <c r="G454" s="20">
        <f>B454&amp;C454&amp;D454&amp;F454</f>
        <v/>
      </c>
      <c r="H454" s="20" t="n">
        <v>34000</v>
      </c>
      <c r="I454" s="20" t="n">
        <v>0.0585</v>
      </c>
      <c r="J454" s="20" t="n">
        <v>2554</v>
      </c>
    </row>
    <row r="455" ht="16.5" customHeight="1" s="17">
      <c r="B455" s="20" t="inlineStr">
        <is>
          <t>카페24</t>
        </is>
      </c>
      <c r="C455" s="20" t="inlineStr">
        <is>
          <t>고체향수</t>
        </is>
      </c>
      <c r="D455" s="20" t="inlineStr">
        <is>
          <t>유즈 스테이포에버 솔리드퍼퓸 002제품선택=best스테이포에버 2개[28% 할인]</t>
        </is>
      </c>
      <c r="E455" s="20" t="inlineStr">
        <is>
          <t>스테이포에버</t>
        </is>
      </c>
      <c r="F455" s="20" t="n">
        <v>210501</v>
      </c>
      <c r="G455" s="20">
        <f>B455&amp;C455&amp;D455&amp;F455</f>
        <v/>
      </c>
      <c r="H455" s="20" t="n">
        <v>34000</v>
      </c>
      <c r="I455" s="20" t="n">
        <v>0.0585</v>
      </c>
      <c r="J455" s="20" t="n">
        <v>2554</v>
      </c>
    </row>
    <row r="456" ht="16.5" customHeight="1" s="17">
      <c r="B456" s="20" t="inlineStr">
        <is>
          <t>카페24</t>
        </is>
      </c>
      <c r="C456" s="20" t="inlineStr">
        <is>
          <t>고체향수</t>
        </is>
      </c>
      <c r="D456" s="20" t="inlineStr">
        <is>
          <t>유즈 스테이포에버 솔리드퍼퓸 002제품선택=커플추천</t>
        </is>
      </c>
      <c r="E456" s="20" t="inlineStr">
        <is>
          <t>이그나이트 + 스테이포에버</t>
        </is>
      </c>
      <c r="F456" s="20" t="n">
        <v>210501</v>
      </c>
      <c r="G456" s="20">
        <f>B456&amp;C456&amp;D456&amp;F456</f>
        <v/>
      </c>
      <c r="H456" s="20" t="n">
        <v>58800</v>
      </c>
      <c r="I456" s="20" t="n">
        <v>0.0585</v>
      </c>
      <c r="J456" s="20" t="n">
        <v>5179</v>
      </c>
    </row>
    <row r="457" ht="16.5" customHeight="1" s="17">
      <c r="B457" s="20" t="inlineStr">
        <is>
          <t>카페24</t>
        </is>
      </c>
      <c r="C457" s="20" t="inlineStr">
        <is>
          <t>고체향수</t>
        </is>
      </c>
      <c r="D457" s="20" t="inlineStr">
        <is>
          <t>유즈 스테이포에버 솔리드퍼퓸 002제품선택=커플추천스테이포에버 + 이그나이트 세트</t>
        </is>
      </c>
      <c r="E457" s="20" t="inlineStr">
        <is>
          <t>이그나이트 + 스테이포에버</t>
        </is>
      </c>
      <c r="F457" s="20" t="n">
        <v>210501</v>
      </c>
      <c r="G457" s="20">
        <f>B457&amp;C457&amp;D457&amp;F457</f>
        <v/>
      </c>
      <c r="H457" s="20" t="n">
        <v>58800</v>
      </c>
      <c r="I457" s="20" t="n">
        <v>0.0585</v>
      </c>
      <c r="J457" s="20" t="n">
        <v>5179</v>
      </c>
    </row>
    <row r="458" ht="16.5" customHeight="1" s="17">
      <c r="B458" s="20" t="inlineStr">
        <is>
          <t>카페24</t>
        </is>
      </c>
      <c r="C458" s="20" t="inlineStr">
        <is>
          <t>고체향수</t>
        </is>
      </c>
      <c r="D458" s="20" t="inlineStr">
        <is>
          <t>유즈 스테이포에버 솔리드퍼퓸 002쇼핑백=선물용 쇼핑백</t>
        </is>
      </c>
      <c r="E458" s="20" t="inlineStr">
        <is>
          <t>쇼핑백</t>
        </is>
      </c>
      <c r="F458" s="20" t="n">
        <v>210501</v>
      </c>
      <c r="G458" s="20">
        <f>B458&amp;C458&amp;D458&amp;F458</f>
        <v/>
      </c>
      <c r="H458" s="20" t="n">
        <v>2000</v>
      </c>
      <c r="I458" s="20" t="n">
        <v>0.0585</v>
      </c>
      <c r="J458" s="20" t="n">
        <v>830</v>
      </c>
    </row>
    <row r="459" ht="16.5" customHeight="1" s="17">
      <c r="B459" s="20" t="inlineStr">
        <is>
          <t>카페24</t>
        </is>
      </c>
      <c r="C459" s="20" t="inlineStr">
        <is>
          <t>고체향수</t>
        </is>
      </c>
      <c r="D459" s="20" t="inlineStr">
        <is>
          <t>유즈 솔리드퍼퓸 - 30ml향=이그나이트 001 SOLID PERFUME, 세트 선택=1개</t>
        </is>
      </c>
      <c r="E459" s="20" t="inlineStr">
        <is>
          <t>이그나이트</t>
        </is>
      </c>
      <c r="F459" s="20" t="n">
        <v>210501</v>
      </c>
      <c r="G459" s="20">
        <f>B459&amp;C459&amp;D459&amp;F459</f>
        <v/>
      </c>
      <c r="H459" s="20" t="n">
        <v>34000</v>
      </c>
      <c r="I459" s="20" t="n">
        <v>0.0585</v>
      </c>
      <c r="J459" s="20" t="n">
        <v>2625</v>
      </c>
    </row>
    <row r="460" ht="16.5" customHeight="1" s="17">
      <c r="B460" s="20" t="inlineStr">
        <is>
          <t>스마트스토어</t>
        </is>
      </c>
      <c r="C460" s="20" t="inlineStr">
        <is>
          <t>고체향수</t>
        </is>
      </c>
      <c r="D460" s="20" t="inlineStr">
        <is>
          <t>유즈 고체향수 이그나이트 001고체향수: 이그나이트 1개</t>
        </is>
      </c>
      <c r="E460" s="20" t="inlineStr">
        <is>
          <t>이그나이트</t>
        </is>
      </c>
      <c r="F460" s="20" t="n">
        <v>210501</v>
      </c>
      <c r="G460" s="20">
        <f>B460&amp;C460&amp;D460&amp;F460</f>
        <v/>
      </c>
      <c r="H460" s="20" t="n">
        <v>34000</v>
      </c>
      <c r="I460" s="20" t="n">
        <v>0.02</v>
      </c>
      <c r="J460" s="20" t="n">
        <v>2625</v>
      </c>
    </row>
    <row r="461" ht="16.5" customHeight="1" s="17">
      <c r="B461" s="20" t="inlineStr">
        <is>
          <t>스마트스토어</t>
        </is>
      </c>
      <c r="C461" s="20" t="inlineStr">
        <is>
          <t>고체향수</t>
        </is>
      </c>
      <c r="D461" s="20" t="inlineStr">
        <is>
          <t>유즈 고체향수 세트(유즈 스테이포에버, 유즈 이그나이트)고체향수: 이그나이트 1개</t>
        </is>
      </c>
      <c r="E461" s="20" t="inlineStr">
        <is>
          <t>이그나이트</t>
        </is>
      </c>
      <c r="F461" s="20" t="n">
        <v>210501</v>
      </c>
      <c r="G461" s="20">
        <f>B461&amp;C461&amp;D461&amp;F461</f>
        <v/>
      </c>
      <c r="H461" s="20" t="n">
        <v>34000</v>
      </c>
      <c r="I461" s="20" t="n">
        <v>0.02</v>
      </c>
      <c r="J461" s="20" t="n">
        <v>2625</v>
      </c>
    </row>
    <row r="462" ht="16.5" customHeight="1" s="17">
      <c r="B462" s="20" t="inlineStr">
        <is>
          <t>W컨셉</t>
        </is>
      </c>
      <c r="C462" s="20" t="inlineStr">
        <is>
          <t>고체향수</t>
        </is>
      </c>
      <c r="D462" s="20" t="inlineStr">
        <is>
          <t>솔리드퍼퓸 이그나이트/스테이포에버 30ml (2종 택1)&lt;옵션1&gt;001 IGNITE</t>
        </is>
      </c>
      <c r="E462" s="20" t="inlineStr">
        <is>
          <t>이그나이트</t>
        </is>
      </c>
      <c r="F462" s="20" t="n">
        <v>210501</v>
      </c>
      <c r="G462" s="20">
        <f>B462&amp;C462&amp;D462&amp;F462</f>
        <v/>
      </c>
      <c r="H462" s="20" t="n">
        <v>34000</v>
      </c>
      <c r="I462" s="20" t="n">
        <v>0.3</v>
      </c>
      <c r="J462" s="20" t="n">
        <v>2625</v>
      </c>
    </row>
    <row r="463" ht="16.5" customHeight="1" s="17">
      <c r="B463" s="20" t="inlineStr">
        <is>
          <t>카페24</t>
        </is>
      </c>
      <c r="C463" s="20" t="inlineStr">
        <is>
          <t>고체향수</t>
        </is>
      </c>
      <c r="D463" s="20" t="inlineStr">
        <is>
          <t>유즈 솔리드퍼퓸 - 30ml향=스테이포에버 002 SOLID PERFUME, 세트 선택=best 2개 (28% 할인)</t>
        </is>
      </c>
      <c r="E463" s="20" t="inlineStr">
        <is>
          <t>스테이포에버 2set</t>
        </is>
      </c>
      <c r="F463" s="20" t="n">
        <v>210501</v>
      </c>
      <c r="G463" s="20">
        <f>B463&amp;C463&amp;D463&amp;F463</f>
        <v/>
      </c>
      <c r="H463" s="20" t="n">
        <v>58800</v>
      </c>
      <c r="I463" s="20" t="n">
        <v>0.0585</v>
      </c>
      <c r="J463" s="20" t="n">
        <v>5108</v>
      </c>
    </row>
    <row r="464" ht="16.5" customHeight="1" s="17">
      <c r="B464" s="20" t="inlineStr">
        <is>
          <t>카페24</t>
        </is>
      </c>
      <c r="C464" s="20" t="inlineStr">
        <is>
          <t>고체향수</t>
        </is>
      </c>
      <c r="D464" s="20" t="inlineStr">
        <is>
          <t>유즈 솔리드퍼퓸 - 30ml향=커플세트(이그나이트 + 스테이포에버), 세트 선택=2 SET (42% 할인)</t>
        </is>
      </c>
      <c r="E464" s="20" t="inlineStr">
        <is>
          <t>이그나이트 + 스테이포에버</t>
        </is>
      </c>
      <c r="F464" s="20" t="n">
        <v>210501</v>
      </c>
      <c r="G464" s="20">
        <f>B464&amp;C464&amp;D464&amp;F464</f>
        <v/>
      </c>
      <c r="H464" s="20" t="n">
        <v>58800</v>
      </c>
      <c r="I464" s="20" t="n">
        <v>0.0585</v>
      </c>
      <c r="J464" s="20" t="n">
        <v>5179</v>
      </c>
    </row>
    <row r="465" ht="16.5" customHeight="1" s="17">
      <c r="B465" s="20" t="inlineStr">
        <is>
          <t>카페24</t>
        </is>
      </c>
      <c r="C465" s="20" t="inlineStr">
        <is>
          <t>고체향수</t>
        </is>
      </c>
      <c r="D465" s="20" t="inlineStr">
        <is>
          <t>유즈 솔리드퍼퓸 - 스테이포에버 002제품선택=스테이포에버 1개</t>
        </is>
      </c>
      <c r="E465" s="20" t="inlineStr">
        <is>
          <t>스테이포에버</t>
        </is>
      </c>
      <c r="F465" s="20" t="n">
        <v>210501</v>
      </c>
      <c r="G465" s="20">
        <f>B465&amp;C465&amp;D465&amp;F465</f>
        <v/>
      </c>
      <c r="H465" s="20" t="n">
        <v>34000</v>
      </c>
      <c r="I465" s="20" t="n">
        <v>0.0585</v>
      </c>
      <c r="J465" s="20" t="n">
        <v>2554</v>
      </c>
    </row>
    <row r="466" ht="16.5" customHeight="1" s="17">
      <c r="B466" s="20" t="inlineStr">
        <is>
          <t>카페24</t>
        </is>
      </c>
      <c r="C466" s="20" t="inlineStr">
        <is>
          <t>고체향수</t>
        </is>
      </c>
      <c r="D466" s="20" t="inlineStr">
        <is>
          <t>유즈 솔리드퍼퓸 - 스테이포에버 002제품선택=best</t>
        </is>
      </c>
      <c r="E466" s="20" t="inlineStr">
        <is>
          <t>스테이포에버</t>
        </is>
      </c>
      <c r="F466" s="20" t="n">
        <v>210501</v>
      </c>
      <c r="G466" s="20">
        <f>B466&amp;C466&amp;D466&amp;F466</f>
        <v/>
      </c>
      <c r="H466" s="20" t="n">
        <v>34000</v>
      </c>
      <c r="I466" s="20" t="n">
        <v>0.0585</v>
      </c>
      <c r="J466" s="20" t="n">
        <v>2554</v>
      </c>
    </row>
    <row r="467" ht="16.5" customHeight="1" s="17">
      <c r="B467" s="20" t="inlineStr">
        <is>
          <t>카페24</t>
        </is>
      </c>
      <c r="C467" s="20" t="inlineStr">
        <is>
          <t>고체향수</t>
        </is>
      </c>
      <c r="D467" s="20" t="inlineStr">
        <is>
          <t>유즈 솔리드퍼퓸 - 스테이포에버 002제품선택=best스테이포에버 2개[28% 할인]</t>
        </is>
      </c>
      <c r="E467" s="20" t="inlineStr">
        <is>
          <t>스테이포에버 2set</t>
        </is>
      </c>
      <c r="F467" s="20" t="n">
        <v>210501</v>
      </c>
      <c r="G467" s="20">
        <f>B467&amp;C467&amp;D467&amp;F467</f>
        <v/>
      </c>
      <c r="H467" s="20" t="n">
        <v>58800</v>
      </c>
      <c r="I467" s="20" t="n">
        <v>0.0585</v>
      </c>
      <c r="J467" s="20" t="n">
        <v>5108</v>
      </c>
    </row>
    <row r="468" ht="16.5" customHeight="1" s="17">
      <c r="B468" s="20" t="inlineStr">
        <is>
          <t>카페24</t>
        </is>
      </c>
      <c r="C468" s="20" t="inlineStr">
        <is>
          <t>고체향수</t>
        </is>
      </c>
      <c r="D468" s="20" t="inlineStr">
        <is>
          <t>유즈 솔리드퍼퓸 - 스테이포에버 002제품선택=커플추천</t>
        </is>
      </c>
      <c r="E468" s="20" t="inlineStr">
        <is>
          <t>이그나이트 + 스테이포에버</t>
        </is>
      </c>
      <c r="F468" s="20" t="n">
        <v>210501</v>
      </c>
      <c r="G468" s="20">
        <f>B468&amp;C468&amp;D468&amp;F468</f>
        <v/>
      </c>
      <c r="H468" s="20" t="n">
        <v>58800</v>
      </c>
      <c r="I468" s="20" t="n">
        <v>0.0585</v>
      </c>
      <c r="J468" s="20" t="n">
        <v>5179</v>
      </c>
    </row>
    <row r="469" ht="16.5" customHeight="1" s="17">
      <c r="B469" s="20" t="inlineStr">
        <is>
          <t>카페24</t>
        </is>
      </c>
      <c r="C469" s="20" t="inlineStr">
        <is>
          <t>고체향수</t>
        </is>
      </c>
      <c r="D469" s="20" t="inlineStr">
        <is>
          <t>유즈 솔리드퍼퓸 - 스테이포에버 002제품선택=커플추천스테이포에버 + 이그나이트 세트</t>
        </is>
      </c>
      <c r="E469" s="20" t="inlineStr">
        <is>
          <t>이그나이트 + 스테이포에버</t>
        </is>
      </c>
      <c r="F469" s="20" t="n">
        <v>210501</v>
      </c>
      <c r="G469" s="20">
        <f>B469&amp;C469&amp;D469&amp;F469</f>
        <v/>
      </c>
      <c r="H469" s="20" t="n">
        <v>58800</v>
      </c>
      <c r="I469" s="20" t="n">
        <v>0.0585</v>
      </c>
      <c r="J469" s="20" t="n">
        <v>5179</v>
      </c>
    </row>
    <row r="470" ht="16.5" customHeight="1" s="17">
      <c r="B470" s="20" t="inlineStr">
        <is>
          <t>카페24</t>
        </is>
      </c>
      <c r="C470" s="20" t="inlineStr">
        <is>
          <t>쇼핑백</t>
        </is>
      </c>
      <c r="D470" s="20" t="inlineStr">
        <is>
          <t>유즈 솔리드퍼퓸 - 스테이포에버 002쇼핑백=선물용 쇼핑백</t>
        </is>
      </c>
      <c r="E470" s="20" t="inlineStr">
        <is>
          <t>쇼핑백</t>
        </is>
      </c>
      <c r="F470" s="20" t="n">
        <v>210501</v>
      </c>
      <c r="G470" s="20">
        <f>B470&amp;C470&amp;D470&amp;F470</f>
        <v/>
      </c>
      <c r="H470" s="20" t="n">
        <v>2000</v>
      </c>
      <c r="I470" s="20" t="n">
        <v>0.0585</v>
      </c>
      <c r="J470" s="20" t="n">
        <v>830</v>
      </c>
    </row>
    <row r="471" ht="16.5" customHeight="1" s="17">
      <c r="B471" s="20" t="inlineStr">
        <is>
          <t>카페24</t>
        </is>
      </c>
      <c r="C471" s="20" t="inlineStr">
        <is>
          <t>고체향수</t>
        </is>
      </c>
      <c r="D471" s="20" t="inlineStr">
        <is>
          <t>유즈 솔리드퍼퓸 - 이그나이트 001제품선택=이그나이트 솔리드퍼퓸 - 30ml</t>
        </is>
      </c>
      <c r="E471" s="20" t="inlineStr">
        <is>
          <t>이그나이트</t>
        </is>
      </c>
      <c r="F471" s="20" t="n">
        <v>210501</v>
      </c>
      <c r="G471" s="20">
        <f>B471&amp;C471&amp;D471&amp;F471</f>
        <v/>
      </c>
      <c r="H471" s="20" t="n">
        <v>34000</v>
      </c>
      <c r="I471" s="20" t="n">
        <v>0</v>
      </c>
      <c r="J471" s="20" t="n">
        <v>2625</v>
      </c>
    </row>
    <row r="472" ht="16.5" customHeight="1" s="17">
      <c r="B472" s="20" t="inlineStr">
        <is>
          <t>유즈 CS</t>
        </is>
      </c>
      <c r="C472" s="20" t="inlineStr">
        <is>
          <t>고체향수</t>
        </is>
      </c>
      <c r="D472" s="20" t="inlineStr">
        <is>
          <t>유즈 스테이포에버 솔리드퍼퓸 002제품선택=커플추천</t>
        </is>
      </c>
      <c r="E472" s="20" t="inlineStr">
        <is>
          <t>이그나이트 + 스테이포에버</t>
        </is>
      </c>
      <c r="F472" s="20" t="n">
        <v>210501</v>
      </c>
      <c r="G472" s="20">
        <f>B472&amp;C472&amp;D472&amp;F472</f>
        <v/>
      </c>
      <c r="H472" s="20" t="n">
        <v>0</v>
      </c>
      <c r="I472" s="20" t="n">
        <v>0</v>
      </c>
      <c r="J472" s="20" t="n">
        <v>5179</v>
      </c>
    </row>
    <row r="473" ht="16.5" customHeight="1" s="17">
      <c r="B473" s="20" t="inlineStr">
        <is>
          <t>카페24</t>
        </is>
      </c>
      <c r="C473" s="20" t="inlineStr">
        <is>
          <t>고체향수</t>
        </is>
      </c>
      <c r="D473" s="20" t="inlineStr">
        <is>
          <t>유즈 솔리드퍼퓸 - 이그나이트 001제품선택=이그나이트 2개 세트</t>
        </is>
      </c>
      <c r="E473" s="20" t="inlineStr">
        <is>
          <t>이그나이트 2set</t>
        </is>
      </c>
      <c r="F473" s="20" t="n">
        <v>210501</v>
      </c>
      <c r="G473" s="20">
        <f>B473&amp;C473&amp;D473&amp;F473</f>
        <v/>
      </c>
      <c r="H473" s="20" t="n">
        <v>58800</v>
      </c>
      <c r="I473" s="20" t="n">
        <v>0.0585</v>
      </c>
      <c r="J473" s="20" t="n">
        <v>5250</v>
      </c>
    </row>
    <row r="474" ht="16.5" customHeight="1" s="17">
      <c r="B474" s="20" t="inlineStr">
        <is>
          <t>카페24</t>
        </is>
      </c>
      <c r="C474" s="20" t="inlineStr">
        <is>
          <t>쇼핑백</t>
        </is>
      </c>
      <c r="D474" s="20" t="inlineStr">
        <is>
          <t>유즈 솔리드퍼퓸 - 이그나이트 001쇼핑백=선물용 쇼핑백</t>
        </is>
      </c>
      <c r="E474" s="20" t="inlineStr">
        <is>
          <t>쇼핑백</t>
        </is>
      </c>
      <c r="F474" s="20" t="n">
        <v>210501</v>
      </c>
      <c r="G474" s="20">
        <f>B474&amp;C474&amp;D474&amp;F474</f>
        <v/>
      </c>
      <c r="H474" s="20" t="n">
        <v>2000</v>
      </c>
      <c r="I474" s="20" t="n">
        <v>0.0585</v>
      </c>
      <c r="J474" s="20" t="n">
        <v>830</v>
      </c>
    </row>
    <row r="475" ht="16.5" customHeight="1" s="17">
      <c r="B475" s="20" t="inlineStr">
        <is>
          <t>카페24</t>
        </is>
      </c>
      <c r="C475" s="20" t="inlineStr">
        <is>
          <t>고체향수</t>
        </is>
      </c>
      <c r="D475" s="20" t="inlineStr">
        <is>
          <t>유즈 솔리드퍼퓸 - 30ml향=이그나이트 001 SOLID PERFUME, 세트 선택=best 2개 (28% 할인)</t>
        </is>
      </c>
      <c r="E475" s="20" t="inlineStr">
        <is>
          <t>이그나이트 2set</t>
        </is>
      </c>
      <c r="F475" s="20" t="n">
        <v>210501</v>
      </c>
      <c r="G475" s="20">
        <f>B475&amp;C475&amp;D475&amp;F475</f>
        <v/>
      </c>
      <c r="H475" s="20" t="n">
        <v>58800</v>
      </c>
      <c r="I475" s="20" t="n">
        <v>0.0585</v>
      </c>
      <c r="J475" s="20" t="n">
        <v>5250</v>
      </c>
    </row>
    <row r="476" ht="16.5" customHeight="1" s="17">
      <c r="B476" s="20" t="inlineStr">
        <is>
          <t>카페24</t>
        </is>
      </c>
      <c r="C476" s="20" t="inlineStr">
        <is>
          <t>고체향수</t>
        </is>
      </c>
      <c r="D476" s="20" t="inlineStr">
        <is>
          <t>솔리드퍼퓸 세트향=이그나이트 001 SOLID PERFUME, 세트 선택=1개</t>
        </is>
      </c>
      <c r="E476" s="20" t="inlineStr">
        <is>
          <t>이그나이트</t>
        </is>
      </c>
      <c r="F476" s="20" t="n">
        <v>210501</v>
      </c>
      <c r="G476" s="20">
        <f>B476&amp;C476&amp;D476&amp;F476</f>
        <v/>
      </c>
      <c r="H476" s="20" t="n">
        <v>34000</v>
      </c>
      <c r="I476" s="20" t="n">
        <v>0.0585</v>
      </c>
      <c r="J476" s="20" t="n">
        <v>2625</v>
      </c>
    </row>
    <row r="477" ht="16.5" customHeight="1" s="17">
      <c r="B477" s="20" t="inlineStr">
        <is>
          <t>카페24</t>
        </is>
      </c>
      <c r="C477" s="20" t="inlineStr">
        <is>
          <t>고체향수</t>
        </is>
      </c>
      <c r="D477" s="20" t="inlineStr">
        <is>
          <t>솔리드퍼퓸 세트향=스테이포에버 002 SOLID PERFUME, 세트 선택=1개</t>
        </is>
      </c>
      <c r="E477" s="20" t="inlineStr">
        <is>
          <t>스테이포에버</t>
        </is>
      </c>
      <c r="F477" s="20" t="n">
        <v>210501</v>
      </c>
      <c r="G477" s="20">
        <f>B477&amp;C477&amp;D477&amp;F477</f>
        <v/>
      </c>
      <c r="H477" s="20" t="n">
        <v>34000</v>
      </c>
      <c r="I477" s="20" t="n">
        <v>0.0585</v>
      </c>
      <c r="J477" s="20" t="n">
        <v>2554</v>
      </c>
    </row>
    <row r="478" ht="16.5" customHeight="1" s="17">
      <c r="B478" s="20" t="inlineStr">
        <is>
          <t>카페24</t>
        </is>
      </c>
      <c r="C478" s="20" t="inlineStr">
        <is>
          <t>고체향수</t>
        </is>
      </c>
      <c r="D478" s="20" t="inlineStr">
        <is>
          <t>솔리드퍼퓸 세트향=스테이포에버 002 SOLID PERFUME, 세트 선택=best 2개 (28% 할인)</t>
        </is>
      </c>
      <c r="E478" s="20" t="inlineStr">
        <is>
          <t>스테이포에버 2set</t>
        </is>
      </c>
      <c r="F478" s="20" t="n">
        <v>210501</v>
      </c>
      <c r="G478" s="20">
        <f>B478&amp;C478&amp;D478&amp;F478</f>
        <v/>
      </c>
      <c r="H478" s="20" t="n">
        <v>58800</v>
      </c>
      <c r="I478" s="20" t="n">
        <v>0.0585</v>
      </c>
      <c r="J478" s="20" t="n">
        <v>5108</v>
      </c>
    </row>
    <row r="479" ht="16.5" customHeight="1" s="17">
      <c r="B479" s="20" t="inlineStr">
        <is>
          <t>카페24</t>
        </is>
      </c>
      <c r="C479" s="20" t="inlineStr">
        <is>
          <t>고체향수</t>
        </is>
      </c>
      <c r="D479" s="20" t="inlineStr">
        <is>
          <t>솔리드퍼퓸 세트향=커플세트(이그나이트 + 스테이포에버), 세트 선택=1 SET</t>
        </is>
      </c>
      <c r="E479" s="20" t="inlineStr">
        <is>
          <t>이그나이트 + 스테이포에버</t>
        </is>
      </c>
      <c r="F479" s="20" t="n">
        <v>210501</v>
      </c>
      <c r="G479" s="20">
        <f>B479&amp;C479&amp;D479&amp;F479</f>
        <v/>
      </c>
      <c r="H479" s="20" t="n">
        <v>58800</v>
      </c>
      <c r="I479" s="20" t="n">
        <v>0.0585</v>
      </c>
      <c r="J479" s="20" t="n">
        <v>5179</v>
      </c>
    </row>
    <row r="480" ht="16.5" customHeight="1" s="17">
      <c r="B480" s="20" t="inlineStr">
        <is>
          <t>카페24</t>
        </is>
      </c>
      <c r="C480" s="20" t="inlineStr">
        <is>
          <t>고체향수</t>
        </is>
      </c>
      <c r="D480" s="20" t="inlineStr">
        <is>
          <t>솔리드퍼퓸 스테이포에버 002제품선택=스테이포에버 1개</t>
        </is>
      </c>
      <c r="E480" s="20" t="inlineStr">
        <is>
          <t>스테이포에버</t>
        </is>
      </c>
      <c r="F480" s="20" t="n">
        <v>210501</v>
      </c>
      <c r="G480" s="20">
        <f>B480&amp;C480&amp;D480&amp;F480</f>
        <v/>
      </c>
      <c r="H480" s="20" t="n">
        <v>34000</v>
      </c>
      <c r="I480" s="20" t="n">
        <v>0.0585</v>
      </c>
      <c r="J480" s="20" t="n">
        <v>2554</v>
      </c>
    </row>
    <row r="481" ht="16.5" customHeight="1" s="17">
      <c r="B481" s="20" t="inlineStr">
        <is>
          <t>스마트스토어</t>
        </is>
      </c>
      <c r="C481" s="20" t="inlineStr">
        <is>
          <t>고체향수</t>
        </is>
      </c>
      <c r="D481" s="20" t="inlineStr">
        <is>
          <t>유즈 고체향수 스테이포에버 002고체향수: 스테이포에버 1개</t>
        </is>
      </c>
      <c r="E481" s="20" t="inlineStr">
        <is>
          <t>스테이포에버</t>
        </is>
      </c>
      <c r="F481" s="20" t="n">
        <v>210501</v>
      </c>
      <c r="G481" s="20">
        <f>B481&amp;C481&amp;D481&amp;F481</f>
        <v/>
      </c>
      <c r="H481" s="20" t="n">
        <v>34000</v>
      </c>
      <c r="I481" s="20" t="n">
        <v>0.02</v>
      </c>
      <c r="J481" s="20" t="n">
        <v>2554</v>
      </c>
    </row>
    <row r="482" ht="16.5" customHeight="1" s="17">
      <c r="B482" s="20" t="inlineStr">
        <is>
          <t>스마트스토어</t>
        </is>
      </c>
      <c r="C482" s="20" t="inlineStr">
        <is>
          <t>고체향수</t>
        </is>
      </c>
      <c r="D482" s="20" t="inlineStr">
        <is>
          <t>유즈 고체향수 세트(유즈 스테이포에버, 유즈 이그나이트)고체향수: 스테이포에버 1개</t>
        </is>
      </c>
      <c r="E482" s="20" t="inlineStr">
        <is>
          <t>스테이포에버</t>
        </is>
      </c>
      <c r="F482" s="20" t="n">
        <v>210501</v>
      </c>
      <c r="G482" s="20">
        <f>B482&amp;C482&amp;D482&amp;F482</f>
        <v/>
      </c>
      <c r="H482" s="20" t="n">
        <v>34000</v>
      </c>
      <c r="I482" s="20" t="n">
        <v>0.02</v>
      </c>
      <c r="J482" s="20" t="n">
        <v>2554</v>
      </c>
    </row>
    <row r="483" ht="16.5" customHeight="1" s="17">
      <c r="B483" s="20" t="inlineStr">
        <is>
          <t>W컨셉</t>
        </is>
      </c>
      <c r="C483" s="20" t="inlineStr">
        <is>
          <t>고체향수</t>
        </is>
      </c>
      <c r="D483" s="20" t="inlineStr">
        <is>
          <t>솔리드퍼퓸 이그나이트/스테이포에버 30ml (2종 택1)&lt;옵션1&gt;002 STAY FOREVER</t>
        </is>
      </c>
      <c r="E483" s="20" t="inlineStr">
        <is>
          <t>스테이포에버</t>
        </is>
      </c>
      <c r="F483" s="20" t="n">
        <v>210501</v>
      </c>
      <c r="G483" s="20">
        <f>B483&amp;C483&amp;D483&amp;F483</f>
        <v/>
      </c>
      <c r="H483" s="20" t="n">
        <v>34000</v>
      </c>
      <c r="I483" s="20" t="n">
        <v>0.3</v>
      </c>
      <c r="J483" s="20" t="n">
        <v>2554</v>
      </c>
    </row>
    <row r="484" ht="16.5" customHeight="1" s="17">
      <c r="B484" s="20" t="inlineStr">
        <is>
          <t>카페24</t>
        </is>
      </c>
      <c r="C484" s="20" t="inlineStr">
        <is>
          <t>고체향수</t>
        </is>
      </c>
      <c r="D484" s="20" t="inlineStr">
        <is>
          <t>솔리드퍼퓸 스테이포에버 002제품선택=best스테이포에버 2개[28% 할인]</t>
        </is>
      </c>
      <c r="E484" s="20" t="inlineStr">
        <is>
          <t>스테이포에버 2set</t>
        </is>
      </c>
      <c r="F484" s="20" t="n">
        <v>210501</v>
      </c>
      <c r="G484" s="20">
        <f>B484&amp;C484&amp;D484&amp;F484</f>
        <v/>
      </c>
      <c r="H484" s="20" t="n">
        <v>58800</v>
      </c>
      <c r="I484" s="20" t="n">
        <v>0.0585</v>
      </c>
      <c r="J484" s="20" t="n">
        <v>5108</v>
      </c>
    </row>
    <row r="485" ht="16.5" customHeight="1" s="17">
      <c r="B485" s="20" t="inlineStr">
        <is>
          <t>스마트스토어</t>
        </is>
      </c>
      <c r="C485" s="20" t="inlineStr">
        <is>
          <t>고체향수</t>
        </is>
      </c>
      <c r="D485" s="20" t="inlineStr">
        <is>
          <t>유즈 고체향수 세트(유즈 스테이포에버, 유즈 이그나이트)고체향수: 스테이포에버 2개</t>
        </is>
      </c>
      <c r="E485" s="20" t="inlineStr">
        <is>
          <t>스테이포에버 2set</t>
        </is>
      </c>
      <c r="F485" s="20" t="n">
        <v>210501</v>
      </c>
      <c r="G485" s="20">
        <f>B485&amp;C485&amp;D485&amp;F485</f>
        <v/>
      </c>
      <c r="H485" s="20" t="n">
        <v>58800</v>
      </c>
      <c r="I485" s="20" t="n">
        <v>0.02</v>
      </c>
      <c r="J485" s="20" t="n">
        <v>5108</v>
      </c>
    </row>
    <row r="486" ht="16.5" customHeight="1" s="17">
      <c r="B486" s="20" t="inlineStr">
        <is>
          <t>유즈 CS</t>
        </is>
      </c>
      <c r="C486" s="20" t="inlineStr">
        <is>
          <t>고체향수</t>
        </is>
      </c>
      <c r="D486" s="20" t="inlineStr">
        <is>
          <t>솔리드퍼퓸 스테이포에버 002제품선택=best스테이포에버 2개[28% 할인]</t>
        </is>
      </c>
      <c r="E486" s="20" t="inlineStr">
        <is>
          <t>스테이포에버 2set</t>
        </is>
      </c>
      <c r="F486" s="20" t="n">
        <v>210501</v>
      </c>
      <c r="G486" s="20">
        <f>B486&amp;C486&amp;D486&amp;F486</f>
        <v/>
      </c>
      <c r="H486" s="20" t="n">
        <v>0</v>
      </c>
      <c r="I486" s="20" t="n">
        <v>0</v>
      </c>
      <c r="J486" s="20" t="n">
        <v>5108</v>
      </c>
    </row>
    <row r="487" ht="16.5" customHeight="1" s="17">
      <c r="B487" s="20" t="inlineStr">
        <is>
          <t>카페24</t>
        </is>
      </c>
      <c r="C487" s="20" t="inlineStr">
        <is>
          <t>고체향수</t>
        </is>
      </c>
      <c r="D487" s="20" t="inlineStr">
        <is>
          <t>솔리드퍼퓸 스테이포에버 002제품선택=커플추천스테이포에버 + 이그나이트 세트</t>
        </is>
      </c>
      <c r="E487" s="20" t="inlineStr">
        <is>
          <t>이그나이트 + 스테이포에버</t>
        </is>
      </c>
      <c r="F487" s="20" t="n">
        <v>210501</v>
      </c>
      <c r="G487" s="20">
        <f>B487&amp;C487&amp;D487&amp;F487</f>
        <v/>
      </c>
      <c r="H487" s="20" t="n">
        <v>58800</v>
      </c>
      <c r="I487" s="20" t="n">
        <v>0.0585</v>
      </c>
      <c r="J487" s="20" t="n">
        <v>5179</v>
      </c>
    </row>
    <row r="488" ht="16.5" customHeight="1" s="17">
      <c r="B488" s="20" t="inlineStr">
        <is>
          <t>카페24</t>
        </is>
      </c>
      <c r="C488" s="20" t="inlineStr">
        <is>
          <t>쇼핑백</t>
        </is>
      </c>
      <c r="D488" s="20" t="inlineStr">
        <is>
          <t>솔리드퍼퓸 스테이포에버 002쇼핑백=선물용 쇼핑백</t>
        </is>
      </c>
      <c r="E488" s="20" t="inlineStr">
        <is>
          <t>쇼핑백</t>
        </is>
      </c>
      <c r="F488" s="20" t="n">
        <v>210501</v>
      </c>
      <c r="G488" s="20">
        <f>B488&amp;C488&amp;D488&amp;F488</f>
        <v/>
      </c>
      <c r="H488" s="20" t="n">
        <v>2000</v>
      </c>
      <c r="I488" s="20" t="n">
        <v>0.0585</v>
      </c>
      <c r="J488" s="20" t="n">
        <v>830</v>
      </c>
    </row>
    <row r="489" ht="16.5" customHeight="1" s="17">
      <c r="B489" s="20" t="inlineStr">
        <is>
          <t>카페24</t>
        </is>
      </c>
      <c r="C489" s="20" t="inlineStr">
        <is>
          <t>고체향수</t>
        </is>
      </c>
      <c r="D489" s="20" t="inlineStr">
        <is>
          <t>솔리드퍼퓸 이그나이트 001제품선택=이그나이트 솔리드퍼퓸 - 30ml</t>
        </is>
      </c>
      <c r="E489" s="20" t="inlineStr">
        <is>
          <t>이그나이트</t>
        </is>
      </c>
      <c r="F489" s="20" t="n">
        <v>210501</v>
      </c>
      <c r="G489" s="20">
        <f>B489&amp;C489&amp;D489&amp;F489</f>
        <v/>
      </c>
      <c r="H489" s="20" t="n">
        <v>34000</v>
      </c>
      <c r="I489" s="20" t="n">
        <v>0.0585</v>
      </c>
      <c r="J489" s="20" t="n">
        <v>2625</v>
      </c>
    </row>
    <row r="490" ht="16.5" customHeight="1" s="17">
      <c r="B490" s="20" t="inlineStr">
        <is>
          <t>카페24</t>
        </is>
      </c>
      <c r="C490" s="20" t="inlineStr">
        <is>
          <t>고체향수</t>
        </is>
      </c>
      <c r="D490" s="20" t="inlineStr">
        <is>
          <t>솔리드퍼퓸 이그나이트 001제품선택=이그나이트 2개 세트</t>
        </is>
      </c>
      <c r="E490" s="20" t="inlineStr">
        <is>
          <t>이그나이트 2set</t>
        </is>
      </c>
      <c r="F490" s="20" t="n">
        <v>210501</v>
      </c>
      <c r="G490" s="20">
        <f>B490&amp;C490&amp;D490&amp;F490</f>
        <v/>
      </c>
      <c r="H490" s="20" t="n">
        <v>58800</v>
      </c>
      <c r="I490" s="20" t="n">
        <v>0.0585</v>
      </c>
      <c r="J490" s="20" t="n">
        <v>5250</v>
      </c>
    </row>
    <row r="491" ht="16.5" customHeight="1" s="17">
      <c r="B491" s="20" t="inlineStr">
        <is>
          <t>카페24</t>
        </is>
      </c>
      <c r="C491" s="20" t="inlineStr">
        <is>
          <t>쇼핑백</t>
        </is>
      </c>
      <c r="D491" s="20" t="inlineStr">
        <is>
          <t>솔리드퍼퓸 이그나이트 001쇼핑백=선물용 쇼핑백</t>
        </is>
      </c>
      <c r="E491" s="20" t="inlineStr">
        <is>
          <t>쇼핑백</t>
        </is>
      </c>
      <c r="F491" s="20" t="n">
        <v>210501</v>
      </c>
      <c r="G491" s="20">
        <f>B491&amp;C491&amp;D491&amp;F491</f>
        <v/>
      </c>
      <c r="H491" s="20" t="n">
        <v>2000</v>
      </c>
      <c r="I491" s="20" t="n">
        <v>0.0585</v>
      </c>
      <c r="J491" s="20" t="n">
        <v>830</v>
      </c>
    </row>
    <row r="492" ht="16.5" customHeight="1" s="17">
      <c r="B492" s="20" t="inlineStr">
        <is>
          <t>카페24</t>
        </is>
      </c>
      <c r="C492" s="20" t="inlineStr">
        <is>
          <t>고체향수</t>
        </is>
      </c>
      <c r="D492" s="20" t="inlineStr">
        <is>
          <t>솔리드퍼퓸 세트향=커플세트(이그나이트 + 스테이포에버), 세트 선택=2 SET (42% 할인)</t>
        </is>
      </c>
      <c r="E492" s="20" t="inlineStr">
        <is>
          <t>이그나이트 + 스테이포에버</t>
        </is>
      </c>
      <c r="F492" s="20" t="n">
        <v>210501</v>
      </c>
      <c r="G492" s="20">
        <f>B492&amp;C492&amp;D492&amp;F492</f>
        <v/>
      </c>
      <c r="H492" s="20" t="n">
        <v>58800</v>
      </c>
      <c r="I492" s="20" t="n">
        <v>0.0585</v>
      </c>
      <c r="J492" s="20" t="n">
        <v>5179</v>
      </c>
    </row>
    <row r="493" ht="16.5" customHeight="1" s="17">
      <c r="B493" s="20" t="inlineStr">
        <is>
          <t>카페24</t>
        </is>
      </c>
      <c r="C493" s="20" t="inlineStr">
        <is>
          <t>고체향수</t>
        </is>
      </c>
      <c r="D493" s="20" t="inlineStr">
        <is>
          <t>솔리드퍼퓸 세트향=이그나이트 001 SOLID PERFUME, 세트 선택=best 2개 (28% 할인)</t>
        </is>
      </c>
      <c r="E493" s="20" t="inlineStr">
        <is>
          <t>이그나이트 2set</t>
        </is>
      </c>
      <c r="F493" s="20" t="n">
        <v>210501</v>
      </c>
      <c r="G493" s="20">
        <f>B493&amp;C493&amp;D493&amp;F493</f>
        <v/>
      </c>
      <c r="H493" s="20" t="n">
        <v>58800</v>
      </c>
      <c r="I493" s="20" t="n">
        <v>0.0585</v>
      </c>
      <c r="J493" s="20" t="n">
        <v>5250</v>
      </c>
    </row>
    <row r="494" ht="16.5" customHeight="1" s="17">
      <c r="B494" s="20" t="inlineStr">
        <is>
          <t>카페24</t>
        </is>
      </c>
      <c r="C494" s="20" t="inlineStr">
        <is>
          <t>고체향수</t>
        </is>
      </c>
      <c r="D494" s="20" t="inlineStr">
        <is>
          <t>솔리드퍼퓸 이그나이트 001 30ml</t>
        </is>
      </c>
      <c r="E494" s="20" t="inlineStr">
        <is>
          <t>이그나이트</t>
        </is>
      </c>
      <c r="F494" s="20" t="n">
        <v>210501</v>
      </c>
      <c r="G494" s="20">
        <f>B494&amp;C494&amp;D494&amp;F494</f>
        <v/>
      </c>
      <c r="H494" s="20" t="n">
        <v>34000</v>
      </c>
      <c r="I494" s="20" t="n">
        <v>0.0585</v>
      </c>
      <c r="J494" s="20" t="n">
        <v>2625</v>
      </c>
    </row>
    <row r="495" ht="16.5" customHeight="1" s="17">
      <c r="B495" s="20" t="inlineStr">
        <is>
          <t>유즈 CS</t>
        </is>
      </c>
      <c r="C495" s="20" t="inlineStr">
        <is>
          <t>고체향수</t>
        </is>
      </c>
      <c r="D495" s="20" t="inlineStr">
        <is>
          <t>솔리드퍼퓸 스테이포에버 002 30ml_CS</t>
        </is>
      </c>
      <c r="E495" s="20" t="inlineStr">
        <is>
          <t>스테이포에버</t>
        </is>
      </c>
      <c r="F495" s="20" t="n">
        <v>210501</v>
      </c>
      <c r="G495" s="20">
        <f>B495&amp;C495&amp;D495&amp;F495</f>
        <v/>
      </c>
      <c r="H495" s="20" t="n">
        <v>0</v>
      </c>
      <c r="I495" s="20" t="n">
        <v>0.0585</v>
      </c>
      <c r="J495" s="20" t="n">
        <v>2554</v>
      </c>
    </row>
    <row r="496" ht="16.5" customHeight="1" s="17">
      <c r="B496" s="20" t="inlineStr">
        <is>
          <t>카페24</t>
        </is>
      </c>
      <c r="C496" s="20" t="inlineStr">
        <is>
          <t>쇼핑백</t>
        </is>
      </c>
      <c r="D496" s="20" t="inlineStr">
        <is>
          <t>선물용 쇼핑백</t>
        </is>
      </c>
      <c r="E496" s="20" t="inlineStr">
        <is>
          <t>쇼핑백</t>
        </is>
      </c>
      <c r="F496" s="20" t="n">
        <v>210501</v>
      </c>
      <c r="G496" s="20">
        <f>B496&amp;C496&amp;D496&amp;F496</f>
        <v/>
      </c>
      <c r="H496" s="20" t="n">
        <v>2000</v>
      </c>
      <c r="I496" s="20" t="n">
        <v>0.0585</v>
      </c>
      <c r="J496" s="20" t="n">
        <v>830</v>
      </c>
    </row>
    <row r="497" ht="16.5" customHeight="1" s="17">
      <c r="B497" s="20" t="inlineStr">
        <is>
          <t>유즈 CS</t>
        </is>
      </c>
      <c r="C497" s="20" t="inlineStr">
        <is>
          <t>고체향수</t>
        </is>
      </c>
      <c r="D497" s="20" t="inlineStr">
        <is>
          <t>솔리드퍼퓸 이그나이트 001 30ml_CS</t>
        </is>
      </c>
      <c r="E497" s="20" t="inlineStr">
        <is>
          <t>이그나이트</t>
        </is>
      </c>
      <c r="F497" s="20" t="n">
        <v>210501</v>
      </c>
      <c r="G497" s="20">
        <f>B497&amp;C497&amp;D497&amp;F497</f>
        <v/>
      </c>
      <c r="H497" s="20" t="n">
        <v>0</v>
      </c>
      <c r="I497" s="20" t="n">
        <v>0</v>
      </c>
      <c r="J497" s="20" t="n">
        <v>2625</v>
      </c>
    </row>
    <row r="498" ht="16.5" customHeight="1" s="17">
      <c r="B498" s="20" t="inlineStr">
        <is>
          <t>스마트스토어</t>
        </is>
      </c>
      <c r="C498" s="20" t="inlineStr">
        <is>
          <t>고체향수</t>
        </is>
      </c>
      <c r="D498" s="20" t="inlineStr">
        <is>
          <t>유즈 고체향수 세트(유즈 스테이포에버, 유즈 이그나이트)고체향수: 스테이포에버 1개 + 이그나이트 1개</t>
        </is>
      </c>
      <c r="E498" s="20" t="inlineStr">
        <is>
          <t>이그나이트 + 스테이포에버</t>
        </is>
      </c>
      <c r="F498" s="20" t="n">
        <v>210501</v>
      </c>
      <c r="G498" s="20">
        <f>B498&amp;C498&amp;D498&amp;F498</f>
        <v/>
      </c>
      <c r="H498" s="20" t="n">
        <v>58800</v>
      </c>
      <c r="I498" s="20" t="n">
        <v>0.0585</v>
      </c>
      <c r="J498" s="20" t="n">
        <v>5179</v>
      </c>
    </row>
    <row r="499" ht="16.5" customHeight="1" s="17">
      <c r="B499" s="20" t="inlineStr">
        <is>
          <t>W컨셉</t>
        </is>
      </c>
      <c r="C499" s="20" t="inlineStr">
        <is>
          <t>고체향수</t>
        </is>
      </c>
      <c r="D499" s="20" t="inlineStr">
        <is>
          <t>솔리드퍼퓸 이그나이트/스테이포에버 30ml (2종 택1)&lt;옵션1&gt;IGNITE + STAY FOREVER</t>
        </is>
      </c>
      <c r="E499" s="20" t="inlineStr">
        <is>
          <t>이그나이트 + 스테이포에버</t>
        </is>
      </c>
      <c r="F499" s="20" t="n">
        <v>210501</v>
      </c>
      <c r="G499" s="20">
        <f>B499&amp;C499&amp;D499&amp;F499</f>
        <v/>
      </c>
      <c r="H499" s="20" t="n">
        <v>58800</v>
      </c>
      <c r="I499" s="20" t="n">
        <v>0.2</v>
      </c>
      <c r="J499" s="20" t="n">
        <v>5179</v>
      </c>
    </row>
    <row r="500" ht="16.5" customHeight="1" s="17">
      <c r="B500" s="20" t="inlineStr">
        <is>
          <t>카페24</t>
        </is>
      </c>
      <c r="C500" s="20" t="inlineStr">
        <is>
          <t>고체향수</t>
        </is>
      </c>
      <c r="D500" s="20" t="inlineStr">
        <is>
          <t>유즈 솔리드퍼퓸 세트향=이그나이트 001 SOLID PERFUME, 세트 선택=1개</t>
        </is>
      </c>
      <c r="E500" s="20" t="inlineStr">
        <is>
          <t>이그나이트</t>
        </is>
      </c>
      <c r="F500" s="20" t="n">
        <v>210501</v>
      </c>
      <c r="G500" s="20">
        <f>B500&amp;C500&amp;D500&amp;F500</f>
        <v/>
      </c>
      <c r="H500" s="20" t="n">
        <v>34000</v>
      </c>
      <c r="I500" s="20" t="n">
        <v>0.0585</v>
      </c>
      <c r="J500" s="20" t="n">
        <v>2625</v>
      </c>
    </row>
    <row r="501" ht="16.5" customHeight="1" s="17">
      <c r="B501" s="20" t="inlineStr">
        <is>
          <t>카페24</t>
        </is>
      </c>
      <c r="C501" s="20" t="inlineStr">
        <is>
          <t>고체향수</t>
        </is>
      </c>
      <c r="D501" s="20" t="inlineStr">
        <is>
          <t>유즈 솔리드퍼퓸 세트향=스테이포에버 002 SOLID PERFUME, 세트 선택=1개</t>
        </is>
      </c>
      <c r="E501" s="20" t="inlineStr">
        <is>
          <t>스테이포에버</t>
        </is>
      </c>
      <c r="F501" s="20" t="n">
        <v>210501</v>
      </c>
      <c r="G501" s="20">
        <f>B501&amp;C501&amp;D501&amp;F501</f>
        <v/>
      </c>
      <c r="H501" s="20" t="n">
        <v>34000</v>
      </c>
      <c r="I501" s="20" t="n">
        <v>0.0585</v>
      </c>
      <c r="J501" s="20" t="n">
        <v>2554</v>
      </c>
    </row>
    <row r="502" ht="16.5" customHeight="1" s="17">
      <c r="B502" s="20" t="inlineStr">
        <is>
          <t>카페24</t>
        </is>
      </c>
      <c r="C502" s="20" t="inlineStr">
        <is>
          <t>고체향수</t>
        </is>
      </c>
      <c r="D502" s="20" t="inlineStr">
        <is>
          <t>유즈 솔리드퍼퓸 세트향=스테이포에버 002 SOLID PERFUME, 세트 선택=best 2개 (28% 할인)</t>
        </is>
      </c>
      <c r="E502" s="20" t="inlineStr">
        <is>
          <t>스테이포에버 2set</t>
        </is>
      </c>
      <c r="F502" s="20" t="n">
        <v>210501</v>
      </c>
      <c r="G502" s="20">
        <f>B502&amp;C502&amp;D502&amp;F502</f>
        <v/>
      </c>
      <c r="H502" s="20" t="n">
        <v>58800</v>
      </c>
      <c r="I502" s="20" t="n">
        <v>0.0585</v>
      </c>
      <c r="J502" s="20" t="n">
        <v>5108</v>
      </c>
    </row>
    <row r="503" ht="16.5" customHeight="1" s="17">
      <c r="B503" s="20" t="inlineStr">
        <is>
          <t>카페24</t>
        </is>
      </c>
      <c r="C503" s="20" t="inlineStr">
        <is>
          <t>고체향수</t>
        </is>
      </c>
      <c r="D503" s="20" t="inlineStr">
        <is>
          <t>유즈 솔리드퍼퓸 세트향=커플세트(이그나이트 + 스테이포에버), 세트 선택=1 SET</t>
        </is>
      </c>
      <c r="E503" s="20" t="inlineStr">
        <is>
          <t>이그나이트 + 스테이포에버</t>
        </is>
      </c>
      <c r="F503" s="20" t="n">
        <v>210501</v>
      </c>
      <c r="G503" s="20">
        <f>B503&amp;C503&amp;D503&amp;F503</f>
        <v/>
      </c>
      <c r="H503" s="20" t="n">
        <v>58800</v>
      </c>
      <c r="I503" s="20" t="n">
        <v>0.0585</v>
      </c>
      <c r="J503" s="20" t="n">
        <v>5179</v>
      </c>
    </row>
    <row r="504" ht="16.5" customHeight="1" s="17">
      <c r="B504" s="20" t="inlineStr">
        <is>
          <t>카페24</t>
        </is>
      </c>
      <c r="C504" s="20" t="inlineStr">
        <is>
          <t>고체향수</t>
        </is>
      </c>
      <c r="D504" s="20" t="inlineStr">
        <is>
          <t>유즈 솔리드퍼퓸 세트향=이그나이트 001 SOLID PERFUME, 세트 선택=best 2개 (28% 할인)</t>
        </is>
      </c>
      <c r="E504" s="20" t="inlineStr">
        <is>
          <t>이그나이트 2set</t>
        </is>
      </c>
      <c r="F504" s="20" t="n">
        <v>210501</v>
      </c>
      <c r="G504" s="20">
        <f>B504&amp;C504&amp;D504&amp;F504</f>
        <v/>
      </c>
      <c r="H504" s="20" t="n">
        <v>58800</v>
      </c>
      <c r="I504" s="20" t="n">
        <v>0.0585</v>
      </c>
      <c r="J504" s="20" t="n">
        <v>5250</v>
      </c>
    </row>
    <row r="505" ht="16.5" customHeight="1" s="17">
      <c r="B505" s="20" t="inlineStr">
        <is>
          <t>카페24</t>
        </is>
      </c>
      <c r="C505" s="20" t="inlineStr">
        <is>
          <t>고체향수</t>
        </is>
      </c>
      <c r="D505" s="20" t="inlineStr">
        <is>
          <t>유즈 솔리드퍼퓸 세트향=커플세트(이그나이트 + 스테이포에버), 세트 선택=2 SET (42% 할인)</t>
        </is>
      </c>
      <c r="E505" s="20" t="inlineStr">
        <is>
          <t>이그나이트 + 스테이포에버 2set</t>
        </is>
      </c>
      <c r="F505" s="20" t="n">
        <v>210501</v>
      </c>
      <c r="G505" s="20">
        <f>B505&amp;C505&amp;D505&amp;F505</f>
        <v/>
      </c>
      <c r="H505" s="20" t="n">
        <v>94800</v>
      </c>
      <c r="I505" s="20" t="n">
        <v>0.0585</v>
      </c>
      <c r="J505" s="20" t="n">
        <v>10358</v>
      </c>
    </row>
    <row r="506" ht="16.5" customHeight="1" s="17">
      <c r="B506" s="20" t="inlineStr">
        <is>
          <t>올리브영</t>
        </is>
      </c>
      <c r="C506" s="20" t="inlineStr">
        <is>
          <t>고체향수</t>
        </is>
      </c>
      <c r="D506" s="20" t="inlineStr">
        <is>
          <t>유즈 솔리드퍼퓸 001 이그나이트 30ml 30600 온라인</t>
        </is>
      </c>
      <c r="E506" s="20" t="inlineStr">
        <is>
          <t>이그나이트</t>
        </is>
      </c>
      <c r="F506" s="20" t="n">
        <v>210501</v>
      </c>
      <c r="G506" s="20">
        <f>B506&amp;C506&amp;D506&amp;F506</f>
        <v/>
      </c>
      <c r="H506" s="20">
        <f>30600*55%</f>
        <v/>
      </c>
      <c r="I506" s="20" t="n">
        <v>0.2</v>
      </c>
      <c r="J506" s="20" t="n">
        <v>2625</v>
      </c>
    </row>
    <row r="507" ht="16.5" customHeight="1" s="17">
      <c r="B507" s="20" t="inlineStr">
        <is>
          <t>올리브영</t>
        </is>
      </c>
      <c r="C507" s="20" t="inlineStr">
        <is>
          <t>고체향수</t>
        </is>
      </c>
      <c r="D507" s="20" t="inlineStr">
        <is>
          <t>유즈 솔리드퍼퓸 002 스테이포에버 30ml 30600 온라인</t>
        </is>
      </c>
      <c r="E507" s="20" t="inlineStr">
        <is>
          <t>스테이포에버</t>
        </is>
      </c>
      <c r="F507" s="20" t="n">
        <v>210501</v>
      </c>
      <c r="G507" s="20">
        <f>B507&amp;C507&amp;D507&amp;F507</f>
        <v/>
      </c>
      <c r="H507" s="20">
        <f>30600*55%</f>
        <v/>
      </c>
      <c r="I507" s="20" t="n">
        <v>0.2</v>
      </c>
      <c r="J507" s="20" t="n">
        <v>2554</v>
      </c>
    </row>
    <row r="508" ht="16.5" customHeight="1" s="17">
      <c r="B508" s="20" t="inlineStr">
        <is>
          <t>카페24</t>
        </is>
      </c>
      <c r="C508" s="20" t="inlineStr">
        <is>
          <t>고체향수</t>
        </is>
      </c>
      <c r="D508" s="20" t="inlineStr">
        <is>
          <t>솔리드퍼퓸 스페셜 기프트 세트제품 선택=Event 1솔리드퍼퓸 2종 set[40% 할인]</t>
        </is>
      </c>
      <c r="E508" s="20" t="inlineStr">
        <is>
          <t>5월 프로모션 이그나이트+스테이포에버</t>
        </is>
      </c>
      <c r="F508" s="20" t="n">
        <v>210501</v>
      </c>
      <c r="G508" s="20">
        <f>B508&amp;C508&amp;D508&amp;F508</f>
        <v/>
      </c>
      <c r="H508" s="20" t="n">
        <v>50400</v>
      </c>
      <c r="I508" s="20" t="n">
        <v>0.0585</v>
      </c>
      <c r="J508" s="20" t="n">
        <v>7162</v>
      </c>
    </row>
    <row r="509" ht="16.5" customHeight="1" s="17">
      <c r="B509" s="20" t="inlineStr">
        <is>
          <t>카페24</t>
        </is>
      </c>
      <c r="C509" s="20" t="inlineStr">
        <is>
          <t>고체향수</t>
        </is>
      </c>
      <c r="D509" s="20" t="inlineStr">
        <is>
          <t>솔리드퍼퓸 스페셜 기프트 세트제품 선택=Event 2✨스테이포에버 단품[35% 할인]</t>
        </is>
      </c>
      <c r="E509" s="20" t="inlineStr">
        <is>
          <t>5월 프로모션 스테이포에버</t>
        </is>
      </c>
      <c r="F509" s="20" t="n">
        <v>210501</v>
      </c>
      <c r="G509" s="20">
        <f>B509&amp;C509&amp;D509&amp;F509</f>
        <v/>
      </c>
      <c r="H509" s="20" t="n">
        <v>27900</v>
      </c>
      <c r="I509" s="20" t="n">
        <v>0.0585</v>
      </c>
      <c r="J509" s="20" t="n">
        <v>3384</v>
      </c>
    </row>
    <row r="510" ht="16.5" customHeight="1" s="17">
      <c r="B510" s="20" t="inlineStr">
        <is>
          <t>카페24</t>
        </is>
      </c>
      <c r="C510" s="20" t="inlineStr">
        <is>
          <t>고체향수</t>
        </is>
      </c>
      <c r="D510" s="20" t="inlineStr">
        <is>
          <t>솔리드퍼퓸 스페셜 기프트 세트제품 선택=Event 2✨이그나이트 단품[35% 할인]</t>
        </is>
      </c>
      <c r="E510" s="20" t="inlineStr">
        <is>
          <t>5월 프로모션 이그나이트</t>
        </is>
      </c>
      <c r="F510" s="20" t="n">
        <v>210501</v>
      </c>
      <c r="G510" s="20">
        <f>B510&amp;C510&amp;D510&amp;F510</f>
        <v/>
      </c>
      <c r="H510" s="20" t="n">
        <v>27900</v>
      </c>
      <c r="I510" s="20" t="n">
        <v>0.0585</v>
      </c>
      <c r="J510" s="20" t="n">
        <v>3455</v>
      </c>
    </row>
    <row r="511" ht="16.5" customHeight="1" s="17">
      <c r="B511" s="20" t="inlineStr">
        <is>
          <t>카페24</t>
        </is>
      </c>
      <c r="C511" s="20" t="inlineStr">
        <is>
          <t>고체향수</t>
        </is>
      </c>
      <c r="D511" s="20" t="inlineStr">
        <is>
          <t>솔리드퍼퓸 스페셜 기프트 세트제품 선택=Event 1솔리드퍼퓸 2종 set[40% 할인], 수량 선택=1개</t>
        </is>
      </c>
      <c r="E511" s="20" t="inlineStr">
        <is>
          <t>5월 프로모션 이그나이트+스테이포에버</t>
        </is>
      </c>
      <c r="F511" s="20" t="n">
        <v>210501</v>
      </c>
      <c r="G511" s="20">
        <f>B511&amp;C511&amp;D511&amp;F511</f>
        <v/>
      </c>
      <c r="H511" s="20" t="n">
        <v>50400</v>
      </c>
      <c r="I511" s="20" t="n">
        <v>0.0585</v>
      </c>
      <c r="J511" s="20" t="n">
        <v>7162</v>
      </c>
    </row>
    <row r="512" ht="16.5" customHeight="1" s="17">
      <c r="B512" s="20" t="inlineStr">
        <is>
          <t>카페24</t>
        </is>
      </c>
      <c r="C512" s="20" t="inlineStr">
        <is>
          <t>고체향수</t>
        </is>
      </c>
      <c r="D512" s="20" t="inlineStr">
        <is>
          <t>솔리드퍼퓸 스페셜 기프트 세트제품 선택=Event 1솔리드퍼퓸 2종 set[40% 할인], 수량 선택=2개</t>
        </is>
      </c>
      <c r="E512" s="20" t="inlineStr">
        <is>
          <t>5월 프로모션 이그나이트+스테이포에버 2 set</t>
        </is>
      </c>
      <c r="F512" s="20" t="n">
        <v>210501</v>
      </c>
      <c r="G512" s="20">
        <f>B512&amp;C512&amp;D512&amp;F512</f>
        <v/>
      </c>
      <c r="H512" s="20" t="n">
        <v>10800</v>
      </c>
      <c r="I512" s="20" t="n">
        <v>0.0585</v>
      </c>
      <c r="J512" s="20" t="n">
        <v>14324</v>
      </c>
    </row>
    <row r="513" ht="16.5" customHeight="1" s="17">
      <c r="B513" s="20" t="inlineStr">
        <is>
          <t>카페24</t>
        </is>
      </c>
      <c r="C513" s="20" t="inlineStr">
        <is>
          <t>고체향수</t>
        </is>
      </c>
      <c r="D513" s="20" t="inlineStr">
        <is>
          <t>솔리드퍼퓸 스페셜 기프트 세트제품 선택=Event 1솔리드퍼퓸 2종 set[40% 할인], 수량 선택=3개</t>
        </is>
      </c>
      <c r="E513" s="20" t="inlineStr">
        <is>
          <t>5월 프로모션 이그나이트+스테이포에버 3set</t>
        </is>
      </c>
      <c r="F513" s="20" t="n">
        <v>210501</v>
      </c>
      <c r="G513" s="20">
        <f>B513&amp;C513&amp;D513&amp;F513</f>
        <v/>
      </c>
      <c r="H513" s="20" t="n">
        <v>151200</v>
      </c>
      <c r="I513" s="20" t="n">
        <v>0.0585</v>
      </c>
      <c r="J513" s="20" t="n">
        <v>21486</v>
      </c>
    </row>
    <row r="514" ht="16.5" customHeight="1" s="17">
      <c r="B514" s="20" t="inlineStr">
        <is>
          <t>카페24</t>
        </is>
      </c>
      <c r="C514" s="20" t="inlineStr">
        <is>
          <t>고체향수</t>
        </is>
      </c>
      <c r="D514" s="20" t="inlineStr">
        <is>
          <t>솔리드퍼퓸 스페셜 기프트 세트제품 선택=Event 2✨스테이포에버 단품[35% 할인], 수량 선택=1개</t>
        </is>
      </c>
      <c r="E514" s="20" t="inlineStr">
        <is>
          <t>5월 프로모션 스테이포에버</t>
        </is>
      </c>
      <c r="F514" s="20" t="n">
        <v>210501</v>
      </c>
      <c r="G514" s="20">
        <f>B514&amp;C514&amp;D514&amp;F514</f>
        <v/>
      </c>
      <c r="H514" s="20" t="n">
        <v>27900</v>
      </c>
      <c r="I514" s="20" t="n">
        <v>0.0585</v>
      </c>
      <c r="J514" s="20" t="n">
        <v>3384</v>
      </c>
    </row>
    <row r="515" ht="16.5" customHeight="1" s="17">
      <c r="B515" s="20" t="inlineStr">
        <is>
          <t>카페24</t>
        </is>
      </c>
      <c r="C515" s="20" t="inlineStr">
        <is>
          <t>고체향수</t>
        </is>
      </c>
      <c r="D515" s="20" t="inlineStr">
        <is>
          <t>솔리드퍼퓸 스페셜 기프트 세트제품 선택=Event 2✨스테이포에버 단품[35% 할인], 수량 선택=2개</t>
        </is>
      </c>
      <c r="E515" s="20" t="inlineStr">
        <is>
          <t>5월 프로모션 스테이포에버 2set</t>
        </is>
      </c>
      <c r="F515" s="20" t="n">
        <v>210501</v>
      </c>
      <c r="G515" s="20">
        <f>B515&amp;C515&amp;D515&amp;F515</f>
        <v/>
      </c>
      <c r="H515" s="20" t="n">
        <v>55800</v>
      </c>
      <c r="I515" s="20" t="n">
        <v>0.0585</v>
      </c>
      <c r="J515" s="20" t="n">
        <v>6768</v>
      </c>
    </row>
    <row r="516" ht="16.5" customHeight="1" s="17">
      <c r="B516" s="20" t="inlineStr">
        <is>
          <t>카페24</t>
        </is>
      </c>
      <c r="C516" s="20" t="inlineStr">
        <is>
          <t>고체향수</t>
        </is>
      </c>
      <c r="D516" s="20" t="inlineStr">
        <is>
          <t>솔리드퍼퓸 스페셜 기프트 세트제품 선택=Event 2✨스테이포에버 단품[35% 할인], 수량 선택=3개</t>
        </is>
      </c>
      <c r="E516" s="20" t="inlineStr">
        <is>
          <t>5월 프로모션 스테이포에버 3set</t>
        </is>
      </c>
      <c r="F516" s="20" t="n">
        <v>210501</v>
      </c>
      <c r="G516" s="20">
        <f>B516&amp;C516&amp;D516&amp;F516</f>
        <v/>
      </c>
      <c r="H516" s="20" t="n">
        <v>83700</v>
      </c>
      <c r="I516" s="20" t="n">
        <v>0.0585</v>
      </c>
      <c r="J516" s="20" t="n">
        <v>10152</v>
      </c>
    </row>
    <row r="517" ht="16.5" customHeight="1" s="17">
      <c r="B517" s="20" t="inlineStr">
        <is>
          <t>카페24</t>
        </is>
      </c>
      <c r="C517" s="20" t="inlineStr">
        <is>
          <t>고체향수</t>
        </is>
      </c>
      <c r="D517" s="20" t="inlineStr">
        <is>
          <t>솔리드퍼퓸 스페셜 기프트 세트제품 선택=Event 2✨이그나이트 단품[35% 할인], 수량 선택=1개</t>
        </is>
      </c>
      <c r="E517" s="20" t="inlineStr">
        <is>
          <t>5월 프로모션 이그나이트</t>
        </is>
      </c>
      <c r="F517" s="20" t="n">
        <v>210501</v>
      </c>
      <c r="G517" s="20">
        <f>B517&amp;C517&amp;D517&amp;F517</f>
        <v/>
      </c>
      <c r="H517" s="20" t="n">
        <v>27900</v>
      </c>
      <c r="I517" s="20" t="n">
        <v>0.0585</v>
      </c>
      <c r="J517" s="20" t="n">
        <v>3455</v>
      </c>
    </row>
    <row r="518" ht="16.5" customHeight="1" s="17">
      <c r="B518" s="20" t="inlineStr">
        <is>
          <t>카페24</t>
        </is>
      </c>
      <c r="C518" s="20" t="inlineStr">
        <is>
          <t>고체향수</t>
        </is>
      </c>
      <c r="D518" s="20" t="inlineStr">
        <is>
          <t>솔리드퍼퓸 스페셜 기프트 세트제품 선택=Event 2✨이그나이트 단품[35% 할인], 수량 선택=2개</t>
        </is>
      </c>
      <c r="E518" s="20" t="inlineStr">
        <is>
          <t>5월 프로모션 이그나이트 2set</t>
        </is>
      </c>
      <c r="F518" s="20" t="n">
        <v>210501</v>
      </c>
      <c r="G518" s="20">
        <f>B518&amp;C518&amp;D518&amp;F518</f>
        <v/>
      </c>
      <c r="H518" s="20" t="n">
        <v>55800</v>
      </c>
      <c r="I518" s="20" t="n">
        <v>0.0585</v>
      </c>
      <c r="J518" s="20" t="n">
        <v>6910</v>
      </c>
    </row>
    <row r="519" ht="16.5" customHeight="1" s="17">
      <c r="B519" s="20" t="inlineStr">
        <is>
          <t>카페24</t>
        </is>
      </c>
      <c r="C519" s="20" t="inlineStr">
        <is>
          <t>고체향수</t>
        </is>
      </c>
      <c r="D519" s="20" t="inlineStr">
        <is>
          <t>솔리드퍼퓸 세트향=스테이포에버 + 이그나이트 커플세트(기프트 박스), 세트 선택=1 SET (28% OFF)</t>
        </is>
      </c>
      <c r="E519" s="20" t="inlineStr">
        <is>
          <t>이그나이트 + 스테이포에버(기프트 박스)</t>
        </is>
      </c>
      <c r="F519" s="20" t="n">
        <v>210501</v>
      </c>
      <c r="G519" s="20">
        <f>B519&amp;C519&amp;D519&amp;F519</f>
        <v/>
      </c>
      <c r="H519" s="20" t="n">
        <v>55800</v>
      </c>
      <c r="I519" s="20" t="n">
        <v>0.0585</v>
      </c>
      <c r="J519" s="20" t="n">
        <v>6351</v>
      </c>
    </row>
    <row r="520" ht="16.5" customFormat="1" customHeight="1" s="9">
      <c r="B520" s="20" t="inlineStr">
        <is>
          <t>카페24</t>
        </is>
      </c>
      <c r="C520" s="20" t="inlineStr">
        <is>
          <t>고체향수</t>
        </is>
      </c>
      <c r="D520" s="20" t="inlineStr">
        <is>
          <t>솔리드퍼퓸 세트향=스테이포에버 + 이그나이트 커플세트(기프트 박스), 세트 선택=2 SET (42% OFF)</t>
        </is>
      </c>
      <c r="E520" s="20" t="inlineStr">
        <is>
          <t>이그나이트 + 스테이포에버(기프트 박스) 2set</t>
        </is>
      </c>
      <c r="F520" s="20" t="n">
        <v>210501</v>
      </c>
      <c r="G520" s="20">
        <f>B520&amp;C520&amp;D520&amp;F520</f>
        <v/>
      </c>
      <c r="H520" s="20" t="n">
        <v>94800</v>
      </c>
      <c r="I520" s="20" t="n">
        <v>0.0585</v>
      </c>
      <c r="J520" s="20" t="n">
        <v>12702</v>
      </c>
      <c r="L520" s="10" t="n"/>
    </row>
    <row r="521" ht="16.5" customHeight="1" s="17">
      <c r="B521" s="20" t="inlineStr">
        <is>
          <t>카페24</t>
        </is>
      </c>
      <c r="C521" s="20" t="inlineStr">
        <is>
          <t>고체향수</t>
        </is>
      </c>
      <c r="D521" s="20" t="inlineStr">
        <is>
          <t>솔리드퍼퓸 세트향=스테이포에버 + 이그나이트 커플세트(기프트 박스), 수량 선택=1 SET (28% OFF)</t>
        </is>
      </c>
      <c r="E521" s="20" t="inlineStr">
        <is>
          <t>이그나이트 + 스테이포에버(기프트 박스)</t>
        </is>
      </c>
      <c r="F521" s="20" t="n">
        <v>210501</v>
      </c>
      <c r="G521" s="20">
        <f>B521&amp;C521&amp;D521&amp;F521</f>
        <v/>
      </c>
      <c r="H521" s="20" t="n">
        <v>55800</v>
      </c>
      <c r="I521" s="20" t="n">
        <v>0.0585</v>
      </c>
      <c r="J521" s="20" t="n">
        <v>6351</v>
      </c>
    </row>
    <row r="522" ht="16.5" customHeight="1" s="17">
      <c r="B522" s="20" t="inlineStr">
        <is>
          <t>카페24</t>
        </is>
      </c>
      <c r="C522" s="20" t="inlineStr">
        <is>
          <t>고체향수</t>
        </is>
      </c>
      <c r="D522" s="20" t="inlineStr">
        <is>
          <t>솔리드퍼퓸 세트향=스테이포에버 + 이그나이트 커플세트(기프트 박스), 수량 선택=2 SET (42% OFF)</t>
        </is>
      </c>
      <c r="E522" s="20" t="inlineStr">
        <is>
          <t>이그나이트 + 스테이포에버(기프트 박스) 2set</t>
        </is>
      </c>
      <c r="F522" s="20" t="n">
        <v>210501</v>
      </c>
      <c r="G522" s="20">
        <f>B522&amp;C522&amp;D522&amp;F522</f>
        <v/>
      </c>
      <c r="H522" s="20" t="n">
        <v>94800</v>
      </c>
      <c r="I522" s="20" t="n">
        <v>0.0585</v>
      </c>
      <c r="J522" s="20" t="n">
        <v>12702</v>
      </c>
    </row>
    <row r="523" ht="16.5" customHeight="1" s="17">
      <c r="B523" s="20" t="inlineStr">
        <is>
          <t>카페24</t>
        </is>
      </c>
      <c r="C523" s="20" t="inlineStr">
        <is>
          <t>고체향수</t>
        </is>
      </c>
      <c r="D523" s="20" t="inlineStr">
        <is>
          <t>솔리드퍼퓸 세트향=이그나이트 001 SOLID PERFUME, 수량 선택=1개</t>
        </is>
      </c>
      <c r="E523" s="20" t="inlineStr">
        <is>
          <t>이그나이트</t>
        </is>
      </c>
      <c r="F523" s="20" t="n">
        <v>210501</v>
      </c>
      <c r="G523" s="20">
        <f>B523&amp;C523&amp;D523&amp;F523</f>
        <v/>
      </c>
      <c r="H523" s="20" t="n">
        <v>34000</v>
      </c>
      <c r="I523" s="20" t="n">
        <v>0.0585</v>
      </c>
      <c r="J523" s="20" t="n">
        <v>2625</v>
      </c>
    </row>
    <row r="524" ht="16.5" customFormat="1" customHeight="1" s="20">
      <c r="B524" s="20" t="inlineStr">
        <is>
          <t>카페24</t>
        </is>
      </c>
      <c r="C524" s="20" t="inlineStr">
        <is>
          <t>고체향수</t>
        </is>
      </c>
      <c r="D524" s="20" t="inlineStr">
        <is>
          <t>솔리드퍼퓸 세트향=스테이포에버 002 SOLID PERFUME, 수량 선택=1개</t>
        </is>
      </c>
      <c r="E524" s="20" t="inlineStr">
        <is>
          <t>스테이포에버</t>
        </is>
      </c>
      <c r="F524" s="20" t="n">
        <v>210501</v>
      </c>
      <c r="G524" s="20">
        <f>B524&amp;C524&amp;D524&amp;F524</f>
        <v/>
      </c>
      <c r="H524" s="20" t="n">
        <v>34000</v>
      </c>
      <c r="I524" s="20" t="n">
        <v>0.0585</v>
      </c>
      <c r="J524" s="20" t="n">
        <v>2554</v>
      </c>
    </row>
    <row r="525" ht="16.5" customFormat="1" customHeight="1" s="20">
      <c r="B525" s="20" t="inlineStr">
        <is>
          <t>카페24</t>
        </is>
      </c>
      <c r="C525" s="20" t="inlineStr">
        <is>
          <t>고체향수</t>
        </is>
      </c>
      <c r="D525" s="20" t="inlineStr">
        <is>
          <t>솔리드퍼퓸 세트향=스테이포에버 002 SOLID PERFUME, 수량 선택=best 2개 (28% 할인)</t>
        </is>
      </c>
      <c r="E525" s="20" t="inlineStr">
        <is>
          <t>스테이포에버 2set</t>
        </is>
      </c>
      <c r="F525" s="20" t="n">
        <v>210501</v>
      </c>
      <c r="G525" s="20">
        <f>B525&amp;C525&amp;D525&amp;F525</f>
        <v/>
      </c>
      <c r="H525" s="20" t="n">
        <v>58800</v>
      </c>
      <c r="I525" s="20" t="n">
        <v>0.0585</v>
      </c>
      <c r="J525" s="20" t="n">
        <v>5108</v>
      </c>
    </row>
    <row r="526" ht="16.5" customFormat="1" customHeight="1" s="20"/>
    <row r="527" ht="16.5" customFormat="1" customHeight="1" s="20"/>
    <row r="528" ht="16.5" customFormat="1" customHeight="1" s="20"/>
    <row r="529" ht="16.5" customFormat="1" customHeight="1" s="20"/>
    <row r="530" ht="16.5" customFormat="1" customHeight="1" s="20"/>
    <row r="531" ht="16.5" customFormat="1" customHeight="1" s="20"/>
    <row r="532" ht="16.5" customFormat="1" customHeight="1" s="20"/>
    <row r="533" ht="16.5" customFormat="1" customHeight="1" s="20"/>
    <row r="534" ht="16.5" customFormat="1" customHeight="1" s="20"/>
    <row r="535" ht="16.5" customFormat="1" customHeight="1" s="20"/>
    <row r="536" ht="16.5" customFormat="1" customHeight="1" s="20"/>
    <row r="537" ht="16.5" customFormat="1" customHeight="1" s="20"/>
    <row r="538" ht="16.5" customFormat="1" customHeight="1" s="20"/>
    <row r="539" ht="16.5" customFormat="1" customHeight="1" s="20"/>
    <row r="540" ht="16.5" customFormat="1" customHeight="1" s="20"/>
    <row r="541" ht="16.5" customFormat="1" customHeight="1" s="20"/>
    <row r="542" ht="16.5" customFormat="1" customHeight="1" s="20"/>
    <row r="543" ht="16.5" customFormat="1" customHeight="1" s="20"/>
    <row r="544" ht="16.5" customFormat="1" customHeight="1" s="20"/>
    <row r="545" ht="16.5" customFormat="1" customHeight="1" s="20"/>
    <row r="546" ht="16.5" customFormat="1" customHeight="1" s="20"/>
    <row r="547" ht="16.5" customFormat="1" customHeight="1" s="20"/>
    <row r="548" ht="16.5" customHeight="1" s="17">
      <c r="B548" s="20" t="inlineStr">
        <is>
          <t>[승은 TEST 2] 스테이포에버_카드뉴스</t>
        </is>
      </c>
      <c r="C548" s="20" t="inlineStr">
        <is>
          <t>페이스북/인스타그램</t>
        </is>
      </c>
      <c r="D548" s="20" t="inlineStr">
        <is>
          <t>고체향수</t>
        </is>
      </c>
    </row>
    <row r="549" ht="16.5" customHeight="1" s="17">
      <c r="B549" s="20" t="inlineStr">
        <is>
          <t>[승은 TEST] 스테이포에버_카드뉴스</t>
        </is>
      </c>
      <c r="C549" s="20" t="inlineStr">
        <is>
          <t>페이스북/인스타그램</t>
        </is>
      </c>
      <c r="D549" s="20" t="inlineStr">
        <is>
          <t>고체향수</t>
        </is>
      </c>
    </row>
    <row r="550" ht="16.5" customHeight="1" s="17">
      <c r="B550" s="20" t="inlineStr">
        <is>
          <t>[테스트]아줌마</t>
        </is>
      </c>
      <c r="C550" s="20" t="inlineStr">
        <is>
          <t>페이스북/인스타그램</t>
        </is>
      </c>
      <c r="D550" s="20" t="inlineStr">
        <is>
          <t>고체향수</t>
        </is>
      </c>
    </row>
    <row r="551" ht="16.5" customHeight="1" s="17">
      <c r="B551" s="20" t="inlineStr">
        <is>
          <t>[키워드 확장 테스트]스테이포에버_이미지</t>
        </is>
      </c>
      <c r="C551" s="20" t="inlineStr">
        <is>
          <t>페이스북/인스타그램</t>
        </is>
      </c>
      <c r="D551" s="20" t="inlineStr">
        <is>
          <t>고체향수</t>
        </is>
      </c>
    </row>
    <row r="552" ht="16.5" customHeight="1" s="17">
      <c r="B552" s="20" t="inlineStr">
        <is>
          <t>[재입고]스테이포에버_이미지</t>
        </is>
      </c>
      <c r="C552" s="20" t="inlineStr">
        <is>
          <t>페이스북/인스타그램</t>
        </is>
      </c>
      <c r="D552" s="20" t="inlineStr">
        <is>
          <t>고체향수</t>
        </is>
      </c>
    </row>
    <row r="553" ht="16.5" customHeight="1" s="17">
      <c r="B553" s="20" t="inlineStr">
        <is>
          <t>[승무원]숏폼_영상</t>
        </is>
      </c>
      <c r="C553" s="20" t="inlineStr">
        <is>
          <t>페이스북/인스타그램</t>
        </is>
      </c>
      <c r="D553" s="20" t="inlineStr">
        <is>
          <t>고체향수</t>
        </is>
      </c>
    </row>
    <row r="554" ht="16.5" customHeight="1" s="17">
      <c r="B554" s="20" t="inlineStr">
        <is>
          <t>[재입고]스테이포에버_영상</t>
        </is>
      </c>
      <c r="C554" s="20" t="inlineStr">
        <is>
          <t>페이스북/인스타그램</t>
        </is>
      </c>
      <c r="D554" s="20" t="inlineStr">
        <is>
          <t>고체향수</t>
        </is>
      </c>
    </row>
    <row r="555" ht="16.5" customHeight="1" s="17">
      <c r="B555" s="20" t="inlineStr">
        <is>
          <t>[필라테스]스테이포에버_카드뉴스</t>
        </is>
      </c>
      <c r="C555" s="20" t="inlineStr">
        <is>
          <t>페이스북/인스타그램</t>
        </is>
      </c>
      <c r="D555" s="20" t="inlineStr">
        <is>
          <t>고체향수</t>
        </is>
      </c>
    </row>
    <row r="556" ht="16.5" customHeight="1" s="17">
      <c r="B556" s="20" t="inlineStr">
        <is>
          <t>[젊줌마]스테이포에버_영상</t>
        </is>
      </c>
      <c r="C556" s="20" t="inlineStr">
        <is>
          <t>페이스북/인스타그램</t>
        </is>
      </c>
      <c r="D556" s="20" t="inlineStr">
        <is>
          <t>고체향수</t>
        </is>
      </c>
    </row>
    <row r="557" ht="16.5" customHeight="1" s="17">
      <c r="B557" s="20" t="inlineStr">
        <is>
          <t>[이성소구]스테이포에버_영상</t>
        </is>
      </c>
      <c r="C557" s="20" t="inlineStr">
        <is>
          <t>페이스북/인스타그램</t>
        </is>
      </c>
      <c r="D557" s="20" t="inlineStr">
        <is>
          <t>고체향수</t>
        </is>
      </c>
    </row>
    <row r="558" ht="16.5" customHeight="1" s="17">
      <c r="B558" s="20" t="inlineStr">
        <is>
          <t>[승무원]2019년썰 카드뉴스+ 향묘사_영상</t>
        </is>
      </c>
      <c r="C558" s="20" t="inlineStr">
        <is>
          <t>페이스북/인스타그램</t>
        </is>
      </c>
      <c r="D558" s="20" t="inlineStr">
        <is>
          <t>고체향수</t>
        </is>
      </c>
    </row>
    <row r="559" ht="16.5" customHeight="1" s="17">
      <c r="B559" s="20" t="inlineStr">
        <is>
          <t>[승무원어피]스테이포에버_이미지</t>
        </is>
      </c>
      <c r="C559" s="20" t="inlineStr">
        <is>
          <t>페이스북/인스타그램</t>
        </is>
      </c>
      <c r="D559" s="20" t="inlineStr">
        <is>
          <t>고체향수</t>
        </is>
      </c>
    </row>
    <row r="560" ht="16.5" customHeight="1" s="17">
      <c r="B560" s="20" t="inlineStr">
        <is>
          <t>[다현]스테이포에버_이미지</t>
        </is>
      </c>
      <c r="C560" s="20" t="inlineStr">
        <is>
          <t>페이스북/인스타그램</t>
        </is>
      </c>
      <c r="D560" s="20" t="inlineStr">
        <is>
          <t>고체향수</t>
        </is>
      </c>
    </row>
    <row r="561" ht="16.5" customHeight="1" s="17">
      <c r="B561" s="20" t="inlineStr">
        <is>
          <t>[승무원]스테이포에버_카드뉴스</t>
        </is>
      </c>
      <c r="C561" s="20" t="inlineStr">
        <is>
          <t>페이스북/인스타그램</t>
        </is>
      </c>
      <c r="D561" s="20" t="inlineStr">
        <is>
          <t>고체향수</t>
        </is>
      </c>
    </row>
    <row r="562" ht="16.5" customHeight="1" s="17">
      <c r="B562" s="20" t="inlineStr">
        <is>
          <t>[후기타입]스테이포에버_영상</t>
        </is>
      </c>
      <c r="C562" s="20" t="inlineStr">
        <is>
          <t>페이스북/인스타그램</t>
        </is>
      </c>
      <c r="D562" s="20" t="inlineStr">
        <is>
          <t>고체향수</t>
        </is>
      </c>
    </row>
    <row r="563" ht="16.5" customHeight="1" s="17">
      <c r="B563" s="20" t="inlineStr">
        <is>
          <t>전환_스테이포에버</t>
        </is>
      </c>
      <c r="C563" s="20" t="inlineStr">
        <is>
          <t>페이스북/인스타그램</t>
        </is>
      </c>
      <c r="D563" s="20" t="inlineStr">
        <is>
          <t>고체향수</t>
        </is>
      </c>
    </row>
    <row r="564" ht="16.5" customHeight="1" s="17">
      <c r="B564" s="20" t="inlineStr">
        <is>
          <t>[권태기커플]스테이포에버_영상</t>
        </is>
      </c>
      <c r="C564" s="20" t="inlineStr">
        <is>
          <t>페이스북/인스타그램</t>
        </is>
      </c>
      <c r="D564" s="20" t="inlineStr">
        <is>
          <t>고체향수</t>
        </is>
      </c>
    </row>
    <row r="565" ht="16.5" customHeight="1" s="17">
      <c r="B565" s="20" t="inlineStr">
        <is>
          <t>[성민 TEST] 스테이포에버_이미지</t>
        </is>
      </c>
      <c r="C565" s="20" t="inlineStr">
        <is>
          <t>페이스북/인스타그램</t>
        </is>
      </c>
      <c r="D565" s="20" t="inlineStr">
        <is>
          <t>고체향수</t>
        </is>
      </c>
    </row>
    <row r="566" ht="16.5" customHeight="1" s="17">
      <c r="B566" s="20" t="inlineStr">
        <is>
          <t>[승무원 2] 스테이포에버_카드뉴스</t>
        </is>
      </c>
      <c r="C566" s="20" t="inlineStr">
        <is>
          <t>페이스북/인스타그램</t>
        </is>
      </c>
      <c r="D566" s="20" t="inlineStr">
        <is>
          <t>고체향수</t>
        </is>
      </c>
    </row>
    <row r="567" ht="16.5" customHeight="1" s="17">
      <c r="B567" s="20" t="inlineStr">
        <is>
          <t>[다현 TEST] 스테이포에버_유즈모먼트</t>
        </is>
      </c>
      <c r="C567" s="20" t="inlineStr">
        <is>
          <t>페이스북/인스타그램</t>
        </is>
      </c>
      <c r="D567" s="20" t="inlineStr">
        <is>
          <t>고체향수</t>
        </is>
      </c>
    </row>
    <row r="568" ht="16.5" customHeight="1" s="17">
      <c r="B568" s="20" t="inlineStr">
        <is>
          <t>[승무원]수지큐2차활용_스테이포에버_이미지</t>
        </is>
      </c>
      <c r="C568" s="20" t="inlineStr">
        <is>
          <t>페이스북/인스타그램</t>
        </is>
      </c>
      <c r="D568" s="20" t="inlineStr">
        <is>
          <t>고체향수</t>
        </is>
      </c>
    </row>
    <row r="569" ht="16.5" customHeight="1" s="17">
      <c r="B569" s="20" t="inlineStr">
        <is>
          <t>[유튜버 수지큐]스테이포에버_영상</t>
        </is>
      </c>
      <c r="C569" s="20" t="inlineStr">
        <is>
          <t>페이스북/인스타그램</t>
        </is>
      </c>
      <c r="D569" s="20" t="inlineStr">
        <is>
          <t>고체향수</t>
        </is>
      </c>
    </row>
    <row r="570" ht="16.5" customHeight="1" s="17">
      <c r="B570" s="20" t="inlineStr">
        <is>
          <t>[성민 TEST]선물세트_이미지</t>
        </is>
      </c>
      <c r="C570" s="20" t="inlineStr">
        <is>
          <t>페이스북/인스타그램</t>
        </is>
      </c>
      <c r="D570" s="20" t="inlineStr">
        <is>
          <t>고체향수</t>
        </is>
      </c>
    </row>
    <row r="571" ht="16.5" customHeight="1" s="17">
      <c r="B571" s="20" t="inlineStr">
        <is>
          <t>[성민 TEST] 선물세트_이미지</t>
        </is>
      </c>
      <c r="C571" s="20" t="inlineStr">
        <is>
          <t>페이스북/인스타그램</t>
        </is>
      </c>
      <c r="D571" s="20" t="inlineStr">
        <is>
          <t>고체향수</t>
        </is>
      </c>
    </row>
    <row r="572" ht="16.5" customHeight="1" s="17">
      <c r="B572" s="20" t="inlineStr">
        <is>
          <t>[유튜버 수지큐]스테이포에버_카드뉴스</t>
        </is>
      </c>
      <c r="C572" s="20" t="inlineStr">
        <is>
          <t>페이스북/인스타그램</t>
        </is>
      </c>
      <c r="D572" s="20" t="inlineStr">
        <is>
          <t>고체향수</t>
        </is>
      </c>
    </row>
    <row r="573" ht="16.5" customHeight="1" s="17">
      <c r="B573" s="20" t="inlineStr">
        <is>
          <t>[다양한 키워드] 스테이포에버_이미지</t>
        </is>
      </c>
      <c r="C573" s="20" t="inlineStr">
        <is>
          <t>페이스북/인스타그램</t>
        </is>
      </c>
      <c r="D573" s="20" t="inlineStr">
        <is>
          <t>고체향수</t>
        </is>
      </c>
    </row>
    <row r="574" ht="16.5" customHeight="1" s="17">
      <c r="B574" s="20" t="inlineStr">
        <is>
          <t>[승무원]틱톡커_영상</t>
        </is>
      </c>
      <c r="C574" s="20" t="inlineStr">
        <is>
          <t>페이스북/인스타그램</t>
        </is>
      </c>
      <c r="D574" s="20" t="inlineStr">
        <is>
          <t>고체향수</t>
        </is>
      </c>
    </row>
    <row r="575" ht="16.5" customHeight="1" s="17">
      <c r="B575" s="20" t="inlineStr">
        <is>
          <t>[승무원] 유튜브재편집_스테이포에버_영상</t>
        </is>
      </c>
      <c r="C575" s="20" t="inlineStr">
        <is>
          <t>페이스북/인스타그램</t>
        </is>
      </c>
      <c r="D575" s="20" t="inlineStr">
        <is>
          <t>고체향수</t>
        </is>
      </c>
    </row>
    <row r="576" ht="16.5" customHeight="1" s="17">
      <c r="B576" s="20" t="inlineStr">
        <is>
          <t>[승희 TEST] 스테이포에버_이미지</t>
        </is>
      </c>
      <c r="C576" s="20" t="inlineStr">
        <is>
          <t>페이스북/인스타그램</t>
        </is>
      </c>
      <c r="D576" s="20" t="inlineStr">
        <is>
          <t>고체향수</t>
        </is>
      </c>
    </row>
    <row r="577" ht="16.5" customHeight="1" s="17">
      <c r="B577" s="20" t="inlineStr">
        <is>
          <t>[올리브영] 스테이포에버_영상</t>
        </is>
      </c>
      <c r="C577" s="20" t="inlineStr">
        <is>
          <t>페이스북/인스타그램</t>
        </is>
      </c>
      <c r="D577" s="20" t="inlineStr">
        <is>
          <t>고체향수</t>
        </is>
      </c>
    </row>
    <row r="578" ht="16.5" customHeight="1" s="17">
      <c r="B578" s="20" t="inlineStr">
        <is>
          <t>[올리브영] 스테이포에버_이미지</t>
        </is>
      </c>
      <c r="C578" s="20" t="inlineStr">
        <is>
          <t>페이스북/인스타그램</t>
        </is>
      </c>
      <c r="D578" s="20" t="inlineStr">
        <is>
          <t>고체향수</t>
        </is>
      </c>
    </row>
    <row r="579" ht="16.5" customHeight="1" s="17">
      <c r="B579" s="20" t="inlineStr">
        <is>
          <t>[올리브영] 이그나이트_영상</t>
        </is>
      </c>
      <c r="C579" s="20" t="inlineStr">
        <is>
          <t>페이스북/인스타그램</t>
        </is>
      </c>
      <c r="D579" s="20" t="inlineStr">
        <is>
          <t>고체향수</t>
        </is>
      </c>
    </row>
    <row r="580" ht="16.5" customHeight="1" s="17">
      <c r="B580" s="20" t="inlineStr">
        <is>
          <t>[승무원]유튜브_스테이포에버_카드뉴스</t>
        </is>
      </c>
      <c r="C580" s="20" t="inlineStr">
        <is>
          <t>페이스북/인스타그램</t>
        </is>
      </c>
      <c r="D580" s="20" t="inlineStr">
        <is>
          <t>고체향수</t>
        </is>
      </c>
    </row>
    <row r="581" ht="16.5" customHeight="1" s="17">
      <c r="B581" s="20" t="inlineStr">
        <is>
          <t>[올리브영] 스테이포에버_카드뉴스</t>
        </is>
      </c>
      <c r="C581" s="20" t="inlineStr">
        <is>
          <t>페이스북/인스타그램</t>
        </is>
      </c>
      <c r="D581" s="20" t="inlineStr">
        <is>
          <t>고체향수</t>
        </is>
      </c>
    </row>
    <row r="582" ht="16.5" customHeight="1" s="17">
      <c r="B582" s="20" t="inlineStr">
        <is>
          <t>[승무원 면세점] 스테이포에버_카드뉴스</t>
        </is>
      </c>
      <c r="C582" s="20" t="inlineStr">
        <is>
          <t>페이스북/인스타그램</t>
        </is>
      </c>
      <c r="D582" s="20" t="inlineStr">
        <is>
          <t>고체향수</t>
        </is>
      </c>
    </row>
    <row r="583" ht="16.5" customHeight="1" s="17">
      <c r="B583" s="20" t="inlineStr">
        <is>
          <t>[승은 TEST] 스테이포에버</t>
        </is>
      </c>
      <c r="C583" s="20" t="inlineStr">
        <is>
          <t>페이스북/인스타그램</t>
        </is>
      </c>
      <c r="D583" s="20" t="inlineStr">
        <is>
          <t>고체향수</t>
        </is>
      </c>
    </row>
    <row r="584" ht="16.5" customHeight="1" s="17">
      <c r="B584" s="20" t="inlineStr">
        <is>
          <t>[수현 TEST] 솔리드퍼퓸_이미지</t>
        </is>
      </c>
      <c r="C584" s="20" t="inlineStr">
        <is>
          <t>페이스북/인스타그램</t>
        </is>
      </c>
      <c r="D584" s="20" t="inlineStr">
        <is>
          <t>고체향수</t>
        </is>
      </c>
    </row>
    <row r="585" ht="16.5" customHeight="1" s="17">
      <c r="B585" s="20" t="inlineStr">
        <is>
          <t>[성민 TEST] 솔리드퍼퓸_이미지</t>
        </is>
      </c>
      <c r="C585" s="20" t="inlineStr">
        <is>
          <t>페이스북/인스타그램</t>
        </is>
      </c>
      <c r="D585" s="20" t="inlineStr">
        <is>
          <t>고체향수</t>
        </is>
      </c>
    </row>
    <row r="586" ht="16.5" customHeight="1" s="17">
      <c r="B586" s="20" t="inlineStr">
        <is>
          <t>[승희 TEST] 솔리드퍼퓸_이미지</t>
        </is>
      </c>
      <c r="C586" s="20" t="inlineStr">
        <is>
          <t>페이스북/인스타그램</t>
        </is>
      </c>
      <c r="D586" s="20" t="inlineStr">
        <is>
          <t>고체향수</t>
        </is>
      </c>
    </row>
    <row r="587" ht="16.5" customHeight="1" s="17">
      <c r="B587" s="20" t="inlineStr">
        <is>
          <t>[카페알바] 스테이포에버_카드뉴스</t>
        </is>
      </c>
      <c r="C587" s="20" t="inlineStr">
        <is>
          <t>페이스북/인스타그램</t>
        </is>
      </c>
      <c r="D587" s="20" t="inlineStr">
        <is>
          <t>고체향수</t>
        </is>
      </c>
    </row>
    <row r="588" ht="16.5" customHeight="1" s="17">
      <c r="B588" s="20" t="inlineStr">
        <is>
          <t>[아줌마]스테이포에버_이미지</t>
        </is>
      </c>
      <c r="C588" s="20" t="inlineStr">
        <is>
          <t>페이스북/인스타그램</t>
        </is>
      </c>
      <c r="D588" s="20" t="inlineStr">
        <is>
          <t>고체향수</t>
        </is>
      </c>
    </row>
    <row r="589" ht="16.5" customHeight="1" s="17">
      <c r="B589" s="20" t="inlineStr">
        <is>
          <t>[비누향 인연] 스테이포에버_카드뉴스</t>
        </is>
      </c>
      <c r="C589" s="20" t="inlineStr">
        <is>
          <t>페이스북/인스타그램</t>
        </is>
      </c>
      <c r="D589" s="20" t="inlineStr">
        <is>
          <t>고체향수</t>
        </is>
      </c>
    </row>
    <row r="590" ht="16.5" customHeight="1" s="17">
      <c r="B590" s="20" t="inlineStr">
        <is>
          <t>[비누향 인연_유즈모먼트] 스테이포에버_영상</t>
        </is>
      </c>
      <c r="C590" s="20" t="inlineStr">
        <is>
          <t>페이스북/인스타그램</t>
        </is>
      </c>
      <c r="D590" s="20" t="inlineStr">
        <is>
          <t>고체향수</t>
        </is>
      </c>
    </row>
    <row r="591" ht="16.5" customHeight="1" s="17">
      <c r="B591" s="20" t="inlineStr">
        <is>
          <t>[비누향 덕후] 스테이포에버_카드뉴스</t>
        </is>
      </c>
      <c r="C591" s="20" t="inlineStr">
        <is>
          <t>페이스북/인스타그램</t>
        </is>
      </c>
      <c r="D591" s="20" t="inlineStr">
        <is>
          <t>고체향수</t>
        </is>
      </c>
    </row>
    <row r="592" ht="16.5" customHeight="1" s="17">
      <c r="B592" s="20" t="inlineStr">
        <is>
          <t>[수현 TEST] 스테이포에버_카드뉴스</t>
        </is>
      </c>
      <c r="C592" s="20" t="inlineStr">
        <is>
          <t>페이스북/인스타그램</t>
        </is>
      </c>
      <c r="D592" s="20" t="inlineStr">
        <is>
          <t>고체향수</t>
        </is>
      </c>
    </row>
    <row r="593" ht="16.5" customHeight="1" s="17">
      <c r="B593" s="20" t="inlineStr">
        <is>
          <t>[5월 프로모션] 솔리드퍼퓸_영상</t>
        </is>
      </c>
      <c r="C593" s="20" t="inlineStr">
        <is>
          <t>페이스북/인스타그램</t>
        </is>
      </c>
      <c r="D593" s="20" t="inlineStr">
        <is>
          <t>고체향수</t>
        </is>
      </c>
    </row>
    <row r="594" ht="16.5" customHeight="1" s="17">
      <c r="B594" s="20" t="inlineStr">
        <is>
          <t>[5월 프로모션] 솔리드퍼퓸_이미지&amp;카드뉴스</t>
        </is>
      </c>
      <c r="C594" s="20" t="inlineStr">
        <is>
          <t>페이스북/인스타그램</t>
        </is>
      </c>
      <c r="D594" s="20" t="inlineStr">
        <is>
          <t>고체향수</t>
        </is>
      </c>
    </row>
    <row r="595" ht="16.5" customHeight="1" s="17">
      <c r="B595" s="20" t="inlineStr">
        <is>
          <t>[수현 TEST] 스테이포에버_이미지</t>
        </is>
      </c>
      <c r="C595" s="20" t="inlineStr">
        <is>
          <t>페이스북/인스타그램</t>
        </is>
      </c>
      <c r="D595" s="20" t="inlineStr">
        <is>
          <t>고체향수</t>
        </is>
      </c>
    </row>
    <row r="596" ht="16.5" customFormat="1" customHeight="1" s="20">
      <c r="B596" s="20" t="inlineStr">
        <is>
          <t>[수현 TEST] 이그나이트_이미지</t>
        </is>
      </c>
      <c r="C596" s="20" t="inlineStr">
        <is>
          <t>페이스북/인스타그램</t>
        </is>
      </c>
      <c r="D596" s="20" t="inlineStr">
        <is>
          <t>고체향수</t>
        </is>
      </c>
    </row>
    <row r="597" ht="16.5" customFormat="1" customHeight="1" s="20">
      <c r="B597" s="20" t="inlineStr">
        <is>
          <t>[승희 TEST] 솔리드퍼퓸_카드뉴스</t>
        </is>
      </c>
      <c r="C597" s="20" t="inlineStr">
        <is>
          <t>페이스북/인스타그램</t>
        </is>
      </c>
      <c r="D597" s="20" t="inlineStr">
        <is>
          <t>고체향수</t>
        </is>
      </c>
    </row>
    <row r="598" ht="16.5" customFormat="1" customHeight="1" s="20">
      <c r="B598" s="20" t="inlineStr">
        <is>
          <t>[카페알바 라방] 스테이포에버_영상</t>
        </is>
      </c>
      <c r="C598" s="20" t="inlineStr">
        <is>
          <t>페이스북/인스타그램</t>
        </is>
      </c>
      <c r="D598" s="20" t="inlineStr">
        <is>
          <t>고체향수</t>
        </is>
      </c>
    </row>
    <row r="599" ht="16.5" customFormat="1" customHeight="1" s="20">
      <c r="B599" s="20" t="inlineStr">
        <is>
          <t>[올리브영 알바] 스테이포에버_카드뉴스</t>
        </is>
      </c>
      <c r="C599" s="20" t="inlineStr">
        <is>
          <t>페이스북/인스타그램</t>
        </is>
      </c>
      <c r="D599" s="20" t="inlineStr">
        <is>
          <t>고체향수</t>
        </is>
      </c>
    </row>
    <row r="600" ht="16.5" customFormat="1" customHeight="1" s="20">
      <c r="B600" s="20" t="inlineStr">
        <is>
          <t>[승무원] 유튜브재편집_스테이포에버_영상_2</t>
        </is>
      </c>
      <c r="C600" s="20" t="inlineStr">
        <is>
          <t>페이스북/인스타그램</t>
        </is>
      </c>
      <c r="D600" s="20" t="inlineStr">
        <is>
          <t>고체향수</t>
        </is>
      </c>
    </row>
    <row r="601" ht="16.5" customFormat="1" customHeight="1" s="20">
      <c r="B601" s="20" t="inlineStr">
        <is>
          <t>[승희] 솔리드퍼퓸_이미지</t>
        </is>
      </c>
      <c r="C601" s="20" t="inlineStr">
        <is>
          <t>페이스북/인스타그램</t>
        </is>
      </c>
      <c r="D601" s="20" t="inlineStr">
        <is>
          <t>고체향수</t>
        </is>
      </c>
    </row>
    <row r="602" ht="16.5" customFormat="1" customHeight="1" s="20">
      <c r="B602" s="20" t="inlineStr">
        <is>
          <t>[승은] 스테이포에버_이미지</t>
        </is>
      </c>
      <c r="C602" s="20" t="inlineStr">
        <is>
          <t>페이스북/인스타그램</t>
        </is>
      </c>
      <c r="D602" s="20" t="inlineStr">
        <is>
          <t>고체향수</t>
        </is>
      </c>
    </row>
    <row r="603" ht="16.5" customFormat="1" customHeight="1" s="20">
      <c r="B603" s="20" t="inlineStr">
        <is>
          <t>[비누향 인연] 유튜브재편집_스테이포에버_영상</t>
        </is>
      </c>
      <c r="C603" s="20" t="inlineStr">
        <is>
          <t>페이스북/인스타그램</t>
        </is>
      </c>
      <c r="D603" s="20" t="inlineStr">
        <is>
          <t>고체향수</t>
        </is>
      </c>
    </row>
    <row r="604" ht="16.5" customFormat="1" customHeight="1" s="20"/>
    <row r="605" ht="16.5" customFormat="1" customHeight="1" s="20"/>
    <row r="606" ht="16.5" customFormat="1" customHeight="1" s="20"/>
    <row r="607" ht="16.5" customFormat="1" customHeight="1" s="20"/>
    <row r="608" ht="16.5" customFormat="1" customHeight="1" s="20"/>
    <row r="609" ht="16.5" customFormat="1" customHeight="1" s="20"/>
    <row r="610" ht="16.5" customFormat="1" customHeight="1" s="20"/>
    <row r="611" ht="16.5" customFormat="1" customHeight="1" s="20"/>
    <row r="612" ht="16.5" customFormat="1" customHeight="1" s="20"/>
    <row r="613" ht="16.5" customFormat="1" customHeight="1" s="20"/>
    <row r="614" ht="16.5" customFormat="1" customHeight="1" s="20"/>
    <row r="615" ht="16.5" customFormat="1" customHeight="1" s="20"/>
    <row r="616" ht="16.5" customFormat="1" customHeight="1" s="20"/>
    <row r="617" ht="16.5" customFormat="1" customHeight="1" s="20"/>
    <row r="618" ht="16.5" customFormat="1" customHeight="1" s="20"/>
    <row r="619" ht="16.5" customFormat="1" customHeight="1" s="20"/>
    <row r="620" ht="16.5" customFormat="1" customHeight="1" s="20"/>
    <row r="621" ht="16.5" customFormat="1" customHeight="1" s="20"/>
    <row r="622" ht="16.5" customFormat="1" customHeight="1" s="20"/>
    <row r="623" ht="16.5" customFormat="1" customHeight="1" s="20"/>
    <row r="624" ht="16.5" customHeight="1" s="17">
      <c r="B624" s="20" t="inlineStr">
        <is>
          <t>동영상캠페인_승무원_2019년썰</t>
        </is>
      </c>
      <c r="C624" s="20" t="inlineStr">
        <is>
          <t>유튜브 광고</t>
        </is>
      </c>
      <c r="D624" s="20" t="inlineStr">
        <is>
          <t>고체향수</t>
        </is>
      </c>
    </row>
    <row r="625" ht="16.5" customHeight="1" s="17">
      <c r="B625" s="20" t="inlineStr">
        <is>
          <t>웹사이트 트래픽 서치</t>
        </is>
      </c>
      <c r="C625" s="20" t="inlineStr">
        <is>
          <t>유튜브 광고</t>
        </is>
      </c>
      <c r="D625" s="20" t="inlineStr">
        <is>
          <t>고체향수</t>
        </is>
      </c>
    </row>
    <row r="626" ht="16.5" customHeight="1" s="17">
      <c r="B626" s="20" t="inlineStr">
        <is>
          <t>동영상캠페인_승무원_보이는 라디오</t>
        </is>
      </c>
      <c r="C626" s="20" t="inlineStr">
        <is>
          <t>유튜브 광고</t>
        </is>
      </c>
      <c r="D626" s="20" t="inlineStr">
        <is>
          <t>고체향수</t>
        </is>
      </c>
    </row>
    <row r="627" ht="16.5" customHeight="1" s="17">
      <c r="B627" s="20" t="inlineStr">
        <is>
          <t>"디스커버리 배너_승무원,할인_리마케팅"</t>
        </is>
      </c>
      <c r="C627" s="20" t="inlineStr">
        <is>
          <t>유튜브 광고</t>
        </is>
      </c>
      <c r="D627" s="20" t="inlineStr">
        <is>
          <t>고체향수</t>
        </is>
      </c>
    </row>
    <row r="628" ht="16.5" customHeight="1" s="17">
      <c r="B628" s="20" t="inlineStr">
        <is>
          <t>동영상캠페인_승무원_써니스카이</t>
        </is>
      </c>
      <c r="C628" s="20" t="inlineStr">
        <is>
          <t>유튜브 광고</t>
        </is>
      </c>
      <c r="D628" s="20" t="inlineStr">
        <is>
          <t>고체향수</t>
        </is>
      </c>
    </row>
    <row r="629" ht="16.5" customHeight="1" s="17">
      <c r="B629" s="20" t="inlineStr">
        <is>
          <t>동영상캠페인_필라테스_자기관리</t>
        </is>
      </c>
      <c r="C629" s="20" t="inlineStr">
        <is>
          <t>유튜브 광고</t>
        </is>
      </c>
      <c r="D629" s="20" t="inlineStr">
        <is>
          <t>고체향수</t>
        </is>
      </c>
    </row>
    <row r="630" ht="16.5" customHeight="1" s="17">
      <c r="B630" s="20" t="inlineStr">
        <is>
          <t>동영상캠페인_승무원_비누향 나는 승무원에게</t>
        </is>
      </c>
      <c r="C630" s="20" t="inlineStr">
        <is>
          <t>유튜브 광고</t>
        </is>
      </c>
      <c r="D630" s="20" t="inlineStr">
        <is>
          <t>고체향수</t>
        </is>
      </c>
    </row>
    <row r="631" ht="16.5" customHeight="1" s="17">
      <c r="B631" s="20" t="inlineStr">
        <is>
          <t>동영상캠페인_유즈모먼트_2차</t>
        </is>
      </c>
      <c r="C631" s="20" t="inlineStr">
        <is>
          <t>유튜브 광고</t>
        </is>
      </c>
      <c r="D631" s="20" t="inlineStr">
        <is>
          <t>고체향수</t>
        </is>
      </c>
    </row>
    <row r="632" ht="16.5" customHeight="1" s="17">
      <c r="B632" s="20" t="inlineStr">
        <is>
          <t>동영상캠페인_승무원_2019년썰(25일, cpa 30000)</t>
        </is>
      </c>
      <c r="C632" s="20" t="inlineStr">
        <is>
          <t>유튜브 광고</t>
        </is>
      </c>
      <c r="D632" s="20" t="inlineStr">
        <is>
          <t>고체향수</t>
        </is>
      </c>
    </row>
    <row r="633" ht="16.5" customHeight="1" s="17">
      <c r="B633" s="20" t="inlineStr">
        <is>
          <t>동영상캠페인_무드1</t>
        </is>
      </c>
      <c r="C633" s="20" t="inlineStr">
        <is>
          <t>유튜브 광고</t>
        </is>
      </c>
      <c r="D633" s="20" t="inlineStr">
        <is>
          <t>고체향수</t>
        </is>
      </c>
    </row>
    <row r="634" ht="16.5" customHeight="1" s="17">
      <c r="B634" s="20" t="inlineStr">
        <is>
          <t>동영상캠페인_필라테스_자기관리(CPA)</t>
        </is>
      </c>
      <c r="C634" s="20" t="inlineStr">
        <is>
          <t>유튜브 광고</t>
        </is>
      </c>
      <c r="D634" s="20" t="inlineStr">
        <is>
          <t>고체향수</t>
        </is>
      </c>
    </row>
    <row r="635" ht="16.5" customHeight="1" s="17">
      <c r="B635" s="20" t="inlineStr">
        <is>
          <t>동영상캠페인_유즈모먼트_2차_30대 여성 회사원</t>
        </is>
      </c>
      <c r="C635" s="20" t="inlineStr">
        <is>
          <t>유튜브 광고</t>
        </is>
      </c>
      <c r="D635" s="20" t="inlineStr">
        <is>
          <t>고체향수</t>
        </is>
      </c>
    </row>
    <row r="636" ht="16.5" customHeight="1" s="17">
      <c r="B636" s="20" t="inlineStr">
        <is>
          <t>동영상캠페인_무드1</t>
        </is>
      </c>
      <c r="C636" s="20" t="inlineStr">
        <is>
          <t>유튜브 광고</t>
        </is>
      </c>
      <c r="D636" s="20" t="inlineStr">
        <is>
          <t>고체향수</t>
        </is>
      </c>
    </row>
    <row r="637" ht="16.5" customHeight="1" s="17">
      <c r="B637" s="20" t="inlineStr">
        <is>
          <t>동영상캠페인_승무원_2019년썰(25일, cpa 30000)</t>
        </is>
      </c>
      <c r="C637" s="20" t="inlineStr">
        <is>
          <t>유튜브 광고</t>
        </is>
      </c>
      <c r="D637" s="20" t="inlineStr">
        <is>
          <t>고체향수</t>
        </is>
      </c>
    </row>
    <row r="638" ht="16.5" customHeight="1" s="17">
      <c r="B638" s="20" t="inlineStr">
        <is>
          <t>동영상캠페인_승무원_2019년썰(타겟 cpa)</t>
        </is>
      </c>
      <c r="C638" s="20" t="inlineStr">
        <is>
          <t>유튜브 광고</t>
        </is>
      </c>
      <c r="D638" s="20" t="inlineStr">
        <is>
          <t>고체향수</t>
        </is>
      </c>
    </row>
    <row r="639" ht="16.5" customHeight="1" s="17">
      <c r="B639" s="20" t="inlineStr">
        <is>
          <t>동영상캠페인_필라테스_자기관리(타겟 cpa)</t>
        </is>
      </c>
      <c r="C639" s="20" t="inlineStr">
        <is>
          <t>유튜브 광고</t>
        </is>
      </c>
      <c r="D639" s="20" t="inlineStr">
        <is>
          <t>고체향수</t>
        </is>
      </c>
    </row>
    <row r="640" ht="16.5" customHeight="1" s="17">
      <c r="B640" s="20" t="inlineStr">
        <is>
          <t>동영상캠페인_승무원_비누향 나는 승무원에게(타겟 cpa)</t>
        </is>
      </c>
      <c r="C640" s="20" t="inlineStr">
        <is>
          <t>유튜브 광고</t>
        </is>
      </c>
      <c r="D640" s="20" t="inlineStr">
        <is>
          <t>고체향수</t>
        </is>
      </c>
    </row>
    <row r="641" ht="16.5" customHeight="1" s="17">
      <c r="B641" s="20" t="inlineStr">
        <is>
          <t>동영상캠페인_유즈모먼트_2차_30대 여성 회사원(타겟 cpa)</t>
        </is>
      </c>
      <c r="C641" s="20" t="inlineStr">
        <is>
          <t>유튜브 광고</t>
        </is>
      </c>
      <c r="D641" s="20" t="inlineStr">
        <is>
          <t>고체향수</t>
        </is>
      </c>
    </row>
    <row r="642" ht="16.5" customHeight="1" s="17">
      <c r="B642" s="20" t="inlineStr">
        <is>
          <t>동영상캠페인_유즈모먼트_조향사 친구</t>
        </is>
      </c>
      <c r="C642" s="20" t="inlineStr">
        <is>
          <t>유튜브 광고</t>
        </is>
      </c>
      <c r="D642" s="20" t="inlineStr">
        <is>
          <t>고체향수</t>
        </is>
      </c>
    </row>
    <row r="643" ht="16.5" customHeight="1" s="17">
      <c r="B643" s="20" t="inlineStr">
        <is>
          <t>동영상캠페인_유즈모먼트_사춘기 딸 2차</t>
        </is>
      </c>
      <c r="C643" s="20" t="inlineStr">
        <is>
          <t>유튜브 광고</t>
        </is>
      </c>
      <c r="D643" s="20" t="inlineStr">
        <is>
          <t>고체향수</t>
        </is>
      </c>
    </row>
    <row r="644" ht="16.5" customHeight="1" s="17">
      <c r="B644" s="20" t="inlineStr">
        <is>
          <t>동영상캠페인_승무원_2019년썰(cpa)</t>
        </is>
      </c>
      <c r="C644" s="20" t="inlineStr">
        <is>
          <t>유튜브 광고</t>
        </is>
      </c>
      <c r="D644" s="20" t="inlineStr">
        <is>
          <t>고체향수</t>
        </is>
      </c>
    </row>
    <row r="645" ht="16.5" customHeight="1" s="17">
      <c r="B645" s="20" t="inlineStr">
        <is>
          <t>동영상캠페인_승무원_보이는 라디오(cpa)</t>
        </is>
      </c>
      <c r="C645" s="20" t="inlineStr">
        <is>
          <t>유튜브 광고</t>
        </is>
      </c>
      <c r="D645" s="20" t="inlineStr">
        <is>
          <t>고체향수</t>
        </is>
      </c>
    </row>
    <row r="646" ht="16.5" customHeight="1" s="17">
      <c r="B646" s="20" t="inlineStr">
        <is>
          <t>동영상캠페인_승무원_비누향 나는 승무원에게(cpa)</t>
        </is>
      </c>
      <c r="C646" s="20" t="inlineStr">
        <is>
          <t>유튜브 광고</t>
        </is>
      </c>
      <c r="D646" s="20" t="inlineStr">
        <is>
          <t>고체향수</t>
        </is>
      </c>
    </row>
    <row r="647" ht="16.5" customHeight="1" s="17">
      <c r="B647" s="20" t="inlineStr">
        <is>
          <t>동영상캠페인_유즈모먼트_2차_30대 여성 회사원(cpa)</t>
        </is>
      </c>
      <c r="C647" s="20" t="inlineStr">
        <is>
          <t>유튜브 광고</t>
        </is>
      </c>
      <c r="D647" s="20" t="inlineStr">
        <is>
          <t>고체향수</t>
        </is>
      </c>
    </row>
    <row r="648" ht="16.5" customHeight="1" s="17">
      <c r="B648" s="20" t="inlineStr">
        <is>
          <t>동영상캠페인_유즈모먼트_조향사 친구(cpa)</t>
        </is>
      </c>
      <c r="C648" s="20" t="inlineStr">
        <is>
          <t>유튜브 광고</t>
        </is>
      </c>
      <c r="D648" s="20" t="inlineStr">
        <is>
          <t>고체향수</t>
        </is>
      </c>
    </row>
    <row r="649" ht="16.5" customHeight="1" s="17">
      <c r="B649" s="20" t="inlineStr">
        <is>
          <t>동영상 캠페인_유튜버 수지큐 2차활용</t>
        </is>
      </c>
      <c r="C649" s="20" t="inlineStr">
        <is>
          <t>유튜브 광고</t>
        </is>
      </c>
      <c r="D649" s="20" t="inlineStr">
        <is>
          <t>고체향수</t>
        </is>
      </c>
    </row>
    <row r="650" ht="16.5" customHeight="1" s="17">
      <c r="B650" s="20" t="inlineStr">
        <is>
          <t>동영상캠페인_유즈모먼트_4화_강한향대신</t>
        </is>
      </c>
      <c r="C650" s="20" t="inlineStr">
        <is>
          <t>유튜브 광고</t>
        </is>
      </c>
      <c r="D650" s="20" t="inlineStr">
        <is>
          <t>고체향수</t>
        </is>
      </c>
    </row>
    <row r="651" ht="16.5" customHeight="1" s="17">
      <c r="B651" s="20" t="inlineStr">
        <is>
          <t>[5화자] 동영상 캠페인_커리어임팩트</t>
        </is>
      </c>
      <c r="C651" s="20" t="inlineStr">
        <is>
          <t>유튜브 광고</t>
        </is>
      </c>
      <c r="D651" s="20" t="inlineStr">
        <is>
          <t>고체향수</t>
        </is>
      </c>
    </row>
    <row r="652" ht="16.5" customHeight="1" s="17">
      <c r="B652" s="20" t="inlineStr">
        <is>
          <t>[5화자] 동영상 캠페인_비행하고 여행하는 은선씨</t>
        </is>
      </c>
      <c r="C652" s="20" t="inlineStr">
        <is>
          <t>유튜브 광고</t>
        </is>
      </c>
      <c r="D652" s="20" t="inlineStr">
        <is>
          <t>고체향수</t>
        </is>
      </c>
    </row>
    <row r="653" ht="16.5" customHeight="1" s="17">
      <c r="B653" s="20" t="inlineStr">
        <is>
          <t>[5화자] 동영상 캠페인_벨라의 비행일기</t>
        </is>
      </c>
      <c r="C653" s="20" t="inlineStr">
        <is>
          <t>유튜브 광고</t>
        </is>
      </c>
      <c r="D653" s="20" t="inlineStr">
        <is>
          <t>고체향수</t>
        </is>
      </c>
    </row>
    <row r="654" ht="16.5" customHeight="1" s="17">
      <c r="B654" s="20" t="inlineStr">
        <is>
          <t>[5화자] 동영상 캠페인_비행하는 제니</t>
        </is>
      </c>
      <c r="C654" s="20" t="inlineStr">
        <is>
          <t>유튜브 광고</t>
        </is>
      </c>
      <c r="D654" s="20" t="inlineStr">
        <is>
          <t>고체향수</t>
        </is>
      </c>
    </row>
    <row r="655" ht="16.5" customHeight="1" s="17">
      <c r="B655" s="20" t="inlineStr">
        <is>
          <t>[5화자] 동영상 캠페인_스위트 플라이트</t>
        </is>
      </c>
      <c r="C655" s="20" t="inlineStr">
        <is>
          <t>유튜브 광고</t>
        </is>
      </c>
      <c r="D655" s="20" t="inlineStr">
        <is>
          <t>고체향수</t>
        </is>
      </c>
    </row>
    <row r="656" ht="16.5" customHeight="1" s="17">
      <c r="B656" s="20" t="inlineStr">
        <is>
          <t>동영상캠페인_승무원_승무원템</t>
        </is>
      </c>
      <c r="C656" s="20" t="inlineStr">
        <is>
          <t>유튜브 광고</t>
        </is>
      </c>
      <c r="D656" s="20" t="inlineStr">
        <is>
          <t>고체향수</t>
        </is>
      </c>
    </row>
    <row r="657" ht="16.5" customHeight="1" s="17">
      <c r="B657" s="20" t="inlineStr">
        <is>
          <t>[5화자 재편집] 승무원_벨라_면세점에서 천만원</t>
        </is>
      </c>
      <c r="C657" s="20" t="inlineStr">
        <is>
          <t>유튜브 광고</t>
        </is>
      </c>
      <c r="D657" s="20" t="inlineStr">
        <is>
          <t>고체향수</t>
        </is>
      </c>
    </row>
    <row r="658" ht="16.5" customHeight="1" s="17">
      <c r="B658" s="20" t="inlineStr">
        <is>
          <t>[5화자 재편집] 승무원_은선_커리어임팩트</t>
        </is>
      </c>
      <c r="C658" s="20" t="inlineStr">
        <is>
          <t>유튜브 광고</t>
        </is>
      </c>
      <c r="D658" s="20" t="inlineStr">
        <is>
          <t>고체향수</t>
        </is>
      </c>
    </row>
    <row r="659" ht="16.5" customHeight="1" s="17">
      <c r="B659" s="20" t="inlineStr">
        <is>
          <t>동영상캠페인_유즈모먼트_면세점뒤졌는데</t>
        </is>
      </c>
      <c r="C659" s="20" t="inlineStr">
        <is>
          <t>유튜브 광고</t>
        </is>
      </c>
      <c r="D659" s="20" t="inlineStr">
        <is>
          <t>고체향수</t>
        </is>
      </c>
    </row>
    <row r="660" ht="16.5" customHeight="1" s="17">
      <c r="B660" s="20" t="inlineStr">
        <is>
          <t>동영상 캠페인_유튜버 수지큐 2차활용_리마케팅</t>
        </is>
      </c>
      <c r="C660" s="20" t="inlineStr">
        <is>
          <t>유튜브 광고</t>
        </is>
      </c>
      <c r="D660" s="20" t="inlineStr">
        <is>
          <t>고체향수</t>
        </is>
      </c>
    </row>
    <row r="661" ht="16.5" customHeight="1" s="17">
      <c r="B661" s="20" t="inlineStr">
        <is>
          <t>동영상_유즈모먼트_06_비누향인연</t>
        </is>
      </c>
      <c r="C661" s="20" t="inlineStr">
        <is>
          <t>유튜브 광고</t>
        </is>
      </c>
      <c r="D661" s="20" t="inlineStr">
        <is>
          <t>고체향수</t>
        </is>
      </c>
    </row>
    <row r="662" ht="16.5" customHeight="1" s="17">
      <c r="B662" s="20" t="inlineStr">
        <is>
          <t>동영상_유즈모먼트_06_비누향인연(cpa)</t>
        </is>
      </c>
      <c r="C662" s="20" t="inlineStr">
        <is>
          <t>유튜브 광고</t>
        </is>
      </c>
      <c r="D662" s="20" t="inlineStr">
        <is>
          <t>고체향수</t>
        </is>
      </c>
    </row>
    <row r="663" ht="16.5" customHeight="1" s="17">
      <c r="B663" s="20" t="inlineStr">
        <is>
          <t>동영상캠페인_승무원_전직승무원</t>
        </is>
      </c>
      <c r="C663" s="20" t="inlineStr">
        <is>
          <t>유튜브 광고</t>
        </is>
      </c>
      <c r="D663" s="20" t="inlineStr">
        <is>
          <t>고체향수</t>
        </is>
      </c>
    </row>
    <row r="664" ht="16.5" customHeight="1" s="17">
      <c r="B664" s="20" t="inlineStr">
        <is>
          <t>동영상캠페인_파우치털기&amp;결혼썰</t>
        </is>
      </c>
      <c r="C664" s="20" t="inlineStr">
        <is>
          <t>유튜브 광고</t>
        </is>
      </c>
      <c r="D664" s="20" t="inlineStr">
        <is>
          <t>고체향수</t>
        </is>
      </c>
    </row>
    <row r="665" ht="16.5" customHeight="1" s="17"/>
    <row r="666" ht="16.5" customHeight="1" s="17"/>
    <row r="667" ht="16.5" customHeight="1" s="17"/>
    <row r="668" ht="16.5" customHeight="1" s="17"/>
    <row r="669" ht="16.5" customHeight="1" s="17"/>
    <row r="670" ht="16.5" customHeight="1" s="17"/>
    <row r="671" ht="16.5" customHeight="1" s="17"/>
    <row r="672" ht="16.5" customHeight="1" s="17"/>
    <row r="673" ht="16.5" customHeight="1" s="17"/>
    <row r="674" ht="16.5" customHeight="1" s="17"/>
    <row r="675" ht="16.5" customHeight="1" s="17"/>
    <row r="676" ht="16.5" customHeight="1" s="17"/>
    <row r="677" ht="16.5" customHeight="1" s="17"/>
    <row r="678" ht="16.5" customHeight="1" s="17"/>
    <row r="679" ht="16.5" customHeight="1" s="17"/>
    <row r="680" ht="16.5" customHeight="1" s="17">
      <c r="B680" s="20" t="inlineStr">
        <is>
          <t>쇼핑검색_고체향수</t>
        </is>
      </c>
      <c r="C680" s="20" t="inlineStr">
        <is>
          <t>네이버 쇼핑검색</t>
        </is>
      </c>
      <c r="D680" s="20" t="inlineStr">
        <is>
          <t>고체향수</t>
        </is>
      </c>
    </row>
    <row r="681" ht="16.5" customHeight="1" s="17">
      <c r="B681" s="20" t="inlineStr">
        <is>
          <t>쇼핑검색_고체향수세부키워드</t>
        </is>
      </c>
      <c r="C681" s="20" t="inlineStr">
        <is>
          <t>네이버 쇼핑검색</t>
        </is>
      </c>
      <c r="D681" s="20" t="inlineStr">
        <is>
          <t>고체향수</t>
        </is>
      </c>
    </row>
    <row r="682" ht="16.5" customHeight="1" s="17">
      <c r="B682" s="20" t="inlineStr">
        <is>
          <t>쇼핑검색_고체향수세부키워드2</t>
        </is>
      </c>
      <c r="C682" s="20" t="inlineStr">
        <is>
          <t>네이버 쇼핑검색</t>
        </is>
      </c>
      <c r="D682" s="20" t="inlineStr">
        <is>
          <t>고체향수</t>
        </is>
      </c>
    </row>
    <row r="683" ht="16.5" customHeight="1" s="17">
      <c r="B683" s="20" t="inlineStr">
        <is>
          <t>메인키워드</t>
        </is>
      </c>
      <c r="C683" s="20" t="inlineStr">
        <is>
          <t>네이버 쇼핑검색</t>
        </is>
      </c>
      <c r="D683" s="20" t="inlineStr">
        <is>
          <t>고체향수</t>
        </is>
      </c>
    </row>
    <row r="684" ht="16.5" customHeight="1" s="17">
      <c r="B684" s="20" t="inlineStr">
        <is>
          <t>세부키워드1</t>
        </is>
      </c>
      <c r="C684" s="20" t="inlineStr">
        <is>
          <t>네이버 쇼핑검색</t>
        </is>
      </c>
      <c r="D684" s="20" t="inlineStr">
        <is>
          <t>고체향수</t>
        </is>
      </c>
    </row>
    <row r="685" ht="16.5" customHeight="1" s="17">
      <c r="B685" s="20" t="inlineStr">
        <is>
          <t>세부키워드2</t>
        </is>
      </c>
      <c r="C685" s="20" t="inlineStr">
        <is>
          <t>네이버 쇼핑검색</t>
        </is>
      </c>
      <c r="D685" s="20" t="inlineStr">
        <is>
          <t>고체향수</t>
        </is>
      </c>
    </row>
    <row r="686" ht="16.5" customHeight="1" s="17">
      <c r="B686" s="20" t="inlineStr">
        <is>
          <t>세부키워드3</t>
        </is>
      </c>
      <c r="C686" s="20" t="inlineStr">
        <is>
          <t>네이버 쇼핑검색</t>
        </is>
      </c>
      <c r="D686" s="20" t="inlineStr">
        <is>
          <t>고체향수</t>
        </is>
      </c>
    </row>
    <row r="687" ht="16.5" customHeight="1" s="17"/>
    <row r="688" ht="16.5" customHeight="1" s="17">
      <c r="B688" s="20" t="inlineStr">
        <is>
          <t>모바일 브검</t>
        </is>
      </c>
      <c r="C688" s="20" t="inlineStr">
        <is>
          <t>네이버 브랜드검색</t>
        </is>
      </c>
      <c r="D688" s="20" t="inlineStr">
        <is>
          <t>브랜드</t>
        </is>
      </c>
    </row>
    <row r="689" ht="16.5" customHeight="1" s="17">
      <c r="B689" s="20" t="inlineStr">
        <is>
          <t>PC 브랜드검색</t>
        </is>
      </c>
      <c r="C689" s="20" t="inlineStr">
        <is>
          <t>네이버 브랜드검색</t>
        </is>
      </c>
      <c r="D689" s="20" t="inlineStr">
        <is>
          <t>브랜드</t>
        </is>
      </c>
    </row>
    <row r="690" ht="16.5" customHeight="1" s="17"/>
    <row r="691" ht="16.5" customHeight="1" s="17"/>
    <row r="692" ht="16.5" customHeight="1" s="17"/>
    <row r="693" ht="16.5" customHeight="1" s="17">
      <c r="B693" s="20" t="inlineStr">
        <is>
          <t>고체향수_승무원 어피_Npay 추적</t>
        </is>
      </c>
      <c r="C693" s="20" t="inlineStr">
        <is>
          <t>카카오 배너</t>
        </is>
      </c>
      <c r="D693" s="20" t="inlineStr">
        <is>
          <t>고체향수</t>
        </is>
      </c>
    </row>
    <row r="694" ht="16.5" customHeight="1" s="17">
      <c r="B694" s="20" t="inlineStr">
        <is>
          <t>고체향수_Npay 추적</t>
        </is>
      </c>
      <c r="C694" s="20" t="inlineStr">
        <is>
          <t>카카오 배너</t>
        </is>
      </c>
      <c r="D694" s="20" t="inlineStr">
        <is>
          <t>고체향수</t>
        </is>
      </c>
    </row>
    <row r="695" ht="16.5" customHeight="1" s="17">
      <c r="B695" s="20" t="inlineStr">
        <is>
          <t>비즈보드_5월프로모션_리타겟팅</t>
        </is>
      </c>
      <c r="C695" s="20" t="inlineStr">
        <is>
          <t>카카오 배너</t>
        </is>
      </c>
      <c r="D695" s="20" t="inlineStr">
        <is>
          <t>고체향수</t>
        </is>
      </c>
    </row>
    <row r="696" ht="16.5" customHeight="1" s="17"/>
    <row r="697" ht="16.5" customHeight="1" s="17"/>
    <row r="698" ht="16.5" customHeight="1" s="17">
      <c r="B698" s="20" t="inlineStr">
        <is>
          <t>검증</t>
        </is>
      </c>
      <c r="C698" s="20" t="inlineStr">
        <is>
          <t>네이버 배너</t>
        </is>
      </c>
      <c r="D698" s="20" t="inlineStr">
        <is>
          <t>고체향수</t>
        </is>
      </c>
    </row>
    <row r="699" ht="16.5" customHeight="1" s="17">
      <c r="B699" s="20" t="inlineStr">
        <is>
          <t>승무원 키워드</t>
        </is>
      </c>
      <c r="C699" s="20" t="inlineStr">
        <is>
          <t>네이버 배너</t>
        </is>
      </c>
      <c r="D699" s="20" t="inlineStr">
        <is>
          <t>고체향수</t>
        </is>
      </c>
    </row>
    <row r="700" ht="16.5" customHeight="1" s="17">
      <c r="B700" s="20" t="inlineStr">
        <is>
          <t>고체향수</t>
        </is>
      </c>
      <c r="C700" s="20" t="inlineStr">
        <is>
          <t>네이버 배너</t>
        </is>
      </c>
      <c r="D700" s="20" t="inlineStr">
        <is>
          <t>고체향수</t>
        </is>
      </c>
    </row>
    <row r="701" ht="16.5" customHeight="1" s="17">
      <c r="B701" s="20" t="inlineStr">
        <is>
          <t>고체향수_전환추적</t>
        </is>
      </c>
      <c r="C701" s="20" t="inlineStr">
        <is>
          <t>네이버 배너</t>
        </is>
      </c>
      <c r="D701" s="20" t="inlineStr">
        <is>
          <t>고체향수</t>
        </is>
      </c>
    </row>
  </sheetData>
  <autoFilter ref="B1:K321">
    <filterColumn colId="4">
      <filters>
        <filter val="210207"/>
      </filters>
    </filterColumn>
  </autoFilter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4"/>
  <sheetViews>
    <sheetView workbookViewId="0">
      <selection activeCell="F29" sqref="F29"/>
    </sheetView>
  </sheetViews>
  <sheetFormatPr baseColWidth="8" defaultRowHeight="17.4"/>
  <cols>
    <col width="12.3984375" bestFit="1" customWidth="1" style="17" min="1" max="1"/>
    <col width="13" bestFit="1" customWidth="1" style="17" min="2" max="12"/>
    <col width="14.59765625" bestFit="1" customWidth="1" style="17" min="13" max="13"/>
  </cols>
  <sheetData>
    <row r="3" ht="16.5" customHeight="1" s="17">
      <c r="A3" s="20" t="inlineStr">
        <is>
          <t>합계 : 판매액</t>
        </is>
      </c>
    </row>
    <row r="4" ht="16.5" customHeight="1" s="17">
      <c r="A4" s="20" t="e">
        <v>#N/A</v>
      </c>
    </row>
    <row r="5" ht="16.5" customHeight="1" s="17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B4:I37"/>
  <sheetViews>
    <sheetView showGridLines="0" zoomScale="85" zoomScaleNormal="85" workbookViewId="0">
      <selection activeCell="C7" sqref="C7:F7"/>
    </sheetView>
  </sheetViews>
  <sheetFormatPr baseColWidth="8" defaultRowHeight="17.4"/>
  <cols>
    <col width="12.5" bestFit="1" customWidth="1" style="17" min="2" max="3"/>
    <col width="12.59765625" bestFit="1" customWidth="1" style="17" min="4" max="4"/>
    <col width="8.59765625" bestFit="1" customWidth="1" style="17" min="5" max="5"/>
    <col width="11.296875" bestFit="1" customWidth="1" style="17" min="6" max="6"/>
    <col width="10.69921875" bestFit="1" customWidth="1" style="17" min="7" max="7"/>
    <col width="12.5" bestFit="1" customWidth="1" style="17" min="8" max="8"/>
    <col width="13.69921875" bestFit="1" customWidth="1" style="17" min="9" max="9"/>
    <col width="12.09765625" bestFit="1" customWidth="1" style="17" min="10" max="10"/>
    <col width="13.09765625" bestFit="1" customWidth="1" style="17" min="11" max="11"/>
    <col width="7.09765625" bestFit="1" customWidth="1" style="17" min="12" max="12"/>
    <col width="11.09765625" bestFit="1" customWidth="1" style="17" min="13" max="13"/>
    <col width="16.09765625" bestFit="1" customWidth="1" style="17" min="14" max="14"/>
    <col width="9.09765625" bestFit="1" customWidth="1" style="17" min="15" max="15"/>
    <col width="11.59765625" bestFit="1" customWidth="1" style="17" min="16" max="16"/>
    <col width="10.09765625" bestFit="1" customWidth="1" style="17" min="17" max="17"/>
  </cols>
  <sheetData>
    <row r="1" ht="16.5" customHeight="1" s="17"/>
    <row r="2" ht="16.5" customHeight="1" s="17"/>
    <row r="4" ht="16.5" customHeight="1" s="17">
      <c r="B4" s="1" t="inlineStr">
        <is>
          <t>합계 : 판매액</t>
        </is>
      </c>
      <c r="C4" s="1" t="inlineStr">
        <is>
          <t>열 레이블</t>
        </is>
      </c>
      <c r="D4" s="20" t="n"/>
      <c r="E4" s="20" t="n"/>
      <c r="F4" s="20" t="n"/>
      <c r="G4" s="20" t="n"/>
      <c r="H4" s="20" t="n"/>
      <c r="I4" s="20" t="n"/>
    </row>
    <row r="5" ht="16.5" customHeight="1" s="17">
      <c r="B5" s="1" t="inlineStr">
        <is>
          <t>행 레이블</t>
        </is>
      </c>
      <c r="C5" s="20" t="inlineStr">
        <is>
          <t>카페24</t>
        </is>
      </c>
      <c r="D5" s="20" t="inlineStr">
        <is>
          <t>스마트스토어</t>
        </is>
      </c>
      <c r="E5" s="20" t="inlineStr">
        <is>
          <t>W컨셉</t>
        </is>
      </c>
      <c r="F5" s="20" t="inlineStr">
        <is>
          <t>올리브영</t>
        </is>
      </c>
      <c r="G5" s="20" t="inlineStr">
        <is>
          <t>(비어 있음)</t>
        </is>
      </c>
      <c r="H5" s="20" t="inlineStr">
        <is>
          <t>총합계</t>
        </is>
      </c>
      <c r="I5" s="20" t="n"/>
    </row>
    <row r="6" ht="16.5" customHeight="1" s="17">
      <c r="B6" s="18" t="n">
        <v>44348</v>
      </c>
      <c r="C6" s="30" t="n">
        <v>19387400</v>
      </c>
      <c r="D6" s="30" t="n">
        <v>940000</v>
      </c>
      <c r="E6" s="30" t="n">
        <v>92800</v>
      </c>
      <c r="F6" s="30" t="n">
        <v>1127610</v>
      </c>
      <c r="G6" s="30" t="n"/>
      <c r="H6" s="30" t="n">
        <v>21547810</v>
      </c>
      <c r="I6" s="20" t="n"/>
    </row>
    <row r="7" ht="16.5" customHeight="1" s="17">
      <c r="B7" s="18" t="n">
        <v>44349</v>
      </c>
      <c r="C7" s="30" t="n">
        <v>16130200</v>
      </c>
      <c r="D7" s="30" t="n">
        <v>355600</v>
      </c>
      <c r="E7" s="30" t="n"/>
      <c r="F7" s="30" t="n">
        <v>2322540</v>
      </c>
      <c r="G7" s="30" t="n"/>
      <c r="H7" s="30" t="n">
        <v>18808340</v>
      </c>
      <c r="I7" s="20" t="n"/>
    </row>
    <row r="8" ht="16.5" customHeight="1" s="17">
      <c r="B8" s="4" t="inlineStr">
        <is>
          <t>총합계</t>
        </is>
      </c>
      <c r="C8" s="30" t="n">
        <v>35517600</v>
      </c>
      <c r="D8" s="30" t="n">
        <v>1295600</v>
      </c>
      <c r="E8" s="30" t="n">
        <v>92800</v>
      </c>
      <c r="F8" s="30" t="n">
        <v>3450150</v>
      </c>
      <c r="G8" s="30" t="n"/>
      <c r="H8" s="30" t="n">
        <v>40356150</v>
      </c>
      <c r="I8" s="20" t="n"/>
    </row>
    <row r="9" ht="16.5" customHeight="1" s="17">
      <c r="B9" s="20" t="n"/>
      <c r="C9" s="20" t="n"/>
      <c r="D9" s="20" t="n"/>
      <c r="E9" s="20" t="n"/>
      <c r="F9" s="20" t="n"/>
      <c r="G9" s="20" t="n"/>
      <c r="H9" s="20" t="n"/>
      <c r="I9" s="20" t="n"/>
    </row>
    <row r="10" ht="16.5" customHeight="1" s="17">
      <c r="B10" s="20" t="n"/>
      <c r="C10" s="20" t="n"/>
      <c r="D10" s="20" t="n"/>
      <c r="E10" s="20" t="n"/>
      <c r="F10" s="20" t="n"/>
      <c r="G10" s="20" t="n"/>
      <c r="H10" s="20" t="n"/>
      <c r="I10" s="20" t="n"/>
    </row>
    <row r="11" ht="16.5" customHeight="1" s="17">
      <c r="B11" s="20" t="n"/>
      <c r="C11" s="20" t="n"/>
      <c r="D11" s="20" t="n"/>
      <c r="E11" s="20" t="n"/>
      <c r="F11" s="20" t="n"/>
      <c r="G11" s="20" t="n"/>
      <c r="H11" s="20" t="n"/>
      <c r="I11" s="20" t="n"/>
    </row>
    <row r="12" ht="16.5" customHeight="1" s="17">
      <c r="B12" s="20" t="n"/>
      <c r="C12" s="20" t="n"/>
      <c r="D12" s="20" t="n"/>
      <c r="E12" s="20" t="n"/>
      <c r="F12" s="20" t="n"/>
      <c r="G12" s="20" t="n"/>
      <c r="H12" s="20" t="n"/>
      <c r="I12" s="20" t="n"/>
    </row>
    <row r="13" ht="16.5" customHeight="1" s="17">
      <c r="B13" s="20" t="n"/>
      <c r="C13" s="20" t="n"/>
      <c r="D13" s="20" t="n"/>
      <c r="E13" s="20" t="n"/>
      <c r="F13" s="20" t="n"/>
      <c r="G13" s="20" t="n"/>
      <c r="H13" s="20" t="n"/>
      <c r="I13" s="20" t="n"/>
    </row>
    <row r="14" ht="16.5" customHeight="1" s="17">
      <c r="B14" s="20" t="n"/>
      <c r="C14" s="20" t="n"/>
      <c r="D14" s="20" t="n"/>
      <c r="E14" s="20" t="n"/>
      <c r="F14" s="20" t="n"/>
      <c r="G14" s="20" t="n"/>
      <c r="H14" s="20" t="n"/>
      <c r="I14" s="20" t="n"/>
    </row>
    <row r="15" ht="16.5" customHeight="1" s="17">
      <c r="B15" s="20" t="n"/>
      <c r="C15" s="20" t="n"/>
      <c r="D15" s="20" t="n"/>
      <c r="E15" s="20" t="n"/>
      <c r="F15" s="20" t="n"/>
      <c r="G15" s="20" t="n"/>
      <c r="H15" s="20" t="n"/>
      <c r="I15" s="20" t="n"/>
    </row>
    <row r="16" ht="16.5" customHeight="1" s="17">
      <c r="B16" s="20" t="n"/>
      <c r="C16" s="20" t="n"/>
      <c r="D16" s="20" t="n"/>
      <c r="E16" s="20" t="n"/>
      <c r="F16" s="20" t="n"/>
      <c r="G16" s="20" t="n"/>
      <c r="H16" s="20" t="n"/>
      <c r="I16" s="20" t="n"/>
    </row>
    <row r="17" ht="16.5" customHeight="1" s="17">
      <c r="B17" s="20" t="n"/>
      <c r="C17" s="20" t="n"/>
      <c r="D17" s="20" t="n"/>
      <c r="E17" s="20" t="n"/>
      <c r="F17" s="20" t="n"/>
      <c r="G17" s="20" t="n"/>
      <c r="H17" s="20" t="n"/>
      <c r="I17" s="20" t="n"/>
    </row>
    <row r="18" ht="16.5" customHeight="1" s="17">
      <c r="B18" s="20" t="n"/>
      <c r="C18" s="20" t="n"/>
      <c r="D18" s="20" t="n"/>
      <c r="E18" s="20" t="n"/>
      <c r="F18" s="20" t="n"/>
      <c r="G18" s="20" t="n"/>
      <c r="H18" s="20" t="n"/>
      <c r="I18" s="20" t="n"/>
    </row>
    <row r="19" ht="16.5" customHeight="1" s="17">
      <c r="B19" s="20" t="n"/>
      <c r="C19" s="20" t="n"/>
      <c r="D19" s="20" t="n"/>
      <c r="E19" s="20" t="n"/>
      <c r="F19" s="20" t="n"/>
      <c r="G19" s="20" t="n"/>
      <c r="H19" s="20" t="n"/>
      <c r="I19" s="20" t="n"/>
    </row>
    <row r="20" ht="16.5" customHeight="1" s="17">
      <c r="B20" s="20" t="n"/>
      <c r="C20" s="20" t="n"/>
      <c r="D20" s="20" t="n"/>
      <c r="E20" s="20" t="n"/>
      <c r="F20" s="20" t="n"/>
      <c r="G20" s="20" t="n"/>
      <c r="H20" s="20" t="n"/>
      <c r="I20" s="20" t="n"/>
    </row>
    <row r="21" ht="16.5" customHeight="1" s="17">
      <c r="B21" s="20" t="n"/>
      <c r="C21" s="20" t="n"/>
      <c r="D21" s="20" t="n"/>
      <c r="E21" s="20" t="n"/>
      <c r="F21" s="20" t="n"/>
      <c r="G21" s="20" t="n"/>
      <c r="H21" s="20" t="n"/>
      <c r="I21" s="20" t="n"/>
    </row>
    <row r="22" ht="16.5" customHeight="1" s="17">
      <c r="B22" s="20" t="n"/>
      <c r="C22" s="20" t="n"/>
      <c r="D22" s="20" t="n"/>
      <c r="E22" s="20" t="n"/>
      <c r="F22" s="20" t="n"/>
      <c r="G22" s="20" t="n"/>
      <c r="H22" s="20" t="n"/>
      <c r="I22" s="20" t="n"/>
    </row>
    <row r="23" ht="16.5" customHeight="1" s="17">
      <c r="B23" s="20" t="n"/>
      <c r="C23" s="20" t="n"/>
      <c r="D23" s="20" t="n"/>
      <c r="E23" s="20" t="n"/>
      <c r="F23" s="20" t="n"/>
      <c r="G23" s="20" t="n"/>
      <c r="H23" s="20" t="n"/>
      <c r="I23" s="20" t="n"/>
    </row>
    <row r="24" ht="16.5" customHeight="1" s="17">
      <c r="B24" s="20" t="n"/>
      <c r="C24" s="20" t="n"/>
      <c r="D24" s="20" t="n"/>
      <c r="E24" s="20" t="n"/>
      <c r="F24" s="20" t="n"/>
      <c r="G24" s="20" t="n"/>
      <c r="H24" s="20" t="n"/>
      <c r="I24" s="20" t="n"/>
    </row>
    <row r="25" ht="16.5" customHeight="1" s="17">
      <c r="B25" s="20" t="n"/>
      <c r="C25" s="20" t="n"/>
      <c r="D25" s="20" t="n"/>
      <c r="E25" s="20" t="n"/>
      <c r="F25" s="20" t="n"/>
      <c r="G25" s="20" t="n"/>
      <c r="H25" s="20" t="n"/>
      <c r="I25" s="20" t="n"/>
    </row>
    <row r="26" ht="16.5" customHeight="1" s="17">
      <c r="B26" s="20" t="n"/>
      <c r="C26" s="20" t="n"/>
      <c r="D26" s="20" t="n"/>
      <c r="E26" s="20" t="n"/>
      <c r="F26" s="20" t="n"/>
      <c r="G26" s="20" t="n"/>
      <c r="H26" s="20" t="n"/>
      <c r="I26" s="20" t="n"/>
    </row>
    <row r="27" ht="16.5" customHeight="1" s="17">
      <c r="B27" s="20" t="n"/>
      <c r="C27" s="20" t="n"/>
      <c r="D27" s="20" t="n"/>
      <c r="E27" s="20" t="n"/>
      <c r="F27" s="20" t="n"/>
      <c r="G27" s="20" t="n"/>
      <c r="H27" s="20" t="n"/>
      <c r="I27" s="20" t="n"/>
    </row>
    <row r="28" ht="16.5" customHeight="1" s="17">
      <c r="B28" s="20" t="n"/>
      <c r="C28" s="20" t="n"/>
      <c r="D28" s="20" t="n"/>
      <c r="E28" s="20" t="n"/>
      <c r="F28" s="20" t="n"/>
      <c r="G28" s="20" t="n"/>
      <c r="H28" s="20" t="n"/>
      <c r="I28" s="20" t="n"/>
    </row>
    <row r="29" ht="16.5" customHeight="1" s="17"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 ht="16.5" customHeight="1" s="17">
      <c r="B30" s="20" t="n"/>
      <c r="C30" s="20" t="n"/>
      <c r="D30" s="20" t="n"/>
      <c r="E30" s="20" t="n"/>
      <c r="F30" s="20" t="n"/>
      <c r="G30" s="20" t="n"/>
      <c r="H30" s="20" t="n"/>
      <c r="I30" s="20" t="n"/>
    </row>
    <row r="31" ht="16.5" customHeight="1" s="17">
      <c r="B31" s="20" t="n"/>
      <c r="C31" s="20" t="n"/>
      <c r="D31" s="20" t="n"/>
      <c r="E31" s="20" t="n"/>
      <c r="F31" s="20" t="n"/>
      <c r="G31" s="20" t="n"/>
      <c r="H31" s="20" t="n"/>
      <c r="I31" s="20" t="n"/>
    </row>
    <row r="32" ht="16.5" customHeight="1" s="17">
      <c r="B32" s="20" t="n"/>
      <c r="C32" s="20" t="n"/>
      <c r="D32" s="20" t="n"/>
      <c r="E32" s="20" t="n"/>
      <c r="F32" s="20" t="n"/>
      <c r="G32" s="20" t="n"/>
      <c r="H32" s="20" t="n"/>
      <c r="I32" s="20" t="n"/>
    </row>
    <row r="33" ht="16.5" customHeight="1" s="17">
      <c r="B33" s="20" t="n"/>
      <c r="C33" s="20" t="n"/>
      <c r="D33" s="20" t="n"/>
      <c r="E33" s="20" t="n"/>
      <c r="F33" s="20" t="n"/>
      <c r="G33" s="20" t="n"/>
      <c r="H33" s="20" t="n"/>
      <c r="I33" s="20" t="n"/>
    </row>
    <row r="34" ht="16.5" customHeight="1" s="17">
      <c r="B34" s="20" t="n"/>
      <c r="C34" s="20" t="n"/>
      <c r="D34" s="20" t="n"/>
      <c r="E34" s="20" t="n"/>
      <c r="F34" s="20" t="n"/>
      <c r="G34" s="20" t="n"/>
      <c r="H34" s="20" t="n"/>
      <c r="I34" s="20" t="n"/>
    </row>
    <row r="35" ht="16.5" customHeight="1" s="17">
      <c r="B35" s="20" t="n"/>
      <c r="C35" s="20" t="n"/>
      <c r="D35" s="20" t="n"/>
      <c r="E35" s="20" t="n"/>
      <c r="F35" s="20" t="n"/>
      <c r="G35" s="20" t="n"/>
      <c r="H35" s="20" t="n"/>
      <c r="I35" s="20" t="n"/>
    </row>
    <row r="36" ht="16.5" customHeight="1" s="17">
      <c r="B36" s="20" t="n"/>
      <c r="C36" s="20" t="n"/>
      <c r="D36" s="20" t="n"/>
      <c r="E36" s="20" t="n"/>
      <c r="F36" s="20" t="n"/>
      <c r="G36" s="20" t="n"/>
      <c r="H36" s="20" t="n"/>
      <c r="I36" s="20" t="n"/>
    </row>
    <row r="37" ht="16.5" customHeight="1" s="17">
      <c r="B37" s="20" t="n"/>
      <c r="C37" s="20" t="n"/>
      <c r="D37" s="20" t="n"/>
      <c r="E37" s="20" t="n"/>
      <c r="F37" s="20" t="n"/>
      <c r="G37" s="20" t="n"/>
      <c r="H37" s="20" t="n"/>
      <c r="I37" s="20" t="n"/>
    </row>
    <row r="38" ht="16.5" customHeight="1" s="17"/>
    <row r="39" ht="16.5" customHeight="1" s="17"/>
    <row r="40" ht="16.5" customHeight="1" s="17"/>
    <row r="41" ht="16.5" customHeight="1" s="17"/>
    <row r="42" ht="16.5" customHeight="1" s="17"/>
    <row r="43" ht="16.5" customHeight="1" s="17"/>
    <row r="44" ht="16.5" customHeight="1" s="17"/>
    <row r="45" ht="16.5" customHeight="1" s="17"/>
    <row r="46" ht="16.5" customHeight="1" s="17"/>
    <row r="47" ht="16.5" customHeight="1" s="17"/>
    <row r="48" ht="16.5" customHeight="1" s="17"/>
    <row r="49" ht="16.5" customHeight="1" s="17"/>
    <row r="50" ht="16.5" customHeight="1" s="17"/>
    <row r="51" ht="16.5" customHeight="1" s="17"/>
    <row r="52" ht="16.5" customHeight="1" s="17"/>
    <row r="53" ht="16.5" customHeight="1" s="17"/>
    <row r="54" ht="16.5" customHeight="1" s="17"/>
    <row r="55" ht="16.5" customHeight="1" s="17"/>
    <row r="56" ht="16.5" customHeight="1" s="17"/>
    <row r="57" ht="16.5" customHeight="1" s="17"/>
    <row r="58" ht="16.5" customHeight="1" s="17"/>
    <row r="59" ht="16.5" customHeight="1" s="17"/>
    <row r="60" ht="16.5" customHeight="1" s="17"/>
    <row r="61" ht="16.5" customHeight="1" s="17"/>
    <row r="62" ht="16.5" customHeight="1" s="17"/>
    <row r="63" ht="16.5" customHeight="1" s="17"/>
    <row r="64" ht="16.5" customHeight="1" s="17"/>
    <row r="65" ht="16.5" customHeight="1" s="17"/>
    <row r="66" ht="16.5" customHeight="1" s="17"/>
    <row r="67" ht="16.5" customHeight="1" s="17"/>
    <row r="68" ht="16.5" customHeight="1" s="17"/>
    <row r="69" ht="16.5" customHeight="1" s="17"/>
    <row r="70" ht="16.5" customHeight="1" s="17"/>
    <row r="71" ht="16.5" customHeight="1" s="17"/>
    <row r="72" ht="16.5" customHeight="1" s="17"/>
    <row r="73" ht="16.5" customHeight="1" s="17"/>
    <row r="74" ht="16.5" customHeight="1" s="17"/>
    <row r="75" ht="16.5" customHeight="1" s="17"/>
    <row r="76" ht="16.5" customHeight="1" s="17"/>
    <row r="77" ht="16.5" customHeight="1" s="17"/>
    <row r="78" ht="16.5" customHeight="1" s="17"/>
    <row r="79" ht="16.5" customHeight="1" s="17"/>
    <row r="80" ht="16.5" customHeight="1" s="17"/>
    <row r="81" ht="16.5" customHeight="1" s="17"/>
    <row r="82" ht="16.5" customHeight="1" s="17"/>
    <row r="83" ht="16.5" customHeight="1" s="17"/>
    <row r="84" ht="16.5" customHeight="1" s="17"/>
    <row r="85" ht="16.5" customHeight="1" s="17"/>
    <row r="86" ht="16.5" customHeight="1" s="17"/>
    <row r="87" ht="16.5" customHeight="1" s="17"/>
    <row r="88" ht="16.5" customHeight="1" s="17"/>
    <row r="89" ht="16.5" customHeight="1" s="17"/>
    <row r="90" ht="16.5" customHeight="1" s="17"/>
    <row r="91" ht="16.5" customHeight="1" s="17"/>
    <row r="92" ht="16.5" customHeight="1" s="17"/>
    <row r="93" ht="16.5" customHeight="1" s="17"/>
    <row r="94" ht="16.5" customHeight="1" s="17"/>
    <row r="95" ht="16.5" customHeight="1" s="17"/>
    <row r="96" ht="16.5" customHeight="1" s="17"/>
    <row r="97" ht="16.5" customHeight="1" s="17"/>
    <row r="98" ht="16.5" customHeight="1" s="17"/>
    <row r="99" ht="16.5" customHeight="1" s="17"/>
    <row r="100" ht="16.5" customHeight="1" s="17"/>
    <row r="101" ht="16.5" customHeight="1" s="17"/>
    <row r="102" ht="16.5" customHeight="1" s="17"/>
    <row r="103" ht="16.5" customHeight="1" s="17"/>
    <row r="104" ht="16.5" customHeight="1" s="17"/>
    <row r="105" ht="16.5" customHeight="1" s="17"/>
    <row r="106" ht="16.5" customHeight="1" s="17"/>
    <row r="107" ht="16.5" customHeight="1" s="17"/>
    <row r="108" ht="16.5" customHeight="1" s="17"/>
    <row r="109" ht="16.5" customHeight="1" s="17"/>
    <row r="110" ht="16.5" customHeight="1" s="17"/>
    <row r="111" ht="16.5" customHeight="1" s="17"/>
    <row r="112" ht="16.5" customHeight="1" s="17"/>
    <row r="113" ht="16.5" customHeight="1" s="17"/>
    <row r="114" ht="16.5" customHeight="1" s="17"/>
    <row r="115" ht="16.5" customHeight="1" s="17"/>
    <row r="116" ht="16.5" customHeight="1" s="17"/>
    <row r="117" ht="16.5" customHeight="1" s="17"/>
    <row r="118" ht="16.5" customHeight="1" s="17"/>
    <row r="119" ht="16.5" customHeight="1" s="17"/>
    <row r="120" ht="16.5" customHeight="1" s="17"/>
    <row r="121" ht="16.5" customHeight="1" s="17"/>
    <row r="122" ht="16.5" customHeight="1" s="17"/>
    <row r="123" ht="16.5" customHeight="1" s="17"/>
    <row r="124" ht="16.5" customHeight="1" s="17"/>
    <row r="125" ht="16.5" customHeight="1" s="17"/>
    <row r="126" ht="16.5" customHeight="1" s="17"/>
    <row r="127" ht="16.5" customHeight="1" s="17"/>
    <row r="128" ht="16.5" customHeight="1" s="17"/>
    <row r="129" ht="16.5" customHeight="1" s="17"/>
    <row r="130" ht="16.5" customHeight="1" s="17"/>
    <row r="131" ht="16.5" customHeight="1" s="17"/>
    <row r="132" ht="16.5" customHeight="1" s="17"/>
    <row r="133" ht="16.5" customHeight="1" s="17"/>
    <row r="134" ht="16.5" customHeight="1" s="17"/>
    <row r="135" ht="16.5" customHeight="1" s="17"/>
    <row r="136" ht="16.5" customHeight="1" s="17"/>
    <row r="137" ht="16.5" customHeight="1" s="17"/>
    <row r="138" ht="16.5" customHeight="1" s="17"/>
    <row r="139" ht="16.5" customHeight="1" s="17"/>
    <row r="140" ht="16.5" customHeight="1" s="17"/>
    <row r="141" ht="16.5" customHeight="1" s="17"/>
    <row r="142" ht="16.5" customHeight="1" s="17"/>
    <row r="143" ht="16.5" customHeight="1" s="17"/>
    <row r="144" ht="16.5" customHeight="1" s="17"/>
    <row r="145" ht="16.5" customHeight="1" s="17"/>
    <row r="146" ht="16.5" customHeight="1" s="17"/>
    <row r="147" ht="16.5" customHeight="1" s="17"/>
    <row r="148" ht="16.5" customHeight="1" s="17"/>
    <row r="149" ht="16.5" customHeight="1" s="17"/>
    <row r="150" ht="16.5" customHeight="1" s="17"/>
    <row r="151" ht="16.5" customHeight="1" s="17"/>
    <row r="152" ht="16.5" customHeight="1" s="17"/>
    <row r="153" ht="16.5" customHeight="1" s="17"/>
    <row r="154" ht="16.5" customHeight="1" s="17"/>
    <row r="155" ht="16.5" customHeight="1" s="17"/>
    <row r="156" ht="16.5" customHeight="1" s="17"/>
    <row r="157" ht="16.5" customHeight="1" s="17"/>
    <row r="158" ht="16.5" customHeight="1" s="17"/>
    <row r="159" ht="16.5" customHeight="1" s="17"/>
    <row r="160" ht="16.5" customHeight="1" s="17"/>
    <row r="161" ht="16.5" customHeight="1" s="17"/>
    <row r="162" ht="16.5" customHeight="1" s="17"/>
    <row r="163" ht="16.5" customHeight="1" s="17"/>
    <row r="164" ht="16.5" customHeight="1" s="17"/>
    <row r="165" ht="16.5" customHeight="1" s="17"/>
    <row r="166" ht="16.5" customHeight="1" s="17"/>
    <row r="167" ht="16.5" customHeight="1" s="17"/>
    <row r="168" ht="16.5" customHeight="1" s="17"/>
    <row r="169" ht="16.5" customHeight="1" s="17"/>
    <row r="170" ht="16.5" customHeight="1" s="17"/>
    <row r="171" ht="16.5" customHeight="1" s="17"/>
    <row r="172" ht="16.5" customHeight="1" s="17"/>
    <row r="173" ht="16.5" customHeight="1" s="17"/>
    <row r="174" ht="16.5" customHeight="1" s="17"/>
    <row r="175" ht="16.5" customHeight="1" s="17"/>
    <row r="176" ht="16.5" customHeight="1" s="17"/>
    <row r="177" ht="16.5" customHeight="1" s="17"/>
    <row r="178" ht="16.5" customHeight="1" s="17"/>
    <row r="179" ht="16.5" customHeight="1" s="17"/>
    <row r="180" ht="16.5" customHeight="1" s="17"/>
    <row r="181" ht="16.5" customHeight="1" s="17"/>
    <row r="182" ht="16.5" customHeight="1" s="17"/>
    <row r="183" ht="16.5" customHeight="1" s="17"/>
    <row r="184" ht="16.5" customHeight="1" s="17"/>
    <row r="185" ht="16.5" customHeight="1" s="17"/>
    <row r="186" ht="16.5" customHeight="1" s="17"/>
    <row r="187" ht="16.5" customHeight="1" s="17"/>
    <row r="188" ht="16.5" customHeight="1" s="17"/>
    <row r="189" ht="16.5" customHeight="1" s="17"/>
    <row r="190" ht="16.5" customHeight="1" s="17"/>
    <row r="191" ht="16.5" customHeight="1" s="17"/>
    <row r="192" ht="16.5" customHeight="1" s="17"/>
    <row r="193" ht="16.5" customHeight="1" s="17"/>
    <row r="194" ht="16.5" customHeight="1" s="17"/>
    <row r="195" ht="16.5" customHeight="1" s="17"/>
    <row r="196" ht="16.5" customHeight="1" s="17"/>
    <row r="197" ht="16.5" customHeight="1" s="17"/>
    <row r="198" ht="16.5" customHeight="1" s="17"/>
    <row r="199" ht="16.5" customHeight="1" s="17"/>
    <row r="200" ht="16.5" customHeight="1" s="17"/>
    <row r="201" ht="16.5" customHeight="1" s="17"/>
    <row r="202" ht="16.5" customHeight="1" s="17"/>
    <row r="203" ht="16.5" customHeight="1" s="17"/>
    <row r="204" ht="16.5" customHeight="1" s="17"/>
    <row r="205" ht="16.5" customHeight="1" s="17"/>
    <row r="206" ht="16.5" customHeight="1" s="17"/>
    <row r="207" ht="16.5" customHeight="1" s="17"/>
    <row r="208" ht="16.5" customHeight="1" s="17"/>
    <row r="209" ht="16.5" customHeight="1" s="17"/>
    <row r="210" ht="16.5" customHeight="1" s="17"/>
    <row r="211" ht="16.5" customHeight="1" s="17"/>
    <row r="212" ht="16.5" customHeight="1" s="17"/>
    <row r="213" ht="16.5" customHeight="1" s="17"/>
    <row r="214" ht="16.5" customHeight="1" s="17"/>
    <row r="215" ht="16.5" customHeight="1" s="17"/>
    <row r="216" ht="16.5" customHeight="1" s="17"/>
    <row r="217" ht="16.5" customHeight="1" s="17"/>
    <row r="218" ht="16.5" customHeight="1" s="17"/>
    <row r="219" ht="16.5" customHeight="1" s="17"/>
    <row r="220" ht="16.5" customHeight="1" s="17"/>
    <row r="221" ht="16.5" customHeight="1" s="17"/>
    <row r="222" ht="16.5" customHeight="1" s="17"/>
    <row r="223" ht="16.5" customHeight="1" s="17"/>
    <row r="224" ht="16.5" customHeight="1" s="17"/>
    <row r="225" ht="16.5" customHeight="1" s="17"/>
    <row r="226" ht="16.5" customHeight="1" s="17"/>
    <row r="227" ht="16.5" customHeight="1" s="17"/>
    <row r="228" ht="16.5" customHeight="1" s="17"/>
    <row r="229" ht="16.5" customHeight="1" s="17"/>
    <row r="230" ht="16.5" customHeight="1" s="17"/>
    <row r="231" ht="16.5" customHeight="1" s="17"/>
    <row r="232" ht="16.5" customHeight="1" s="17"/>
    <row r="233" ht="16.5" customHeight="1" s="17"/>
    <row r="234" ht="16.5" customHeight="1" s="17"/>
    <row r="235" ht="16.5" customHeight="1" s="17"/>
    <row r="236" ht="16.5" customHeight="1" s="17"/>
    <row r="237" ht="16.5" customHeight="1" s="17"/>
    <row r="238" ht="16.5" customHeight="1" s="17"/>
    <row r="239" ht="16.5" customHeight="1" s="17"/>
    <row r="240" ht="16.5" customHeight="1" s="17"/>
    <row r="241" ht="16.5" customHeight="1" s="17"/>
    <row r="242" ht="16.5" customHeight="1" s="17"/>
    <row r="243" ht="16.5" customHeight="1" s="17"/>
    <row r="244" ht="16.5" customHeight="1" s="17"/>
    <row r="245" ht="16.5" customHeight="1" s="17"/>
    <row r="246" ht="16.5" customHeight="1" s="17"/>
    <row r="247" ht="16.5" customHeight="1" s="17"/>
    <row r="248" ht="16.5" customHeight="1" s="17"/>
    <row r="249" ht="16.5" customHeight="1" s="17"/>
    <row r="250" ht="16.5" customHeight="1" s="17"/>
    <row r="251" ht="16.5" customHeight="1" s="17"/>
    <row r="252" ht="16.5" customHeight="1" s="17"/>
    <row r="253" ht="16.5" customHeight="1" s="17"/>
    <row r="254" ht="16.5" customHeight="1" s="17"/>
    <row r="255" ht="16.5" customHeight="1" s="17"/>
    <row r="256" ht="16.5" customHeight="1" s="17"/>
    <row r="257" ht="16.5" customHeight="1" s="17"/>
    <row r="258" ht="16.5" customHeight="1" s="17"/>
    <row r="259" ht="16.5" customHeight="1" s="17"/>
    <row r="260" ht="16.5" customHeight="1" s="17"/>
    <row r="261" ht="16.5" customHeight="1" s="17"/>
    <row r="262" ht="16.5" customHeight="1" s="17"/>
    <row r="263" ht="16.5" customHeight="1" s="17"/>
    <row r="264" ht="16.5" customHeight="1" s="17"/>
    <row r="265" ht="16.5" customHeight="1" s="17"/>
    <row r="266" ht="16.5" customHeight="1" s="17"/>
    <row r="267" ht="16.5" customHeight="1" s="17"/>
    <row r="268" ht="16.5" customHeight="1" s="17"/>
    <row r="269" ht="16.5" customHeight="1" s="17"/>
    <row r="270" ht="16.5" customHeight="1" s="17"/>
    <row r="271" ht="16.5" customHeight="1" s="17"/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B5:M38"/>
  <sheetViews>
    <sheetView showGridLines="0" zoomScale="70" zoomScaleNormal="70" workbookViewId="0">
      <selection activeCell="H8" sqref="H8:I8"/>
    </sheetView>
  </sheetViews>
  <sheetFormatPr baseColWidth="8" defaultRowHeight="17.4"/>
  <cols>
    <col width="25.09765625" bestFit="1" customWidth="1" style="17" min="2" max="2"/>
    <col width="20" bestFit="1" customWidth="1" style="17" min="3" max="3"/>
    <col width="12.19921875" bestFit="1" customWidth="1" style="17" min="4" max="5"/>
    <col width="18" bestFit="1" customWidth="1" style="17" min="6" max="6"/>
    <col width="15.796875" bestFit="1" customWidth="1" style="17" min="7" max="7"/>
    <col width="12.19921875" bestFit="1" customWidth="1" style="17" min="8" max="8"/>
    <col width="19.59765625" bestFit="1" customWidth="1" style="17" min="9" max="9"/>
    <col width="11.296875" bestFit="1" customWidth="1" style="17" min="10" max="10"/>
    <col width="13.5" bestFit="1" customWidth="1" style="17" min="11" max="11"/>
    <col width="14.59765625" bestFit="1" customWidth="1" style="17" min="12" max="13"/>
    <col width="11.59765625" bestFit="1" customWidth="1" style="17" min="14" max="14"/>
    <col width="13.5" bestFit="1" customWidth="1" style="17" min="15" max="15"/>
  </cols>
  <sheetData>
    <row r="2" ht="16.5" customHeight="1" s="17"/>
    <row r="3" ht="16.5" customHeight="1" s="17"/>
    <row r="5" ht="16.5" customHeight="1" s="17">
      <c r="B5" s="1" t="inlineStr">
        <is>
          <t>합계 : 광고비(VAT미포함)</t>
        </is>
      </c>
      <c r="C5" s="1" t="inlineStr">
        <is>
          <t>열 레이블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</row>
    <row r="6" ht="16.5" customHeight="1" s="17">
      <c r="B6" s="1" t="inlineStr">
        <is>
          <t>행 레이블</t>
        </is>
      </c>
      <c r="C6" s="20" t="inlineStr">
        <is>
          <t>페이스북/인스타그램</t>
        </is>
      </c>
      <c r="D6" s="20" t="inlineStr">
        <is>
          <t>카카오 배너</t>
        </is>
      </c>
      <c r="E6" s="20" t="inlineStr">
        <is>
          <t>네이버 배너</t>
        </is>
      </c>
      <c r="F6" s="20" t="inlineStr">
        <is>
          <t>네이버 브랜드검색</t>
        </is>
      </c>
      <c r="G6" s="20" t="inlineStr">
        <is>
          <t>네이버 쇼핑검색</t>
        </is>
      </c>
      <c r="H6" s="20" t="inlineStr">
        <is>
          <t>유튜브 광고</t>
        </is>
      </c>
      <c r="I6" s="20" t="inlineStr">
        <is>
          <t>네이버 배너(대행사)</t>
        </is>
      </c>
      <c r="J6" s="20" t="inlineStr">
        <is>
          <t>(비어 있음)</t>
        </is>
      </c>
      <c r="K6" s="20" t="inlineStr">
        <is>
          <t>총합계</t>
        </is>
      </c>
      <c r="L6" s="20" t="n"/>
      <c r="M6" s="20" t="n"/>
    </row>
    <row r="7" ht="16.5" customHeight="1" s="17">
      <c r="B7" s="18" t="n">
        <v>44348</v>
      </c>
      <c r="C7" s="30" t="n">
        <v>2326824</v>
      </c>
      <c r="D7" s="30" t="n">
        <v>822349.9999999999</v>
      </c>
      <c r="E7" s="30" t="n">
        <v>752974.5454545454</v>
      </c>
      <c r="F7" s="30" t="n">
        <v>104700</v>
      </c>
      <c r="G7" s="30" t="n">
        <v>136180</v>
      </c>
      <c r="H7" s="30" t="n">
        <v>2874132</v>
      </c>
      <c r="I7" s="30" t="n">
        <v>278664.5454545454</v>
      </c>
      <c r="J7" s="30" t="n"/>
      <c r="K7" s="30" t="n">
        <v>7295825.09090909</v>
      </c>
      <c r="L7" s="20" t="n"/>
      <c r="M7" s="20" t="n"/>
    </row>
    <row r="8" ht="16.5" customHeight="1" s="17">
      <c r="B8" s="18" t="n">
        <v>44349</v>
      </c>
      <c r="C8" s="30" t="n">
        <v>2289976</v>
      </c>
      <c r="D8" s="30" t="n">
        <v>1004180</v>
      </c>
      <c r="E8" s="30" t="n">
        <v>737089.9999999999</v>
      </c>
      <c r="F8" s="30" t="n">
        <v>104700</v>
      </c>
      <c r="G8" s="30" t="n">
        <v>134630</v>
      </c>
      <c r="H8" s="30" t="n">
        <v>2628597</v>
      </c>
      <c r="I8" s="30" t="n">
        <v>257388</v>
      </c>
      <c r="J8" s="30" t="n"/>
      <c r="K8" s="30" t="n">
        <v>7156561</v>
      </c>
      <c r="L8" s="20" t="n"/>
      <c r="M8" s="20" t="n"/>
    </row>
    <row r="9" ht="16.5" customHeight="1" s="17">
      <c r="B9" s="4" t="inlineStr">
        <is>
          <t>총합계</t>
        </is>
      </c>
      <c r="C9" s="30" t="n">
        <v>4616800</v>
      </c>
      <c r="D9" s="30" t="n">
        <v>1826530</v>
      </c>
      <c r="E9" s="30" t="n">
        <v>1490064.545454545</v>
      </c>
      <c r="F9" s="30" t="n">
        <v>209400</v>
      </c>
      <c r="G9" s="30" t="n">
        <v>270810</v>
      </c>
      <c r="H9" s="30" t="n">
        <v>5502729</v>
      </c>
      <c r="I9" s="30" t="n">
        <v>536052.5454545454</v>
      </c>
      <c r="J9" s="30" t="n"/>
      <c r="K9" s="30" t="n">
        <v>14452386.09090909</v>
      </c>
      <c r="L9" s="20" t="n"/>
      <c r="M9" s="20" t="n"/>
    </row>
    <row r="10" ht="16.5" customHeight="1" s="17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</row>
    <row r="11" ht="16.5" customHeight="1" s="17"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</row>
    <row r="12" ht="16.5" customHeight="1" s="17"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</row>
    <row r="13" ht="16.5" customHeight="1" s="17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</row>
    <row r="14" ht="16.5" customHeight="1" s="17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</row>
    <row r="15" ht="16.5" customHeight="1" s="17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</row>
    <row r="16" ht="16.5" customHeight="1" s="17"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</row>
    <row r="17" ht="16.5" customHeight="1" s="17"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</row>
    <row r="18" ht="16.5" customHeight="1" s="17"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</row>
    <row r="19" ht="16.5" customHeight="1" s="17"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</row>
    <row r="20" ht="16.5" customHeight="1" s="17"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</row>
    <row r="21" ht="16.5" customHeight="1" s="17"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</row>
    <row r="22" ht="16.5" customHeight="1" s="17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</row>
    <row r="23" ht="16.5" customHeight="1" s="17"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</row>
    <row r="24" ht="16.5" customHeight="1" s="17"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</row>
    <row r="25" ht="16.5" customHeight="1" s="17"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</row>
    <row r="26" ht="16.5" customHeight="1" s="17"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</row>
    <row r="27" ht="16.5" customHeight="1" s="17"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</row>
    <row r="28" ht="16.5" customHeight="1" s="17"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</row>
    <row r="29" ht="16.5" customHeight="1" s="17"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</row>
    <row r="30" ht="16.5" customHeight="1" s="17"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</row>
    <row r="31" ht="16.5" customHeight="1" s="17"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</row>
    <row r="32" ht="16.5" customHeight="1" s="17"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</row>
    <row r="33" ht="16.5" customHeight="1" s="17">
      <c r="B33" s="20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</row>
    <row r="34" ht="16.5" customHeight="1" s="17"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</row>
    <row r="35" ht="16.5" customHeight="1" s="17"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</row>
    <row r="36"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</row>
    <row r="37"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</row>
    <row r="38">
      <c r="B38" s="20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E15" sqref="E15"/>
    </sheetView>
  </sheetViews>
  <sheetFormatPr baseColWidth="8" defaultRowHeight="17.4"/>
  <sheetData>
    <row r="1" ht="16.5" customHeight="1" s="17">
      <c r="A1" s="20" t="inlineStr">
        <is>
          <t>유즈 스테이포에버 솔리드퍼퓸 002 (10차 재입고 완료제품선택=스테이포에버 1개</t>
        </is>
      </c>
    </row>
    <row r="2" ht="16.5" customHeight="1" s="17">
      <c r="A2" s="20" t="inlineStr">
        <is>
          <t>유즈 스테이포에버 솔리드퍼퓸 002 (10차 재입고 완료제품선택=best</t>
        </is>
      </c>
    </row>
    <row r="3" ht="16.5" customHeight="1" s="17">
      <c r="A3" s="20" t="inlineStr">
        <is>
          <t>유즈 스테이포에버 솔리드퍼퓸 002 (10차 재입고 완료쇼핑백=선물용 쇼핑백</t>
        </is>
      </c>
    </row>
    <row r="4" ht="16.5" customHeight="1" s="17">
      <c r="A4" s="20" t="inlineStr">
        <is>
          <t>유즈 스테이포에버 솔리드퍼퓸 002 (10차 재입고 완료)제품선택=best스테이포에버 2개[28% 할인]</t>
        </is>
      </c>
    </row>
    <row r="5" ht="16.5" customHeight="1" s="17">
      <c r="A5" s="20" t="inlineStr">
        <is>
          <t>유즈 스테이포에버 솔리드퍼퓸 002 (10차 재입고 완료)제품선택=커플추천스테이포에버 + 이그나이트 세트</t>
        </is>
      </c>
    </row>
    <row r="6" ht="16.5" customHeight="1" s="17">
      <c r="A6" s="20" t="inlineStr">
        <is>
          <t>유즈 스테이포에버 솔리드퍼퓸 002 (10차 재입고 완료)쇼핑백=선물용 쇼핑백</t>
        </is>
      </c>
    </row>
    <row r="7" ht="16.5" customHeight="1" s="17">
      <c r="A7" s="20" t="inlineStr">
        <is>
          <t>유즈 이그나이트 솔리드퍼퓸 001쇼핑백=선물용 쇼핑백</t>
        </is>
      </c>
    </row>
    <row r="8" ht="16.5" customHeight="1" s="17">
      <c r="A8" s="20" t="inlineStr">
        <is>
          <t>SHOPPING BAG</t>
        </is>
      </c>
    </row>
    <row r="9" ht="16.5" customHeight="1" s="17">
      <c r="A9" s="20" t="inlineStr">
        <is>
          <t>유즈 솔리드퍼퓸 - 30ml (10차 재입고 완료 )향=이그나이트 001 SOLID PERFUME, 세트 선택=best 2개 (28% 할인)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tf</dc:creator>
  <dcterms:created xmlns:dcterms="http://purl.org/dc/terms/" xmlns:xsi="http://www.w3.org/2001/XMLSchema-instance" xsi:type="dcterms:W3CDTF">2019-08-29T01:30:10Z</dcterms:created>
  <dcterms:modified xmlns:dcterms="http://purl.org/dc/terms/" xmlns:xsi="http://www.w3.org/2001/XMLSchema-instance" xsi:type="dcterms:W3CDTF">2021-06-04T07:52:41Z</dcterms:modified>
  <cp:lastModifiedBy>정윤재</cp:lastModifiedBy>
</cp:coreProperties>
</file>